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https://crisil-my.sharepoint.com/personal/lokeshk_ad_crisil_com/Documents/1_Team_Fixed Income (Credit)/Bara Model Work/Bara - Model Update/WIP/Aug 2026 - PLDT/2Q26/"/>
    </mc:Choice>
  </mc:AlternateContent>
  <xr:revisionPtr revIDLastSave="0" documentId="8_{291BAC1A-A763-4FFF-B30F-E30BD0B5ED0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apitalization" sheetId="6" r:id="rId1"/>
    <sheet name="Model" sheetId="1" r:id="rId2"/>
    <sheet name="KPIs" sheetId="4" r:id="rId3"/>
  </sheets>
  <definedNames>
    <definedName name="CIQWBGuid" hidden="1">"60404954-e9ce-4644-98cc-4993911853bc"</definedName>
    <definedName name="CIQWBInfo" hidden="1">"{ ""CIQVersion"":""9.47.1108.4092"" }"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6" l="1"/>
  <c r="C54" i="6"/>
  <c r="C49" i="6"/>
  <c r="C47" i="6"/>
  <c r="C45" i="6"/>
  <c r="J4" i="6"/>
  <c r="D49" i="6" s="1"/>
  <c r="J3" i="6"/>
  <c r="D62" i="6" s="1"/>
  <c r="C20" i="6"/>
  <c r="C18" i="6"/>
  <c r="C16" i="6"/>
  <c r="C66" i="6"/>
  <c r="D64" i="6"/>
  <c r="D63" i="6"/>
  <c r="D59" i="6"/>
  <c r="C59" i="6"/>
  <c r="C56" i="6"/>
  <c r="D55" i="6"/>
  <c r="B54" i="6"/>
  <c r="D53" i="6"/>
  <c r="C53" i="6"/>
  <c r="C43" i="6"/>
  <c r="C42" i="6"/>
  <c r="D42" i="6" s="1"/>
  <c r="C38" i="6"/>
  <c r="C34" i="6"/>
  <c r="C36" i="6" s="1"/>
  <c r="F24" i="6"/>
  <c r="E24" i="6"/>
  <c r="D24" i="6"/>
  <c r="C24" i="6"/>
  <c r="B24" i="6"/>
  <c r="C15" i="6"/>
  <c r="C21" i="6" s="1"/>
  <c r="D8" i="6"/>
  <c r="J6" i="6"/>
  <c r="M63" i="4"/>
  <c r="M62" i="4"/>
  <c r="M54" i="4"/>
  <c r="M52" i="4"/>
  <c r="M50" i="4"/>
  <c r="M36" i="4"/>
  <c r="M35" i="4"/>
  <c r="M34" i="4"/>
  <c r="M33" i="4"/>
  <c r="M32" i="4"/>
  <c r="AV35" i="4"/>
  <c r="AV34" i="4"/>
  <c r="AV33" i="4"/>
  <c r="AV32" i="4"/>
  <c r="M12" i="4"/>
  <c r="M11" i="4"/>
  <c r="M10" i="4"/>
  <c r="M9" i="4"/>
  <c r="AV12" i="4"/>
  <c r="AV27" i="4" s="1"/>
  <c r="AV10" i="4"/>
  <c r="AV9" i="4"/>
  <c r="M3" i="4"/>
  <c r="AV61" i="4"/>
  <c r="AV49" i="4"/>
  <c r="AV48" i="4" s="1"/>
  <c r="AV36" i="4"/>
  <c r="AV44" i="4"/>
  <c r="AV43" i="4"/>
  <c r="AV11" i="4"/>
  <c r="AV26" i="4" s="1"/>
  <c r="M202" i="1"/>
  <c r="M201" i="1"/>
  <c r="M147" i="1"/>
  <c r="AV112" i="1"/>
  <c r="AQ112" i="1"/>
  <c r="AU112" i="1"/>
  <c r="AV92" i="1"/>
  <c r="M126" i="1"/>
  <c r="M125" i="1"/>
  <c r="M121" i="1"/>
  <c r="M120" i="1"/>
  <c r="M111" i="1"/>
  <c r="M110" i="1"/>
  <c r="M106" i="1"/>
  <c r="M105" i="1"/>
  <c r="M96" i="1"/>
  <c r="M95" i="1"/>
  <c r="M94" i="1"/>
  <c r="M93" i="1"/>
  <c r="M92" i="1"/>
  <c r="AV73" i="1"/>
  <c r="AV72" i="1"/>
  <c r="AV69" i="1"/>
  <c r="AV70" i="1"/>
  <c r="AV68" i="1"/>
  <c r="AV65" i="1"/>
  <c r="AV62" i="1"/>
  <c r="AV168" i="1" s="1"/>
  <c r="AV228" i="1" s="1"/>
  <c r="AV61" i="1"/>
  <c r="AV54" i="1"/>
  <c r="AV56" i="1" s="1"/>
  <c r="AV51" i="1"/>
  <c r="AV161" i="1" s="1"/>
  <c r="AV45" i="1"/>
  <c r="M17" i="1"/>
  <c r="M3" i="1"/>
  <c r="AV255" i="1"/>
  <c r="AV252" i="1"/>
  <c r="AV251" i="1"/>
  <c r="AV248" i="1"/>
  <c r="AV217" i="1"/>
  <c r="AV205" i="1"/>
  <c r="AV204" i="1"/>
  <c r="AV216" i="1" s="1"/>
  <c r="AV157" i="1"/>
  <c r="AV156" i="1"/>
  <c r="AV146" i="1"/>
  <c r="AV145" i="1"/>
  <c r="AV130" i="1"/>
  <c r="AV119" i="1"/>
  <c r="AV151" i="1" s="1"/>
  <c r="AV210" i="1" s="1"/>
  <c r="AV116" i="1"/>
  <c r="AV115" i="1"/>
  <c r="AV117" i="1" s="1"/>
  <c r="AV107" i="1"/>
  <c r="AV102" i="1"/>
  <c r="AV100" i="1"/>
  <c r="AV97" i="1"/>
  <c r="AV178" i="1"/>
  <c r="AV238" i="1" s="1"/>
  <c r="AV174" i="1"/>
  <c r="AV234" i="1" s="1"/>
  <c r="AV171" i="1"/>
  <c r="AV231" i="1" s="1"/>
  <c r="AV167" i="1"/>
  <c r="AV227" i="1" s="1"/>
  <c r="AV43" i="1"/>
  <c r="AV58" i="1" s="1"/>
  <c r="AV79" i="1" s="1"/>
  <c r="AV90" i="1" s="1"/>
  <c r="AV39" i="1"/>
  <c r="AV35" i="1"/>
  <c r="AV34" i="1"/>
  <c r="AV33" i="1"/>
  <c r="AV10" i="1"/>
  <c r="AV8" i="1"/>
  <c r="J95" i="6"/>
  <c r="C144" i="6"/>
  <c r="C143" i="6"/>
  <c r="C136" i="6"/>
  <c r="C107" i="6"/>
  <c r="C155" i="6"/>
  <c r="B143" i="6"/>
  <c r="D142" i="6"/>
  <c r="D148" i="6" s="1"/>
  <c r="C142" i="6"/>
  <c r="C148" i="6" s="1"/>
  <c r="C132" i="6"/>
  <c r="C131" i="6"/>
  <c r="C127" i="6"/>
  <c r="C123" i="6"/>
  <c r="C125" i="6" s="1"/>
  <c r="C129" i="6" s="1"/>
  <c r="C133" i="6" s="1"/>
  <c r="F113" i="6"/>
  <c r="E113" i="6"/>
  <c r="D113" i="6"/>
  <c r="C113" i="6"/>
  <c r="B113" i="6"/>
  <c r="C104" i="6"/>
  <c r="M59" i="4"/>
  <c r="AU27" i="4"/>
  <c r="AQ27" i="4"/>
  <c r="AM27" i="4"/>
  <c r="AI27" i="4"/>
  <c r="AE27" i="4"/>
  <c r="AA27" i="4"/>
  <c r="W27" i="4"/>
  <c r="AU26" i="4"/>
  <c r="AQ26" i="4"/>
  <c r="AM26" i="4"/>
  <c r="AI26" i="4"/>
  <c r="AE26" i="4"/>
  <c r="AA26" i="4"/>
  <c r="W26" i="4"/>
  <c r="AU25" i="4"/>
  <c r="AQ25" i="4"/>
  <c r="AM25" i="4"/>
  <c r="AI25" i="4"/>
  <c r="AE25" i="4"/>
  <c r="AA25" i="4"/>
  <c r="W25" i="4"/>
  <c r="AU24" i="4"/>
  <c r="AQ24" i="4"/>
  <c r="AM24" i="4"/>
  <c r="AI24" i="4"/>
  <c r="AE24" i="4"/>
  <c r="AA24" i="4"/>
  <c r="W24" i="4"/>
  <c r="S27" i="4"/>
  <c r="S26" i="4"/>
  <c r="S25" i="4"/>
  <c r="S24" i="4"/>
  <c r="L27" i="4"/>
  <c r="K27" i="4"/>
  <c r="J27" i="4"/>
  <c r="I27" i="4"/>
  <c r="H27" i="4"/>
  <c r="G27" i="4"/>
  <c r="F27" i="4"/>
  <c r="E27" i="4"/>
  <c r="L26" i="4"/>
  <c r="K26" i="4"/>
  <c r="J26" i="4"/>
  <c r="I26" i="4"/>
  <c r="H26" i="4"/>
  <c r="G26" i="4"/>
  <c r="F26" i="4"/>
  <c r="E26" i="4"/>
  <c r="L25" i="4"/>
  <c r="K25" i="4"/>
  <c r="J25" i="4"/>
  <c r="I25" i="4"/>
  <c r="H25" i="4"/>
  <c r="G25" i="4"/>
  <c r="F25" i="4"/>
  <c r="E25" i="4"/>
  <c r="L24" i="4"/>
  <c r="K24" i="4"/>
  <c r="J24" i="4"/>
  <c r="I24" i="4"/>
  <c r="H24" i="4"/>
  <c r="G24" i="4"/>
  <c r="F24" i="4"/>
  <c r="E24" i="4"/>
  <c r="D27" i="4"/>
  <c r="D26" i="4"/>
  <c r="D25" i="4"/>
  <c r="D24" i="4"/>
  <c r="AU61" i="4"/>
  <c r="AU49" i="4"/>
  <c r="AU48" i="4" s="1"/>
  <c r="AU44" i="4"/>
  <c r="AU43" i="4"/>
  <c r="AU42" i="4"/>
  <c r="AU41" i="4"/>
  <c r="AU37" i="4"/>
  <c r="AU13" i="4"/>
  <c r="J92" i="6"/>
  <c r="AU102" i="1"/>
  <c r="AS102" i="1"/>
  <c r="AR102" i="1"/>
  <c r="AQ102" i="1"/>
  <c r="AO102" i="1"/>
  <c r="AN102" i="1"/>
  <c r="AM102" i="1"/>
  <c r="AU100" i="1"/>
  <c r="AS100" i="1"/>
  <c r="AR100" i="1"/>
  <c r="AQ100" i="1"/>
  <c r="AO100" i="1"/>
  <c r="AN100" i="1"/>
  <c r="AM100" i="1"/>
  <c r="AU92" i="1"/>
  <c r="AU69" i="1"/>
  <c r="AV175" i="1" s="1"/>
  <c r="AV235" i="1" s="1"/>
  <c r="AU70" i="1"/>
  <c r="AU176" i="1" s="1"/>
  <c r="AU67" i="1"/>
  <c r="AU64" i="1"/>
  <c r="AU170" i="1" s="1"/>
  <c r="AU60" i="1"/>
  <c r="AV60" i="1" s="1"/>
  <c r="AU205" i="1"/>
  <c r="AU217" i="1" s="1"/>
  <c r="AU204" i="1"/>
  <c r="AU216" i="1" s="1"/>
  <c r="J93" i="6"/>
  <c r="AU178" i="1"/>
  <c r="AU174" i="1"/>
  <c r="AU171" i="1"/>
  <c r="AU231" i="1" s="1"/>
  <c r="AU168" i="1"/>
  <c r="AU228" i="1" s="1"/>
  <c r="AU167" i="1"/>
  <c r="AU227" i="1" s="1"/>
  <c r="AU161" i="1"/>
  <c r="AU157" i="1"/>
  <c r="AU156" i="1"/>
  <c r="AU146" i="1"/>
  <c r="AU145" i="1"/>
  <c r="AU130" i="1"/>
  <c r="AU119" i="1"/>
  <c r="AU151" i="1" s="1"/>
  <c r="AU210" i="1" s="1"/>
  <c r="AU116" i="1"/>
  <c r="AU115" i="1"/>
  <c r="AU107" i="1"/>
  <c r="AU97" i="1"/>
  <c r="AU59" i="1"/>
  <c r="AU56" i="1"/>
  <c r="AU55" i="1"/>
  <c r="AU52" i="1"/>
  <c r="AU43" i="1"/>
  <c r="AU58" i="1" s="1"/>
  <c r="AU79" i="1" s="1"/>
  <c r="AU90" i="1" s="1"/>
  <c r="AU39" i="1"/>
  <c r="AU35" i="1"/>
  <c r="AU34" i="1"/>
  <c r="AU33" i="1"/>
  <c r="AU10" i="1"/>
  <c r="AU101" i="1" s="1"/>
  <c r="AU8" i="1"/>
  <c r="C242" i="6"/>
  <c r="B231" i="6"/>
  <c r="D230" i="6"/>
  <c r="D235" i="6" s="1"/>
  <c r="C230" i="6"/>
  <c r="C235" i="6" s="1"/>
  <c r="C221" i="6"/>
  <c r="C220" i="6"/>
  <c r="C216" i="6"/>
  <c r="C212" i="6"/>
  <c r="C214" i="6" s="1"/>
  <c r="F202" i="6"/>
  <c r="E202" i="6"/>
  <c r="D202" i="6"/>
  <c r="C202" i="6"/>
  <c r="B202" i="6"/>
  <c r="C193" i="6"/>
  <c r="AT68" i="4"/>
  <c r="AT67" i="4"/>
  <c r="AT66" i="4"/>
  <c r="AT63" i="4"/>
  <c r="AT62" i="4"/>
  <c r="AT61" i="4" s="1"/>
  <c r="AT59" i="4"/>
  <c r="AT54" i="4"/>
  <c r="AT52" i="4"/>
  <c r="AT50" i="4"/>
  <c r="L61" i="4"/>
  <c r="L49" i="4"/>
  <c r="L48" i="4" s="1"/>
  <c r="L44" i="4"/>
  <c r="L43" i="4"/>
  <c r="L42" i="4"/>
  <c r="L41" i="4"/>
  <c r="L37" i="4"/>
  <c r="L38" i="4" s="1"/>
  <c r="L13" i="4"/>
  <c r="J181" i="6"/>
  <c r="D238" i="6" s="1"/>
  <c r="L202" i="1"/>
  <c r="AT126" i="1"/>
  <c r="AT255" i="1" s="1"/>
  <c r="AT125" i="1"/>
  <c r="AT121" i="1"/>
  <c r="AT120" i="1"/>
  <c r="C231" i="6" s="1"/>
  <c r="AT111" i="1"/>
  <c r="AT252" i="1" s="1"/>
  <c r="AT110" i="1"/>
  <c r="AT106" i="1"/>
  <c r="AT105" i="1"/>
  <c r="AT96" i="1"/>
  <c r="AT95" i="1"/>
  <c r="AT94" i="1"/>
  <c r="AT93" i="1"/>
  <c r="L92" i="1"/>
  <c r="AT92" i="1" s="1"/>
  <c r="L69" i="1"/>
  <c r="L175" i="1" s="1"/>
  <c r="L70" i="1"/>
  <c r="L176" i="1" s="1"/>
  <c r="L68" i="1"/>
  <c r="L174" i="1" s="1"/>
  <c r="L67" i="1"/>
  <c r="L173" i="1" s="1"/>
  <c r="L65" i="1"/>
  <c r="L171" i="1" s="1"/>
  <c r="L64" i="1"/>
  <c r="L170" i="1" s="1"/>
  <c r="L60" i="1"/>
  <c r="L166" i="1" s="1"/>
  <c r="AT29" i="1"/>
  <c r="M29" i="1" s="1"/>
  <c r="AT28" i="1"/>
  <c r="M28" i="1" s="1"/>
  <c r="AT24" i="1"/>
  <c r="M24" i="1" s="1"/>
  <c r="AT22" i="1"/>
  <c r="M22" i="1" s="1"/>
  <c r="AT20" i="1"/>
  <c r="M20" i="1" s="1"/>
  <c r="AT17" i="1"/>
  <c r="AT16" i="1"/>
  <c r="M16" i="1" s="1"/>
  <c r="AT15" i="1"/>
  <c r="M15" i="1" s="1"/>
  <c r="AT14" i="1"/>
  <c r="M14" i="1" s="1"/>
  <c r="AT13" i="1"/>
  <c r="M13" i="1" s="1"/>
  <c r="AT9" i="1"/>
  <c r="M9" i="1" s="1"/>
  <c r="AT7" i="1"/>
  <c r="M7" i="1" s="1"/>
  <c r="AT205" i="1"/>
  <c r="AT217" i="1" s="1"/>
  <c r="AT204" i="1"/>
  <c r="AT216" i="1" s="1"/>
  <c r="AT157" i="1"/>
  <c r="AT156" i="1"/>
  <c r="AT146" i="1"/>
  <c r="AT145" i="1"/>
  <c r="AT130" i="1"/>
  <c r="AT43" i="1"/>
  <c r="AT58" i="1" s="1"/>
  <c r="AT79" i="1" s="1"/>
  <c r="AT90" i="1" s="1"/>
  <c r="L205" i="1"/>
  <c r="L217" i="1" s="1"/>
  <c r="L204" i="1"/>
  <c r="L216" i="1" s="1"/>
  <c r="L178" i="1"/>
  <c r="L168" i="1"/>
  <c r="L167" i="1"/>
  <c r="L161" i="1"/>
  <c r="L157" i="1"/>
  <c r="L156" i="1"/>
  <c r="L146" i="1"/>
  <c r="L145" i="1"/>
  <c r="L130" i="1"/>
  <c r="L119" i="1"/>
  <c r="L151" i="1" s="1"/>
  <c r="L116" i="1"/>
  <c r="L115" i="1"/>
  <c r="L112" i="1"/>
  <c r="L107" i="1"/>
  <c r="L102" i="1"/>
  <c r="L100" i="1"/>
  <c r="L97" i="1"/>
  <c r="L85" i="1"/>
  <c r="L84" i="1"/>
  <c r="L59" i="1"/>
  <c r="L165" i="1" s="1"/>
  <c r="L56" i="1"/>
  <c r="L55" i="1"/>
  <c r="L52" i="1"/>
  <c r="L43" i="1"/>
  <c r="L58" i="1" s="1"/>
  <c r="L79" i="1" s="1"/>
  <c r="L90" i="1" s="1"/>
  <c r="L39" i="1"/>
  <c r="L35" i="1"/>
  <c r="L34" i="1"/>
  <c r="L33" i="1"/>
  <c r="L10" i="1"/>
  <c r="L81" i="1" s="1"/>
  <c r="L147" i="1" s="1"/>
  <c r="L8" i="1"/>
  <c r="C321" i="6"/>
  <c r="C320" i="6"/>
  <c r="C314" i="6"/>
  <c r="J270" i="6"/>
  <c r="D299" i="6" s="1"/>
  <c r="C285" i="6"/>
  <c r="C331" i="6"/>
  <c r="B320" i="6"/>
  <c r="D319" i="6"/>
  <c r="D324" i="6" s="1"/>
  <c r="C319" i="6"/>
  <c r="C324" i="6" s="1"/>
  <c r="C310" i="6"/>
  <c r="C309" i="6"/>
  <c r="C305" i="6"/>
  <c r="C301" i="6"/>
  <c r="C303" i="6" s="1"/>
  <c r="F291" i="6"/>
  <c r="E291" i="6"/>
  <c r="D291" i="6"/>
  <c r="C291" i="6"/>
  <c r="B291" i="6"/>
  <c r="C282" i="6"/>
  <c r="AS61" i="4"/>
  <c r="AS49" i="4"/>
  <c r="AS48" i="4" s="1"/>
  <c r="AS119" i="1"/>
  <c r="AS151" i="1" s="1"/>
  <c r="AS210" i="1" s="1"/>
  <c r="AS92" i="1"/>
  <c r="AS255" i="1"/>
  <c r="AS252" i="1"/>
  <c r="AS251" i="1"/>
  <c r="AS248" i="1"/>
  <c r="AS205" i="1"/>
  <c r="AS217" i="1" s="1"/>
  <c r="AS204" i="1"/>
  <c r="AS216" i="1" s="1"/>
  <c r="AS178" i="1"/>
  <c r="AS238" i="1" s="1"/>
  <c r="AS157" i="1"/>
  <c r="AS156" i="1"/>
  <c r="AS146" i="1"/>
  <c r="AS145" i="1"/>
  <c r="AS130" i="1"/>
  <c r="AS116" i="1"/>
  <c r="AS115" i="1"/>
  <c r="AS112" i="1"/>
  <c r="AS107" i="1"/>
  <c r="AS97" i="1"/>
  <c r="AS56" i="1"/>
  <c r="AS43" i="1"/>
  <c r="AS58" i="1" s="1"/>
  <c r="AS79" i="1" s="1"/>
  <c r="AS90" i="1" s="1"/>
  <c r="AS39" i="1"/>
  <c r="AS35" i="1"/>
  <c r="AS34" i="1"/>
  <c r="AS33" i="1"/>
  <c r="AS10" i="1"/>
  <c r="AS101" i="1" s="1"/>
  <c r="AS8" i="1"/>
  <c r="D386" i="6"/>
  <c r="D391" i="6" s="1"/>
  <c r="C386" i="6"/>
  <c r="C391" i="6" s="1"/>
  <c r="C388" i="6"/>
  <c r="C387" i="6"/>
  <c r="C381" i="6"/>
  <c r="C377" i="6"/>
  <c r="C376" i="6"/>
  <c r="C368" i="6"/>
  <c r="C370" i="6" s="1"/>
  <c r="F358" i="6"/>
  <c r="E358" i="6"/>
  <c r="D358" i="6"/>
  <c r="C358" i="6"/>
  <c r="B358" i="6"/>
  <c r="J337" i="6"/>
  <c r="D392" i="6" s="1"/>
  <c r="C352" i="6"/>
  <c r="C399" i="6"/>
  <c r="B387" i="6"/>
  <c r="C372" i="6"/>
  <c r="C349" i="6"/>
  <c r="AR35" i="4"/>
  <c r="AR34" i="4"/>
  <c r="AR33" i="4"/>
  <c r="AR32" i="4"/>
  <c r="AS32" i="4" s="1"/>
  <c r="AR12" i="4"/>
  <c r="AR10" i="4"/>
  <c r="AR9" i="4"/>
  <c r="AR61" i="4"/>
  <c r="AR49" i="4"/>
  <c r="AR48" i="4" s="1"/>
  <c r="AR36" i="4"/>
  <c r="AR11" i="4"/>
  <c r="AR119" i="1"/>
  <c r="AR151" i="1" s="1"/>
  <c r="AR210" i="1" s="1"/>
  <c r="AQ119" i="1"/>
  <c r="C417" i="6" s="1"/>
  <c r="AR92" i="1"/>
  <c r="AR68" i="1"/>
  <c r="AR174" i="1" s="1"/>
  <c r="AR234" i="1" s="1"/>
  <c r="AR65" i="1"/>
  <c r="AR171" i="1" s="1"/>
  <c r="AR231" i="1" s="1"/>
  <c r="AR62" i="1"/>
  <c r="AS62" i="1" s="1"/>
  <c r="AT62" i="1" s="1"/>
  <c r="AR61" i="1"/>
  <c r="AR167" i="1" s="1"/>
  <c r="AR227" i="1" s="1"/>
  <c r="AR54" i="1"/>
  <c r="AT54" i="1" s="1"/>
  <c r="M54" i="1" s="1"/>
  <c r="AR51" i="1"/>
  <c r="AR45" i="1"/>
  <c r="AR255" i="1"/>
  <c r="AR252" i="1"/>
  <c r="AR251" i="1"/>
  <c r="AR248" i="1"/>
  <c r="AR205" i="1"/>
  <c r="AR217" i="1" s="1"/>
  <c r="AR204" i="1"/>
  <c r="AR216" i="1" s="1"/>
  <c r="AR157" i="1"/>
  <c r="AR156" i="1"/>
  <c r="AR146" i="1"/>
  <c r="AR145" i="1"/>
  <c r="AR130" i="1"/>
  <c r="AR116" i="1"/>
  <c r="AR115" i="1"/>
  <c r="AR112" i="1"/>
  <c r="AR107" i="1"/>
  <c r="AR97" i="1"/>
  <c r="AR73" i="1"/>
  <c r="AR43" i="1"/>
  <c r="AR58" i="1" s="1"/>
  <c r="AR79" i="1" s="1"/>
  <c r="AR90" i="1" s="1"/>
  <c r="AR39" i="1"/>
  <c r="AR35" i="1"/>
  <c r="AR34" i="1"/>
  <c r="AR33" i="1"/>
  <c r="AR10" i="1"/>
  <c r="AR101" i="1" s="1"/>
  <c r="AR8" i="1"/>
  <c r="C458" i="6"/>
  <c r="C457" i="6"/>
  <c r="C450" i="6"/>
  <c r="C419" i="6"/>
  <c r="C470" i="6"/>
  <c r="B457" i="6"/>
  <c r="C440" i="6"/>
  <c r="C437" i="6"/>
  <c r="C416" i="6"/>
  <c r="N472" i="6"/>
  <c r="E477" i="6" s="1"/>
  <c r="C508" i="6"/>
  <c r="C505" i="6"/>
  <c r="C507" i="6" s="1"/>
  <c r="AQ61" i="4"/>
  <c r="AQ49" i="4"/>
  <c r="AQ48" i="4" s="1"/>
  <c r="AQ44" i="4"/>
  <c r="AQ43" i="4"/>
  <c r="AQ42" i="4"/>
  <c r="AQ41" i="4"/>
  <c r="AQ37" i="4"/>
  <c r="AQ38" i="4" s="1"/>
  <c r="AQ13" i="4"/>
  <c r="AP68" i="4"/>
  <c r="AP67" i="4"/>
  <c r="AP66" i="4"/>
  <c r="K44" i="4"/>
  <c r="K43" i="4"/>
  <c r="K42" i="4"/>
  <c r="K41" i="4"/>
  <c r="K37" i="4"/>
  <c r="K13" i="4"/>
  <c r="AQ202" i="1"/>
  <c r="AQ116" i="1"/>
  <c r="AQ115" i="1"/>
  <c r="AQ107" i="1"/>
  <c r="AQ92" i="1"/>
  <c r="AL121" i="1"/>
  <c r="AL120" i="1"/>
  <c r="K70" i="1"/>
  <c r="K176" i="1" s="1"/>
  <c r="J70" i="1"/>
  <c r="K69" i="1"/>
  <c r="K175" i="1" s="1"/>
  <c r="K67" i="1"/>
  <c r="K173" i="1" s="1"/>
  <c r="K65" i="1"/>
  <c r="K171" i="1" s="1"/>
  <c r="K64" i="1"/>
  <c r="K87" i="1" s="1"/>
  <c r="K60" i="1"/>
  <c r="K166" i="1" s="1"/>
  <c r="AQ70" i="1"/>
  <c r="AQ176" i="1" s="1"/>
  <c r="AQ69" i="1"/>
  <c r="AQ175" i="1" s="1"/>
  <c r="AQ67" i="1"/>
  <c r="AR67" i="1" s="1"/>
  <c r="AQ64" i="1"/>
  <c r="AQ170" i="1" s="1"/>
  <c r="AQ60" i="1"/>
  <c r="AQ166" i="1" s="1"/>
  <c r="AQ205" i="1"/>
  <c r="AQ217" i="1" s="1"/>
  <c r="AQ204" i="1"/>
  <c r="AQ216" i="1" s="1"/>
  <c r="AQ178" i="1"/>
  <c r="AQ174" i="1"/>
  <c r="AQ171" i="1"/>
  <c r="AQ168" i="1"/>
  <c r="AQ167" i="1"/>
  <c r="AQ161" i="1"/>
  <c r="AQ157" i="1"/>
  <c r="AQ156" i="1"/>
  <c r="AQ146" i="1"/>
  <c r="AQ145" i="1"/>
  <c r="AQ130" i="1"/>
  <c r="AQ97" i="1"/>
  <c r="AQ59" i="1"/>
  <c r="AQ165" i="1" s="1"/>
  <c r="AQ56" i="1"/>
  <c r="AQ55" i="1"/>
  <c r="AQ52" i="1"/>
  <c r="AQ43" i="1"/>
  <c r="AQ58" i="1" s="1"/>
  <c r="AQ79" i="1" s="1"/>
  <c r="AQ90" i="1" s="1"/>
  <c r="AQ39" i="1"/>
  <c r="AQ35" i="1"/>
  <c r="AQ34" i="1"/>
  <c r="AQ33" i="1"/>
  <c r="AQ10" i="1"/>
  <c r="AQ53" i="1" s="1"/>
  <c r="AQ8" i="1"/>
  <c r="C484" i="6"/>
  <c r="C526" i="6"/>
  <c r="C525" i="6"/>
  <c r="AP121" i="1"/>
  <c r="AP120" i="1"/>
  <c r="J119" i="1"/>
  <c r="I119" i="1"/>
  <c r="K119" i="1"/>
  <c r="K151" i="1" s="1"/>
  <c r="C538" i="6"/>
  <c r="B525" i="6"/>
  <c r="AP63" i="4"/>
  <c r="AP62" i="4"/>
  <c r="AP59" i="4"/>
  <c r="AP54" i="4"/>
  <c r="AP52" i="4"/>
  <c r="AP50" i="4"/>
  <c r="K61" i="4"/>
  <c r="K49" i="4"/>
  <c r="K48" i="4" s="1"/>
  <c r="AP126" i="1"/>
  <c r="C518" i="6" s="1"/>
  <c r="AP125" i="1"/>
  <c r="AP111" i="1"/>
  <c r="AP110" i="1"/>
  <c r="AP251" i="1" s="1"/>
  <c r="AP106" i="1"/>
  <c r="AP105" i="1"/>
  <c r="AP96" i="1"/>
  <c r="AP95" i="1"/>
  <c r="AP94" i="1"/>
  <c r="AP93" i="1"/>
  <c r="AP45" i="1"/>
  <c r="AP29" i="1"/>
  <c r="AP28" i="1"/>
  <c r="AP24" i="1"/>
  <c r="AP22" i="1"/>
  <c r="AP20" i="1"/>
  <c r="AP17" i="1"/>
  <c r="AP16" i="1"/>
  <c r="AP15" i="1"/>
  <c r="AP14" i="1"/>
  <c r="AP13" i="1"/>
  <c r="AP9" i="1"/>
  <c r="AP7" i="1"/>
  <c r="AO255" i="1"/>
  <c r="AN255" i="1"/>
  <c r="AM255" i="1"/>
  <c r="AK255" i="1"/>
  <c r="AJ255" i="1"/>
  <c r="AI255" i="1"/>
  <c r="AG255" i="1"/>
  <c r="AF255" i="1"/>
  <c r="AE255" i="1"/>
  <c r="AC255" i="1"/>
  <c r="AB255" i="1"/>
  <c r="AA255" i="1"/>
  <c r="Y255" i="1"/>
  <c r="X255" i="1"/>
  <c r="W255" i="1"/>
  <c r="U255" i="1"/>
  <c r="T255" i="1"/>
  <c r="S255" i="1"/>
  <c r="Q255" i="1"/>
  <c r="P255" i="1"/>
  <c r="O255" i="1"/>
  <c r="H255" i="1"/>
  <c r="G255" i="1"/>
  <c r="F255" i="1"/>
  <c r="E255" i="1"/>
  <c r="D255" i="1"/>
  <c r="C255" i="1"/>
  <c r="AO252" i="1"/>
  <c r="AN252" i="1"/>
  <c r="AM252" i="1"/>
  <c r="AK252" i="1"/>
  <c r="AJ252" i="1"/>
  <c r="AI252" i="1"/>
  <c r="AG252" i="1"/>
  <c r="AF252" i="1"/>
  <c r="AE252" i="1"/>
  <c r="AC252" i="1"/>
  <c r="AB252" i="1"/>
  <c r="AA252" i="1"/>
  <c r="Y252" i="1"/>
  <c r="X252" i="1"/>
  <c r="W252" i="1"/>
  <c r="U252" i="1"/>
  <c r="T252" i="1"/>
  <c r="S252" i="1"/>
  <c r="Q252" i="1"/>
  <c r="P252" i="1"/>
  <c r="O252" i="1"/>
  <c r="AO251" i="1"/>
  <c r="AN251" i="1"/>
  <c r="AM251" i="1"/>
  <c r="AK251" i="1"/>
  <c r="AJ251" i="1"/>
  <c r="AI251" i="1"/>
  <c r="AG251" i="1"/>
  <c r="AF251" i="1"/>
  <c r="AE251" i="1"/>
  <c r="AC251" i="1"/>
  <c r="AB251" i="1"/>
  <c r="AA251" i="1"/>
  <c r="Y251" i="1"/>
  <c r="X251" i="1"/>
  <c r="W251" i="1"/>
  <c r="U251" i="1"/>
  <c r="T251" i="1"/>
  <c r="S251" i="1"/>
  <c r="Q251" i="1"/>
  <c r="P251" i="1"/>
  <c r="O251" i="1"/>
  <c r="H252" i="1"/>
  <c r="G252" i="1"/>
  <c r="F252" i="1"/>
  <c r="E252" i="1"/>
  <c r="D252" i="1"/>
  <c r="C252" i="1"/>
  <c r="H251" i="1"/>
  <c r="G251" i="1"/>
  <c r="F251" i="1"/>
  <c r="E251" i="1"/>
  <c r="D251" i="1"/>
  <c r="C251" i="1"/>
  <c r="AO248" i="1"/>
  <c r="AN248" i="1"/>
  <c r="AM248" i="1"/>
  <c r="AK248" i="1"/>
  <c r="AJ248" i="1"/>
  <c r="AI248" i="1"/>
  <c r="AG248" i="1"/>
  <c r="AF248" i="1"/>
  <c r="AE248" i="1"/>
  <c r="AC248" i="1"/>
  <c r="AB248" i="1"/>
  <c r="AA248" i="1"/>
  <c r="Y248" i="1"/>
  <c r="X248" i="1"/>
  <c r="W248" i="1"/>
  <c r="U248" i="1"/>
  <c r="T248" i="1"/>
  <c r="S248" i="1"/>
  <c r="Q248" i="1"/>
  <c r="P248" i="1"/>
  <c r="O248" i="1"/>
  <c r="C248" i="1"/>
  <c r="D248" i="1"/>
  <c r="E248" i="1"/>
  <c r="F248" i="1"/>
  <c r="G248" i="1"/>
  <c r="H248" i="1"/>
  <c r="K202" i="1"/>
  <c r="K255" i="1" s="1"/>
  <c r="K92" i="1"/>
  <c r="AP92" i="1" s="1"/>
  <c r="AP205" i="1"/>
  <c r="AP217" i="1" s="1"/>
  <c r="AP204" i="1"/>
  <c r="AP216" i="1" s="1"/>
  <c r="AP157" i="1"/>
  <c r="AP156" i="1"/>
  <c r="AP146" i="1"/>
  <c r="AP145" i="1"/>
  <c r="AP130" i="1"/>
  <c r="AP43" i="1"/>
  <c r="AP58" i="1" s="1"/>
  <c r="AP79" i="1" s="1"/>
  <c r="AP90" i="1" s="1"/>
  <c r="K205" i="1"/>
  <c r="K217" i="1" s="1"/>
  <c r="K204" i="1"/>
  <c r="K216" i="1" s="1"/>
  <c r="K178" i="1"/>
  <c r="K174" i="1"/>
  <c r="K168" i="1"/>
  <c r="K167" i="1"/>
  <c r="K161" i="1"/>
  <c r="K157" i="1"/>
  <c r="K156" i="1"/>
  <c r="K146" i="1"/>
  <c r="K145" i="1"/>
  <c r="K130" i="1"/>
  <c r="K116" i="1"/>
  <c r="K115" i="1"/>
  <c r="K112" i="1"/>
  <c r="K107" i="1"/>
  <c r="K102" i="1"/>
  <c r="K100" i="1"/>
  <c r="K97" i="1"/>
  <c r="K85" i="1"/>
  <c r="K84" i="1"/>
  <c r="K148" i="1" s="1"/>
  <c r="K59" i="1"/>
  <c r="K165" i="1" s="1"/>
  <c r="K56" i="1"/>
  <c r="K55" i="1"/>
  <c r="K52" i="1"/>
  <c r="K43" i="1"/>
  <c r="K58" i="1" s="1"/>
  <c r="K79" i="1" s="1"/>
  <c r="K90" i="1" s="1"/>
  <c r="K39" i="1"/>
  <c r="K35" i="1"/>
  <c r="K34" i="1"/>
  <c r="K33" i="1"/>
  <c r="K10" i="1"/>
  <c r="K81" i="1" s="1"/>
  <c r="K8" i="1"/>
  <c r="AO61" i="4"/>
  <c r="AO49" i="4"/>
  <c r="AO48" i="4" s="1"/>
  <c r="N540" i="6"/>
  <c r="D562" i="6" s="1"/>
  <c r="C569" i="6"/>
  <c r="C567" i="6"/>
  <c r="C576" i="6" s="1"/>
  <c r="E588" i="6"/>
  <c r="C588" i="6"/>
  <c r="G587" i="6"/>
  <c r="G586" i="6"/>
  <c r="G585" i="6"/>
  <c r="G584" i="6"/>
  <c r="G583" i="6"/>
  <c r="G582" i="6"/>
  <c r="B576" i="6"/>
  <c r="C559" i="6"/>
  <c r="C556" i="6"/>
  <c r="C558" i="6" s="1"/>
  <c r="AO92" i="1"/>
  <c r="AO51" i="1"/>
  <c r="AO205" i="1"/>
  <c r="AO217" i="1" s="1"/>
  <c r="AO204" i="1"/>
  <c r="AO216" i="1" s="1"/>
  <c r="AO178" i="1"/>
  <c r="AO238" i="1" s="1"/>
  <c r="AO157" i="1"/>
  <c r="AO156" i="1"/>
  <c r="AO151" i="1"/>
  <c r="AO210" i="1" s="1"/>
  <c r="AO146" i="1"/>
  <c r="AO145" i="1"/>
  <c r="AO130" i="1"/>
  <c r="AO116" i="1"/>
  <c r="AO115" i="1"/>
  <c r="AO112" i="1"/>
  <c r="AO107" i="1"/>
  <c r="AO97" i="1"/>
  <c r="AO56" i="1"/>
  <c r="AO43" i="1"/>
  <c r="AO58" i="1" s="1"/>
  <c r="AO79" i="1" s="1"/>
  <c r="AO90" i="1" s="1"/>
  <c r="AO39" i="1"/>
  <c r="AO35" i="1"/>
  <c r="AO34" i="1"/>
  <c r="AO33" i="1"/>
  <c r="AO10" i="1"/>
  <c r="AO101" i="1" s="1"/>
  <c r="AO8" i="1"/>
  <c r="N590" i="6"/>
  <c r="C619" i="6"/>
  <c r="C617" i="6"/>
  <c r="C626" i="6" s="1"/>
  <c r="AN36" i="4"/>
  <c r="AO36" i="4" s="1"/>
  <c r="AN35" i="4"/>
  <c r="AO35" i="4" s="1"/>
  <c r="AN34" i="4"/>
  <c r="AO34" i="4" s="1"/>
  <c r="AN33" i="4"/>
  <c r="AO33" i="4" s="1"/>
  <c r="AN32" i="4"/>
  <c r="AO32" i="4" s="1"/>
  <c r="AN12" i="4"/>
  <c r="AN10" i="4"/>
  <c r="AN9" i="4"/>
  <c r="AN92" i="1"/>
  <c r="AN73" i="1"/>
  <c r="AP73" i="1" s="1"/>
  <c r="AN68" i="1"/>
  <c r="AN174" i="1" s="1"/>
  <c r="AN234" i="1" s="1"/>
  <c r="AN65" i="1"/>
  <c r="AN171" i="1" s="1"/>
  <c r="AN231" i="1" s="1"/>
  <c r="AN62" i="1"/>
  <c r="AO62" i="1" s="1"/>
  <c r="AN61" i="1"/>
  <c r="AN167" i="1" s="1"/>
  <c r="AN227" i="1" s="1"/>
  <c r="AN54" i="1"/>
  <c r="AN55" i="1" s="1"/>
  <c r="AN61" i="4"/>
  <c r="AN49" i="4"/>
  <c r="AN11" i="4"/>
  <c r="AO11" i="4" s="1"/>
  <c r="AN205" i="1"/>
  <c r="AN217" i="1" s="1"/>
  <c r="AN204" i="1"/>
  <c r="AN216" i="1" s="1"/>
  <c r="AN157" i="1"/>
  <c r="AN156" i="1"/>
  <c r="AN151" i="1"/>
  <c r="AN210" i="1" s="1"/>
  <c r="AN146" i="1"/>
  <c r="AN145" i="1"/>
  <c r="AN130" i="1"/>
  <c r="AN116" i="1"/>
  <c r="AN115" i="1"/>
  <c r="AN112" i="1"/>
  <c r="AN107" i="1"/>
  <c r="AN97" i="1"/>
  <c r="AN43" i="1"/>
  <c r="AN58" i="1" s="1"/>
  <c r="AN79" i="1" s="1"/>
  <c r="AN90" i="1" s="1"/>
  <c r="AN39" i="1"/>
  <c r="AN35" i="1"/>
  <c r="AN34" i="1"/>
  <c r="AN33" i="1"/>
  <c r="AN10" i="1"/>
  <c r="AN101" i="1" s="1"/>
  <c r="AN8" i="1"/>
  <c r="E638" i="6"/>
  <c r="C638" i="6"/>
  <c r="G637" i="6"/>
  <c r="G636" i="6"/>
  <c r="G635" i="6"/>
  <c r="G634" i="6"/>
  <c r="G633" i="6"/>
  <c r="G632" i="6"/>
  <c r="B626" i="6"/>
  <c r="C609" i="6"/>
  <c r="C606" i="6"/>
  <c r="AL54" i="4"/>
  <c r="C40" i="6" l="1"/>
  <c r="D20" i="6"/>
  <c r="D9" i="6"/>
  <c r="D35" i="6"/>
  <c r="D38" i="6" s="1"/>
  <c r="D65" i="6"/>
  <c r="D12" i="6"/>
  <c r="D43" i="6"/>
  <c r="D13" i="6"/>
  <c r="D27" i="6"/>
  <c r="D45" i="6"/>
  <c r="D60" i="6"/>
  <c r="D16" i="6"/>
  <c r="D18" i="6"/>
  <c r="D29" i="6"/>
  <c r="D39" i="6"/>
  <c r="D54" i="6"/>
  <c r="D56" i="6" s="1"/>
  <c r="D61" i="6"/>
  <c r="D33" i="6"/>
  <c r="D47" i="6"/>
  <c r="C17" i="6"/>
  <c r="C19" i="6" s="1"/>
  <c r="C44" i="6"/>
  <c r="C50" i="6" s="1"/>
  <c r="E15" i="6"/>
  <c r="E17" i="6"/>
  <c r="AV37" i="4"/>
  <c r="AV42" i="4"/>
  <c r="AV41" i="4"/>
  <c r="AV25" i="4"/>
  <c r="AV38" i="4"/>
  <c r="AV24" i="4"/>
  <c r="AV13" i="4"/>
  <c r="AV45" i="4" s="1"/>
  <c r="AR24" i="4"/>
  <c r="AU28" i="4"/>
  <c r="AV253" i="1"/>
  <c r="AU175" i="1"/>
  <c r="AU235" i="1" s="1"/>
  <c r="AT10" i="1"/>
  <c r="AT101" i="1" s="1"/>
  <c r="M62" i="1"/>
  <c r="AV64" i="1"/>
  <c r="AV170" i="1" s="1"/>
  <c r="AV230" i="1" s="1"/>
  <c r="AV166" i="1"/>
  <c r="AV226" i="1" s="1"/>
  <c r="AV67" i="1"/>
  <c r="AV173" i="1" s="1"/>
  <c r="AV233" i="1" s="1"/>
  <c r="AV176" i="1"/>
  <c r="AV236" i="1" s="1"/>
  <c r="AP100" i="1"/>
  <c r="AP102" i="1"/>
  <c r="AU117" i="1"/>
  <c r="AV11" i="1"/>
  <c r="AT100" i="1"/>
  <c r="AU166" i="1"/>
  <c r="AU226" i="1" s="1"/>
  <c r="AV18" i="1"/>
  <c r="AV44" i="1" s="1"/>
  <c r="AV46" i="1" s="1"/>
  <c r="AV50" i="1" s="1"/>
  <c r="AV53" i="1"/>
  <c r="AV127" i="1"/>
  <c r="AV150" i="1"/>
  <c r="AV209" i="1" s="1"/>
  <c r="AV123" i="1"/>
  <c r="AV122" i="1"/>
  <c r="AV221" i="1"/>
  <c r="AV55" i="1"/>
  <c r="C105" i="6"/>
  <c r="C106" i="6" s="1"/>
  <c r="AV85" i="1"/>
  <c r="AU173" i="1"/>
  <c r="AU233" i="1" s="1"/>
  <c r="AQ101" i="1"/>
  <c r="AV59" i="1"/>
  <c r="AV101" i="1"/>
  <c r="AV159" i="1"/>
  <c r="AT102" i="1"/>
  <c r="L141" i="1"/>
  <c r="L197" i="1" s="1"/>
  <c r="C134" i="6"/>
  <c r="C135" i="6" s="1"/>
  <c r="AV52" i="1"/>
  <c r="D144" i="6"/>
  <c r="D132" i="6"/>
  <c r="D131" i="6"/>
  <c r="D136" i="6"/>
  <c r="D107" i="6"/>
  <c r="D105" i="6"/>
  <c r="C145" i="6"/>
  <c r="D143" i="6"/>
  <c r="D154" i="6"/>
  <c r="D153" i="6"/>
  <c r="D152" i="6"/>
  <c r="D151" i="6"/>
  <c r="D150" i="6"/>
  <c r="D149" i="6"/>
  <c r="D128" i="6"/>
  <c r="D124" i="6"/>
  <c r="D127" i="6" s="1"/>
  <c r="D122" i="6"/>
  <c r="D118" i="6"/>
  <c r="D116" i="6"/>
  <c r="D97" i="6"/>
  <c r="D102" i="6"/>
  <c r="D101" i="6"/>
  <c r="D98" i="6"/>
  <c r="AO10" i="4"/>
  <c r="AR25" i="4"/>
  <c r="AR27" i="4"/>
  <c r="AR26" i="4"/>
  <c r="L20" i="4"/>
  <c r="L28" i="4"/>
  <c r="AS35" i="4"/>
  <c r="AS34" i="4"/>
  <c r="AT34" i="4" s="1"/>
  <c r="AS33" i="4"/>
  <c r="AQ20" i="4"/>
  <c r="K20" i="4"/>
  <c r="AO12" i="4"/>
  <c r="AO44" i="4" s="1"/>
  <c r="AS12" i="4"/>
  <c r="AS10" i="4"/>
  <c r="AS9" i="4"/>
  <c r="AS36" i="4"/>
  <c r="AT36" i="4" s="1"/>
  <c r="AS11" i="4"/>
  <c r="AU45" i="4"/>
  <c r="AU38" i="4"/>
  <c r="AU20" i="4"/>
  <c r="AU19" i="4"/>
  <c r="AU18" i="4"/>
  <c r="AU17" i="4"/>
  <c r="AU14" i="4"/>
  <c r="AT32" i="4"/>
  <c r="AU234" i="1"/>
  <c r="AU238" i="1"/>
  <c r="AU236" i="1"/>
  <c r="AU230" i="1"/>
  <c r="AU63" i="1"/>
  <c r="AU66" i="1" s="1"/>
  <c r="AU165" i="1"/>
  <c r="AU225" i="1" s="1"/>
  <c r="AS45" i="1"/>
  <c r="AT45" i="1" s="1"/>
  <c r="AR178" i="1"/>
  <c r="AR238" i="1" s="1"/>
  <c r="AT73" i="1"/>
  <c r="AT178" i="1" s="1"/>
  <c r="AT238" i="1" s="1"/>
  <c r="J182" i="6"/>
  <c r="L201" i="1"/>
  <c r="L221" i="1" s="1"/>
  <c r="AU159" i="1"/>
  <c r="AU163" i="1" s="1"/>
  <c r="AT115" i="1"/>
  <c r="AT33" i="1"/>
  <c r="AT56" i="1"/>
  <c r="AU252" i="1"/>
  <c r="AU251" i="1"/>
  <c r="AU248" i="1"/>
  <c r="AU255" i="1"/>
  <c r="AU221" i="1"/>
  <c r="AU162" i="1"/>
  <c r="AU122" i="1"/>
  <c r="AU150" i="1"/>
  <c r="AU209" i="1" s="1"/>
  <c r="AU123" i="1"/>
  <c r="C139" i="6" s="1"/>
  <c r="AU127" i="1"/>
  <c r="AU53" i="1"/>
  <c r="AU18" i="1"/>
  <c r="AU11" i="1"/>
  <c r="M255" i="1"/>
  <c r="C225" i="6"/>
  <c r="D225" i="6" s="1"/>
  <c r="C196" i="6"/>
  <c r="D196" i="6" s="1"/>
  <c r="AT248" i="1"/>
  <c r="C232" i="6"/>
  <c r="C233" i="6" s="1"/>
  <c r="AT119" i="1"/>
  <c r="AU85" i="1"/>
  <c r="AT18" i="1"/>
  <c r="AU81" i="1"/>
  <c r="D240" i="6"/>
  <c r="C218" i="6"/>
  <c r="C222" i="6" s="1"/>
  <c r="D191" i="6"/>
  <c r="D205" i="6"/>
  <c r="D241" i="6"/>
  <c r="D207" i="6"/>
  <c r="D217" i="6"/>
  <c r="D220" i="6"/>
  <c r="D239" i="6"/>
  <c r="D211" i="6"/>
  <c r="D221" i="6"/>
  <c r="D186" i="6"/>
  <c r="D236" i="6"/>
  <c r="D187" i="6"/>
  <c r="D213" i="6"/>
  <c r="D216" i="6" s="1"/>
  <c r="D237" i="6"/>
  <c r="D190" i="6"/>
  <c r="D231" i="6"/>
  <c r="AT49" i="4"/>
  <c r="L14" i="4"/>
  <c r="L17" i="4"/>
  <c r="L18" i="4"/>
  <c r="L19" i="4"/>
  <c r="L45" i="4"/>
  <c r="M115" i="1"/>
  <c r="D325" i="6"/>
  <c r="D300" i="6"/>
  <c r="AT8" i="1"/>
  <c r="AT39" i="1"/>
  <c r="AT116" i="1"/>
  <c r="AT117" i="1" s="1"/>
  <c r="AT127" i="1" s="1"/>
  <c r="AS61" i="1"/>
  <c r="AT36" i="1"/>
  <c r="AT168" i="1"/>
  <c r="AT228" i="1" s="1"/>
  <c r="AT85" i="1"/>
  <c r="AT107" i="1"/>
  <c r="AT97" i="1"/>
  <c r="D276" i="6"/>
  <c r="L117" i="1"/>
  <c r="L123" i="1" s="1"/>
  <c r="AT34" i="1"/>
  <c r="AT81" i="1"/>
  <c r="AT147" i="1" s="1"/>
  <c r="AT206" i="1" s="1"/>
  <c r="AT112" i="1"/>
  <c r="AT251" i="1"/>
  <c r="AT253" i="1" s="1"/>
  <c r="AT35" i="1"/>
  <c r="AT159" i="1"/>
  <c r="AS51" i="1"/>
  <c r="C322" i="6"/>
  <c r="L41" i="1"/>
  <c r="L63" i="1"/>
  <c r="L66" i="1" s="1"/>
  <c r="L98" i="1"/>
  <c r="L148" i="1"/>
  <c r="J271" i="6"/>
  <c r="L53" i="1"/>
  <c r="L101" i="1"/>
  <c r="L138" i="1"/>
  <c r="L194" i="1" s="1"/>
  <c r="L159" i="1"/>
  <c r="L163" i="1" s="1"/>
  <c r="L186" i="1"/>
  <c r="L246" i="1" s="1"/>
  <c r="AS65" i="1"/>
  <c r="D327" i="6"/>
  <c r="C312" i="6"/>
  <c r="D312" i="6" s="1"/>
  <c r="L11" i="1"/>
  <c r="L87" i="1"/>
  <c r="L140" i="1" s="1"/>
  <c r="L196" i="1" s="1"/>
  <c r="L169" i="1"/>
  <c r="AS168" i="1"/>
  <c r="AS228" i="1" s="1"/>
  <c r="AS67" i="1"/>
  <c r="D329" i="6"/>
  <c r="D314" i="6"/>
  <c r="L18" i="1"/>
  <c r="L210" i="1"/>
  <c r="AS68" i="1"/>
  <c r="L162" i="1"/>
  <c r="C283" i="6"/>
  <c r="D283" i="6" s="1"/>
  <c r="D306" i="6"/>
  <c r="C307" i="6"/>
  <c r="C311" i="6" s="1"/>
  <c r="D285" i="6"/>
  <c r="D309" i="6"/>
  <c r="D310" i="6"/>
  <c r="D321" i="6"/>
  <c r="D320" i="6"/>
  <c r="D326" i="6"/>
  <c r="D275" i="6"/>
  <c r="D302" i="6"/>
  <c r="D305" i="6" s="1"/>
  <c r="D328" i="6"/>
  <c r="D279" i="6"/>
  <c r="D294" i="6"/>
  <c r="D330" i="6"/>
  <c r="D280" i="6"/>
  <c r="D296" i="6"/>
  <c r="M49" i="4"/>
  <c r="M48" i="4" s="1"/>
  <c r="M61" i="4"/>
  <c r="AS253" i="1"/>
  <c r="AS117" i="1"/>
  <c r="AS127" i="1" s="1"/>
  <c r="AR168" i="1"/>
  <c r="AR228" i="1" s="1"/>
  <c r="C379" i="6"/>
  <c r="D379" i="6" s="1"/>
  <c r="AS11" i="1"/>
  <c r="AS18" i="1"/>
  <c r="AS159" i="1"/>
  <c r="D388" i="6"/>
  <c r="K117" i="1"/>
  <c r="K150" i="1" s="1"/>
  <c r="K209" i="1" s="1"/>
  <c r="AQ252" i="1"/>
  <c r="C350" i="6"/>
  <c r="D350" i="6" s="1"/>
  <c r="AR69" i="1"/>
  <c r="AR70" i="1"/>
  <c r="AR55" i="1"/>
  <c r="J338" i="6"/>
  <c r="D398" i="6" s="1"/>
  <c r="C510" i="6"/>
  <c r="E478" i="6"/>
  <c r="C374" i="6"/>
  <c r="C378" i="6" s="1"/>
  <c r="D347" i="6"/>
  <c r="C389" i="6"/>
  <c r="D352" i="6"/>
  <c r="D367" i="6"/>
  <c r="D377" i="6"/>
  <c r="D393" i="6"/>
  <c r="D394" i="6"/>
  <c r="D361" i="6"/>
  <c r="D387" i="6"/>
  <c r="D395" i="6"/>
  <c r="D396" i="6"/>
  <c r="D363" i="6"/>
  <c r="D369" i="6"/>
  <c r="D372" i="6" s="1"/>
  <c r="D397" i="6"/>
  <c r="D342" i="6"/>
  <c r="D343" i="6"/>
  <c r="D346" i="6"/>
  <c r="D366" i="6"/>
  <c r="D376" i="6"/>
  <c r="AP36" i="4"/>
  <c r="AR41" i="4"/>
  <c r="AR42" i="4"/>
  <c r="AP61" i="4"/>
  <c r="AR43" i="4"/>
  <c r="AR37" i="4"/>
  <c r="AR38" i="4" s="1"/>
  <c r="AR13" i="4"/>
  <c r="AR44" i="4"/>
  <c r="AP49" i="4"/>
  <c r="AP10" i="4"/>
  <c r="AP12" i="4"/>
  <c r="AP34" i="4"/>
  <c r="AP35" i="4"/>
  <c r="AQ117" i="1"/>
  <c r="AQ122" i="1" s="1"/>
  <c r="AQ184" i="1" s="1"/>
  <c r="AQ244" i="1" s="1"/>
  <c r="AR53" i="1"/>
  <c r="AR161" i="1"/>
  <c r="AR221" i="1" s="1"/>
  <c r="AR60" i="1"/>
  <c r="AQ248" i="1"/>
  <c r="AR64" i="1"/>
  <c r="AR52" i="1"/>
  <c r="AR59" i="1"/>
  <c r="AR165" i="1" s="1"/>
  <c r="AR225" i="1" s="1"/>
  <c r="AQ255" i="1"/>
  <c r="AR253" i="1"/>
  <c r="AR173" i="1"/>
  <c r="AR233" i="1" s="1"/>
  <c r="AQ251" i="1"/>
  <c r="C448" i="6"/>
  <c r="M119" i="1"/>
  <c r="AQ151" i="1"/>
  <c r="AQ210" i="1" s="1"/>
  <c r="AR117" i="1"/>
  <c r="AR150" i="1" s="1"/>
  <c r="AR209" i="1" s="1"/>
  <c r="AR11" i="1"/>
  <c r="AR159" i="1"/>
  <c r="AR219" i="1" s="1"/>
  <c r="AR18" i="1"/>
  <c r="AQ238" i="1"/>
  <c r="N405" i="6"/>
  <c r="D469" i="6" s="1"/>
  <c r="C487" i="6"/>
  <c r="E487" i="6" s="1"/>
  <c r="AP54" i="1"/>
  <c r="K63" i="1"/>
  <c r="K66" i="1" s="1"/>
  <c r="K71" i="1" s="1"/>
  <c r="K72" i="1" s="1"/>
  <c r="N404" i="6"/>
  <c r="D457" i="6" s="1"/>
  <c r="AR56" i="1"/>
  <c r="AP62" i="1"/>
  <c r="AQ227" i="1"/>
  <c r="AQ173" i="1"/>
  <c r="AQ233" i="1" s="1"/>
  <c r="C485" i="6"/>
  <c r="C486" i="6" s="1"/>
  <c r="AQ230" i="1"/>
  <c r="C418" i="6"/>
  <c r="C420" i="6" s="1"/>
  <c r="C439" i="6"/>
  <c r="C459" i="6"/>
  <c r="AQ19" i="4"/>
  <c r="AQ14" i="4"/>
  <c r="AQ17" i="4"/>
  <c r="AQ18" i="4"/>
  <c r="AQ45" i="4"/>
  <c r="AP33" i="4"/>
  <c r="AP11" i="4"/>
  <c r="AP32" i="4"/>
  <c r="K17" i="4"/>
  <c r="K18" i="4"/>
  <c r="K45" i="4"/>
  <c r="K38" i="4"/>
  <c r="K14" i="4"/>
  <c r="K19" i="4"/>
  <c r="AQ221" i="1"/>
  <c r="AQ228" i="1"/>
  <c r="AQ235" i="1"/>
  <c r="AQ234" i="1"/>
  <c r="AQ236" i="1"/>
  <c r="AQ226" i="1"/>
  <c r="AP178" i="1"/>
  <c r="K170" i="1"/>
  <c r="AQ231" i="1"/>
  <c r="AQ159" i="1"/>
  <c r="AQ225" i="1"/>
  <c r="AQ169" i="1"/>
  <c r="AQ229" i="1" s="1"/>
  <c r="K252" i="1"/>
  <c r="AI253" i="1"/>
  <c r="K210" i="1"/>
  <c r="AQ18" i="1"/>
  <c r="D253" i="1"/>
  <c r="U253" i="1"/>
  <c r="AP255" i="1"/>
  <c r="K251" i="1"/>
  <c r="O253" i="1"/>
  <c r="AJ253" i="1"/>
  <c r="AQ63" i="1"/>
  <c r="AQ66" i="1" s="1"/>
  <c r="W253" i="1"/>
  <c r="AN178" i="1"/>
  <c r="AN238" i="1" s="1"/>
  <c r="E481" i="6"/>
  <c r="E482" i="6"/>
  <c r="AP119" i="1"/>
  <c r="AP248" i="1"/>
  <c r="AA253" i="1"/>
  <c r="AK253" i="1"/>
  <c r="H253" i="1"/>
  <c r="C253" i="1"/>
  <c r="AB253" i="1"/>
  <c r="AM253" i="1"/>
  <c r="AP252" i="1"/>
  <c r="AP253" i="1" s="1"/>
  <c r="AP115" i="1"/>
  <c r="S253" i="1"/>
  <c r="AC253" i="1"/>
  <c r="T253" i="1"/>
  <c r="AE253" i="1"/>
  <c r="AP51" i="1"/>
  <c r="AP107" i="1"/>
  <c r="K248" i="1"/>
  <c r="F253" i="1"/>
  <c r="E253" i="1"/>
  <c r="G253" i="1"/>
  <c r="P253" i="1"/>
  <c r="X253" i="1"/>
  <c r="AF253" i="1"/>
  <c r="AN253" i="1"/>
  <c r="Y253" i="1"/>
  <c r="AP116" i="1"/>
  <c r="AO253" i="1"/>
  <c r="K140" i="1"/>
  <c r="K196" i="1" s="1"/>
  <c r="Q253" i="1"/>
  <c r="AG253" i="1"/>
  <c r="K141" i="1"/>
  <c r="K197" i="1" s="1"/>
  <c r="AO9" i="4"/>
  <c r="AO42" i="4"/>
  <c r="AO43" i="4"/>
  <c r="AP97" i="1"/>
  <c r="AP10" i="1"/>
  <c r="AT11" i="1" s="1"/>
  <c r="AP34" i="1"/>
  <c r="AP35" i="1"/>
  <c r="AP112" i="1"/>
  <c r="AP33" i="1"/>
  <c r="AN168" i="1"/>
  <c r="AN228" i="1" s="1"/>
  <c r="AP39" i="1"/>
  <c r="K186" i="1"/>
  <c r="K138" i="1"/>
  <c r="K194" i="1" s="1"/>
  <c r="K169" i="1"/>
  <c r="K147" i="1"/>
  <c r="K41" i="1"/>
  <c r="K98" i="1"/>
  <c r="K53" i="1"/>
  <c r="K18" i="1"/>
  <c r="D549" i="6"/>
  <c r="K159" i="1"/>
  <c r="K163" i="1" s="1"/>
  <c r="D553" i="6"/>
  <c r="K101" i="1"/>
  <c r="D564" i="6"/>
  <c r="AO68" i="1"/>
  <c r="D557" i="6"/>
  <c r="AO61" i="1"/>
  <c r="F587" i="6"/>
  <c r="AO65" i="1"/>
  <c r="AO37" i="4"/>
  <c r="D559" i="6"/>
  <c r="G588" i="6"/>
  <c r="C561" i="6"/>
  <c r="C566" i="6" s="1"/>
  <c r="D576" i="6"/>
  <c r="C578" i="6"/>
  <c r="D551" i="6"/>
  <c r="D552" i="6"/>
  <c r="D558" i="6"/>
  <c r="D567" i="6"/>
  <c r="D582" i="6"/>
  <c r="D584" i="6"/>
  <c r="D586" i="6"/>
  <c r="F582" i="6"/>
  <c r="F584" i="6"/>
  <c r="F586" i="6"/>
  <c r="D554" i="6"/>
  <c r="D555" i="6"/>
  <c r="D560" i="6"/>
  <c r="D565" i="6"/>
  <c r="D546" i="6"/>
  <c r="D583" i="6"/>
  <c r="D585" i="6"/>
  <c r="D587" i="6"/>
  <c r="D547" i="6"/>
  <c r="D556" i="6"/>
  <c r="D577" i="6"/>
  <c r="F583" i="6"/>
  <c r="F585" i="6"/>
  <c r="AO117" i="1"/>
  <c r="AO150" i="1" s="1"/>
  <c r="AO209" i="1" s="1"/>
  <c r="AO168" i="1"/>
  <c r="AO228" i="1" s="1"/>
  <c r="AO53" i="1"/>
  <c r="AO18" i="1"/>
  <c r="AO55" i="1"/>
  <c r="AO159" i="1"/>
  <c r="AO59" i="1"/>
  <c r="AO161" i="1"/>
  <c r="G638" i="6"/>
  <c r="AN48" i="4"/>
  <c r="AN43" i="4"/>
  <c r="AN37" i="4"/>
  <c r="AN38" i="4" s="1"/>
  <c r="AN42" i="4"/>
  <c r="AN41" i="4"/>
  <c r="AN44" i="4"/>
  <c r="AN117" i="1"/>
  <c r="AN123" i="1" s="1"/>
  <c r="AN56" i="1"/>
  <c r="AN18" i="1"/>
  <c r="AN159" i="1"/>
  <c r="AN219" i="1" s="1"/>
  <c r="AN53" i="1"/>
  <c r="AN13" i="4"/>
  <c r="AN59" i="1"/>
  <c r="AN161" i="1"/>
  <c r="C628" i="6"/>
  <c r="C608" i="6"/>
  <c r="C661" i="6"/>
  <c r="C671" i="6"/>
  <c r="C669" i="6"/>
  <c r="C678" i="6" s="1"/>
  <c r="N642" i="6"/>
  <c r="F688" i="6" s="1"/>
  <c r="E690" i="6"/>
  <c r="C690" i="6"/>
  <c r="G689" i="6"/>
  <c r="G688" i="6"/>
  <c r="G687" i="6"/>
  <c r="G686" i="6"/>
  <c r="G685" i="6"/>
  <c r="G684" i="6"/>
  <c r="B678" i="6"/>
  <c r="C658" i="6"/>
  <c r="C660" i="6" s="1"/>
  <c r="AM60" i="1"/>
  <c r="AM166" i="1" s="1"/>
  <c r="N473" i="6"/>
  <c r="AM92" i="1"/>
  <c r="AM116" i="1"/>
  <c r="AM115" i="1"/>
  <c r="AM112" i="1"/>
  <c r="AM107" i="1"/>
  <c r="AM97" i="1"/>
  <c r="AM70" i="1"/>
  <c r="AM176" i="1" s="1"/>
  <c r="AM69" i="1"/>
  <c r="AN69" i="1" s="1"/>
  <c r="AM67" i="1"/>
  <c r="AM173" i="1" s="1"/>
  <c r="AM64" i="1"/>
  <c r="AM205" i="1"/>
  <c r="AM217" i="1" s="1"/>
  <c r="AM204" i="1"/>
  <c r="AM216" i="1" s="1"/>
  <c r="AM178" i="1"/>
  <c r="AM174" i="1"/>
  <c r="AM171" i="1"/>
  <c r="AM168" i="1"/>
  <c r="AM167" i="1"/>
  <c r="AM161" i="1"/>
  <c r="AQ162" i="1" s="1"/>
  <c r="AM157" i="1"/>
  <c r="AM156" i="1"/>
  <c r="AM151" i="1"/>
  <c r="AM210" i="1" s="1"/>
  <c r="AM146" i="1"/>
  <c r="AM145" i="1"/>
  <c r="AM130" i="1"/>
  <c r="AM59" i="1"/>
  <c r="AM165" i="1" s="1"/>
  <c r="AM56" i="1"/>
  <c r="AM55" i="1"/>
  <c r="AM52" i="1"/>
  <c r="AM43" i="1"/>
  <c r="AM58" i="1" s="1"/>
  <c r="AM79" i="1" s="1"/>
  <c r="AM90" i="1" s="1"/>
  <c r="AM39" i="1"/>
  <c r="AM35" i="1"/>
  <c r="AM34" i="1"/>
  <c r="AM33" i="1"/>
  <c r="AM10" i="1"/>
  <c r="AM8" i="1"/>
  <c r="AM61" i="4"/>
  <c r="AM49" i="4"/>
  <c r="AM48" i="4" s="1"/>
  <c r="AM44" i="4"/>
  <c r="AM43" i="4"/>
  <c r="AM42" i="4"/>
  <c r="AM41" i="4"/>
  <c r="AM37" i="4"/>
  <c r="AM38" i="4" s="1"/>
  <c r="AM13" i="4"/>
  <c r="N694" i="6"/>
  <c r="AD36" i="4"/>
  <c r="J61" i="4"/>
  <c r="J49" i="4"/>
  <c r="J44" i="4"/>
  <c r="J43" i="4"/>
  <c r="J42" i="4"/>
  <c r="J41" i="4"/>
  <c r="J37" i="4"/>
  <c r="J38" i="4" s="1"/>
  <c r="J13" i="4"/>
  <c r="AL68" i="4"/>
  <c r="AL67" i="4"/>
  <c r="AL66" i="4"/>
  <c r="AL63" i="4"/>
  <c r="AL62" i="4"/>
  <c r="AL59" i="4"/>
  <c r="AL52" i="4"/>
  <c r="AL50" i="4"/>
  <c r="J202" i="1"/>
  <c r="J92" i="1"/>
  <c r="AL92" i="1" s="1"/>
  <c r="J176" i="1"/>
  <c r="J236" i="1" s="1"/>
  <c r="J69" i="1"/>
  <c r="J175" i="1" s="1"/>
  <c r="J235" i="1" s="1"/>
  <c r="J67" i="1"/>
  <c r="J173" i="1" s="1"/>
  <c r="J233" i="1" s="1"/>
  <c r="J65" i="1"/>
  <c r="J171" i="1" s="1"/>
  <c r="J231" i="1" s="1"/>
  <c r="J64" i="1"/>
  <c r="J170" i="1" s="1"/>
  <c r="J230" i="1" s="1"/>
  <c r="J60" i="1"/>
  <c r="J166" i="1" s="1"/>
  <c r="J226" i="1" s="1"/>
  <c r="M205" i="1"/>
  <c r="M217" i="1" s="1"/>
  <c r="M157" i="1"/>
  <c r="M146" i="1"/>
  <c r="M130" i="1"/>
  <c r="J205" i="1"/>
  <c r="J217" i="1" s="1"/>
  <c r="J204" i="1"/>
  <c r="J216" i="1" s="1"/>
  <c r="J178" i="1"/>
  <c r="J238" i="1" s="1"/>
  <c r="J174" i="1"/>
  <c r="J234" i="1" s="1"/>
  <c r="J168" i="1"/>
  <c r="J228" i="1" s="1"/>
  <c r="J167" i="1"/>
  <c r="J227" i="1" s="1"/>
  <c r="J157" i="1"/>
  <c r="J156" i="1"/>
  <c r="J151" i="1"/>
  <c r="J146" i="1"/>
  <c r="J145" i="1"/>
  <c r="J130" i="1"/>
  <c r="J116" i="1"/>
  <c r="AL116" i="1" s="1"/>
  <c r="J115" i="1"/>
  <c r="J112" i="1"/>
  <c r="J107" i="1"/>
  <c r="AL107" i="1" s="1"/>
  <c r="J102" i="1"/>
  <c r="J100" i="1"/>
  <c r="J97" i="1"/>
  <c r="J85" i="1"/>
  <c r="J56" i="1"/>
  <c r="J161" i="1"/>
  <c r="K162" i="1" s="1"/>
  <c r="J43" i="1"/>
  <c r="J58" i="1" s="1"/>
  <c r="J79" i="1" s="1"/>
  <c r="J90" i="1" s="1"/>
  <c r="J39" i="1"/>
  <c r="J35" i="1"/>
  <c r="J34" i="1"/>
  <c r="J33" i="1"/>
  <c r="J10" i="1"/>
  <c r="J81" i="1" s="1"/>
  <c r="J8" i="1"/>
  <c r="AL205" i="1"/>
  <c r="AL217" i="1" s="1"/>
  <c r="AL204" i="1"/>
  <c r="AL216" i="1" s="1"/>
  <c r="AL201" i="1"/>
  <c r="AL157" i="1"/>
  <c r="AL156" i="1"/>
  <c r="AL146" i="1"/>
  <c r="AL145" i="1"/>
  <c r="AL130" i="1"/>
  <c r="AL126" i="1"/>
  <c r="AL255" i="1" s="1"/>
  <c r="AL125" i="1"/>
  <c r="AL248" i="1" s="1"/>
  <c r="AL119" i="1"/>
  <c r="AL151" i="1" s="1"/>
  <c r="AL210" i="1" s="1"/>
  <c r="AL111" i="1"/>
  <c r="AL252" i="1" s="1"/>
  <c r="AL110" i="1"/>
  <c r="AL251" i="1" s="1"/>
  <c r="AL106" i="1"/>
  <c r="AL105" i="1"/>
  <c r="AL96" i="1"/>
  <c r="AL95" i="1"/>
  <c r="AL94" i="1"/>
  <c r="AL93" i="1"/>
  <c r="AL45" i="1"/>
  <c r="AL43" i="1"/>
  <c r="AL58" i="1" s="1"/>
  <c r="AL79" i="1" s="1"/>
  <c r="AL90" i="1" s="1"/>
  <c r="AL29" i="1"/>
  <c r="AL28" i="1"/>
  <c r="AL24" i="1"/>
  <c r="AL22" i="1"/>
  <c r="AL20" i="1"/>
  <c r="AL17" i="1"/>
  <c r="AL16" i="1"/>
  <c r="AL15" i="1"/>
  <c r="AL14" i="1"/>
  <c r="AL13" i="1"/>
  <c r="AL9" i="1"/>
  <c r="AL7" i="1"/>
  <c r="E742" i="6"/>
  <c r="C742" i="6"/>
  <c r="G741" i="6"/>
  <c r="G740" i="6"/>
  <c r="G739" i="6"/>
  <c r="G738" i="6"/>
  <c r="G737" i="6"/>
  <c r="G736" i="6"/>
  <c r="B730" i="6"/>
  <c r="C710" i="6"/>
  <c r="C712" i="6" s="1"/>
  <c r="C715" i="6" s="1"/>
  <c r="AK61" i="4"/>
  <c r="AK49" i="4"/>
  <c r="AK48" i="4" s="1"/>
  <c r="C774" i="6"/>
  <c r="C772" i="6"/>
  <c r="C781" i="6" s="1"/>
  <c r="C765" i="6"/>
  <c r="N745" i="6"/>
  <c r="D758" i="6" s="1"/>
  <c r="E793" i="6"/>
  <c r="C793" i="6"/>
  <c r="G792" i="6"/>
  <c r="G791" i="6"/>
  <c r="G790" i="6"/>
  <c r="G789" i="6"/>
  <c r="G788" i="6"/>
  <c r="G787" i="6"/>
  <c r="B781" i="6"/>
  <c r="C761" i="6"/>
  <c r="C763" i="6" s="1"/>
  <c r="AK92" i="1"/>
  <c r="AK205" i="1"/>
  <c r="AK217" i="1" s="1"/>
  <c r="AK204" i="1"/>
  <c r="AK216" i="1" s="1"/>
  <c r="AK157" i="1"/>
  <c r="AK156" i="1"/>
  <c r="AK151" i="1"/>
  <c r="AK210" i="1" s="1"/>
  <c r="AK146" i="1"/>
  <c r="AK145" i="1"/>
  <c r="AK130" i="1"/>
  <c r="AK116" i="1"/>
  <c r="AK115" i="1"/>
  <c r="AK112" i="1"/>
  <c r="AK107" i="1"/>
  <c r="AK102" i="1"/>
  <c r="AK100" i="1"/>
  <c r="AK97" i="1"/>
  <c r="AK56" i="1"/>
  <c r="AK43" i="1"/>
  <c r="AK58" i="1" s="1"/>
  <c r="AK79" i="1" s="1"/>
  <c r="AK90" i="1" s="1"/>
  <c r="AK39" i="1"/>
  <c r="AK35" i="1"/>
  <c r="AK34" i="1"/>
  <c r="AK33" i="1"/>
  <c r="AK10" i="1"/>
  <c r="AO11" i="1" s="1"/>
  <c r="AK8" i="1"/>
  <c r="N796" i="6"/>
  <c r="D820" i="6" s="1"/>
  <c r="C825" i="6"/>
  <c r="C823" i="6"/>
  <c r="C832" i="6" s="1"/>
  <c r="N797" i="6"/>
  <c r="E844" i="6"/>
  <c r="C844" i="6"/>
  <c r="G843" i="6"/>
  <c r="G842" i="6"/>
  <c r="G841" i="6"/>
  <c r="G840" i="6"/>
  <c r="G839" i="6"/>
  <c r="G838" i="6"/>
  <c r="B832" i="6"/>
  <c r="C812" i="6"/>
  <c r="C814" i="6" s="1"/>
  <c r="N848" i="6"/>
  <c r="AF36" i="4"/>
  <c r="AF35" i="4"/>
  <c r="AG35" i="4" s="1"/>
  <c r="AF33" i="4"/>
  <c r="AG33" i="4" s="1"/>
  <c r="AJ36" i="4"/>
  <c r="AK36" i="4" s="1"/>
  <c r="AJ35" i="4"/>
  <c r="AK35" i="4" s="1"/>
  <c r="AJ34" i="4"/>
  <c r="AK34" i="4" s="1"/>
  <c r="AJ33" i="4"/>
  <c r="AK33" i="4" s="1"/>
  <c r="AJ32" i="4"/>
  <c r="AK32" i="4" s="1"/>
  <c r="AF12" i="4"/>
  <c r="AF10" i="4"/>
  <c r="AJ12" i="4"/>
  <c r="AN27" i="4" s="1"/>
  <c r="AJ10" i="4"/>
  <c r="AJ9" i="4"/>
  <c r="AJ61" i="4"/>
  <c r="AJ54" i="4"/>
  <c r="AJ49" i="4"/>
  <c r="AJ11" i="4"/>
  <c r="AJ92" i="1"/>
  <c r="AJ73" i="1"/>
  <c r="AK178" i="1" s="1"/>
  <c r="AK238" i="1" s="1"/>
  <c r="AF61" i="1"/>
  <c r="AE60" i="1"/>
  <c r="AF60" i="1" s="1"/>
  <c r="AG60" i="1" s="1"/>
  <c r="AJ68" i="1"/>
  <c r="AK68" i="1" s="1"/>
  <c r="AJ65" i="1"/>
  <c r="AK65" i="1" s="1"/>
  <c r="AJ62" i="1"/>
  <c r="AJ61" i="1"/>
  <c r="AK61" i="1" s="1"/>
  <c r="AF54" i="1"/>
  <c r="D15" i="6" l="1"/>
  <c r="E44" i="6"/>
  <c r="D34" i="6"/>
  <c r="D36" i="6" s="1"/>
  <c r="D40" i="6" s="1"/>
  <c r="D44" i="6" s="1"/>
  <c r="F15" i="6"/>
  <c r="D17" i="6"/>
  <c r="D66" i="6"/>
  <c r="C46" i="6"/>
  <c r="E46" i="6" s="1"/>
  <c r="AS37" i="4"/>
  <c r="AT33" i="4"/>
  <c r="M37" i="4" s="1"/>
  <c r="AT35" i="4"/>
  <c r="AV28" i="4"/>
  <c r="AV18" i="4"/>
  <c r="AV14" i="4"/>
  <c r="AV19" i="4"/>
  <c r="AV20" i="4"/>
  <c r="AV17" i="4"/>
  <c r="D123" i="6"/>
  <c r="D125" i="6" s="1"/>
  <c r="D129" i="6" s="1"/>
  <c r="D133" i="6" s="1"/>
  <c r="D135" i="6" s="1"/>
  <c r="AV21" i="1"/>
  <c r="AV38" i="1" s="1"/>
  <c r="L229" i="1"/>
  <c r="D145" i="6"/>
  <c r="M45" i="1"/>
  <c r="C110" i="6"/>
  <c r="AU219" i="1"/>
  <c r="AV81" i="1"/>
  <c r="AV147" i="1" s="1"/>
  <c r="AV206" i="1" s="1"/>
  <c r="D232" i="6"/>
  <c r="D233" i="6" s="1"/>
  <c r="AU169" i="1"/>
  <c r="AU229" i="1" s="1"/>
  <c r="D134" i="6"/>
  <c r="D155" i="6"/>
  <c r="AU253" i="1"/>
  <c r="AV48" i="1"/>
  <c r="AV19" i="1"/>
  <c r="AV82" i="1"/>
  <c r="AV36" i="1"/>
  <c r="AQ11" i="1"/>
  <c r="AM101" i="1"/>
  <c r="AV143" i="1"/>
  <c r="AV199" i="1" s="1"/>
  <c r="AV184" i="1"/>
  <c r="AV244" i="1" s="1"/>
  <c r="AV152" i="1"/>
  <c r="AV211" i="1" s="1"/>
  <c r="AV160" i="1"/>
  <c r="AV219" i="1"/>
  <c r="AV220" i="1" s="1"/>
  <c r="AV183" i="1"/>
  <c r="AV243" i="1" s="1"/>
  <c r="AV37" i="1"/>
  <c r="AV165" i="1"/>
  <c r="AV63" i="1"/>
  <c r="AV66" i="1" s="1"/>
  <c r="AV163" i="1"/>
  <c r="AV222" i="1"/>
  <c r="L150" i="1"/>
  <c r="AV162" i="1"/>
  <c r="AP101" i="1"/>
  <c r="C137" i="6"/>
  <c r="C108" i="6"/>
  <c r="D104" i="6"/>
  <c r="C512" i="6"/>
  <c r="G539" i="6" s="1"/>
  <c r="C515" i="6"/>
  <c r="AR28" i="4"/>
  <c r="AT12" i="4"/>
  <c r="AT27" i="4" s="1"/>
  <c r="AS44" i="4"/>
  <c r="AS27" i="4"/>
  <c r="AT10" i="4"/>
  <c r="AT25" i="4" s="1"/>
  <c r="AS42" i="4"/>
  <c r="AS25" i="4"/>
  <c r="AT9" i="4"/>
  <c r="AS41" i="4"/>
  <c r="AS13" i="4"/>
  <c r="AS24" i="4"/>
  <c r="AT11" i="4"/>
  <c r="AT26" i="4" s="1"/>
  <c r="AS43" i="4"/>
  <c r="AS26" i="4"/>
  <c r="AN14" i="4"/>
  <c r="AQ28" i="4"/>
  <c r="K28" i="4"/>
  <c r="AG12" i="4"/>
  <c r="AG10" i="4"/>
  <c r="AK12" i="4"/>
  <c r="AJ27" i="4"/>
  <c r="AK10" i="4"/>
  <c r="AN25" i="4"/>
  <c r="AJ25" i="4"/>
  <c r="AK9" i="4"/>
  <c r="AN24" i="4"/>
  <c r="AK11" i="4"/>
  <c r="AN26" i="4"/>
  <c r="AT42" i="4"/>
  <c r="AU21" i="4"/>
  <c r="L234" i="1"/>
  <c r="L233" i="1"/>
  <c r="L236" i="1"/>
  <c r="L238" i="1"/>
  <c r="L225" i="1"/>
  <c r="L230" i="1"/>
  <c r="L228" i="1"/>
  <c r="L231" i="1"/>
  <c r="L235" i="1"/>
  <c r="L206" i="1"/>
  <c r="L226" i="1"/>
  <c r="L227" i="1"/>
  <c r="AT44" i="1"/>
  <c r="AT46" i="1" s="1"/>
  <c r="AT48" i="1" s="1"/>
  <c r="AT21" i="1"/>
  <c r="AT19" i="1"/>
  <c r="AQ219" i="1"/>
  <c r="AU220" i="1" s="1"/>
  <c r="AU160" i="1"/>
  <c r="AU172" i="1"/>
  <c r="AU232" i="1" s="1"/>
  <c r="AU71" i="1"/>
  <c r="AU72" i="1" s="1"/>
  <c r="M73" i="1" s="1"/>
  <c r="AU222" i="1"/>
  <c r="AU223" i="1"/>
  <c r="AU143" i="1"/>
  <c r="AU199" i="1" s="1"/>
  <c r="AU152" i="1"/>
  <c r="AU211" i="1" s="1"/>
  <c r="AU184" i="1"/>
  <c r="AU244" i="1" s="1"/>
  <c r="AU183" i="1"/>
  <c r="AU243" i="1" s="1"/>
  <c r="AU19" i="1"/>
  <c r="AU21" i="1"/>
  <c r="AU36" i="1"/>
  <c r="AU44" i="1"/>
  <c r="AU46" i="1" s="1"/>
  <c r="C194" i="6"/>
  <c r="C223" i="6"/>
  <c r="D223" i="6" s="1"/>
  <c r="AT151" i="1"/>
  <c r="AT210" i="1" s="1"/>
  <c r="AU147" i="1"/>
  <c r="AU206" i="1" s="1"/>
  <c r="AU41" i="1"/>
  <c r="AU98" i="1"/>
  <c r="M116" i="1"/>
  <c r="M252" i="1"/>
  <c r="AT61" i="1"/>
  <c r="M61" i="1" s="1"/>
  <c r="AS161" i="1"/>
  <c r="AS162" i="1" s="1"/>
  <c r="AT51" i="1"/>
  <c r="M51" i="1" s="1"/>
  <c r="AS171" i="1"/>
  <c r="AS231" i="1" s="1"/>
  <c r="AT65" i="1"/>
  <c r="M65" i="1" s="1"/>
  <c r="AT67" i="1"/>
  <c r="M67" i="1" s="1"/>
  <c r="AT68" i="1"/>
  <c r="M68" i="1" s="1"/>
  <c r="AS123" i="1"/>
  <c r="AS183" i="1" s="1"/>
  <c r="AS243" i="1" s="1"/>
  <c r="AS150" i="1"/>
  <c r="AS209" i="1" s="1"/>
  <c r="AS122" i="1"/>
  <c r="AS69" i="1"/>
  <c r="AS70" i="1"/>
  <c r="AR36" i="1"/>
  <c r="AU82" i="1"/>
  <c r="D212" i="6"/>
  <c r="D214" i="6" s="1"/>
  <c r="D218" i="6" s="1"/>
  <c r="D222" i="6" s="1"/>
  <c r="D193" i="6"/>
  <c r="D242" i="6"/>
  <c r="AT37" i="4"/>
  <c r="L21" i="4"/>
  <c r="AT122" i="1"/>
  <c r="L127" i="1"/>
  <c r="L122" i="1"/>
  <c r="AT150" i="1"/>
  <c r="AT209" i="1" s="1"/>
  <c r="AT123" i="1"/>
  <c r="AS53" i="1"/>
  <c r="AS167" i="1"/>
  <c r="AS227" i="1" s="1"/>
  <c r="AQ253" i="1"/>
  <c r="AS59" i="1"/>
  <c r="AS55" i="1"/>
  <c r="C284" i="6"/>
  <c r="C286" i="6" s="1"/>
  <c r="AT82" i="1"/>
  <c r="AT98" i="1"/>
  <c r="AT41" i="1"/>
  <c r="AS52" i="1"/>
  <c r="AS174" i="1"/>
  <c r="AS234" i="1" s="1"/>
  <c r="AT219" i="1"/>
  <c r="L149" i="1"/>
  <c r="L207" i="1"/>
  <c r="L266" i="1"/>
  <c r="L172" i="1"/>
  <c r="L232" i="1" s="1"/>
  <c r="L88" i="1"/>
  <c r="L71" i="1"/>
  <c r="L72" i="1" s="1"/>
  <c r="L136" i="1"/>
  <c r="L183" i="1"/>
  <c r="L243" i="1" s="1"/>
  <c r="L133" i="1"/>
  <c r="L189" i="1" s="1"/>
  <c r="AP56" i="1"/>
  <c r="L255" i="1"/>
  <c r="L252" i="1"/>
  <c r="L251" i="1"/>
  <c r="L248" i="1"/>
  <c r="L263" i="1" s="1"/>
  <c r="L160" i="1"/>
  <c r="L219" i="1"/>
  <c r="L209" i="1"/>
  <c r="L82" i="1"/>
  <c r="L36" i="1"/>
  <c r="L21" i="1"/>
  <c r="L19" i="1"/>
  <c r="L44" i="1"/>
  <c r="L46" i="1" s="1"/>
  <c r="AS60" i="1"/>
  <c r="K122" i="1"/>
  <c r="K127" i="1"/>
  <c r="AS64" i="1"/>
  <c r="AS173" i="1"/>
  <c r="AS233" i="1" s="1"/>
  <c r="C313" i="6"/>
  <c r="C315" i="6" s="1"/>
  <c r="D282" i="6"/>
  <c r="D284" i="6" s="1"/>
  <c r="D331" i="6"/>
  <c r="D322" i="6"/>
  <c r="D301" i="6"/>
  <c r="D303" i="6" s="1"/>
  <c r="D307" i="6" s="1"/>
  <c r="D311" i="6" s="1"/>
  <c r="AS38" i="4"/>
  <c r="AR175" i="1"/>
  <c r="AR235" i="1" s="1"/>
  <c r="AQ150" i="1"/>
  <c r="AQ209" i="1" s="1"/>
  <c r="AR170" i="1"/>
  <c r="AR230" i="1" s="1"/>
  <c r="AS36" i="1"/>
  <c r="AS21" i="1"/>
  <c r="AS19" i="1"/>
  <c r="AS44" i="1"/>
  <c r="AS46" i="1" s="1"/>
  <c r="AV83" i="1" s="1"/>
  <c r="AR176" i="1"/>
  <c r="AR236" i="1" s="1"/>
  <c r="AQ123" i="1"/>
  <c r="C422" i="6" s="1"/>
  <c r="K123" i="1"/>
  <c r="K183" i="1" s="1"/>
  <c r="K243" i="1" s="1"/>
  <c r="AS84" i="1"/>
  <c r="AQ127" i="1"/>
  <c r="AR85" i="1"/>
  <c r="AS85" i="1"/>
  <c r="AS160" i="1"/>
  <c r="AS219" i="1"/>
  <c r="AP159" i="1"/>
  <c r="AT160" i="1" s="1"/>
  <c r="AS81" i="1"/>
  <c r="C351" i="6"/>
  <c r="C353" i="6" s="1"/>
  <c r="AQ268" i="1"/>
  <c r="D368" i="6"/>
  <c r="D370" i="6" s="1"/>
  <c r="D374" i="6" s="1"/>
  <c r="D378" i="6" s="1"/>
  <c r="D399" i="6"/>
  <c r="D389" i="6"/>
  <c r="C380" i="6"/>
  <c r="D349" i="6"/>
  <c r="AP9" i="4"/>
  <c r="AP37" i="4"/>
  <c r="AP43" i="4"/>
  <c r="AR18" i="4"/>
  <c r="AR14" i="4"/>
  <c r="AO13" i="4"/>
  <c r="AR45" i="4"/>
  <c r="AR20" i="4"/>
  <c r="AR19" i="4"/>
  <c r="AP42" i="4"/>
  <c r="AR17" i="4"/>
  <c r="AR127" i="1"/>
  <c r="AO171" i="1"/>
  <c r="AO231" i="1" s="1"/>
  <c r="AR162" i="1"/>
  <c r="AP168" i="1"/>
  <c r="AP228" i="1" s="1"/>
  <c r="AR223" i="1"/>
  <c r="E485" i="6"/>
  <c r="AQ85" i="1"/>
  <c r="AR84" i="1"/>
  <c r="M251" i="1"/>
  <c r="AR122" i="1"/>
  <c r="AR184" i="1" s="1"/>
  <c r="AR244" i="1" s="1"/>
  <c r="AR123" i="1"/>
  <c r="C384" i="6" s="1"/>
  <c r="AR44" i="1"/>
  <c r="AR46" i="1" s="1"/>
  <c r="AV47" i="1" s="1"/>
  <c r="AR19" i="1"/>
  <c r="AR220" i="1"/>
  <c r="AR21" i="1"/>
  <c r="AR37" i="1" s="1"/>
  <c r="AR163" i="1"/>
  <c r="AP68" i="1"/>
  <c r="AQ163" i="1"/>
  <c r="AP65" i="1"/>
  <c r="AR81" i="1"/>
  <c r="AO44" i="1"/>
  <c r="AO46" i="1" s="1"/>
  <c r="AO50" i="1" s="1"/>
  <c r="AQ81" i="1"/>
  <c r="AQ147" i="1" s="1"/>
  <c r="AQ206" i="1" s="1"/>
  <c r="AR160" i="1"/>
  <c r="D466" i="6"/>
  <c r="D446" i="6"/>
  <c r="D436" i="6"/>
  <c r="E409" i="6"/>
  <c r="D432" i="6"/>
  <c r="E410" i="6"/>
  <c r="D465" i="6"/>
  <c r="D445" i="6"/>
  <c r="D435" i="6"/>
  <c r="D430" i="6"/>
  <c r="D464" i="6"/>
  <c r="D443" i="6"/>
  <c r="D434" i="6"/>
  <c r="D440" i="6"/>
  <c r="D463" i="6"/>
  <c r="D441" i="6"/>
  <c r="D433" i="6"/>
  <c r="E413" i="6"/>
  <c r="D468" i="6"/>
  <c r="D438" i="6"/>
  <c r="D428" i="6"/>
  <c r="E414" i="6"/>
  <c r="D467" i="6"/>
  <c r="D448" i="6"/>
  <c r="D427" i="6"/>
  <c r="E419" i="6"/>
  <c r="D458" i="6"/>
  <c r="D459" i="6" s="1"/>
  <c r="E417" i="6"/>
  <c r="K253" i="1"/>
  <c r="D439" i="6"/>
  <c r="AR166" i="1"/>
  <c r="AR63" i="1"/>
  <c r="AR66" i="1" s="1"/>
  <c r="AP85" i="1"/>
  <c r="M248" i="1"/>
  <c r="D437" i="6"/>
  <c r="AP61" i="1"/>
  <c r="C442" i="6"/>
  <c r="C447" i="6" s="1"/>
  <c r="AQ21" i="4"/>
  <c r="AO41" i="4"/>
  <c r="K21" i="4"/>
  <c r="AQ143" i="1"/>
  <c r="AQ199" i="1" s="1"/>
  <c r="AQ152" i="1"/>
  <c r="AQ211" i="1" s="1"/>
  <c r="K88" i="1"/>
  <c r="K74" i="1"/>
  <c r="C516" i="6"/>
  <c r="C527" i="6" s="1"/>
  <c r="AQ84" i="1"/>
  <c r="AQ36" i="1"/>
  <c r="AQ21" i="1"/>
  <c r="AQ19" i="1"/>
  <c r="AQ44" i="1"/>
  <c r="AQ46" i="1" s="1"/>
  <c r="AP18" i="1"/>
  <c r="AR82" i="1" s="1"/>
  <c r="AQ71" i="1"/>
  <c r="AQ72" i="1" s="1"/>
  <c r="AQ172" i="1"/>
  <c r="AQ232" i="1" s="1"/>
  <c r="E484" i="6"/>
  <c r="AP151" i="1"/>
  <c r="AP210" i="1" s="1"/>
  <c r="C488" i="6"/>
  <c r="AL253" i="1"/>
  <c r="J251" i="1"/>
  <c r="J252" i="1"/>
  <c r="J255" i="1"/>
  <c r="J248" i="1"/>
  <c r="C563" i="6"/>
  <c r="G589" i="6" s="1"/>
  <c r="AP44" i="4"/>
  <c r="AP81" i="1"/>
  <c r="AP98" i="1" s="1"/>
  <c r="AO174" i="1"/>
  <c r="AO234" i="1" s="1"/>
  <c r="K149" i="1"/>
  <c r="AP238" i="1"/>
  <c r="K201" i="1"/>
  <c r="D662" i="6"/>
  <c r="AO167" i="1"/>
  <c r="AO227" i="1" s="1"/>
  <c r="AM238" i="1"/>
  <c r="AM226" i="1"/>
  <c r="M10" i="1"/>
  <c r="AP8" i="1"/>
  <c r="K19" i="1"/>
  <c r="K82" i="1"/>
  <c r="K36" i="1"/>
  <c r="K21" i="1"/>
  <c r="K44" i="1"/>
  <c r="K46" i="1" s="1"/>
  <c r="K172" i="1"/>
  <c r="AM236" i="1"/>
  <c r="K11" i="1"/>
  <c r="H587" i="6"/>
  <c r="J117" i="1"/>
  <c r="J127" i="1" s="1"/>
  <c r="H585" i="6"/>
  <c r="AO69" i="1"/>
  <c r="N541" i="6"/>
  <c r="AO38" i="4"/>
  <c r="D561" i="6"/>
  <c r="D563" i="6" s="1"/>
  <c r="H584" i="6"/>
  <c r="H583" i="6"/>
  <c r="F588" i="6"/>
  <c r="F686" i="6"/>
  <c r="H586" i="6"/>
  <c r="D578" i="6"/>
  <c r="H582" i="6"/>
  <c r="D588" i="6"/>
  <c r="D655" i="6"/>
  <c r="C568" i="6"/>
  <c r="AO127" i="1"/>
  <c r="AO122" i="1"/>
  <c r="AO152" i="1" s="1"/>
  <c r="AO211" i="1" s="1"/>
  <c r="AO123" i="1"/>
  <c r="AO19" i="1"/>
  <c r="AO21" i="1"/>
  <c r="AO36" i="1"/>
  <c r="AL68" i="1"/>
  <c r="AO165" i="1"/>
  <c r="AN64" i="1"/>
  <c r="AN67" i="1"/>
  <c r="AO219" i="1"/>
  <c r="AL61" i="1"/>
  <c r="AN70" i="1"/>
  <c r="N591" i="6"/>
  <c r="N643" i="6"/>
  <c r="AN122" i="1"/>
  <c r="AN152" i="1" s="1"/>
  <c r="AN211" i="1" s="1"/>
  <c r="AN60" i="1"/>
  <c r="AO163" i="1"/>
  <c r="AO221" i="1"/>
  <c r="AN127" i="1"/>
  <c r="AN150" i="1"/>
  <c r="AN209" i="1" s="1"/>
  <c r="AN44" i="1"/>
  <c r="AN46" i="1" s="1"/>
  <c r="AN21" i="1"/>
  <c r="AN19" i="1"/>
  <c r="AN36" i="1"/>
  <c r="AN20" i="4"/>
  <c r="AN19" i="4"/>
  <c r="AN45" i="4"/>
  <c r="AM14" i="4"/>
  <c r="AN18" i="4"/>
  <c r="AN17" i="4"/>
  <c r="AN183" i="1"/>
  <c r="AN243" i="1" s="1"/>
  <c r="AK159" i="1"/>
  <c r="AK219" i="1" s="1"/>
  <c r="AM228" i="1"/>
  <c r="AN165" i="1"/>
  <c r="AM231" i="1"/>
  <c r="AM175" i="1"/>
  <c r="AM235" i="1" s="1"/>
  <c r="AN175" i="1"/>
  <c r="AN235" i="1" s="1"/>
  <c r="AM170" i="1"/>
  <c r="AM230" i="1" s="1"/>
  <c r="AM234" i="1"/>
  <c r="AN163" i="1"/>
  <c r="AN221" i="1"/>
  <c r="AR222" i="1" s="1"/>
  <c r="AM227" i="1"/>
  <c r="AM233" i="1"/>
  <c r="D689" i="6"/>
  <c r="D679" i="6"/>
  <c r="G690" i="6"/>
  <c r="C611" i="6"/>
  <c r="AM117" i="1"/>
  <c r="AM127" i="1" s="1"/>
  <c r="D688" i="6"/>
  <c r="H688" i="6" s="1"/>
  <c r="D657" i="6"/>
  <c r="D686" i="6"/>
  <c r="D664" i="6"/>
  <c r="D684" i="6"/>
  <c r="F689" i="6"/>
  <c r="D648" i="6"/>
  <c r="D666" i="6"/>
  <c r="F684" i="6"/>
  <c r="D687" i="6"/>
  <c r="D649" i="6"/>
  <c r="F687" i="6"/>
  <c r="D653" i="6"/>
  <c r="D669" i="6"/>
  <c r="D685" i="6"/>
  <c r="D654" i="6"/>
  <c r="F685" i="6"/>
  <c r="D660" i="6"/>
  <c r="C663" i="6"/>
  <c r="C680" i="6"/>
  <c r="D678" i="6"/>
  <c r="D658" i="6"/>
  <c r="D651" i="6"/>
  <c r="D659" i="6"/>
  <c r="D661" i="6"/>
  <c r="D667" i="6"/>
  <c r="D656" i="6"/>
  <c r="AM221" i="1"/>
  <c r="AM17" i="4"/>
  <c r="AM20" i="4"/>
  <c r="AM45" i="4"/>
  <c r="AM225" i="1"/>
  <c r="AM169" i="1"/>
  <c r="AM229" i="1" s="1"/>
  <c r="AM63" i="1"/>
  <c r="AM66" i="1" s="1"/>
  <c r="AM159" i="1"/>
  <c r="AQ160" i="1" s="1"/>
  <c r="AM53" i="1"/>
  <c r="AM18" i="1"/>
  <c r="C723" i="6"/>
  <c r="N695" i="6"/>
  <c r="J14" i="4"/>
  <c r="C721" i="6"/>
  <c r="C730" i="6" s="1"/>
  <c r="C732" i="6" s="1"/>
  <c r="AM18" i="4"/>
  <c r="AM19" i="4"/>
  <c r="G742" i="6"/>
  <c r="AL36" i="4"/>
  <c r="AL49" i="4"/>
  <c r="J48" i="4"/>
  <c r="AL61" i="4"/>
  <c r="J45" i="4"/>
  <c r="J18" i="4"/>
  <c r="J19" i="4"/>
  <c r="J17" i="4"/>
  <c r="J20" i="4"/>
  <c r="AL34" i="4"/>
  <c r="AL35" i="4"/>
  <c r="AL32" i="4"/>
  <c r="AL33" i="4"/>
  <c r="J210" i="1"/>
  <c r="M112" i="1"/>
  <c r="J53" i="1"/>
  <c r="J87" i="1"/>
  <c r="M151" i="1"/>
  <c r="M210" i="1" s="1"/>
  <c r="AL102" i="1"/>
  <c r="M102" i="1"/>
  <c r="AL97" i="1"/>
  <c r="AL115" i="1"/>
  <c r="AL117" i="1" s="1"/>
  <c r="AL122" i="1" s="1"/>
  <c r="J18" i="1"/>
  <c r="J82" i="1" s="1"/>
  <c r="J55" i="1"/>
  <c r="M145" i="1"/>
  <c r="M100" i="1"/>
  <c r="M204" i="1"/>
  <c r="M216" i="1" s="1"/>
  <c r="J101" i="1"/>
  <c r="M107" i="1"/>
  <c r="M156" i="1"/>
  <c r="M97" i="1"/>
  <c r="M43" i="1"/>
  <c r="M58" i="1" s="1"/>
  <c r="M79" i="1" s="1"/>
  <c r="M90" i="1" s="1"/>
  <c r="J147" i="1"/>
  <c r="J206" i="1" s="1"/>
  <c r="J41" i="1"/>
  <c r="J98" i="1"/>
  <c r="J84" i="1"/>
  <c r="AL10" i="1"/>
  <c r="AL101" i="1" s="1"/>
  <c r="J159" i="1"/>
  <c r="J163" i="1" s="1"/>
  <c r="J221" i="1"/>
  <c r="J59" i="1"/>
  <c r="AL65" i="1"/>
  <c r="AL112" i="1"/>
  <c r="AL35" i="1"/>
  <c r="AL39" i="1"/>
  <c r="AL33" i="1"/>
  <c r="AL34" i="1"/>
  <c r="AL100" i="1"/>
  <c r="AL73" i="1"/>
  <c r="D770" i="6"/>
  <c r="F792" i="6"/>
  <c r="AK62" i="1"/>
  <c r="D782" i="6"/>
  <c r="C720" i="6"/>
  <c r="C717" i="6"/>
  <c r="D764" i="6"/>
  <c r="AG36" i="4"/>
  <c r="AH36" i="4" s="1"/>
  <c r="AJ44" i="4"/>
  <c r="AJ43" i="4"/>
  <c r="AK37" i="4"/>
  <c r="G793" i="6"/>
  <c r="D751" i="6"/>
  <c r="F790" i="6"/>
  <c r="F788" i="6"/>
  <c r="D792" i="6"/>
  <c r="D781" i="6"/>
  <c r="C766" i="6"/>
  <c r="D763" i="6"/>
  <c r="D752" i="6"/>
  <c r="D761" i="6"/>
  <c r="D767" i="6"/>
  <c r="C783" i="6"/>
  <c r="D754" i="6"/>
  <c r="D762" i="6"/>
  <c r="D756" i="6"/>
  <c r="D772" i="6"/>
  <c r="D787" i="6"/>
  <c r="D789" i="6"/>
  <c r="D791" i="6"/>
  <c r="D757" i="6"/>
  <c r="D769" i="6"/>
  <c r="F787" i="6"/>
  <c r="F789" i="6"/>
  <c r="F791" i="6"/>
  <c r="D759" i="6"/>
  <c r="D765" i="6"/>
  <c r="D760" i="6"/>
  <c r="D788" i="6"/>
  <c r="D790" i="6"/>
  <c r="AK117" i="1"/>
  <c r="AK127" i="1" s="1"/>
  <c r="AK174" i="1"/>
  <c r="AK234" i="1" s="1"/>
  <c r="AK171" i="1"/>
  <c r="AK231" i="1" s="1"/>
  <c r="AK167" i="1"/>
  <c r="AK227" i="1" s="1"/>
  <c r="AK18" i="1"/>
  <c r="AK101" i="1"/>
  <c r="G844" i="6"/>
  <c r="D809" i="6"/>
  <c r="D803" i="6"/>
  <c r="D808" i="6"/>
  <c r="F842" i="6"/>
  <c r="F840" i="6"/>
  <c r="D815" i="6"/>
  <c r="F838" i="6"/>
  <c r="D818" i="6"/>
  <c r="D821" i="6"/>
  <c r="D812" i="6"/>
  <c r="F843" i="6"/>
  <c r="D832" i="6"/>
  <c r="C834" i="6"/>
  <c r="C817" i="6"/>
  <c r="D814" i="6"/>
  <c r="D805" i="6"/>
  <c r="D813" i="6"/>
  <c r="D807" i="6"/>
  <c r="D823" i="6"/>
  <c r="D838" i="6"/>
  <c r="D840" i="6"/>
  <c r="D842" i="6"/>
  <c r="D810" i="6"/>
  <c r="D816" i="6"/>
  <c r="D811" i="6"/>
  <c r="D839" i="6"/>
  <c r="D841" i="6"/>
  <c r="D843" i="6"/>
  <c r="D802" i="6"/>
  <c r="D833" i="6"/>
  <c r="F839" i="6"/>
  <c r="F841" i="6"/>
  <c r="AJ48" i="4"/>
  <c r="AJ42" i="4"/>
  <c r="AJ41" i="4"/>
  <c r="AJ13" i="4"/>
  <c r="AN28" i="4" s="1"/>
  <c r="AJ37" i="4"/>
  <c r="F44" i="6" l="1"/>
  <c r="D46" i="6"/>
  <c r="D48" i="6" s="1"/>
  <c r="F46" i="6"/>
  <c r="C48" i="6"/>
  <c r="D19" i="6"/>
  <c r="F17" i="6"/>
  <c r="AV21" i="4"/>
  <c r="AT43" i="4"/>
  <c r="AT44" i="4"/>
  <c r="AV23" i="1"/>
  <c r="AV25" i="1" s="1"/>
  <c r="L265" i="1"/>
  <c r="C224" i="6"/>
  <c r="C226" i="6" s="1"/>
  <c r="M69" i="1"/>
  <c r="AV41" i="1"/>
  <c r="AV98" i="1"/>
  <c r="L208" i="1"/>
  <c r="AV223" i="1"/>
  <c r="AV268" i="1"/>
  <c r="AV172" i="1"/>
  <c r="AV232" i="1" s="1"/>
  <c r="AV71" i="1"/>
  <c r="AQ223" i="1"/>
  <c r="AV225" i="1"/>
  <c r="AV169" i="1"/>
  <c r="AV229" i="1" s="1"/>
  <c r="AV84" i="1"/>
  <c r="AV30" i="1"/>
  <c r="AV26" i="1"/>
  <c r="D137" i="6"/>
  <c r="D106" i="6"/>
  <c r="AT13" i="4"/>
  <c r="AT18" i="4" s="1"/>
  <c r="AT41" i="4"/>
  <c r="AK27" i="4"/>
  <c r="AL12" i="4"/>
  <c r="AL44" i="4" s="1"/>
  <c r="AK44" i="4"/>
  <c r="AO27" i="4"/>
  <c r="AL10" i="4"/>
  <c r="AL42" i="4" s="1"/>
  <c r="AK42" i="4"/>
  <c r="AL9" i="4"/>
  <c r="AK41" i="4"/>
  <c r="AK13" i="4"/>
  <c r="AO24" i="4"/>
  <c r="AL11" i="4"/>
  <c r="AL43" i="4" s="1"/>
  <c r="AK43" i="4"/>
  <c r="AT24" i="4"/>
  <c r="M13" i="4"/>
  <c r="AS28" i="4"/>
  <c r="AS14" i="4"/>
  <c r="AK25" i="4"/>
  <c r="AO25" i="4"/>
  <c r="AO26" i="4"/>
  <c r="AS45" i="4"/>
  <c r="AS19" i="4"/>
  <c r="AS18" i="4"/>
  <c r="AS20" i="4"/>
  <c r="AS17" i="4"/>
  <c r="AP26" i="4"/>
  <c r="AP27" i="4"/>
  <c r="AK19" i="4"/>
  <c r="AO18" i="4"/>
  <c r="AO19" i="4"/>
  <c r="M253" i="1"/>
  <c r="AT37" i="1"/>
  <c r="AT38" i="1"/>
  <c r="AT23" i="1"/>
  <c r="AT25" i="1" s="1"/>
  <c r="AT26" i="1" s="1"/>
  <c r="AT70" i="1"/>
  <c r="M70" i="1" s="1"/>
  <c r="AS176" i="1"/>
  <c r="AS236" i="1" s="1"/>
  <c r="AU177" i="1"/>
  <c r="AU237" i="1" s="1"/>
  <c r="AS163" i="1"/>
  <c r="AS221" i="1"/>
  <c r="C288" i="6"/>
  <c r="C317" i="6"/>
  <c r="AT69" i="1"/>
  <c r="AS175" i="1"/>
  <c r="AS235" i="1" s="1"/>
  <c r="AT143" i="1"/>
  <c r="AT199" i="1" s="1"/>
  <c r="AT184" i="1"/>
  <c r="AT244" i="1" s="1"/>
  <c r="AT268" i="1" s="1"/>
  <c r="AT152" i="1"/>
  <c r="AT211" i="1" s="1"/>
  <c r="L135" i="1"/>
  <c r="L191" i="1" s="1"/>
  <c r="L152" i="1"/>
  <c r="L211" i="1" s="1"/>
  <c r="L213" i="1" s="1"/>
  <c r="L143" i="1"/>
  <c r="L199" i="1" s="1"/>
  <c r="AU268" i="1"/>
  <c r="AU23" i="1"/>
  <c r="AU25" i="1" s="1"/>
  <c r="AU37" i="1"/>
  <c r="AU38" i="1"/>
  <c r="AU47" i="1"/>
  <c r="AU48" i="1"/>
  <c r="AU50" i="1"/>
  <c r="D194" i="6"/>
  <c r="D195" i="6" s="1"/>
  <c r="D197" i="6" s="1"/>
  <c r="C195" i="6"/>
  <c r="AT167" i="1"/>
  <c r="AT227" i="1" s="1"/>
  <c r="M167" i="1"/>
  <c r="M227" i="1" s="1"/>
  <c r="AU84" i="1"/>
  <c r="AT174" i="1"/>
  <c r="AT234" i="1" s="1"/>
  <c r="M174" i="1"/>
  <c r="M234" i="1" s="1"/>
  <c r="AS184" i="1"/>
  <c r="AS244" i="1" s="1"/>
  <c r="AS268" i="1" s="1"/>
  <c r="AS152" i="1"/>
  <c r="AS211" i="1" s="1"/>
  <c r="AS143" i="1"/>
  <c r="AS199" i="1" s="1"/>
  <c r="AT183" i="1"/>
  <c r="AT243" i="1" s="1"/>
  <c r="C228" i="6"/>
  <c r="C199" i="6"/>
  <c r="AS165" i="1"/>
  <c r="AS63" i="1"/>
  <c r="AS66" i="1" s="1"/>
  <c r="AS166" i="1"/>
  <c r="AS226" i="1" s="1"/>
  <c r="AT60" i="1"/>
  <c r="M60" i="1" s="1"/>
  <c r="K135" i="1"/>
  <c r="K143" i="1"/>
  <c r="K199" i="1" s="1"/>
  <c r="K184" i="1"/>
  <c r="K244" i="1" s="1"/>
  <c r="K268" i="1" s="1"/>
  <c r="K152" i="1"/>
  <c r="K211" i="1" s="1"/>
  <c r="K132" i="1"/>
  <c r="K188" i="1" s="1"/>
  <c r="AS170" i="1"/>
  <c r="AS230" i="1" s="1"/>
  <c r="AT64" i="1"/>
  <c r="M64" i="1" s="1"/>
  <c r="AR48" i="1"/>
  <c r="AU83" i="1"/>
  <c r="D224" i="6"/>
  <c r="D226" i="6" s="1"/>
  <c r="AT20" i="4"/>
  <c r="AT38" i="4"/>
  <c r="AP13" i="4"/>
  <c r="AO20" i="4"/>
  <c r="AP41" i="4"/>
  <c r="L132" i="1"/>
  <c r="L188" i="1" s="1"/>
  <c r="L184" i="1"/>
  <c r="L244" i="1" s="1"/>
  <c r="L268" i="1" s="1"/>
  <c r="AP219" i="1"/>
  <c r="AT220" i="1" s="1"/>
  <c r="AT83" i="1"/>
  <c r="AT30" i="1"/>
  <c r="L212" i="1"/>
  <c r="AP167" i="1"/>
  <c r="AP227" i="1" s="1"/>
  <c r="L47" i="1"/>
  <c r="L83" i="1"/>
  <c r="L48" i="1"/>
  <c r="L50" i="1"/>
  <c r="L261" i="1"/>
  <c r="AS135" i="1"/>
  <c r="AS154" i="1" s="1"/>
  <c r="C316" i="6"/>
  <c r="C287" i="6"/>
  <c r="L253" i="1"/>
  <c r="L258" i="1" s="1"/>
  <c r="L192" i="1"/>
  <c r="L153" i="1"/>
  <c r="L223" i="1"/>
  <c r="L23" i="1"/>
  <c r="L25" i="1" s="1"/>
  <c r="L37" i="1"/>
  <c r="L38" i="1"/>
  <c r="L177" i="1"/>
  <c r="L237" i="1" s="1"/>
  <c r="L179" i="1"/>
  <c r="L239" i="1" s="1"/>
  <c r="AR141" i="1"/>
  <c r="AR197" i="1" s="1"/>
  <c r="D313" i="6"/>
  <c r="D286" i="6"/>
  <c r="AS132" i="1"/>
  <c r="AS188" i="1" s="1"/>
  <c r="AS133" i="1"/>
  <c r="AS189" i="1" s="1"/>
  <c r="AO48" i="1"/>
  <c r="AP36" i="1"/>
  <c r="AS82" i="1"/>
  <c r="AS220" i="1"/>
  <c r="K136" i="1"/>
  <c r="K192" i="1" s="1"/>
  <c r="AS48" i="1"/>
  <c r="AS47" i="1"/>
  <c r="AS50" i="1"/>
  <c r="K133" i="1"/>
  <c r="K189" i="1" s="1"/>
  <c r="AS147" i="1"/>
  <c r="AS206" i="1" s="1"/>
  <c r="AS41" i="1"/>
  <c r="AS98" i="1"/>
  <c r="AS136" i="1"/>
  <c r="AQ183" i="1"/>
  <c r="AQ243" i="1" s="1"/>
  <c r="AS141" i="1"/>
  <c r="AS197" i="1" s="1"/>
  <c r="AS186" i="1"/>
  <c r="AS246" i="1" s="1"/>
  <c r="AS258" i="1" s="1"/>
  <c r="AS138" i="1"/>
  <c r="AS194" i="1" s="1"/>
  <c r="AS148" i="1"/>
  <c r="AS37" i="1"/>
  <c r="AS23" i="1"/>
  <c r="AS25" i="1" s="1"/>
  <c r="AS38" i="1"/>
  <c r="AR183" i="1"/>
  <c r="AR243" i="1" s="1"/>
  <c r="C355" i="6"/>
  <c r="AR186" i="1"/>
  <c r="AR246" i="1" s="1"/>
  <c r="AR257" i="1" s="1"/>
  <c r="C354" i="6"/>
  <c r="C383" i="6"/>
  <c r="E380" i="6" s="1"/>
  <c r="C444" i="6"/>
  <c r="G471" i="6" s="1"/>
  <c r="D351" i="6"/>
  <c r="C382" i="6"/>
  <c r="D380" i="6"/>
  <c r="AO14" i="4"/>
  <c r="AO17" i="4"/>
  <c r="AO45" i="4"/>
  <c r="AR21" i="4"/>
  <c r="AP174" i="1"/>
  <c r="AP234" i="1" s="1"/>
  <c r="AR148" i="1"/>
  <c r="AR207" i="1" s="1"/>
  <c r="AR138" i="1"/>
  <c r="AR194" i="1" s="1"/>
  <c r="AR132" i="1"/>
  <c r="AR188" i="1" s="1"/>
  <c r="AR135" i="1"/>
  <c r="AR154" i="1" s="1"/>
  <c r="AR143" i="1"/>
  <c r="AR199" i="1" s="1"/>
  <c r="AR152" i="1"/>
  <c r="AR211" i="1" s="1"/>
  <c r="D470" i="6"/>
  <c r="AR47" i="1"/>
  <c r="E486" i="6"/>
  <c r="E488" i="6" s="1"/>
  <c r="AR136" i="1"/>
  <c r="AR153" i="1" s="1"/>
  <c r="AR133" i="1"/>
  <c r="AR189" i="1" s="1"/>
  <c r="AQ98" i="1"/>
  <c r="AR50" i="1"/>
  <c r="AR23" i="1"/>
  <c r="AR25" i="1" s="1"/>
  <c r="AR38" i="1"/>
  <c r="AR226" i="1"/>
  <c r="AR169" i="1"/>
  <c r="AR229" i="1" s="1"/>
  <c r="E416" i="6"/>
  <c r="AQ222" i="1"/>
  <c r="AR71" i="1"/>
  <c r="AR72" i="1" s="1"/>
  <c r="AR172" i="1"/>
  <c r="AR232" i="1" s="1"/>
  <c r="AQ136" i="1"/>
  <c r="AQ192" i="1" s="1"/>
  <c r="C421" i="6"/>
  <c r="C452" i="6"/>
  <c r="D452" i="6" s="1"/>
  <c r="AR268" i="1"/>
  <c r="AR147" i="1"/>
  <c r="AR206" i="1" s="1"/>
  <c r="AR98" i="1"/>
  <c r="AR41" i="1"/>
  <c r="AO175" i="1"/>
  <c r="AO235" i="1" s="1"/>
  <c r="AP69" i="1"/>
  <c r="M159" i="1"/>
  <c r="M219" i="1" s="1"/>
  <c r="M18" i="1"/>
  <c r="M82" i="1" s="1"/>
  <c r="D442" i="6"/>
  <c r="AQ41" i="1"/>
  <c r="C453" i="6"/>
  <c r="C449" i="6"/>
  <c r="C517" i="6"/>
  <c r="C519" i="6" s="1"/>
  <c r="AP19" i="1"/>
  <c r="AP82" i="1"/>
  <c r="AQ48" i="1"/>
  <c r="AQ50" i="1"/>
  <c r="AO64" i="1"/>
  <c r="AQ82" i="1"/>
  <c r="AQ133" i="1"/>
  <c r="AQ189" i="1" s="1"/>
  <c r="AQ37" i="1"/>
  <c r="AQ23" i="1"/>
  <c r="AQ25" i="1" s="1"/>
  <c r="AQ38" i="1"/>
  <c r="AP44" i="1"/>
  <c r="AP46" i="1" s="1"/>
  <c r="AT47" i="1" s="1"/>
  <c r="AP21" i="1"/>
  <c r="AP37" i="1" s="1"/>
  <c r="AQ148" i="1"/>
  <c r="AQ141" i="1"/>
  <c r="AQ197" i="1" s="1"/>
  <c r="AQ186" i="1"/>
  <c r="AQ246" i="1" s="1"/>
  <c r="AQ138" i="1"/>
  <c r="AQ194" i="1" s="1"/>
  <c r="AQ132" i="1"/>
  <c r="AQ188" i="1" s="1"/>
  <c r="AQ135" i="1"/>
  <c r="AQ179" i="1"/>
  <c r="AQ239" i="1" s="1"/>
  <c r="AQ177" i="1"/>
  <c r="AQ237" i="1" s="1"/>
  <c r="J253" i="1"/>
  <c r="AM123" i="1"/>
  <c r="AM183" i="1" s="1"/>
  <c r="AM243" i="1" s="1"/>
  <c r="D531" i="6"/>
  <c r="D504" i="6"/>
  <c r="D535" i="6"/>
  <c r="D525" i="6"/>
  <c r="D495" i="6"/>
  <c r="D513" i="6"/>
  <c r="D503" i="6"/>
  <c r="D496" i="6"/>
  <c r="D509" i="6"/>
  <c r="D502" i="6"/>
  <c r="D508" i="6"/>
  <c r="D505" i="6"/>
  <c r="D501" i="6"/>
  <c r="D516" i="6"/>
  <c r="D511" i="6"/>
  <c r="D507" i="6"/>
  <c r="D500" i="6"/>
  <c r="D532" i="6"/>
  <c r="D536" i="6"/>
  <c r="D498" i="6"/>
  <c r="D514" i="6"/>
  <c r="D534" i="6"/>
  <c r="D506" i="6"/>
  <c r="D533" i="6"/>
  <c r="AP41" i="1"/>
  <c r="AP147" i="1"/>
  <c r="AP206" i="1" s="1"/>
  <c r="AP38" i="4"/>
  <c r="M35" i="1"/>
  <c r="K232" i="1"/>
  <c r="M33" i="1"/>
  <c r="M39" i="1"/>
  <c r="K226" i="1"/>
  <c r="K228" i="1"/>
  <c r="K234" i="1"/>
  <c r="K231" i="1"/>
  <c r="K233" i="1"/>
  <c r="K207" i="1"/>
  <c r="K235" i="1"/>
  <c r="K230" i="1"/>
  <c r="K236" i="1"/>
  <c r="K227" i="1"/>
  <c r="K225" i="1"/>
  <c r="K221" i="1"/>
  <c r="L222" i="1" s="1"/>
  <c r="K238" i="1"/>
  <c r="M34" i="1"/>
  <c r="K219" i="1"/>
  <c r="L220" i="1" s="1"/>
  <c r="K246" i="1"/>
  <c r="K263" i="1" s="1"/>
  <c r="K229" i="1"/>
  <c r="K206" i="1"/>
  <c r="AN81" i="1"/>
  <c r="AN147" i="1" s="1"/>
  <c r="AN206" i="1" s="1"/>
  <c r="AP11" i="1"/>
  <c r="H686" i="6"/>
  <c r="K160" i="1"/>
  <c r="K83" i="1"/>
  <c r="K48" i="1"/>
  <c r="K50" i="1"/>
  <c r="K37" i="1"/>
  <c r="K23" i="1"/>
  <c r="K25" i="1" s="1"/>
  <c r="K38" i="1"/>
  <c r="K179" i="1"/>
  <c r="K239" i="1" s="1"/>
  <c r="K177" i="1"/>
  <c r="K237" i="1" s="1"/>
  <c r="AO67" i="1"/>
  <c r="AL171" i="1"/>
  <c r="AL231" i="1" s="1"/>
  <c r="M171" i="1"/>
  <c r="M231" i="1" s="1"/>
  <c r="J150" i="1"/>
  <c r="J209" i="1" s="1"/>
  <c r="AN184" i="1"/>
  <c r="AN244" i="1" s="1"/>
  <c r="J123" i="1"/>
  <c r="J183" i="1" s="1"/>
  <c r="J243" i="1" s="1"/>
  <c r="AN143" i="1"/>
  <c r="AN199" i="1" s="1"/>
  <c r="AL174" i="1"/>
  <c r="AL234" i="1" s="1"/>
  <c r="J122" i="1"/>
  <c r="J184" i="1" s="1"/>
  <c r="J244" i="1" s="1"/>
  <c r="AL167" i="1"/>
  <c r="AL227" i="1" s="1"/>
  <c r="D566" i="6"/>
  <c r="D568" i="6" s="1"/>
  <c r="AO70" i="1"/>
  <c r="AO60" i="1"/>
  <c r="AO183" i="1"/>
  <c r="AO243" i="1" s="1"/>
  <c r="C572" i="6"/>
  <c r="H588" i="6"/>
  <c r="C570" i="6"/>
  <c r="AO143" i="1"/>
  <c r="AO199" i="1" s="1"/>
  <c r="AO184" i="1"/>
  <c r="AO244" i="1" s="1"/>
  <c r="AO38" i="1"/>
  <c r="AO23" i="1"/>
  <c r="AO25" i="1" s="1"/>
  <c r="AO37" i="1"/>
  <c r="AO225" i="1"/>
  <c r="AL178" i="1"/>
  <c r="AL238" i="1" s="1"/>
  <c r="AO223" i="1"/>
  <c r="AO160" i="1"/>
  <c r="AO220" i="1"/>
  <c r="AL18" i="1"/>
  <c r="AO82" i="1" s="1"/>
  <c r="AO81" i="1"/>
  <c r="AN166" i="1"/>
  <c r="AN226" i="1" s="1"/>
  <c r="AN176" i="1"/>
  <c r="AN236" i="1" s="1"/>
  <c r="AN170" i="1"/>
  <c r="AN230" i="1" s="1"/>
  <c r="AN63" i="1"/>
  <c r="AN66" i="1" s="1"/>
  <c r="AN173" i="1"/>
  <c r="AN233" i="1" s="1"/>
  <c r="AN21" i="4"/>
  <c r="AN37" i="1"/>
  <c r="AN23" i="1"/>
  <c r="AN25" i="1" s="1"/>
  <c r="AN38" i="1"/>
  <c r="AN50" i="1"/>
  <c r="AN48" i="1"/>
  <c r="M81" i="1"/>
  <c r="M206" i="1" s="1"/>
  <c r="AM122" i="1"/>
  <c r="AM152" i="1" s="1"/>
  <c r="AM211" i="1" s="1"/>
  <c r="AM150" i="1"/>
  <c r="AN223" i="1"/>
  <c r="AN225" i="1"/>
  <c r="M101" i="1"/>
  <c r="H689" i="6"/>
  <c r="D680" i="6"/>
  <c r="C616" i="6"/>
  <c r="C622" i="6" s="1"/>
  <c r="C613" i="6"/>
  <c r="G639" i="6" s="1"/>
  <c r="D690" i="6"/>
  <c r="H687" i="6"/>
  <c r="F690" i="6"/>
  <c r="H684" i="6"/>
  <c r="H685" i="6"/>
  <c r="D663" i="6"/>
  <c r="D668" i="6" s="1"/>
  <c r="C668" i="6"/>
  <c r="C665" i="6"/>
  <c r="G691" i="6" s="1"/>
  <c r="H788" i="6"/>
  <c r="AM21" i="4"/>
  <c r="AM19" i="1"/>
  <c r="AM44" i="1"/>
  <c r="AM46" i="1" s="1"/>
  <c r="AM36" i="1"/>
  <c r="AM21" i="1"/>
  <c r="AM219" i="1"/>
  <c r="AQ220" i="1" s="1"/>
  <c r="AM172" i="1"/>
  <c r="AM232" i="1" s="1"/>
  <c r="AM71" i="1"/>
  <c r="AM72" i="1" s="1"/>
  <c r="AM163" i="1"/>
  <c r="AL159" i="1"/>
  <c r="G743" i="6"/>
  <c r="M44" i="4"/>
  <c r="AL48" i="4"/>
  <c r="M43" i="4"/>
  <c r="M42" i="4"/>
  <c r="J21" i="4"/>
  <c r="AL37" i="4"/>
  <c r="M117" i="1"/>
  <c r="M127" i="1" s="1"/>
  <c r="J44" i="1"/>
  <c r="J46" i="1" s="1"/>
  <c r="J50" i="1" s="1"/>
  <c r="J36" i="1"/>
  <c r="J19" i="1"/>
  <c r="J21" i="1"/>
  <c r="J38" i="1" s="1"/>
  <c r="AL127" i="1"/>
  <c r="M178" i="1"/>
  <c r="M238" i="1" s="1"/>
  <c r="AL150" i="1"/>
  <c r="AL209" i="1" s="1"/>
  <c r="AL123" i="1"/>
  <c r="AL183" i="1" s="1"/>
  <c r="AL243" i="1" s="1"/>
  <c r="J141" i="1"/>
  <c r="J197" i="1" s="1"/>
  <c r="J186" i="1"/>
  <c r="J246" i="1" s="1"/>
  <c r="J263" i="1" s="1"/>
  <c r="J138" i="1"/>
  <c r="J194" i="1" s="1"/>
  <c r="J148" i="1"/>
  <c r="J140" i="1"/>
  <c r="J196" i="1" s="1"/>
  <c r="J219" i="1"/>
  <c r="J165" i="1"/>
  <c r="J63" i="1"/>
  <c r="J66" i="1" s="1"/>
  <c r="AK168" i="1"/>
  <c r="AK228" i="1" s="1"/>
  <c r="AL62" i="1"/>
  <c r="AL152" i="1"/>
  <c r="AL211" i="1" s="1"/>
  <c r="AL143" i="1"/>
  <c r="AL199" i="1" s="1"/>
  <c r="AL184" i="1"/>
  <c r="AL244" i="1" s="1"/>
  <c r="D783" i="6"/>
  <c r="H792" i="6"/>
  <c r="H790" i="6"/>
  <c r="H842" i="6"/>
  <c r="D766" i="6"/>
  <c r="D771" i="6" s="1"/>
  <c r="C722" i="6"/>
  <c r="C771" i="6"/>
  <c r="C768" i="6"/>
  <c r="G794" i="6" s="1"/>
  <c r="F793" i="6"/>
  <c r="H789" i="6"/>
  <c r="H791" i="6"/>
  <c r="H787" i="6"/>
  <c r="D793" i="6"/>
  <c r="AK150" i="1"/>
  <c r="AK122" i="1"/>
  <c r="AK123" i="1"/>
  <c r="AK183" i="1" s="1"/>
  <c r="AK243" i="1" s="1"/>
  <c r="AK21" i="1"/>
  <c r="AK36" i="1"/>
  <c r="AK19" i="1"/>
  <c r="AK44" i="1"/>
  <c r="AK46" i="1" s="1"/>
  <c r="AO47" i="1" s="1"/>
  <c r="H839" i="6"/>
  <c r="H843" i="6"/>
  <c r="H840" i="6"/>
  <c r="F844" i="6"/>
  <c r="D817" i="6"/>
  <c r="C822" i="6"/>
  <c r="C819" i="6"/>
  <c r="D844" i="6"/>
  <c r="H838" i="6"/>
  <c r="H841" i="6"/>
  <c r="D834" i="6"/>
  <c r="AJ17" i="4"/>
  <c r="AJ19" i="4"/>
  <c r="AJ20" i="4"/>
  <c r="AJ45" i="4"/>
  <c r="AJ18" i="4"/>
  <c r="AT14" i="4" l="1"/>
  <c r="AT19" i="4"/>
  <c r="AP25" i="4"/>
  <c r="AT45" i="4"/>
  <c r="AT17" i="4"/>
  <c r="AS21" i="4"/>
  <c r="L154" i="1"/>
  <c r="AV86" i="1"/>
  <c r="AV177" i="1"/>
  <c r="AV237" i="1" s="1"/>
  <c r="AV141" i="1"/>
  <c r="AV197" i="1" s="1"/>
  <c r="AV186" i="1"/>
  <c r="AV246" i="1" s="1"/>
  <c r="AV138" i="1"/>
  <c r="AV194" i="1" s="1"/>
  <c r="AV148" i="1"/>
  <c r="AV132" i="1"/>
  <c r="AV188" i="1" s="1"/>
  <c r="AV136" i="1"/>
  <c r="AV135" i="1"/>
  <c r="AV133" i="1"/>
  <c r="AV189" i="1" s="1"/>
  <c r="C109" i="6"/>
  <c r="C138" i="6"/>
  <c r="AV87" i="1"/>
  <c r="AV140" i="1" s="1"/>
  <c r="AV196" i="1" s="1"/>
  <c r="D108" i="6"/>
  <c r="AP24" i="4"/>
  <c r="AL41" i="4"/>
  <c r="AL13" i="4"/>
  <c r="AL19" i="4" s="1"/>
  <c r="AO28" i="4"/>
  <c r="AK45" i="4"/>
  <c r="AK20" i="4"/>
  <c r="AK17" i="4"/>
  <c r="AK14" i="4"/>
  <c r="AK18" i="4"/>
  <c r="AT28" i="4"/>
  <c r="AP20" i="4"/>
  <c r="AP18" i="4"/>
  <c r="AP19" i="4"/>
  <c r="AP14" i="4"/>
  <c r="AU179" i="1"/>
  <c r="AU239" i="1" s="1"/>
  <c r="AU74" i="1"/>
  <c r="AU180" i="1" s="1"/>
  <c r="AU240" i="1" s="1"/>
  <c r="AS222" i="1"/>
  <c r="AS223" i="1"/>
  <c r="AT86" i="1"/>
  <c r="AS225" i="1"/>
  <c r="AS169" i="1"/>
  <c r="AS229" i="1" s="1"/>
  <c r="AU26" i="1"/>
  <c r="AU30" i="1"/>
  <c r="C197" i="6"/>
  <c r="AU186" i="1"/>
  <c r="AU246" i="1" s="1"/>
  <c r="AU141" i="1"/>
  <c r="AU197" i="1" s="1"/>
  <c r="AU138" i="1"/>
  <c r="AU194" i="1" s="1"/>
  <c r="AU148" i="1"/>
  <c r="AU136" i="1"/>
  <c r="AU133" i="1"/>
  <c r="AU189" i="1" s="1"/>
  <c r="AU135" i="1"/>
  <c r="AU132" i="1"/>
  <c r="AU188" i="1" s="1"/>
  <c r="K191" i="1"/>
  <c r="K154" i="1"/>
  <c r="AS172" i="1"/>
  <c r="AS232" i="1" s="1"/>
  <c r="AS71" i="1"/>
  <c r="AU87" i="1"/>
  <c r="AU140" i="1" s="1"/>
  <c r="AU196" i="1" s="1"/>
  <c r="AR26" i="1"/>
  <c r="AU86" i="1"/>
  <c r="AT21" i="4"/>
  <c r="AO21" i="4"/>
  <c r="AP45" i="4"/>
  <c r="AP17" i="4"/>
  <c r="L260" i="1"/>
  <c r="L257" i="1"/>
  <c r="AR260" i="1"/>
  <c r="AS261" i="1"/>
  <c r="D316" i="6"/>
  <c r="E311" i="6"/>
  <c r="E313" i="6"/>
  <c r="AQ266" i="1"/>
  <c r="AQ257" i="1"/>
  <c r="AQ260" i="1"/>
  <c r="AQ263" i="1"/>
  <c r="AR266" i="1"/>
  <c r="AR263" i="1"/>
  <c r="C674" i="6"/>
  <c r="L74" i="1"/>
  <c r="L180" i="1" s="1"/>
  <c r="L240" i="1" s="1"/>
  <c r="AR258" i="1"/>
  <c r="AR261" i="1"/>
  <c r="AS266" i="1"/>
  <c r="AS263" i="1"/>
  <c r="AS191" i="1"/>
  <c r="AS257" i="1"/>
  <c r="AQ258" i="1"/>
  <c r="AQ261" i="1"/>
  <c r="AS260" i="1"/>
  <c r="L86" i="1"/>
  <c r="L30" i="1"/>
  <c r="L26" i="1"/>
  <c r="E282" i="6"/>
  <c r="D287" i="6"/>
  <c r="E284" i="6"/>
  <c r="D315" i="6"/>
  <c r="K153" i="1"/>
  <c r="AS30" i="1"/>
  <c r="AS26" i="1"/>
  <c r="AS153" i="1"/>
  <c r="AS192" i="1"/>
  <c r="AP48" i="1"/>
  <c r="AS83" i="1"/>
  <c r="AS207" i="1"/>
  <c r="AS149" i="1"/>
  <c r="AR213" i="1"/>
  <c r="D383" i="6"/>
  <c r="F378" i="6" s="1"/>
  <c r="E378" i="6"/>
  <c r="D354" i="6"/>
  <c r="F349" i="6" s="1"/>
  <c r="E349" i="6"/>
  <c r="E351" i="6"/>
  <c r="D353" i="6"/>
  <c r="M41" i="4"/>
  <c r="AR191" i="1"/>
  <c r="E447" i="6"/>
  <c r="AR192" i="1"/>
  <c r="AR30" i="1"/>
  <c r="AO166" i="1"/>
  <c r="AO226" i="1" s="1"/>
  <c r="AP60" i="1"/>
  <c r="AP64" i="1"/>
  <c r="AQ87" i="1" s="1"/>
  <c r="AQ140" i="1" s="1"/>
  <c r="AQ196" i="1" s="1"/>
  <c r="E418" i="6"/>
  <c r="AO176" i="1"/>
  <c r="AO236" i="1" s="1"/>
  <c r="AP70" i="1"/>
  <c r="AQ153" i="1"/>
  <c r="D444" i="6"/>
  <c r="D447" i="6"/>
  <c r="AR177" i="1"/>
  <c r="AR237" i="1" s="1"/>
  <c r="E421" i="6"/>
  <c r="F416" i="6" s="1"/>
  <c r="D416" i="6"/>
  <c r="D418" i="6"/>
  <c r="AO170" i="1"/>
  <c r="AO230" i="1" s="1"/>
  <c r="AO173" i="1"/>
  <c r="AO233" i="1" s="1"/>
  <c r="AP67" i="1"/>
  <c r="AR208" i="1"/>
  <c r="AR212" i="1"/>
  <c r="AR83" i="1"/>
  <c r="AR149" i="1"/>
  <c r="C451" i="6"/>
  <c r="E449" i="6"/>
  <c r="AQ74" i="1"/>
  <c r="AQ180" i="1" s="1"/>
  <c r="AQ240" i="1" s="1"/>
  <c r="AP38" i="1"/>
  <c r="AP23" i="1"/>
  <c r="AP25" i="1" s="1"/>
  <c r="AQ83" i="1"/>
  <c r="AP83" i="1"/>
  <c r="AN172" i="1"/>
  <c r="AN232" i="1" s="1"/>
  <c r="AQ149" i="1"/>
  <c r="AQ207" i="1"/>
  <c r="K223" i="1"/>
  <c r="AQ191" i="1"/>
  <c r="AQ154" i="1"/>
  <c r="AN71" i="1"/>
  <c r="AN72" i="1" s="1"/>
  <c r="AQ47" i="1"/>
  <c r="AQ30" i="1"/>
  <c r="AQ26" i="1"/>
  <c r="D538" i="6"/>
  <c r="D510" i="6"/>
  <c r="AL268" i="1"/>
  <c r="AM209" i="1"/>
  <c r="J258" i="1"/>
  <c r="AO268" i="1"/>
  <c r="AN268" i="1"/>
  <c r="K260" i="1"/>
  <c r="K266" i="1"/>
  <c r="K265" i="1"/>
  <c r="K258" i="1"/>
  <c r="K257" i="1"/>
  <c r="J265" i="1"/>
  <c r="J266" i="1"/>
  <c r="K213" i="1"/>
  <c r="J257" i="1"/>
  <c r="J268" i="1"/>
  <c r="AO63" i="1"/>
  <c r="AO66" i="1" s="1"/>
  <c r="K220" i="1"/>
  <c r="AN98" i="1"/>
  <c r="AL21" i="1"/>
  <c r="AL38" i="1" s="1"/>
  <c r="AN41" i="1"/>
  <c r="AM184" i="1"/>
  <c r="AM244" i="1" s="1"/>
  <c r="K222" i="1"/>
  <c r="J37" i="1"/>
  <c r="K47" i="1"/>
  <c r="K261" i="1"/>
  <c r="K212" i="1"/>
  <c r="K208" i="1"/>
  <c r="J260" i="1"/>
  <c r="AN169" i="1"/>
  <c r="AN229" i="1" s="1"/>
  <c r="J152" i="1"/>
  <c r="J211" i="1" s="1"/>
  <c r="J133" i="1"/>
  <c r="J189" i="1" s="1"/>
  <c r="J136" i="1"/>
  <c r="J192" i="1" s="1"/>
  <c r="J132" i="1"/>
  <c r="J188" i="1" s="1"/>
  <c r="AL219" i="1"/>
  <c r="AP220" i="1" s="1"/>
  <c r="AP160" i="1"/>
  <c r="J143" i="1"/>
  <c r="J199" i="1" s="1"/>
  <c r="J135" i="1"/>
  <c r="J191" i="1" s="1"/>
  <c r="K180" i="1"/>
  <c r="K240" i="1" s="1"/>
  <c r="K30" i="1"/>
  <c r="K26" i="1"/>
  <c r="K86" i="1"/>
  <c r="AL44" i="1"/>
  <c r="AL46" i="1" s="1"/>
  <c r="AL48" i="1" s="1"/>
  <c r="AL36" i="1"/>
  <c r="AL19" i="1"/>
  <c r="AN85" i="1"/>
  <c r="AM143" i="1"/>
  <c r="AM199" i="1" s="1"/>
  <c r="AO30" i="1"/>
  <c r="AO26" i="1"/>
  <c r="AO147" i="1"/>
  <c r="AO206" i="1" s="1"/>
  <c r="AO41" i="1"/>
  <c r="AO98" i="1"/>
  <c r="AM85" i="1"/>
  <c r="AO85" i="1"/>
  <c r="AN82" i="1"/>
  <c r="M98" i="1"/>
  <c r="M41" i="1"/>
  <c r="AN30" i="1"/>
  <c r="AN26" i="1"/>
  <c r="C726" i="6"/>
  <c r="C618" i="6"/>
  <c r="D665" i="6"/>
  <c r="H690" i="6"/>
  <c r="C670" i="6"/>
  <c r="D670" i="6"/>
  <c r="AM223" i="1"/>
  <c r="AM48" i="1"/>
  <c r="AM50" i="1"/>
  <c r="AM177" i="1"/>
  <c r="AM237" i="1" s="1"/>
  <c r="AM74" i="1"/>
  <c r="AM179" i="1"/>
  <c r="AM239" i="1" s="1"/>
  <c r="AM37" i="1"/>
  <c r="AM38" i="1"/>
  <c r="AM23" i="1"/>
  <c r="AM25" i="1" s="1"/>
  <c r="M14" i="4"/>
  <c r="M122" i="1"/>
  <c r="M184" i="1" s="1"/>
  <c r="M244" i="1" s="1"/>
  <c r="M123" i="1"/>
  <c r="M183" i="1" s="1"/>
  <c r="M243" i="1" s="1"/>
  <c r="M150" i="1"/>
  <c r="M209" i="1" s="1"/>
  <c r="J23" i="1"/>
  <c r="J25" i="1" s="1"/>
  <c r="J26" i="1" s="1"/>
  <c r="J83" i="1"/>
  <c r="J48" i="1"/>
  <c r="M44" i="1"/>
  <c r="M46" i="1" s="1"/>
  <c r="M83" i="1" s="1"/>
  <c r="M21" i="1"/>
  <c r="M38" i="1" s="1"/>
  <c r="M36" i="1"/>
  <c r="M19" i="1"/>
  <c r="AL168" i="1"/>
  <c r="AL228" i="1" s="1"/>
  <c r="J207" i="1"/>
  <c r="J149" i="1"/>
  <c r="J71" i="1"/>
  <c r="J72" i="1" s="1"/>
  <c r="J172" i="1"/>
  <c r="J232" i="1" s="1"/>
  <c r="J88" i="1"/>
  <c r="J169" i="1"/>
  <c r="J229" i="1" s="1"/>
  <c r="J225" i="1"/>
  <c r="J223" i="1"/>
  <c r="J261" i="1"/>
  <c r="AL85" i="1"/>
  <c r="C777" i="6"/>
  <c r="D768" i="6"/>
  <c r="AK209" i="1"/>
  <c r="C724" i="6"/>
  <c r="H793" i="6"/>
  <c r="C773" i="6"/>
  <c r="D773" i="6"/>
  <c r="AK184" i="1"/>
  <c r="AK244" i="1" s="1"/>
  <c r="AK143" i="1"/>
  <c r="AK199" i="1" s="1"/>
  <c r="AK152" i="1"/>
  <c r="AK211" i="1" s="1"/>
  <c r="AK48" i="1"/>
  <c r="AK38" i="1"/>
  <c r="AK37" i="1"/>
  <c r="AK23" i="1"/>
  <c r="AK25" i="1" s="1"/>
  <c r="D822" i="6"/>
  <c r="D819" i="6"/>
  <c r="H844" i="6"/>
  <c r="C824" i="6"/>
  <c r="AJ21" i="4"/>
  <c r="AP28" i="4" l="1"/>
  <c r="AV179" i="1"/>
  <c r="AV239" i="1" s="1"/>
  <c r="AV74" i="1"/>
  <c r="AV180" i="1" s="1"/>
  <c r="AV240" i="1" s="1"/>
  <c r="AV266" i="1"/>
  <c r="AV263" i="1"/>
  <c r="AV261" i="1"/>
  <c r="AV257" i="1"/>
  <c r="AV260" i="1"/>
  <c r="AV258" i="1"/>
  <c r="E104" i="6"/>
  <c r="D109" i="6"/>
  <c r="E106" i="6"/>
  <c r="D138" i="6"/>
  <c r="E133" i="6"/>
  <c r="E135" i="6"/>
  <c r="AV191" i="1"/>
  <c r="AV154" i="1"/>
  <c r="AV153" i="1"/>
  <c r="AV192" i="1"/>
  <c r="AV149" i="1"/>
  <c r="AV207" i="1"/>
  <c r="F311" i="6"/>
  <c r="F313" i="6"/>
  <c r="AP21" i="4"/>
  <c r="AK21" i="4"/>
  <c r="AL14" i="4"/>
  <c r="AL18" i="4"/>
  <c r="AL20" i="4"/>
  <c r="AL17" i="4"/>
  <c r="AL21" i="4" s="1"/>
  <c r="AL45" i="4"/>
  <c r="AS72" i="1"/>
  <c r="AT72" i="1" s="1"/>
  <c r="AS177" i="1"/>
  <c r="AS237" i="1" s="1"/>
  <c r="AU261" i="1"/>
  <c r="AU258" i="1"/>
  <c r="AU260" i="1"/>
  <c r="AU257" i="1"/>
  <c r="AU263" i="1"/>
  <c r="AU266" i="1"/>
  <c r="AU149" i="1"/>
  <c r="AU207" i="1"/>
  <c r="AU153" i="1"/>
  <c r="AU192" i="1"/>
  <c r="AU191" i="1"/>
  <c r="AU154" i="1"/>
  <c r="F282" i="6"/>
  <c r="F284" i="6"/>
  <c r="AO169" i="1"/>
  <c r="AO229" i="1" s="1"/>
  <c r="AQ86" i="1"/>
  <c r="AS86" i="1"/>
  <c r="AR87" i="1"/>
  <c r="AR140" i="1" s="1"/>
  <c r="AR196" i="1" s="1"/>
  <c r="AS87" i="1"/>
  <c r="AS140" i="1" s="1"/>
  <c r="AS196" i="1" s="1"/>
  <c r="AS208" i="1"/>
  <c r="AS212" i="1"/>
  <c r="AS213" i="1"/>
  <c r="AP26" i="1"/>
  <c r="F351" i="6"/>
  <c r="AP86" i="1"/>
  <c r="F380" i="6"/>
  <c r="AR86" i="1"/>
  <c r="AR179" i="1"/>
  <c r="AR239" i="1" s="1"/>
  <c r="AR74" i="1"/>
  <c r="D449" i="6"/>
  <c r="F449" i="6" s="1"/>
  <c r="F447" i="6"/>
  <c r="AP87" i="1"/>
  <c r="E420" i="6"/>
  <c r="F418" i="6"/>
  <c r="AN177" i="1"/>
  <c r="AN237" i="1" s="1"/>
  <c r="AP30" i="1"/>
  <c r="AN74" i="1"/>
  <c r="AN180" i="1" s="1"/>
  <c r="AN240" i="1" s="1"/>
  <c r="AQ208" i="1"/>
  <c r="AQ212" i="1"/>
  <c r="AQ213" i="1"/>
  <c r="D512" i="6"/>
  <c r="D515" i="6"/>
  <c r="D517" i="6" s="1"/>
  <c r="AL23" i="1"/>
  <c r="AL25" i="1" s="1"/>
  <c r="AL30" i="1" s="1"/>
  <c r="AM268" i="1"/>
  <c r="AK268" i="1"/>
  <c r="M268" i="1"/>
  <c r="AL37" i="1"/>
  <c r="J153" i="1"/>
  <c r="J154" i="1"/>
  <c r="AO83" i="1"/>
  <c r="AP47" i="1"/>
  <c r="AN83" i="1"/>
  <c r="AO172" i="1"/>
  <c r="AO232" i="1" s="1"/>
  <c r="AO71" i="1"/>
  <c r="AO72" i="1" s="1"/>
  <c r="AP72" i="1" s="1"/>
  <c r="AN179" i="1"/>
  <c r="AN239" i="1" s="1"/>
  <c r="C620" i="6"/>
  <c r="C672" i="6"/>
  <c r="AM180" i="1"/>
  <c r="AM240" i="1" s="1"/>
  <c r="AM30" i="1"/>
  <c r="AM26" i="1"/>
  <c r="M45" i="4"/>
  <c r="M17" i="4"/>
  <c r="M20" i="4"/>
  <c r="M19" i="4"/>
  <c r="M18" i="4"/>
  <c r="M143" i="1"/>
  <c r="M199" i="1" s="1"/>
  <c r="M152" i="1"/>
  <c r="M211" i="1" s="1"/>
  <c r="J30" i="1"/>
  <c r="J86" i="1"/>
  <c r="M48" i="1"/>
  <c r="M23" i="1"/>
  <c r="M25" i="1" s="1"/>
  <c r="M30" i="1" s="1"/>
  <c r="M37" i="1"/>
  <c r="M168" i="1"/>
  <c r="M228" i="1" s="1"/>
  <c r="M85" i="1"/>
  <c r="J179" i="1"/>
  <c r="J239" i="1" s="1"/>
  <c r="J177" i="1"/>
  <c r="J237" i="1" s="1"/>
  <c r="J208" i="1"/>
  <c r="J212" i="1"/>
  <c r="J213" i="1"/>
  <c r="F741" i="6"/>
  <c r="F738" i="6"/>
  <c r="D712" i="6"/>
  <c r="D738" i="6"/>
  <c r="D711" i="6"/>
  <c r="F740" i="6"/>
  <c r="F736" i="6"/>
  <c r="D718" i="6"/>
  <c r="D707" i="6"/>
  <c r="D740" i="6"/>
  <c r="D736" i="6"/>
  <c r="D716" i="6"/>
  <c r="D706" i="6"/>
  <c r="D703" i="6"/>
  <c r="D713" i="6"/>
  <c r="D714" i="6"/>
  <c r="F737" i="6"/>
  <c r="D737" i="6"/>
  <c r="F739" i="6"/>
  <c r="D721" i="6"/>
  <c r="D739" i="6"/>
  <c r="D705" i="6"/>
  <c r="D741" i="6"/>
  <c r="D709" i="6"/>
  <c r="D701" i="6"/>
  <c r="D708" i="6"/>
  <c r="D710" i="6"/>
  <c r="D730" i="6"/>
  <c r="D719" i="6"/>
  <c r="D731" i="6"/>
  <c r="D700" i="6"/>
  <c r="C775" i="6"/>
  <c r="AK30" i="1"/>
  <c r="AK26" i="1"/>
  <c r="D824" i="6"/>
  <c r="C826" i="6"/>
  <c r="M72" i="1" l="1"/>
  <c r="AV208" i="1"/>
  <c r="AV212" i="1"/>
  <c r="AV213" i="1"/>
  <c r="F133" i="6"/>
  <c r="F135" i="6"/>
  <c r="F104" i="6"/>
  <c r="F106" i="6"/>
  <c r="AS179" i="1"/>
  <c r="AS239" i="1" s="1"/>
  <c r="AS74" i="1"/>
  <c r="AS180" i="1" s="1"/>
  <c r="AS240" i="1" s="1"/>
  <c r="AU213" i="1"/>
  <c r="AU212" i="1"/>
  <c r="AU208" i="1"/>
  <c r="AL26" i="1"/>
  <c r="AR180" i="1"/>
  <c r="AR240" i="1" s="1"/>
  <c r="AN86" i="1"/>
  <c r="AO86" i="1"/>
  <c r="AO177" i="1"/>
  <c r="AO237" i="1" s="1"/>
  <c r="AO179" i="1"/>
  <c r="AO239" i="1" s="1"/>
  <c r="M21" i="4"/>
  <c r="M86" i="1"/>
  <c r="M26" i="1"/>
  <c r="J74" i="1"/>
  <c r="J180" i="1" s="1"/>
  <c r="J240" i="1" s="1"/>
  <c r="H741" i="6"/>
  <c r="H737" i="6"/>
  <c r="H739" i="6"/>
  <c r="D732" i="6"/>
  <c r="H738" i="6"/>
  <c r="H736" i="6"/>
  <c r="D742" i="6"/>
  <c r="D715" i="6"/>
  <c r="H740" i="6"/>
  <c r="F742" i="6"/>
  <c r="AJ54" i="1"/>
  <c r="AJ205" i="1"/>
  <c r="AJ217" i="1" s="1"/>
  <c r="AJ204" i="1"/>
  <c r="AJ216" i="1" s="1"/>
  <c r="AJ174" i="1"/>
  <c r="AJ234" i="1" s="1"/>
  <c r="AJ167" i="1"/>
  <c r="AJ227" i="1" s="1"/>
  <c r="AJ157" i="1"/>
  <c r="AJ156" i="1"/>
  <c r="AJ151" i="1"/>
  <c r="AJ210" i="1" s="1"/>
  <c r="AJ146" i="1"/>
  <c r="AJ145" i="1"/>
  <c r="AJ130" i="1"/>
  <c r="AJ116" i="1"/>
  <c r="AJ115" i="1"/>
  <c r="AJ112" i="1"/>
  <c r="AJ107" i="1"/>
  <c r="AJ102" i="1"/>
  <c r="AJ100" i="1"/>
  <c r="AJ97" i="1"/>
  <c r="AJ178" i="1"/>
  <c r="AJ238" i="1" s="1"/>
  <c r="AJ171" i="1"/>
  <c r="AJ231" i="1" s="1"/>
  <c r="AJ168" i="1"/>
  <c r="AJ228" i="1" s="1"/>
  <c r="AJ43" i="1"/>
  <c r="AJ58" i="1" s="1"/>
  <c r="AJ79" i="1" s="1"/>
  <c r="AJ90" i="1" s="1"/>
  <c r="AJ39" i="1"/>
  <c r="AJ35" i="1"/>
  <c r="AJ34" i="1"/>
  <c r="AJ33" i="1"/>
  <c r="AJ10" i="1"/>
  <c r="AJ8" i="1"/>
  <c r="C874" i="6"/>
  <c r="C883" i="6" s="1"/>
  <c r="C876" i="6"/>
  <c r="N847" i="6"/>
  <c r="D871" i="6" s="1"/>
  <c r="E895" i="6"/>
  <c r="C895" i="6"/>
  <c r="G894" i="6"/>
  <c r="G893" i="6"/>
  <c r="G892" i="6"/>
  <c r="G891" i="6"/>
  <c r="G890" i="6"/>
  <c r="G889" i="6"/>
  <c r="B883" i="6"/>
  <c r="C863" i="6"/>
  <c r="C865" i="6" s="1"/>
  <c r="C868" i="6" s="1"/>
  <c r="C870" i="6" s="1"/>
  <c r="AF9" i="4"/>
  <c r="AE37" i="4"/>
  <c r="AI37" i="4"/>
  <c r="AI38" i="4" s="1"/>
  <c r="AA37" i="4"/>
  <c r="W37" i="4"/>
  <c r="S37" i="4"/>
  <c r="O37" i="4"/>
  <c r="H37" i="4"/>
  <c r="G37" i="4"/>
  <c r="F37" i="4"/>
  <c r="E37" i="4"/>
  <c r="D37" i="4"/>
  <c r="C37" i="4"/>
  <c r="AI61" i="4"/>
  <c r="AI54" i="4"/>
  <c r="AI49" i="4"/>
  <c r="AI44" i="4"/>
  <c r="AI43" i="4"/>
  <c r="AI42" i="4"/>
  <c r="AI41" i="4"/>
  <c r="AI13" i="4"/>
  <c r="AH24" i="1"/>
  <c r="AH28" i="1"/>
  <c r="AH29" i="1"/>
  <c r="AH22" i="1"/>
  <c r="AH20" i="1"/>
  <c r="AH17" i="1"/>
  <c r="AH16" i="1"/>
  <c r="AH15" i="1"/>
  <c r="AH14" i="1"/>
  <c r="AH13" i="1"/>
  <c r="AI92" i="1"/>
  <c r="AI70" i="1"/>
  <c r="AI69" i="1"/>
  <c r="AI67" i="1"/>
  <c r="AI64" i="1"/>
  <c r="AI60" i="1"/>
  <c r="AJ60" i="1" s="1"/>
  <c r="AE51" i="1"/>
  <c r="AF51" i="1" s="1"/>
  <c r="AG51" i="1" s="1"/>
  <c r="AI205" i="1"/>
  <c r="AI217" i="1" s="1"/>
  <c r="AI204" i="1"/>
  <c r="AI216" i="1" s="1"/>
  <c r="AI178" i="1"/>
  <c r="AI238" i="1" s="1"/>
  <c r="AI174" i="1"/>
  <c r="AI234" i="1" s="1"/>
  <c r="AI171" i="1"/>
  <c r="AI231" i="1" s="1"/>
  <c r="AI168" i="1"/>
  <c r="AI228" i="1" s="1"/>
  <c r="AI167" i="1"/>
  <c r="AI227" i="1" s="1"/>
  <c r="AI157" i="1"/>
  <c r="AI156" i="1"/>
  <c r="AI151" i="1"/>
  <c r="AI210" i="1" s="1"/>
  <c r="AI146" i="1"/>
  <c r="AI145" i="1"/>
  <c r="AI130" i="1"/>
  <c r="AI116" i="1"/>
  <c r="AI115" i="1"/>
  <c r="AI112" i="1"/>
  <c r="AI107" i="1"/>
  <c r="AI102" i="1"/>
  <c r="AI100" i="1"/>
  <c r="AI97" i="1"/>
  <c r="AI56" i="1"/>
  <c r="AI55" i="1"/>
  <c r="AI43" i="1"/>
  <c r="AI58" i="1" s="1"/>
  <c r="AI79" i="1" s="1"/>
  <c r="AI90" i="1" s="1"/>
  <c r="AI39" i="1"/>
  <c r="AI35" i="1"/>
  <c r="AI34" i="1"/>
  <c r="AI33" i="1"/>
  <c r="AI10" i="1"/>
  <c r="AM11" i="1" s="1"/>
  <c r="AI8" i="1"/>
  <c r="AG102" i="1"/>
  <c r="AF102" i="1"/>
  <c r="AE102" i="1"/>
  <c r="AC102" i="1"/>
  <c r="AB102" i="1"/>
  <c r="AA102" i="1"/>
  <c r="AG100" i="1"/>
  <c r="AF100" i="1"/>
  <c r="AE100" i="1"/>
  <c r="AC100" i="1"/>
  <c r="AB100" i="1"/>
  <c r="AA100" i="1"/>
  <c r="I102" i="1"/>
  <c r="H102" i="1"/>
  <c r="G102" i="1"/>
  <c r="F102" i="1"/>
  <c r="I100" i="1"/>
  <c r="H100" i="1"/>
  <c r="G100" i="1"/>
  <c r="F100" i="1"/>
  <c r="AG9" i="4" l="1"/>
  <c r="AJ24" i="4"/>
  <c r="AM28" i="4"/>
  <c r="AO74" i="1"/>
  <c r="AO180" i="1" s="1"/>
  <c r="AO240" i="1" s="1"/>
  <c r="AN11" i="1"/>
  <c r="AM81" i="1"/>
  <c r="AN52" i="1"/>
  <c r="AJ70" i="1"/>
  <c r="AI18" i="1"/>
  <c r="AI44" i="1" s="1"/>
  <c r="AI46" i="1" s="1"/>
  <c r="AM47" i="1" s="1"/>
  <c r="AL81" i="1"/>
  <c r="AJ56" i="1"/>
  <c r="AL54" i="1"/>
  <c r="D720" i="6"/>
  <c r="D717" i="6"/>
  <c r="H742" i="6"/>
  <c r="D864" i="6"/>
  <c r="AJ101" i="1"/>
  <c r="AJ14" i="4"/>
  <c r="AJ38" i="4"/>
  <c r="D884" i="6"/>
  <c r="D894" i="6"/>
  <c r="D867" i="6"/>
  <c r="F889" i="6"/>
  <c r="F894" i="6"/>
  <c r="D853" i="6"/>
  <c r="D859" i="6"/>
  <c r="D890" i="6"/>
  <c r="D860" i="6"/>
  <c r="AI176" i="1"/>
  <c r="AI236" i="1" s="1"/>
  <c r="D862" i="6"/>
  <c r="F893" i="6"/>
  <c r="AI166" i="1"/>
  <c r="AI226" i="1" s="1"/>
  <c r="F890" i="6"/>
  <c r="AI170" i="1"/>
  <c r="AI230" i="1" s="1"/>
  <c r="AJ64" i="1"/>
  <c r="AI173" i="1"/>
  <c r="AI233" i="1" s="1"/>
  <c r="AJ67" i="1"/>
  <c r="AI14" i="4"/>
  <c r="D866" i="6"/>
  <c r="AI175" i="1"/>
  <c r="AI235" i="1" s="1"/>
  <c r="AJ69" i="1"/>
  <c r="AJ117" i="1"/>
  <c r="AJ127" i="1" s="1"/>
  <c r="AJ55" i="1"/>
  <c r="AJ18" i="1"/>
  <c r="AJ53" i="1"/>
  <c r="D854" i="6"/>
  <c r="D869" i="6"/>
  <c r="AJ159" i="1"/>
  <c r="AN160" i="1" s="1"/>
  <c r="D856" i="6"/>
  <c r="D872" i="6"/>
  <c r="F891" i="6"/>
  <c r="AJ59" i="1"/>
  <c r="AJ161" i="1"/>
  <c r="AN162" i="1" s="1"/>
  <c r="G895" i="6"/>
  <c r="D892" i="6"/>
  <c r="F892" i="6"/>
  <c r="D883" i="6"/>
  <c r="C885" i="6"/>
  <c r="D865" i="6"/>
  <c r="D863" i="6"/>
  <c r="D858" i="6"/>
  <c r="D874" i="6"/>
  <c r="D889" i="6"/>
  <c r="D891" i="6"/>
  <c r="D893" i="6"/>
  <c r="D861" i="6"/>
  <c r="AI48" i="4"/>
  <c r="AI18" i="4"/>
  <c r="AI17" i="4"/>
  <c r="AI19" i="4"/>
  <c r="AI20" i="4"/>
  <c r="AI45" i="4"/>
  <c r="AI117" i="1"/>
  <c r="AI127" i="1" s="1"/>
  <c r="AI159" i="1"/>
  <c r="AI59" i="1"/>
  <c r="AI63" i="1" s="1"/>
  <c r="AI101" i="1"/>
  <c r="AI53" i="1"/>
  <c r="AI161" i="1"/>
  <c r="AM162" i="1" s="1"/>
  <c r="AK24" i="4" l="1"/>
  <c r="AO52" i="1"/>
  <c r="AL56" i="1"/>
  <c r="AK60" i="1"/>
  <c r="AK166" i="1" s="1"/>
  <c r="AK226" i="1" s="1"/>
  <c r="AK70" i="1"/>
  <c r="AK64" i="1"/>
  <c r="AK170" i="1" s="1"/>
  <c r="AK230" i="1" s="1"/>
  <c r="AI219" i="1"/>
  <c r="AM220" i="1" s="1"/>
  <c r="AM160" i="1"/>
  <c r="AK67" i="1"/>
  <c r="AK173" i="1" s="1"/>
  <c r="AK233" i="1" s="1"/>
  <c r="AJ21" i="1"/>
  <c r="AJ38" i="1" s="1"/>
  <c r="AM82" i="1"/>
  <c r="AK69" i="1"/>
  <c r="AM147" i="1"/>
  <c r="AM206" i="1" s="1"/>
  <c r="AM98" i="1"/>
  <c r="AM41" i="1"/>
  <c r="AJ176" i="1"/>
  <c r="AJ236" i="1" s="1"/>
  <c r="AI21" i="1"/>
  <c r="AI23" i="1" s="1"/>
  <c r="AI25" i="1" s="1"/>
  <c r="AL82" i="1"/>
  <c r="AI36" i="1"/>
  <c r="AK38" i="4"/>
  <c r="AL51" i="1"/>
  <c r="AN84" i="1" s="1"/>
  <c r="C621" i="6" s="1"/>
  <c r="AI19" i="1"/>
  <c r="AL147" i="1"/>
  <c r="AL206" i="1" s="1"/>
  <c r="AL41" i="1"/>
  <c r="AL98" i="1"/>
  <c r="D722" i="6"/>
  <c r="H894" i="6"/>
  <c r="D868" i="6"/>
  <c r="D870" i="6" s="1"/>
  <c r="D885" i="6"/>
  <c r="H893" i="6"/>
  <c r="AJ173" i="1"/>
  <c r="AJ233" i="1" s="1"/>
  <c r="AJ166" i="1"/>
  <c r="AJ226" i="1" s="1"/>
  <c r="AK53" i="1"/>
  <c r="AK161" i="1"/>
  <c r="AO162" i="1" s="1"/>
  <c r="AK50" i="1"/>
  <c r="AK59" i="1"/>
  <c r="AK55" i="1"/>
  <c r="AJ175" i="1"/>
  <c r="AJ235" i="1" s="1"/>
  <c r="AJ170" i="1"/>
  <c r="AJ230" i="1" s="1"/>
  <c r="H890" i="6"/>
  <c r="AJ123" i="1"/>
  <c r="C828" i="6" s="1"/>
  <c r="AJ150" i="1"/>
  <c r="AJ209" i="1" s="1"/>
  <c r="AJ122" i="1"/>
  <c r="AJ152" i="1" s="1"/>
  <c r="AJ211" i="1" s="1"/>
  <c r="H891" i="6"/>
  <c r="AJ36" i="1"/>
  <c r="AJ44" i="1"/>
  <c r="AJ46" i="1" s="1"/>
  <c r="AJ19" i="1"/>
  <c r="AJ163" i="1"/>
  <c r="AJ221" i="1"/>
  <c r="F895" i="6"/>
  <c r="AJ165" i="1"/>
  <c r="AJ63" i="1"/>
  <c r="AJ66" i="1" s="1"/>
  <c r="AJ219" i="1"/>
  <c r="AN220" i="1" s="1"/>
  <c r="H892" i="6"/>
  <c r="H889" i="6"/>
  <c r="D895" i="6"/>
  <c r="C873" i="6"/>
  <c r="AI21" i="4"/>
  <c r="AI122" i="1"/>
  <c r="AI184" i="1" s="1"/>
  <c r="AI244" i="1" s="1"/>
  <c r="AI150" i="1"/>
  <c r="AI209" i="1" s="1"/>
  <c r="AI123" i="1"/>
  <c r="AI183" i="1" s="1"/>
  <c r="AI243" i="1" s="1"/>
  <c r="AI165" i="1"/>
  <c r="AI66" i="1"/>
  <c r="AI50" i="1"/>
  <c r="AI48" i="1"/>
  <c r="AI163" i="1"/>
  <c r="AI221" i="1"/>
  <c r="H67" i="1"/>
  <c r="H65" i="1"/>
  <c r="AH69" i="4"/>
  <c r="AH68" i="4"/>
  <c r="AH67" i="4"/>
  <c r="AH66" i="4"/>
  <c r="AH63" i="4"/>
  <c r="AH62" i="4"/>
  <c r="AH59" i="4"/>
  <c r="AH56" i="4"/>
  <c r="AH55" i="4"/>
  <c r="AH52" i="4"/>
  <c r="AH50" i="4"/>
  <c r="I67" i="1"/>
  <c r="I65" i="1"/>
  <c r="N898" i="6"/>
  <c r="F945" i="6" s="1"/>
  <c r="E946" i="6"/>
  <c r="C946" i="6"/>
  <c r="G945" i="6"/>
  <c r="G944" i="6"/>
  <c r="G943" i="6"/>
  <c r="G942" i="6"/>
  <c r="G941" i="6"/>
  <c r="G940" i="6"/>
  <c r="B934" i="6"/>
  <c r="C914" i="6"/>
  <c r="C916" i="6" s="1"/>
  <c r="C919" i="6" s="1"/>
  <c r="AI268" i="1" l="1"/>
  <c r="AM222" i="1"/>
  <c r="AN222" i="1"/>
  <c r="AI37" i="1"/>
  <c r="AJ23" i="1"/>
  <c r="AJ25" i="1" s="1"/>
  <c r="AJ30" i="1" s="1"/>
  <c r="AJ37" i="1"/>
  <c r="AO84" i="1"/>
  <c r="C571" i="6" s="1"/>
  <c r="D571" i="6" s="1"/>
  <c r="M161" i="1"/>
  <c r="AL70" i="1"/>
  <c r="AL69" i="1"/>
  <c r="AK176" i="1"/>
  <c r="AK236" i="1" s="1"/>
  <c r="AL67" i="1"/>
  <c r="AL60" i="1"/>
  <c r="AL64" i="1"/>
  <c r="AL83" i="1"/>
  <c r="AN47" i="1"/>
  <c r="AM83" i="1"/>
  <c r="AK175" i="1"/>
  <c r="AK235" i="1" s="1"/>
  <c r="AM84" i="1"/>
  <c r="AN138" i="1"/>
  <c r="AN194" i="1" s="1"/>
  <c r="AN141" i="1"/>
  <c r="AN197" i="1" s="1"/>
  <c r="AN148" i="1"/>
  <c r="AN186" i="1"/>
  <c r="AN246" i="1" s="1"/>
  <c r="AN133" i="1"/>
  <c r="AN189" i="1" s="1"/>
  <c r="AN135" i="1"/>
  <c r="AN136" i="1"/>
  <c r="AN132" i="1"/>
  <c r="AN188" i="1" s="1"/>
  <c r="AL38" i="4"/>
  <c r="AI38" i="1"/>
  <c r="M56" i="1"/>
  <c r="AL59" i="1"/>
  <c r="AL50" i="1"/>
  <c r="AL55" i="1"/>
  <c r="AL161" i="1"/>
  <c r="AL53" i="1"/>
  <c r="AL84" i="1"/>
  <c r="C725" i="6" s="1"/>
  <c r="AJ184" i="1"/>
  <c r="AJ244" i="1" s="1"/>
  <c r="AJ143" i="1"/>
  <c r="AJ199" i="1" s="1"/>
  <c r="D873" i="6"/>
  <c r="D875" i="6" s="1"/>
  <c r="AK163" i="1"/>
  <c r="AK221" i="1"/>
  <c r="AJ183" i="1"/>
  <c r="AJ243" i="1" s="1"/>
  <c r="AK165" i="1"/>
  <c r="AK63" i="1"/>
  <c r="AK66" i="1" s="1"/>
  <c r="H895" i="6"/>
  <c r="C879" i="6"/>
  <c r="AI143" i="1"/>
  <c r="AI199" i="1" s="1"/>
  <c r="AI152" i="1"/>
  <c r="AI211" i="1" s="1"/>
  <c r="AJ50" i="1"/>
  <c r="AJ48" i="1"/>
  <c r="AJ225" i="1"/>
  <c r="AJ169" i="1"/>
  <c r="AJ229" i="1" s="1"/>
  <c r="AJ223" i="1"/>
  <c r="AJ71" i="1"/>
  <c r="AJ72" i="1" s="1"/>
  <c r="AJ172" i="1"/>
  <c r="AJ232" i="1" s="1"/>
  <c r="C875" i="6"/>
  <c r="AI26" i="1"/>
  <c r="AI30" i="1"/>
  <c r="AI71" i="1"/>
  <c r="AI72" i="1" s="1"/>
  <c r="AI172" i="1"/>
  <c r="AI232" i="1" s="1"/>
  <c r="AI225" i="1"/>
  <c r="AI169" i="1"/>
  <c r="AI229" i="1" s="1"/>
  <c r="AI223" i="1"/>
  <c r="D912" i="6"/>
  <c r="D913" i="6"/>
  <c r="D922" i="6"/>
  <c r="D943" i="6"/>
  <c r="F940" i="6"/>
  <c r="F941" i="6"/>
  <c r="D904" i="6"/>
  <c r="D914" i="6"/>
  <c r="D945" i="6"/>
  <c r="D905" i="6"/>
  <c r="D915" i="6"/>
  <c r="D907" i="6"/>
  <c r="D916" i="6"/>
  <c r="D935" i="6"/>
  <c r="D909" i="6"/>
  <c r="D917" i="6"/>
  <c r="D940" i="6"/>
  <c r="F942" i="6"/>
  <c r="D923" i="6"/>
  <c r="D944" i="6"/>
  <c r="D910" i="6"/>
  <c r="D918" i="6"/>
  <c r="D941" i="6"/>
  <c r="F943" i="6"/>
  <c r="D911" i="6"/>
  <c r="D920" i="6"/>
  <c r="D942" i="6"/>
  <c r="F944" i="6"/>
  <c r="AH61" i="4"/>
  <c r="G946" i="6"/>
  <c r="C924" i="6"/>
  <c r="C921" i="6"/>
  <c r="AH54" i="4"/>
  <c r="AH49" i="4"/>
  <c r="I61" i="4"/>
  <c r="I54" i="4"/>
  <c r="I49" i="4"/>
  <c r="I44" i="4"/>
  <c r="I43" i="4"/>
  <c r="I42" i="4"/>
  <c r="I41" i="4"/>
  <c r="I13" i="4"/>
  <c r="AH201" i="1"/>
  <c r="I202" i="1"/>
  <c r="I92" i="1"/>
  <c r="AH92" i="1" s="1"/>
  <c r="I173" i="1"/>
  <c r="I233" i="1" s="1"/>
  <c r="I70" i="1"/>
  <c r="I176" i="1" s="1"/>
  <c r="I236" i="1" s="1"/>
  <c r="I69" i="1"/>
  <c r="I175" i="1" s="1"/>
  <c r="I235" i="1" s="1"/>
  <c r="I64" i="1"/>
  <c r="H60" i="1"/>
  <c r="I60" i="1"/>
  <c r="I166" i="1" s="1"/>
  <c r="I226" i="1" s="1"/>
  <c r="J52" i="1"/>
  <c r="AH126" i="1"/>
  <c r="AH255" i="1" s="1"/>
  <c r="AH125" i="1"/>
  <c r="AH248" i="1" s="1"/>
  <c r="AH119" i="1"/>
  <c r="AH111" i="1"/>
  <c r="AH252" i="1" s="1"/>
  <c r="AH110" i="1"/>
  <c r="AH251" i="1" s="1"/>
  <c r="AH106" i="1"/>
  <c r="AH105" i="1"/>
  <c r="AH96" i="1"/>
  <c r="AH95" i="1"/>
  <c r="AH94" i="1"/>
  <c r="AH93" i="1"/>
  <c r="AH45" i="1"/>
  <c r="AH9" i="1"/>
  <c r="AH7" i="1"/>
  <c r="AA8" i="1"/>
  <c r="AA10" i="1"/>
  <c r="AA33" i="1"/>
  <c r="AA34" i="1"/>
  <c r="AA35" i="1"/>
  <c r="AA39" i="1"/>
  <c r="AA43" i="1"/>
  <c r="AA58" i="1" s="1"/>
  <c r="AA79" i="1" s="1"/>
  <c r="AA90" i="1" s="1"/>
  <c r="AA51" i="1"/>
  <c r="AA161" i="1" s="1"/>
  <c r="AA56" i="1"/>
  <c r="AA60" i="1"/>
  <c r="AA166" i="1" s="1"/>
  <c r="AA226" i="1" s="1"/>
  <c r="AA64" i="1"/>
  <c r="AA170" i="1" s="1"/>
  <c r="AA230" i="1" s="1"/>
  <c r="AA67" i="1"/>
  <c r="AA173" i="1" s="1"/>
  <c r="AA233" i="1" s="1"/>
  <c r="AA69" i="1"/>
  <c r="AA175" i="1" s="1"/>
  <c r="AA235" i="1" s="1"/>
  <c r="AA70" i="1"/>
  <c r="AA176" i="1" s="1"/>
  <c r="AA236" i="1" s="1"/>
  <c r="AA92" i="1"/>
  <c r="AA97" i="1"/>
  <c r="AA107" i="1"/>
  <c r="AA112" i="1"/>
  <c r="AA115" i="1"/>
  <c r="AA116" i="1"/>
  <c r="AA130" i="1"/>
  <c r="AA145" i="1"/>
  <c r="AA146" i="1"/>
  <c r="AA151" i="1"/>
  <c r="AA210" i="1" s="1"/>
  <c r="AA156" i="1"/>
  <c r="AA157" i="1"/>
  <c r="AA167" i="1"/>
  <c r="AA227" i="1" s="1"/>
  <c r="AA168" i="1"/>
  <c r="AA228" i="1" s="1"/>
  <c r="AA171" i="1"/>
  <c r="AA231" i="1" s="1"/>
  <c r="AA174" i="1"/>
  <c r="AA234" i="1" s="1"/>
  <c r="AA178" i="1"/>
  <c r="AA238" i="1" s="1"/>
  <c r="AA204" i="1"/>
  <c r="AA216" i="1" s="1"/>
  <c r="AA205" i="1"/>
  <c r="AA217" i="1" s="1"/>
  <c r="AH205" i="1"/>
  <c r="AH217" i="1" s="1"/>
  <c r="AH204" i="1"/>
  <c r="AH216" i="1" s="1"/>
  <c r="AH157" i="1"/>
  <c r="AH156" i="1"/>
  <c r="AH146" i="1"/>
  <c r="AH145" i="1"/>
  <c r="AH130" i="1"/>
  <c r="AH43" i="1"/>
  <c r="AH58" i="1" s="1"/>
  <c r="AH79" i="1" s="1"/>
  <c r="AH90" i="1" s="1"/>
  <c r="I205" i="1"/>
  <c r="I217" i="1" s="1"/>
  <c r="I204" i="1"/>
  <c r="I216" i="1" s="1"/>
  <c r="I178" i="1"/>
  <c r="I238" i="1" s="1"/>
  <c r="I174" i="1"/>
  <c r="I234" i="1" s="1"/>
  <c r="I168" i="1"/>
  <c r="I228" i="1" s="1"/>
  <c r="I167" i="1"/>
  <c r="I227" i="1" s="1"/>
  <c r="I157" i="1"/>
  <c r="I156" i="1"/>
  <c r="I151" i="1"/>
  <c r="I146" i="1"/>
  <c r="I145" i="1"/>
  <c r="I130" i="1"/>
  <c r="I116" i="1"/>
  <c r="AH116" i="1" s="1"/>
  <c r="I115" i="1"/>
  <c r="AH115" i="1" s="1"/>
  <c r="I112" i="1"/>
  <c r="I107" i="1"/>
  <c r="AH107" i="1" s="1"/>
  <c r="I97" i="1"/>
  <c r="I85" i="1"/>
  <c r="I56" i="1"/>
  <c r="I43" i="1"/>
  <c r="I58" i="1" s="1"/>
  <c r="I79" i="1" s="1"/>
  <c r="I90" i="1" s="1"/>
  <c r="I39" i="1"/>
  <c r="I35" i="1"/>
  <c r="I34" i="1"/>
  <c r="I33" i="1"/>
  <c r="I10" i="1"/>
  <c r="J11" i="1" s="1"/>
  <c r="I8" i="1"/>
  <c r="C978" i="6"/>
  <c r="C976" i="6"/>
  <c r="N950" i="6"/>
  <c r="N949" i="6"/>
  <c r="E997" i="6"/>
  <c r="C997" i="6"/>
  <c r="G996" i="6"/>
  <c r="G995" i="6"/>
  <c r="G994" i="6"/>
  <c r="G993" i="6"/>
  <c r="G992" i="6"/>
  <c r="G991" i="6"/>
  <c r="B985" i="6"/>
  <c r="C965" i="6"/>
  <c r="C967" i="6" s="1"/>
  <c r="AG61" i="4"/>
  <c r="AG54" i="4"/>
  <c r="AG49" i="4"/>
  <c r="AG92" i="1"/>
  <c r="AG205" i="1"/>
  <c r="AG217" i="1" s="1"/>
  <c r="AG204" i="1"/>
  <c r="AG216" i="1" s="1"/>
  <c r="AG157" i="1"/>
  <c r="AG156" i="1"/>
  <c r="AG151" i="1"/>
  <c r="AG210" i="1" s="1"/>
  <c r="AG146" i="1"/>
  <c r="AG145" i="1"/>
  <c r="AG130" i="1"/>
  <c r="AG116" i="1"/>
  <c r="AG115" i="1"/>
  <c r="AG112" i="1"/>
  <c r="AG107" i="1"/>
  <c r="AG97" i="1"/>
  <c r="AG43" i="1"/>
  <c r="AG58" i="1" s="1"/>
  <c r="AG79" i="1" s="1"/>
  <c r="AG90" i="1" s="1"/>
  <c r="AG39" i="1"/>
  <c r="AG35" i="1"/>
  <c r="AG34" i="1"/>
  <c r="AG33" i="1"/>
  <c r="AG10" i="1"/>
  <c r="AG8" i="1"/>
  <c r="H56" i="1"/>
  <c r="AF61" i="4"/>
  <c r="AF54" i="4"/>
  <c r="AF49" i="4"/>
  <c r="AB34" i="4"/>
  <c r="AF32" i="4"/>
  <c r="AG32" i="4" s="1"/>
  <c r="AF34" i="4"/>
  <c r="AF11" i="4"/>
  <c r="C1029" i="6"/>
  <c r="C1027" i="6"/>
  <c r="N1001" i="6"/>
  <c r="N1000" i="6"/>
  <c r="F1048" i="6" s="1"/>
  <c r="E1049" i="6"/>
  <c r="C1049" i="6"/>
  <c r="G1048" i="6"/>
  <c r="G1047" i="6"/>
  <c r="G1046" i="6"/>
  <c r="G1045" i="6"/>
  <c r="G1044" i="6"/>
  <c r="G1043" i="6"/>
  <c r="G1042" i="6"/>
  <c r="B1036" i="6"/>
  <c r="C1016" i="6"/>
  <c r="C1018" i="6" s="1"/>
  <c r="AF205" i="1"/>
  <c r="AF217" i="1" s="1"/>
  <c r="AE205" i="1"/>
  <c r="AE217" i="1" s="1"/>
  <c r="AF204" i="1"/>
  <c r="AF216" i="1" s="1"/>
  <c r="AE204" i="1"/>
  <c r="AE216" i="1" s="1"/>
  <c r="AE178" i="1"/>
  <c r="AE238" i="1" s="1"/>
  <c r="AE174" i="1"/>
  <c r="AE234" i="1" s="1"/>
  <c r="AE171" i="1"/>
  <c r="AE231" i="1" s="1"/>
  <c r="AE168" i="1"/>
  <c r="AE228" i="1" s="1"/>
  <c r="AE167" i="1"/>
  <c r="AE227" i="1" s="1"/>
  <c r="AF157" i="1"/>
  <c r="AE157" i="1"/>
  <c r="AF156" i="1"/>
  <c r="AE156" i="1"/>
  <c r="AF151" i="1"/>
  <c r="AF210" i="1" s="1"/>
  <c r="AE151" i="1"/>
  <c r="AE210" i="1" s="1"/>
  <c r="AF146" i="1"/>
  <c r="AE146" i="1"/>
  <c r="AF145" i="1"/>
  <c r="AE145" i="1"/>
  <c r="AF130" i="1"/>
  <c r="AE130" i="1"/>
  <c r="AF116" i="1"/>
  <c r="AE116" i="1"/>
  <c r="AF115" i="1"/>
  <c r="AE115" i="1"/>
  <c r="AF112" i="1"/>
  <c r="AE112" i="1"/>
  <c r="AF107" i="1"/>
  <c r="AE107" i="1"/>
  <c r="AF97" i="1"/>
  <c r="AE97" i="1"/>
  <c r="AF92" i="1"/>
  <c r="AF73" i="1"/>
  <c r="AF68" i="1"/>
  <c r="AF65" i="1"/>
  <c r="AG65" i="1" s="1"/>
  <c r="AF62" i="1"/>
  <c r="AF43" i="1"/>
  <c r="AF58" i="1" s="1"/>
  <c r="AF79" i="1" s="1"/>
  <c r="AF90" i="1" s="1"/>
  <c r="AE43" i="1"/>
  <c r="AE58" i="1" s="1"/>
  <c r="AE79" i="1" s="1"/>
  <c r="AE90" i="1" s="1"/>
  <c r="AE56" i="1"/>
  <c r="AF39" i="1"/>
  <c r="AE39" i="1"/>
  <c r="AF35" i="1"/>
  <c r="AE35" i="1"/>
  <c r="AF34" i="1"/>
  <c r="AE34" i="1"/>
  <c r="AF33" i="1"/>
  <c r="AE33" i="1"/>
  <c r="AF10" i="1"/>
  <c r="AE10" i="1"/>
  <c r="AI11" i="1" s="1"/>
  <c r="AE8" i="1"/>
  <c r="AF8" i="1"/>
  <c r="J28" i="4" l="1"/>
  <c r="AJ26" i="4"/>
  <c r="AN266" i="1"/>
  <c r="AN263" i="1"/>
  <c r="AN258" i="1"/>
  <c r="AN261" i="1"/>
  <c r="AN260" i="1"/>
  <c r="AN257" i="1"/>
  <c r="AL86" i="1"/>
  <c r="AO141" i="1"/>
  <c r="AO197" i="1" s="1"/>
  <c r="AH253" i="1"/>
  <c r="AM86" i="1"/>
  <c r="AO222" i="1"/>
  <c r="AJ26" i="1"/>
  <c r="I252" i="1"/>
  <c r="I251" i="1"/>
  <c r="I248" i="1"/>
  <c r="I255" i="1"/>
  <c r="AJ268" i="1"/>
  <c r="M38" i="4"/>
  <c r="M59" i="1"/>
  <c r="AO136" i="1"/>
  <c r="AO192" i="1" s="1"/>
  <c r="M53" i="1"/>
  <c r="AO132" i="1"/>
  <c r="AO188" i="1" s="1"/>
  <c r="AO186" i="1"/>
  <c r="AO246" i="1" s="1"/>
  <c r="AL175" i="1"/>
  <c r="AL235" i="1" s="1"/>
  <c r="M175" i="1"/>
  <c r="M235" i="1" s="1"/>
  <c r="AO133" i="1"/>
  <c r="AO189" i="1" s="1"/>
  <c r="AL176" i="1"/>
  <c r="AL236" i="1" s="1"/>
  <c r="M176" i="1"/>
  <c r="M236" i="1" s="1"/>
  <c r="AO135" i="1"/>
  <c r="AO154" i="1" s="1"/>
  <c r="E566" i="6"/>
  <c r="E568" i="6"/>
  <c r="AO148" i="1"/>
  <c r="AO207" i="1" s="1"/>
  <c r="AL166" i="1"/>
  <c r="AL226" i="1" s="1"/>
  <c r="AO138" i="1"/>
  <c r="AO194" i="1" s="1"/>
  <c r="AL173" i="1"/>
  <c r="AL233" i="1" s="1"/>
  <c r="M173" i="1"/>
  <c r="M233" i="1" s="1"/>
  <c r="AN87" i="1"/>
  <c r="AN140" i="1" s="1"/>
  <c r="AN196" i="1" s="1"/>
  <c r="AO87" i="1"/>
  <c r="AO140" i="1" s="1"/>
  <c r="AO196" i="1" s="1"/>
  <c r="M166" i="1"/>
  <c r="M226" i="1" s="1"/>
  <c r="AN154" i="1"/>
  <c r="AN191" i="1"/>
  <c r="AN207" i="1"/>
  <c r="AN149" i="1"/>
  <c r="AN192" i="1"/>
  <c r="AN153" i="1"/>
  <c r="AM141" i="1"/>
  <c r="AM197" i="1" s="1"/>
  <c r="C673" i="6"/>
  <c r="AM148" i="1"/>
  <c r="AM138" i="1"/>
  <c r="AM194" i="1" s="1"/>
  <c r="AM186" i="1"/>
  <c r="AM246" i="1" s="1"/>
  <c r="AM133" i="1"/>
  <c r="AM189" i="1" s="1"/>
  <c r="AM136" i="1"/>
  <c r="AM132" i="1"/>
  <c r="AM188" i="1" s="1"/>
  <c r="AM135" i="1"/>
  <c r="AL170" i="1"/>
  <c r="AL230" i="1" s="1"/>
  <c r="AN265" i="1" s="1"/>
  <c r="AL87" i="1"/>
  <c r="AL140" i="1" s="1"/>
  <c r="AL196" i="1" s="1"/>
  <c r="AM87" i="1"/>
  <c r="AM140" i="1" s="1"/>
  <c r="AM196" i="1" s="1"/>
  <c r="M50" i="1"/>
  <c r="M55" i="1"/>
  <c r="M84" i="1"/>
  <c r="M135" i="1" s="1"/>
  <c r="M221" i="1"/>
  <c r="M223" i="1" s="1"/>
  <c r="M163" i="1"/>
  <c r="AL8" i="1"/>
  <c r="AL148" i="1"/>
  <c r="AL141" i="1"/>
  <c r="AL197" i="1" s="1"/>
  <c r="AL186" i="1"/>
  <c r="AL246" i="1" s="1"/>
  <c r="AL138" i="1"/>
  <c r="AL194" i="1" s="1"/>
  <c r="AL132" i="1"/>
  <c r="AL188" i="1" s="1"/>
  <c r="AL133" i="1"/>
  <c r="AL189" i="1" s="1"/>
  <c r="AL136" i="1"/>
  <c r="AL135" i="1"/>
  <c r="AL163" i="1"/>
  <c r="AL221" i="1"/>
  <c r="AL165" i="1"/>
  <c r="AL63" i="1"/>
  <c r="AL66" i="1" s="1"/>
  <c r="N746" i="6"/>
  <c r="AK11" i="1"/>
  <c r="AK71" i="1"/>
  <c r="AK72" i="1" s="1"/>
  <c r="AK172" i="1"/>
  <c r="AK232" i="1" s="1"/>
  <c r="AK225" i="1"/>
  <c r="AK169" i="1"/>
  <c r="AK229" i="1" s="1"/>
  <c r="AK223" i="1"/>
  <c r="AF37" i="4"/>
  <c r="AF174" i="1"/>
  <c r="AF234" i="1" s="1"/>
  <c r="AG101" i="1"/>
  <c r="AF178" i="1"/>
  <c r="AF238" i="1" s="1"/>
  <c r="AJ177" i="1"/>
  <c r="AJ237" i="1" s="1"/>
  <c r="AJ179" i="1"/>
  <c r="AJ239" i="1" s="1"/>
  <c r="AJ11" i="1"/>
  <c r="AF171" i="1"/>
  <c r="AF231" i="1" s="1"/>
  <c r="AF167" i="1"/>
  <c r="AF227" i="1" s="1"/>
  <c r="AF56" i="1"/>
  <c r="C877" i="6"/>
  <c r="AF13" i="4"/>
  <c r="AF101" i="1"/>
  <c r="AF18" i="1"/>
  <c r="AF168" i="1"/>
  <c r="AF228" i="1" s="1"/>
  <c r="AI179" i="1"/>
  <c r="AI239" i="1" s="1"/>
  <c r="AI177" i="1"/>
  <c r="AI237" i="1" s="1"/>
  <c r="I159" i="1"/>
  <c r="I101" i="1"/>
  <c r="AA159" i="1"/>
  <c r="AA219" i="1" s="1"/>
  <c r="AA101" i="1"/>
  <c r="AE18" i="1"/>
  <c r="AE19" i="1" s="1"/>
  <c r="AE101" i="1"/>
  <c r="AH102" i="1"/>
  <c r="AH100" i="1"/>
  <c r="AA55" i="1"/>
  <c r="AH151" i="1"/>
  <c r="AH210" i="1" s="1"/>
  <c r="C925" i="6"/>
  <c r="C926" i="6" s="1"/>
  <c r="C927" i="6"/>
  <c r="N899" i="6"/>
  <c r="D969" i="6"/>
  <c r="D919" i="6"/>
  <c r="AH34" i="1"/>
  <c r="AA18" i="1"/>
  <c r="AA19" i="1" s="1"/>
  <c r="AA117" i="1"/>
  <c r="AA122" i="1" s="1"/>
  <c r="I55" i="1"/>
  <c r="I14" i="4"/>
  <c r="I38" i="4"/>
  <c r="AH54" i="1"/>
  <c r="AG34" i="4"/>
  <c r="AH48" i="4"/>
  <c r="AF42" i="4"/>
  <c r="AF41" i="4"/>
  <c r="AG11" i="4"/>
  <c r="I48" i="4"/>
  <c r="I17" i="4"/>
  <c r="I18" i="4"/>
  <c r="I45" i="4"/>
  <c r="I19" i="4"/>
  <c r="I20" i="4"/>
  <c r="AF44" i="4"/>
  <c r="I210" i="1"/>
  <c r="AH112" i="1"/>
  <c r="I171" i="1"/>
  <c r="I231" i="1" s="1"/>
  <c r="I87" i="1"/>
  <c r="D967" i="6"/>
  <c r="AH33" i="1"/>
  <c r="I18" i="1"/>
  <c r="I44" i="1" s="1"/>
  <c r="I46" i="1" s="1"/>
  <c r="D974" i="6"/>
  <c r="AA59" i="1"/>
  <c r="AA221" i="1"/>
  <c r="AA53" i="1"/>
  <c r="AH35" i="1"/>
  <c r="AH10" i="1"/>
  <c r="AL11" i="1" s="1"/>
  <c r="AH39" i="1"/>
  <c r="D995" i="6"/>
  <c r="I81" i="1"/>
  <c r="I41" i="1" s="1"/>
  <c r="AH97" i="1"/>
  <c r="AG61" i="1"/>
  <c r="AG73" i="1"/>
  <c r="I117" i="1"/>
  <c r="I127" i="1" s="1"/>
  <c r="I59" i="1"/>
  <c r="I84" i="1"/>
  <c r="I161" i="1"/>
  <c r="J162" i="1" s="1"/>
  <c r="I170" i="1"/>
  <c r="I230" i="1" s="1"/>
  <c r="I53" i="1"/>
  <c r="D1018" i="6"/>
  <c r="F1043" i="6"/>
  <c r="AG62" i="1"/>
  <c r="D996" i="6"/>
  <c r="AF117" i="1"/>
  <c r="AF122" i="1" s="1"/>
  <c r="AF184" i="1" s="1"/>
  <c r="AF244" i="1" s="1"/>
  <c r="F991" i="6"/>
  <c r="F992" i="6"/>
  <c r="D991" i="6"/>
  <c r="F993" i="6"/>
  <c r="AG68" i="1"/>
  <c r="D955" i="6"/>
  <c r="D992" i="6"/>
  <c r="F994" i="6"/>
  <c r="D1007" i="6"/>
  <c r="D962" i="6"/>
  <c r="D993" i="6"/>
  <c r="F995" i="6"/>
  <c r="D1027" i="6"/>
  <c r="D966" i="6"/>
  <c r="D994" i="6"/>
  <c r="F996" i="6"/>
  <c r="G997" i="6"/>
  <c r="D960" i="6"/>
  <c r="D971" i="6"/>
  <c r="D986" i="6"/>
  <c r="D961" i="6"/>
  <c r="D973" i="6"/>
  <c r="D963" i="6"/>
  <c r="D976" i="6"/>
  <c r="D964" i="6"/>
  <c r="D956" i="6"/>
  <c r="D968" i="6"/>
  <c r="D958" i="6"/>
  <c r="D965" i="6"/>
  <c r="C970" i="6"/>
  <c r="D1009" i="6"/>
  <c r="F1047" i="6"/>
  <c r="C985" i="6"/>
  <c r="D985" i="6" s="1"/>
  <c r="D1011" i="6"/>
  <c r="D1019" i="6"/>
  <c r="D1020" i="6"/>
  <c r="AG48" i="4"/>
  <c r="AF43" i="4"/>
  <c r="AG117" i="1"/>
  <c r="AG127" i="1" s="1"/>
  <c r="AG56" i="1"/>
  <c r="AE117" i="1"/>
  <c r="AE123" i="1" s="1"/>
  <c r="D1045" i="6"/>
  <c r="D1015" i="6"/>
  <c r="D1047" i="6"/>
  <c r="AE159" i="1"/>
  <c r="D1022" i="6"/>
  <c r="AG18" i="1"/>
  <c r="AG159" i="1"/>
  <c r="AK160" i="1" s="1"/>
  <c r="AF159" i="1"/>
  <c r="AJ160" i="1" s="1"/>
  <c r="D1048" i="6"/>
  <c r="H1048" i="6" s="1"/>
  <c r="D1012" i="6"/>
  <c r="D1024" i="6"/>
  <c r="F1044" i="6"/>
  <c r="D1013" i="6"/>
  <c r="D1025" i="6"/>
  <c r="D1043" i="6"/>
  <c r="F1045" i="6"/>
  <c r="D1014" i="6"/>
  <c r="D1044" i="6"/>
  <c r="F1046" i="6"/>
  <c r="D1006" i="6"/>
  <c r="D1017" i="6"/>
  <c r="D1046" i="6"/>
  <c r="AF48" i="4"/>
  <c r="G1049" i="6"/>
  <c r="C1036" i="6"/>
  <c r="D1036" i="6" s="1"/>
  <c r="D1016" i="6"/>
  <c r="C1021" i="6"/>
  <c r="G1103" i="6"/>
  <c r="C1104" i="6"/>
  <c r="E1104" i="6"/>
  <c r="C1084" i="6"/>
  <c r="C1082" i="6"/>
  <c r="N1055" i="6"/>
  <c r="G1102" i="6"/>
  <c r="G1101" i="6"/>
  <c r="G1100" i="6"/>
  <c r="G1099" i="6"/>
  <c r="G1098" i="6"/>
  <c r="G1097" i="6"/>
  <c r="B1091" i="6"/>
  <c r="C1071" i="6"/>
  <c r="C1073" i="6" s="1"/>
  <c r="AE61" i="4"/>
  <c r="AE54" i="4"/>
  <c r="AE49" i="4"/>
  <c r="AE44" i="4"/>
  <c r="AE43" i="4"/>
  <c r="AE42" i="4"/>
  <c r="AE41" i="4"/>
  <c r="AE13" i="4"/>
  <c r="AE92" i="1"/>
  <c r="AE67" i="1"/>
  <c r="AE70" i="1"/>
  <c r="AE69" i="1"/>
  <c r="AE64" i="1"/>
  <c r="AF64" i="1" s="1"/>
  <c r="AI52" i="1"/>
  <c r="H55" i="1"/>
  <c r="AB51" i="1"/>
  <c r="N1107" i="6"/>
  <c r="F1150" i="6" s="1"/>
  <c r="E1154" i="6"/>
  <c r="C1154" i="6"/>
  <c r="C1155" i="6" s="1"/>
  <c r="AD119" i="1"/>
  <c r="C1134" i="6" s="1"/>
  <c r="G1153" i="6"/>
  <c r="G1152" i="6"/>
  <c r="G1151" i="6"/>
  <c r="G1150" i="6"/>
  <c r="G1149" i="6"/>
  <c r="B1143" i="6"/>
  <c r="C1123" i="6"/>
  <c r="AD69" i="4"/>
  <c r="AD68" i="4"/>
  <c r="AD67" i="4"/>
  <c r="AD66" i="4"/>
  <c r="AD63" i="4"/>
  <c r="AD62" i="4"/>
  <c r="AD59" i="4"/>
  <c r="AD56" i="4"/>
  <c r="AD55" i="4"/>
  <c r="AD52" i="4"/>
  <c r="AD50" i="4"/>
  <c r="H61" i="4"/>
  <c r="H54" i="4"/>
  <c r="H49" i="4"/>
  <c r="H44" i="4"/>
  <c r="H43" i="4"/>
  <c r="H42" i="4"/>
  <c r="H41" i="4"/>
  <c r="H13" i="4"/>
  <c r="I28" i="4" s="1"/>
  <c r="AD201" i="1"/>
  <c r="AD126" i="1"/>
  <c r="AD125" i="1"/>
  <c r="AD248" i="1" s="1"/>
  <c r="AD111" i="1"/>
  <c r="AD252" i="1" s="1"/>
  <c r="AD110" i="1"/>
  <c r="AD251" i="1" s="1"/>
  <c r="AD106" i="1"/>
  <c r="AD105" i="1"/>
  <c r="AD96" i="1"/>
  <c r="AD95" i="1"/>
  <c r="AD94" i="1"/>
  <c r="AD93" i="1"/>
  <c r="AD45" i="1"/>
  <c r="AD29" i="1"/>
  <c r="AD28" i="1"/>
  <c r="AD22" i="1"/>
  <c r="AD20" i="1"/>
  <c r="AD17" i="1"/>
  <c r="AD16" i="1"/>
  <c r="AD15" i="1"/>
  <c r="AD14" i="1"/>
  <c r="AD13" i="1"/>
  <c r="AD9" i="1"/>
  <c r="AD7" i="1"/>
  <c r="AD205" i="1"/>
  <c r="AD217" i="1" s="1"/>
  <c r="AD204" i="1"/>
  <c r="AD216" i="1" s="1"/>
  <c r="AD157" i="1"/>
  <c r="AD156" i="1"/>
  <c r="AD146" i="1"/>
  <c r="AD145" i="1"/>
  <c r="AD130" i="1"/>
  <c r="AD43" i="1"/>
  <c r="AD58" i="1" s="1"/>
  <c r="AD79" i="1" s="1"/>
  <c r="AD90" i="1" s="1"/>
  <c r="H92" i="1"/>
  <c r="AD92" i="1" s="1"/>
  <c r="H70" i="1"/>
  <c r="H176" i="1" s="1"/>
  <c r="H236" i="1" s="1"/>
  <c r="H69" i="1"/>
  <c r="H175" i="1" s="1"/>
  <c r="H235" i="1" s="1"/>
  <c r="H174" i="1"/>
  <c r="H234" i="1" s="1"/>
  <c r="H173" i="1"/>
  <c r="H233" i="1" s="1"/>
  <c r="H171" i="1"/>
  <c r="H231" i="1" s="1"/>
  <c r="H64" i="1"/>
  <c r="H170" i="1" s="1"/>
  <c r="H230" i="1" s="1"/>
  <c r="H166" i="1"/>
  <c r="H226" i="1" s="1"/>
  <c r="H205" i="1"/>
  <c r="H217" i="1" s="1"/>
  <c r="H204" i="1"/>
  <c r="H216" i="1" s="1"/>
  <c r="H178" i="1"/>
  <c r="H238" i="1" s="1"/>
  <c r="H168" i="1"/>
  <c r="H228" i="1" s="1"/>
  <c r="H167" i="1"/>
  <c r="H227" i="1" s="1"/>
  <c r="H157" i="1"/>
  <c r="H156" i="1"/>
  <c r="H151" i="1"/>
  <c r="H210" i="1" s="1"/>
  <c r="H146" i="1"/>
  <c r="H145" i="1"/>
  <c r="H130" i="1"/>
  <c r="H116" i="1"/>
  <c r="AD116" i="1" s="1"/>
  <c r="H115" i="1"/>
  <c r="AD115" i="1" s="1"/>
  <c r="H112" i="1"/>
  <c r="H107" i="1"/>
  <c r="AD107" i="1" s="1"/>
  <c r="H97" i="1"/>
  <c r="H85" i="1"/>
  <c r="H43" i="1"/>
  <c r="H58" i="1" s="1"/>
  <c r="H79" i="1" s="1"/>
  <c r="H90" i="1" s="1"/>
  <c r="H39" i="1"/>
  <c r="H35" i="1"/>
  <c r="H34" i="1"/>
  <c r="H33" i="1"/>
  <c r="H10" i="1"/>
  <c r="H8" i="1"/>
  <c r="AF14" i="4" l="1"/>
  <c r="AJ28" i="4"/>
  <c r="AK26" i="4"/>
  <c r="AE20" i="4"/>
  <c r="AI28" i="4"/>
  <c r="H20" i="4"/>
  <c r="AL265" i="1"/>
  <c r="AL266" i="1"/>
  <c r="AL263" i="1"/>
  <c r="AL257" i="1"/>
  <c r="AL261" i="1"/>
  <c r="AL260" i="1"/>
  <c r="AL258" i="1"/>
  <c r="AO266" i="1"/>
  <c r="AO265" i="1"/>
  <c r="AO263" i="1"/>
  <c r="AO258" i="1"/>
  <c r="AO260" i="1"/>
  <c r="AO261" i="1"/>
  <c r="AO257" i="1"/>
  <c r="AM266" i="1"/>
  <c r="AM265" i="1"/>
  <c r="AM263" i="1"/>
  <c r="AM258" i="1"/>
  <c r="AM261" i="1"/>
  <c r="AM260" i="1"/>
  <c r="AM257" i="1"/>
  <c r="M165" i="1"/>
  <c r="M63" i="1"/>
  <c r="M66" i="1" s="1"/>
  <c r="M71" i="1" s="1"/>
  <c r="M74" i="1" s="1"/>
  <c r="AD253" i="1"/>
  <c r="I253" i="1"/>
  <c r="C1136" i="6"/>
  <c r="AD255" i="1"/>
  <c r="AF268" i="1"/>
  <c r="AO149" i="1"/>
  <c r="AO153" i="1"/>
  <c r="M141" i="1"/>
  <c r="M197" i="1" s="1"/>
  <c r="AO191" i="1"/>
  <c r="F566" i="6"/>
  <c r="F568" i="6"/>
  <c r="AM88" i="1"/>
  <c r="AO88" i="1"/>
  <c r="AO208" i="1"/>
  <c r="AO212" i="1"/>
  <c r="AO213" i="1"/>
  <c r="AN88" i="1"/>
  <c r="AL72" i="1"/>
  <c r="AM207" i="1"/>
  <c r="AM149" i="1"/>
  <c r="D673" i="6"/>
  <c r="E668" i="6"/>
  <c r="E670" i="6"/>
  <c r="E616" i="6"/>
  <c r="E618" i="6"/>
  <c r="AM192" i="1"/>
  <c r="AM153" i="1"/>
  <c r="AN208" i="1"/>
  <c r="AN212" i="1"/>
  <c r="AN213" i="1"/>
  <c r="M170" i="1"/>
  <c r="M230" i="1" s="1"/>
  <c r="M87" i="1"/>
  <c r="M140" i="1" s="1"/>
  <c r="M196" i="1" s="1"/>
  <c r="AM154" i="1"/>
  <c r="AM191" i="1"/>
  <c r="M138" i="1"/>
  <c r="M194" i="1" s="1"/>
  <c r="M133" i="1"/>
  <c r="M189" i="1" s="1"/>
  <c r="M148" i="1"/>
  <c r="M149" i="1" s="1"/>
  <c r="M186" i="1"/>
  <c r="M246" i="1" s="1"/>
  <c r="M263" i="1" s="1"/>
  <c r="M132" i="1"/>
  <c r="M188" i="1" s="1"/>
  <c r="M136" i="1"/>
  <c r="M153" i="1" s="1"/>
  <c r="I219" i="1"/>
  <c r="J220" i="1" s="1"/>
  <c r="J160" i="1"/>
  <c r="I50" i="1"/>
  <c r="J47" i="1"/>
  <c r="M191" i="1"/>
  <c r="M154" i="1"/>
  <c r="AL223" i="1"/>
  <c r="AL225" i="1"/>
  <c r="AL169" i="1"/>
  <c r="AL229" i="1" s="1"/>
  <c r="AL154" i="1"/>
  <c r="AL191" i="1"/>
  <c r="AL207" i="1"/>
  <c r="AL149" i="1"/>
  <c r="AL192" i="1"/>
  <c r="AL153" i="1"/>
  <c r="AL172" i="1"/>
  <c r="AL232" i="1" s="1"/>
  <c r="AL71" i="1"/>
  <c r="AL88" i="1"/>
  <c r="AF20" i="4"/>
  <c r="AF17" i="4"/>
  <c r="AF18" i="4"/>
  <c r="AH18" i="1"/>
  <c r="AJ82" i="1" s="1"/>
  <c r="AK81" i="1"/>
  <c r="AK177" i="1"/>
  <c r="AK237" i="1" s="1"/>
  <c r="AK179" i="1"/>
  <c r="AK239" i="1" s="1"/>
  <c r="AH34" i="4"/>
  <c r="AH12" i="4"/>
  <c r="AH10" i="4"/>
  <c r="AH32" i="4"/>
  <c r="AH35" i="4"/>
  <c r="AD61" i="4"/>
  <c r="AG171" i="1"/>
  <c r="AG231" i="1" s="1"/>
  <c r="AH68" i="1"/>
  <c r="AG178" i="1"/>
  <c r="AG238" i="1" s="1"/>
  <c r="AH61" i="1"/>
  <c r="AH167" i="1" s="1"/>
  <c r="AH227" i="1" s="1"/>
  <c r="AH56" i="1"/>
  <c r="AJ74" i="1"/>
  <c r="AJ180" i="1" s="1"/>
  <c r="AJ240" i="1" s="1"/>
  <c r="AH62" i="1"/>
  <c r="AJ81" i="1"/>
  <c r="AH33" i="4"/>
  <c r="AG37" i="4"/>
  <c r="AH11" i="4"/>
  <c r="AH9" i="4"/>
  <c r="AD54" i="4"/>
  <c r="AG42" i="4"/>
  <c r="AI74" i="1"/>
  <c r="AI180" i="1" s="1"/>
  <c r="AI240" i="1" s="1"/>
  <c r="AA163" i="1"/>
  <c r="AE219" i="1"/>
  <c r="AI220" i="1" s="1"/>
  <c r="AI160" i="1"/>
  <c r="AE21" i="1"/>
  <c r="AE38" i="1" s="1"/>
  <c r="AE36" i="1"/>
  <c r="AE44" i="1"/>
  <c r="AE46" i="1" s="1"/>
  <c r="AI47" i="1" s="1"/>
  <c r="AH159" i="1"/>
  <c r="AI81" i="1"/>
  <c r="I11" i="1"/>
  <c r="H101" i="1"/>
  <c r="AD100" i="1"/>
  <c r="AD102" i="1"/>
  <c r="AH101" i="1"/>
  <c r="AA150" i="1"/>
  <c r="AA209" i="1" s="1"/>
  <c r="AA123" i="1"/>
  <c r="AA183" i="1" s="1"/>
  <c r="AA243" i="1" s="1"/>
  <c r="AA127" i="1"/>
  <c r="AA36" i="1"/>
  <c r="C934" i="6"/>
  <c r="D925" i="6"/>
  <c r="D921" i="6"/>
  <c r="D924" i="6"/>
  <c r="F946" i="6"/>
  <c r="H940" i="6"/>
  <c r="D946" i="6"/>
  <c r="C928" i="6"/>
  <c r="H944" i="6"/>
  <c r="H941" i="6"/>
  <c r="H942" i="6"/>
  <c r="H943" i="6"/>
  <c r="H945" i="6"/>
  <c r="AA44" i="1"/>
  <c r="AA46" i="1" s="1"/>
  <c r="AA50" i="1" s="1"/>
  <c r="AA21" i="1"/>
  <c r="AF127" i="1"/>
  <c r="AF123" i="1"/>
  <c r="AF183" i="1" s="1"/>
  <c r="AF243" i="1" s="1"/>
  <c r="AF150" i="1"/>
  <c r="AF209" i="1" s="1"/>
  <c r="H38" i="4"/>
  <c r="AH65" i="1"/>
  <c r="AH73" i="1"/>
  <c r="AG41" i="4"/>
  <c r="AG43" i="4"/>
  <c r="AG44" i="4"/>
  <c r="AG13" i="4"/>
  <c r="AF19" i="4"/>
  <c r="I21" i="4"/>
  <c r="AF45" i="4"/>
  <c r="AD49" i="4"/>
  <c r="I83" i="1"/>
  <c r="I19" i="1"/>
  <c r="I36" i="1"/>
  <c r="I82" i="1"/>
  <c r="I21" i="1"/>
  <c r="I48" i="1"/>
  <c r="AH81" i="1"/>
  <c r="AH147" i="1" s="1"/>
  <c r="AH206" i="1" s="1"/>
  <c r="I98" i="1"/>
  <c r="H1043" i="6"/>
  <c r="I122" i="1"/>
  <c r="I132" i="1" s="1"/>
  <c r="I188" i="1" s="1"/>
  <c r="AA184" i="1"/>
  <c r="AA244" i="1" s="1"/>
  <c r="AA143" i="1"/>
  <c r="AA199" i="1" s="1"/>
  <c r="AA152" i="1"/>
  <c r="AA211" i="1" s="1"/>
  <c r="AA165" i="1"/>
  <c r="AA63" i="1"/>
  <c r="AA66" i="1" s="1"/>
  <c r="AA223" i="1"/>
  <c r="AG174" i="1"/>
  <c r="AG234" i="1" s="1"/>
  <c r="AG167" i="1"/>
  <c r="AG227" i="1" s="1"/>
  <c r="AG168" i="1"/>
  <c r="AG228" i="1" s="1"/>
  <c r="AH8" i="1"/>
  <c r="I123" i="1"/>
  <c r="I136" i="1" s="1"/>
  <c r="I150" i="1"/>
  <c r="I209" i="1" s="1"/>
  <c r="I147" i="1"/>
  <c r="I206" i="1" s="1"/>
  <c r="AE150" i="1"/>
  <c r="AE209" i="1" s="1"/>
  <c r="AF152" i="1"/>
  <c r="AF211" i="1" s="1"/>
  <c r="AE122" i="1"/>
  <c r="AE152" i="1" s="1"/>
  <c r="AE211" i="1" s="1"/>
  <c r="AE127" i="1"/>
  <c r="AG150" i="1"/>
  <c r="AG209" i="1" s="1"/>
  <c r="I52" i="1"/>
  <c r="AG123" i="1"/>
  <c r="AG183" i="1" s="1"/>
  <c r="AG243" i="1" s="1"/>
  <c r="I163" i="1"/>
  <c r="I221" i="1"/>
  <c r="J222" i="1" s="1"/>
  <c r="I148" i="1"/>
  <c r="I141" i="1"/>
  <c r="I197" i="1" s="1"/>
  <c r="I140" i="1"/>
  <c r="I196" i="1" s="1"/>
  <c r="I186" i="1"/>
  <c r="I246" i="1" s="1"/>
  <c r="I263" i="1" s="1"/>
  <c r="I138" i="1"/>
  <c r="I194" i="1" s="1"/>
  <c r="I165" i="1"/>
  <c r="I63" i="1"/>
  <c r="I66" i="1" s="1"/>
  <c r="H1047" i="6"/>
  <c r="D1021" i="6"/>
  <c r="D1023" i="6" s="1"/>
  <c r="AF143" i="1"/>
  <c r="AF199" i="1" s="1"/>
  <c r="C1038" i="6"/>
  <c r="H995" i="6"/>
  <c r="C987" i="6"/>
  <c r="F997" i="6"/>
  <c r="H996" i="6"/>
  <c r="H993" i="6"/>
  <c r="H994" i="6"/>
  <c r="H991" i="6"/>
  <c r="C972" i="6"/>
  <c r="C975" i="6"/>
  <c r="H992" i="6"/>
  <c r="D970" i="6"/>
  <c r="AG122" i="1"/>
  <c r="AG152" i="1" s="1"/>
  <c r="AG211" i="1" s="1"/>
  <c r="H1045" i="6"/>
  <c r="H1046" i="6"/>
  <c r="AG36" i="1"/>
  <c r="AG19" i="1"/>
  <c r="AG44" i="1"/>
  <c r="AG46" i="1" s="1"/>
  <c r="AK47" i="1" s="1"/>
  <c r="AG21" i="1"/>
  <c r="AG23" i="1" s="1"/>
  <c r="AG25" i="1" s="1"/>
  <c r="AG219" i="1"/>
  <c r="AK220" i="1" s="1"/>
  <c r="F1102" i="6"/>
  <c r="D1037" i="6"/>
  <c r="D1038" i="6" s="1"/>
  <c r="D1042" i="6"/>
  <c r="F1042" i="6"/>
  <c r="F1049" i="6" s="1"/>
  <c r="AD10" i="1"/>
  <c r="AD18" i="1" s="1"/>
  <c r="AD19" i="1" s="1"/>
  <c r="AE176" i="1"/>
  <c r="AE236" i="1" s="1"/>
  <c r="AF70" i="1"/>
  <c r="AF44" i="1"/>
  <c r="AF46" i="1" s="1"/>
  <c r="AJ47" i="1" s="1"/>
  <c r="AF36" i="1"/>
  <c r="AF21" i="1"/>
  <c r="AF23" i="1" s="1"/>
  <c r="AF25" i="1" s="1"/>
  <c r="AE183" i="1"/>
  <c r="AE243" i="1" s="1"/>
  <c r="D1073" i="6"/>
  <c r="AF67" i="1"/>
  <c r="AE173" i="1"/>
  <c r="AE233" i="1" s="1"/>
  <c r="AE55" i="1"/>
  <c r="AE53" i="1"/>
  <c r="AE161" i="1"/>
  <c r="AI162" i="1" s="1"/>
  <c r="AE52" i="1"/>
  <c r="AE59" i="1"/>
  <c r="AE170" i="1"/>
  <c r="AE230" i="1" s="1"/>
  <c r="AF219" i="1"/>
  <c r="AJ220" i="1" s="1"/>
  <c r="AE175" i="1"/>
  <c r="AE235" i="1" s="1"/>
  <c r="AF69" i="1"/>
  <c r="H159" i="1"/>
  <c r="I160" i="1" s="1"/>
  <c r="H18" i="1"/>
  <c r="H21" i="1" s="1"/>
  <c r="H23" i="1" s="1"/>
  <c r="H25" i="1" s="1"/>
  <c r="AF19" i="1"/>
  <c r="H1044" i="6"/>
  <c r="AD151" i="1"/>
  <c r="AD210" i="1" s="1"/>
  <c r="AE166" i="1"/>
  <c r="AE226" i="1" s="1"/>
  <c r="C1026" i="6"/>
  <c r="C1023" i="6"/>
  <c r="D1074" i="6"/>
  <c r="D1070" i="6"/>
  <c r="AC51" i="1"/>
  <c r="H87" i="1"/>
  <c r="N1056" i="6"/>
  <c r="D1069" i="6"/>
  <c r="D1064" i="6"/>
  <c r="D1101" i="6"/>
  <c r="D1077" i="6"/>
  <c r="D1102" i="6"/>
  <c r="D1075" i="6"/>
  <c r="D1079" i="6"/>
  <c r="F1103" i="6"/>
  <c r="AE38" i="4"/>
  <c r="AD35" i="1"/>
  <c r="D1068" i="6"/>
  <c r="D1097" i="6"/>
  <c r="D1103" i="6"/>
  <c r="D1065" i="6"/>
  <c r="D1098" i="6"/>
  <c r="G1104" i="6"/>
  <c r="D1072" i="6"/>
  <c r="D1063" i="6"/>
  <c r="F1097" i="6"/>
  <c r="D1062" i="6"/>
  <c r="D1092" i="6"/>
  <c r="F1098" i="6"/>
  <c r="F1099" i="6"/>
  <c r="F1100" i="6"/>
  <c r="D1067" i="6"/>
  <c r="D1080" i="6"/>
  <c r="D1099" i="6"/>
  <c r="F1101" i="6"/>
  <c r="D1061" i="6"/>
  <c r="D1066" i="6"/>
  <c r="D1082" i="6"/>
  <c r="D1100" i="6"/>
  <c r="D1071" i="6"/>
  <c r="C1091" i="6"/>
  <c r="C1076" i="6"/>
  <c r="AE48" i="4"/>
  <c r="AE18" i="4"/>
  <c r="AE45" i="4"/>
  <c r="AE14" i="4"/>
  <c r="AE17" i="4"/>
  <c r="AE19" i="4"/>
  <c r="D1113" i="6"/>
  <c r="D1120" i="6"/>
  <c r="D1131" i="6"/>
  <c r="D1150" i="6"/>
  <c r="D1127" i="6"/>
  <c r="D1119" i="6"/>
  <c r="D1132" i="6"/>
  <c r="F1149" i="6"/>
  <c r="D1134" i="6"/>
  <c r="D1126" i="6"/>
  <c r="D1118" i="6"/>
  <c r="D1144" i="6"/>
  <c r="F1154" i="6"/>
  <c r="D1129" i="6"/>
  <c r="D1117" i="6"/>
  <c r="D1149" i="6"/>
  <c r="F1153" i="6"/>
  <c r="D1121" i="6"/>
  <c r="D1151" i="6"/>
  <c r="AD97" i="1"/>
  <c r="D1124" i="6"/>
  <c r="D1116" i="6"/>
  <c r="D1154" i="6"/>
  <c r="F1152" i="6"/>
  <c r="AD112" i="1"/>
  <c r="D1123" i="6"/>
  <c r="D1115" i="6"/>
  <c r="D1153" i="6"/>
  <c r="F1151" i="6"/>
  <c r="D1122" i="6"/>
  <c r="D1114" i="6"/>
  <c r="D1152" i="6"/>
  <c r="AD34" i="1"/>
  <c r="AD39" i="1"/>
  <c r="N1108" i="6"/>
  <c r="AD33" i="1"/>
  <c r="G1154" i="6"/>
  <c r="G1155" i="6" s="1"/>
  <c r="E1155" i="6"/>
  <c r="C1125" i="6"/>
  <c r="C1128" i="6" s="1"/>
  <c r="C1133" i="6" s="1"/>
  <c r="C1143" i="6"/>
  <c r="D1143" i="6" s="1"/>
  <c r="H48" i="4"/>
  <c r="H17" i="4"/>
  <c r="H45" i="4"/>
  <c r="H18" i="4"/>
  <c r="H19" i="4"/>
  <c r="H14" i="4"/>
  <c r="AD117" i="1"/>
  <c r="AD150" i="1" s="1"/>
  <c r="AD209" i="1" s="1"/>
  <c r="H117" i="1"/>
  <c r="H127" i="1" s="1"/>
  <c r="H81" i="1"/>
  <c r="H147" i="1" s="1"/>
  <c r="H206" i="1" s="1"/>
  <c r="H161" i="1"/>
  <c r="I162" i="1" s="1"/>
  <c r="H53" i="1"/>
  <c r="H59" i="1"/>
  <c r="H84" i="1"/>
  <c r="N1162" i="6"/>
  <c r="D1168" i="6" s="1"/>
  <c r="AY8" i="1"/>
  <c r="Y8" i="1"/>
  <c r="AY205" i="1"/>
  <c r="AY217" i="1" s="1"/>
  <c r="AY204" i="1"/>
  <c r="AY216" i="1" s="1"/>
  <c r="AY157" i="1"/>
  <c r="AY156" i="1"/>
  <c r="AY151" i="1"/>
  <c r="AY210" i="1" s="1"/>
  <c r="AY146" i="1"/>
  <c r="AY145" i="1"/>
  <c r="AY130" i="1"/>
  <c r="AY116" i="1"/>
  <c r="AY115" i="1"/>
  <c r="AY112" i="1"/>
  <c r="AY107" i="1"/>
  <c r="AY97" i="1"/>
  <c r="AY92" i="1"/>
  <c r="AY43" i="1"/>
  <c r="AY58" i="1" s="1"/>
  <c r="AY79" i="1" s="1"/>
  <c r="AY90" i="1" s="1"/>
  <c r="AY39" i="1"/>
  <c r="AY35" i="1"/>
  <c r="AY34" i="1"/>
  <c r="AY33" i="1"/>
  <c r="AY10" i="1"/>
  <c r="AY159" i="1" s="1"/>
  <c r="AL27" i="4" l="1"/>
  <c r="AL25" i="4"/>
  <c r="AL26" i="4"/>
  <c r="AL24" i="4"/>
  <c r="AG14" i="4"/>
  <c r="AK28" i="4"/>
  <c r="C1032" i="6"/>
  <c r="M169" i="1"/>
  <c r="M229" i="1" s="1"/>
  <c r="M225" i="1"/>
  <c r="M88" i="1"/>
  <c r="M265" i="1"/>
  <c r="M257" i="1"/>
  <c r="M260" i="1"/>
  <c r="M258" i="1"/>
  <c r="M261" i="1"/>
  <c r="M266" i="1"/>
  <c r="I265" i="1"/>
  <c r="I266" i="1"/>
  <c r="AA268" i="1"/>
  <c r="M207" i="1"/>
  <c r="AL179" i="1"/>
  <c r="AL239" i="1" s="1"/>
  <c r="M179" i="1"/>
  <c r="M239" i="1" s="1"/>
  <c r="AH37" i="4"/>
  <c r="M172" i="1"/>
  <c r="M232" i="1" s="1"/>
  <c r="M177" i="1"/>
  <c r="M237" i="1" s="1"/>
  <c r="F668" i="6"/>
  <c r="F670" i="6"/>
  <c r="D612" i="6"/>
  <c r="D603" i="6"/>
  <c r="D606" i="6"/>
  <c r="D601" i="6"/>
  <c r="D610" i="6"/>
  <c r="F633" i="6"/>
  <c r="D614" i="6"/>
  <c r="D607" i="6"/>
  <c r="D609" i="6"/>
  <c r="F634" i="6"/>
  <c r="F635" i="6"/>
  <c r="D633" i="6"/>
  <c r="D634" i="6"/>
  <c r="D602" i="6"/>
  <c r="D615" i="6"/>
  <c r="F637" i="6"/>
  <c r="D632" i="6"/>
  <c r="D599" i="6"/>
  <c r="D635" i="6"/>
  <c r="D626" i="6"/>
  <c r="D617" i="6"/>
  <c r="D596" i="6"/>
  <c r="D597" i="6"/>
  <c r="F632" i="6"/>
  <c r="F636" i="6"/>
  <c r="D636" i="6"/>
  <c r="D637" i="6"/>
  <c r="D604" i="6"/>
  <c r="D605" i="6"/>
  <c r="D627" i="6"/>
  <c r="D608" i="6"/>
  <c r="M192" i="1"/>
  <c r="AM212" i="1"/>
  <c r="AM208" i="1"/>
  <c r="AM213" i="1"/>
  <c r="AL74" i="1"/>
  <c r="AL180" i="1" s="1"/>
  <c r="AL240" i="1" s="1"/>
  <c r="AL177" i="1"/>
  <c r="AL237" i="1" s="1"/>
  <c r="AL208" i="1"/>
  <c r="AL212" i="1"/>
  <c r="AL213" i="1"/>
  <c r="AH219" i="1"/>
  <c r="AL220" i="1" s="1"/>
  <c r="AL160" i="1"/>
  <c r="AH85" i="1"/>
  <c r="AH178" i="1"/>
  <c r="AH238" i="1" s="1"/>
  <c r="AH174" i="1"/>
  <c r="AH234" i="1" s="1"/>
  <c r="D1026" i="6"/>
  <c r="D1028" i="6" s="1"/>
  <c r="AF21" i="4"/>
  <c r="AJ85" i="1"/>
  <c r="AK85" i="1"/>
  <c r="AK74" i="1"/>
  <c r="AK180" i="1" s="1"/>
  <c r="AK240" i="1" s="1"/>
  <c r="AK41" i="1"/>
  <c r="AK98" i="1"/>
  <c r="AK147" i="1"/>
  <c r="AK206" i="1" s="1"/>
  <c r="AH21" i="1"/>
  <c r="AH23" i="1" s="1"/>
  <c r="AH25" i="1" s="1"/>
  <c r="AK82" i="1"/>
  <c r="AH44" i="4"/>
  <c r="AG45" i="4"/>
  <c r="AG20" i="4"/>
  <c r="AH43" i="4"/>
  <c r="AH42" i="4"/>
  <c r="AH168" i="1"/>
  <c r="AH228" i="1" s="1"/>
  <c r="AI85" i="1"/>
  <c r="AJ52" i="1"/>
  <c r="AG69" i="1"/>
  <c r="AG175" i="1" s="1"/>
  <c r="AG235" i="1" s="1"/>
  <c r="AE37" i="1"/>
  <c r="AE23" i="1"/>
  <c r="AE25" i="1" s="1"/>
  <c r="AE26" i="1" s="1"/>
  <c r="AJ147" i="1"/>
  <c r="AJ206" i="1" s="1"/>
  <c r="AJ98" i="1"/>
  <c r="AJ41" i="1"/>
  <c r="AG70" i="1"/>
  <c r="AG176" i="1" s="1"/>
  <c r="AG236" i="1" s="1"/>
  <c r="AA38" i="1"/>
  <c r="AA23" i="1"/>
  <c r="AA25" i="1" s="1"/>
  <c r="AA30" i="1" s="1"/>
  <c r="I38" i="1"/>
  <c r="I23" i="1"/>
  <c r="I25" i="1" s="1"/>
  <c r="I86" i="1" s="1"/>
  <c r="AG67" i="1"/>
  <c r="AG173" i="1" s="1"/>
  <c r="AG233" i="1" s="1"/>
  <c r="AH13" i="4"/>
  <c r="AD48" i="4"/>
  <c r="AE50" i="1"/>
  <c r="AE48" i="1"/>
  <c r="AI41" i="1"/>
  <c r="AI98" i="1"/>
  <c r="AI147" i="1"/>
  <c r="AH82" i="1"/>
  <c r="AI82" i="1"/>
  <c r="AA37" i="1"/>
  <c r="AD101" i="1"/>
  <c r="H44" i="1"/>
  <c r="H46" i="1" s="1"/>
  <c r="I47" i="1" s="1"/>
  <c r="D934" i="6"/>
  <c r="D936" i="6" s="1"/>
  <c r="C936" i="6"/>
  <c r="AA48" i="1"/>
  <c r="H946" i="6"/>
  <c r="D926" i="6"/>
  <c r="H1100" i="6"/>
  <c r="C981" i="6"/>
  <c r="I135" i="1"/>
  <c r="I191" i="1" s="1"/>
  <c r="I133" i="1"/>
  <c r="I189" i="1" s="1"/>
  <c r="AG19" i="4"/>
  <c r="AG17" i="4"/>
  <c r="AG18" i="4"/>
  <c r="AH41" i="4"/>
  <c r="I143" i="1"/>
  <c r="I199" i="1" s="1"/>
  <c r="I152" i="1"/>
  <c r="I211" i="1" s="1"/>
  <c r="I184" i="1"/>
  <c r="I244" i="1" s="1"/>
  <c r="I183" i="1"/>
  <c r="I243" i="1" s="1"/>
  <c r="I37" i="1"/>
  <c r="AH98" i="1"/>
  <c r="AH41" i="1"/>
  <c r="AH19" i="1"/>
  <c r="AH44" i="1"/>
  <c r="AH46" i="1" s="1"/>
  <c r="AL47" i="1" s="1"/>
  <c r="AH36" i="1"/>
  <c r="AD159" i="1"/>
  <c r="AH160" i="1" s="1"/>
  <c r="AA172" i="1"/>
  <c r="AA232" i="1" s="1"/>
  <c r="AA71" i="1"/>
  <c r="AA169" i="1"/>
  <c r="AA229" i="1" s="1"/>
  <c r="AA225" i="1"/>
  <c r="AE143" i="1"/>
  <c r="AE199" i="1" s="1"/>
  <c r="AG143" i="1"/>
  <c r="AG199" i="1" s="1"/>
  <c r="AE184" i="1"/>
  <c r="AE244" i="1" s="1"/>
  <c r="AK52" i="1"/>
  <c r="AG81" i="1"/>
  <c r="AG147" i="1" s="1"/>
  <c r="AG206" i="1" s="1"/>
  <c r="AH11" i="1"/>
  <c r="AG64" i="1"/>
  <c r="H219" i="1"/>
  <c r="I220" i="1" s="1"/>
  <c r="I88" i="1"/>
  <c r="I172" i="1"/>
  <c r="I232" i="1" s="1"/>
  <c r="I71" i="1"/>
  <c r="I72" i="1" s="1"/>
  <c r="I225" i="1"/>
  <c r="I169" i="1"/>
  <c r="I229" i="1" s="1"/>
  <c r="I207" i="1"/>
  <c r="I149" i="1"/>
  <c r="I192" i="1"/>
  <c r="I153" i="1"/>
  <c r="I223" i="1"/>
  <c r="AG82" i="1"/>
  <c r="AG184" i="1"/>
  <c r="AG244" i="1" s="1"/>
  <c r="D972" i="6"/>
  <c r="D975" i="6"/>
  <c r="D997" i="6"/>
  <c r="H997" i="6"/>
  <c r="C977" i="6"/>
  <c r="D987" i="6"/>
  <c r="AF175" i="1"/>
  <c r="AF235" i="1" s="1"/>
  <c r="AF176" i="1"/>
  <c r="AF236" i="1" s="1"/>
  <c r="AF170" i="1"/>
  <c r="AF230" i="1" s="1"/>
  <c r="AF173" i="1"/>
  <c r="AF233" i="1" s="1"/>
  <c r="AG38" i="1"/>
  <c r="AG37" i="1"/>
  <c r="AG48" i="1"/>
  <c r="AF166" i="1"/>
  <c r="AF226" i="1" s="1"/>
  <c r="AE165" i="1"/>
  <c r="AE63" i="1"/>
  <c r="AE66" i="1" s="1"/>
  <c r="H1042" i="6"/>
  <c r="H1049" i="6" s="1"/>
  <c r="D1049" i="6"/>
  <c r="AF59" i="1"/>
  <c r="AF53" i="1"/>
  <c r="AF50" i="1"/>
  <c r="AF38" i="4"/>
  <c r="AF161" i="1"/>
  <c r="AJ162" i="1" s="1"/>
  <c r="AF55" i="1"/>
  <c r="AF52" i="1"/>
  <c r="AF38" i="1"/>
  <c r="AF37" i="1"/>
  <c r="AE163" i="1"/>
  <c r="AE221" i="1"/>
  <c r="AF48" i="1"/>
  <c r="C1028" i="6"/>
  <c r="H1103" i="6"/>
  <c r="AY117" i="1"/>
  <c r="AY122" i="1" s="1"/>
  <c r="F1104" i="6"/>
  <c r="D1104" i="6"/>
  <c r="C1093" i="6"/>
  <c r="D1091" i="6"/>
  <c r="D1093" i="6" s="1"/>
  <c r="H1098" i="6"/>
  <c r="H1101" i="6"/>
  <c r="D1076" i="6"/>
  <c r="D1081" i="6" s="1"/>
  <c r="H1097" i="6"/>
  <c r="H1099" i="6"/>
  <c r="H1102" i="6"/>
  <c r="C1078" i="6"/>
  <c r="C1105" i="6" s="1"/>
  <c r="C1081" i="6"/>
  <c r="C1087" i="6" s="1"/>
  <c r="D1125" i="6"/>
  <c r="AE21" i="4"/>
  <c r="H123" i="1"/>
  <c r="H133" i="1" s="1"/>
  <c r="H189" i="1" s="1"/>
  <c r="H98" i="1"/>
  <c r="AD122" i="1"/>
  <c r="AD143" i="1" s="1"/>
  <c r="AD199" i="1" s="1"/>
  <c r="C1130" i="6"/>
  <c r="C1156" i="6" s="1"/>
  <c r="C1145" i="6"/>
  <c r="C1135" i="6"/>
  <c r="H21" i="4"/>
  <c r="AD123" i="1"/>
  <c r="AD183" i="1" s="1"/>
  <c r="AD243" i="1" s="1"/>
  <c r="AD36" i="1"/>
  <c r="AD127" i="1"/>
  <c r="H122" i="1"/>
  <c r="H184" i="1" s="1"/>
  <c r="H244" i="1" s="1"/>
  <c r="AD21" i="1"/>
  <c r="AD44" i="1"/>
  <c r="AD46" i="1" s="1"/>
  <c r="AD48" i="1" s="1"/>
  <c r="H41" i="1"/>
  <c r="H150" i="1"/>
  <c r="H209" i="1" s="1"/>
  <c r="H19" i="1"/>
  <c r="H30" i="1"/>
  <c r="H82" i="1"/>
  <c r="H36" i="1"/>
  <c r="H140" i="1"/>
  <c r="H196" i="1" s="1"/>
  <c r="H186" i="1"/>
  <c r="H246" i="1" s="1"/>
  <c r="H263" i="1" s="1"/>
  <c r="H138" i="1"/>
  <c r="H194" i="1" s="1"/>
  <c r="H148" i="1"/>
  <c r="H141" i="1"/>
  <c r="H197" i="1" s="1"/>
  <c r="H163" i="1"/>
  <c r="H221" i="1"/>
  <c r="I222" i="1" s="1"/>
  <c r="H165" i="1"/>
  <c r="H63" i="1"/>
  <c r="H66" i="1" s="1"/>
  <c r="AY18" i="1"/>
  <c r="AY36" i="1" s="1"/>
  <c r="AY219" i="1"/>
  <c r="C1191" i="6"/>
  <c r="C1189" i="6"/>
  <c r="N1214" i="6"/>
  <c r="D1187" i="6"/>
  <c r="E1210" i="6"/>
  <c r="C1210" i="6"/>
  <c r="G1209" i="6"/>
  <c r="G1208" i="6"/>
  <c r="G1207" i="6"/>
  <c r="G1206" i="6"/>
  <c r="G1205" i="6"/>
  <c r="G1204" i="6"/>
  <c r="B1198" i="6"/>
  <c r="C1178" i="6"/>
  <c r="AC92" i="1"/>
  <c r="AC61" i="4"/>
  <c r="AC54" i="4"/>
  <c r="AC49" i="4"/>
  <c r="AC205" i="1"/>
  <c r="AC217" i="1" s="1"/>
  <c r="AC204" i="1"/>
  <c r="AC216" i="1" s="1"/>
  <c r="AC157" i="1"/>
  <c r="AC156" i="1"/>
  <c r="AC151" i="1"/>
  <c r="AC210" i="1" s="1"/>
  <c r="AC146" i="1"/>
  <c r="AC145" i="1"/>
  <c r="AC130" i="1"/>
  <c r="AC116" i="1"/>
  <c r="AC115" i="1"/>
  <c r="AC112" i="1"/>
  <c r="AC107" i="1"/>
  <c r="AC97" i="1"/>
  <c r="AC43" i="1"/>
  <c r="AC58" i="1" s="1"/>
  <c r="AC79" i="1" s="1"/>
  <c r="AC90" i="1" s="1"/>
  <c r="AC39" i="1"/>
  <c r="AC35" i="1"/>
  <c r="AC34" i="1"/>
  <c r="AC33" i="1"/>
  <c r="AC10" i="1"/>
  <c r="AC8" i="1"/>
  <c r="AB65" i="1"/>
  <c r="AB61" i="1"/>
  <c r="X61" i="1"/>
  <c r="AB35" i="4"/>
  <c r="AB33" i="4"/>
  <c r="AB32" i="4"/>
  <c r="AB12" i="4"/>
  <c r="AB11" i="4"/>
  <c r="AB10" i="4"/>
  <c r="AB9" i="4"/>
  <c r="AH14" i="4" l="1"/>
  <c r="AL28" i="4"/>
  <c r="AF27" i="4"/>
  <c r="AF26" i="4"/>
  <c r="AF25" i="4"/>
  <c r="AF24" i="4"/>
  <c r="M213" i="1"/>
  <c r="M212" i="1"/>
  <c r="M208" i="1"/>
  <c r="H266" i="1"/>
  <c r="H265" i="1"/>
  <c r="H268" i="1"/>
  <c r="H257" i="1"/>
  <c r="I261" i="1"/>
  <c r="I258" i="1"/>
  <c r="AG268" i="1"/>
  <c r="I260" i="1"/>
  <c r="I257" i="1"/>
  <c r="I268" i="1"/>
  <c r="AE268" i="1"/>
  <c r="AI222" i="1"/>
  <c r="H637" i="6"/>
  <c r="H635" i="6"/>
  <c r="H634" i="6"/>
  <c r="M180" i="1"/>
  <c r="M240" i="1" s="1"/>
  <c r="D628" i="6"/>
  <c r="H636" i="6"/>
  <c r="H632" i="6"/>
  <c r="D638" i="6"/>
  <c r="F638" i="6"/>
  <c r="H633" i="6"/>
  <c r="D611" i="6"/>
  <c r="H50" i="1"/>
  <c r="AH30" i="1"/>
  <c r="AK86" i="1"/>
  <c r="AJ86" i="1"/>
  <c r="AJ83" i="1"/>
  <c r="AK83" i="1"/>
  <c r="AB37" i="4"/>
  <c r="AH18" i="4"/>
  <c r="AH20" i="4"/>
  <c r="AH19" i="4"/>
  <c r="AH17" i="4"/>
  <c r="AE30" i="1"/>
  <c r="AH69" i="1"/>
  <c r="AH70" i="1"/>
  <c r="AH67" i="1"/>
  <c r="AD38" i="1"/>
  <c r="AD23" i="1"/>
  <c r="AD25" i="1" s="1"/>
  <c r="AD30" i="1" s="1"/>
  <c r="AH64" i="1"/>
  <c r="AG59" i="1"/>
  <c r="AG63" i="1" s="1"/>
  <c r="AG66" i="1" s="1"/>
  <c r="H83" i="1"/>
  <c r="H48" i="1"/>
  <c r="AI86" i="1"/>
  <c r="AH83" i="1"/>
  <c r="AI83" i="1"/>
  <c r="AI206" i="1"/>
  <c r="AY123" i="1"/>
  <c r="AY183" i="1" s="1"/>
  <c r="AY243" i="1" s="1"/>
  <c r="AG11" i="1"/>
  <c r="AC101" i="1"/>
  <c r="AA26" i="1"/>
  <c r="AG161" i="1"/>
  <c r="I154" i="1"/>
  <c r="I213" i="1"/>
  <c r="AY150" i="1"/>
  <c r="AY209" i="1" s="1"/>
  <c r="AG166" i="1"/>
  <c r="AG226" i="1" s="1"/>
  <c r="AH60" i="1"/>
  <c r="AG50" i="1"/>
  <c r="AG38" i="4"/>
  <c r="AH51" i="1"/>
  <c r="AG21" i="4"/>
  <c r="AH45" i="4"/>
  <c r="I26" i="1"/>
  <c r="I30" i="1"/>
  <c r="AH48" i="1"/>
  <c r="AH37" i="1"/>
  <c r="AH38" i="1"/>
  <c r="AA177" i="1"/>
  <c r="AA237" i="1" s="1"/>
  <c r="AA72" i="1"/>
  <c r="AA179" i="1" s="1"/>
  <c r="AA239" i="1" s="1"/>
  <c r="AD219" i="1"/>
  <c r="AH220" i="1" s="1"/>
  <c r="AG170" i="1"/>
  <c r="AG230" i="1" s="1"/>
  <c r="AH47" i="1"/>
  <c r="AG41" i="1"/>
  <c r="AG53" i="1"/>
  <c r="AG55" i="1"/>
  <c r="AG98" i="1"/>
  <c r="AG52" i="1"/>
  <c r="AH86" i="1"/>
  <c r="AH26" i="1"/>
  <c r="AG83" i="1"/>
  <c r="I208" i="1"/>
  <c r="I212" i="1"/>
  <c r="I177" i="1"/>
  <c r="I237" i="1" s="1"/>
  <c r="C979" i="6"/>
  <c r="D977" i="6"/>
  <c r="AY127" i="1"/>
  <c r="AG26" i="1"/>
  <c r="AG30" i="1"/>
  <c r="AF63" i="1"/>
  <c r="AF66" i="1" s="1"/>
  <c r="AF165" i="1"/>
  <c r="H152" i="1"/>
  <c r="H211" i="1" s="1"/>
  <c r="AD152" i="1"/>
  <c r="AD211" i="1" s="1"/>
  <c r="AD184" i="1"/>
  <c r="AD244" i="1" s="1"/>
  <c r="AF221" i="1"/>
  <c r="AF163" i="1"/>
  <c r="AE71" i="1"/>
  <c r="AE72" i="1" s="1"/>
  <c r="AE172" i="1"/>
  <c r="AE232" i="1" s="1"/>
  <c r="AE225" i="1"/>
  <c r="AE169" i="1"/>
  <c r="AE229" i="1" s="1"/>
  <c r="AE223" i="1"/>
  <c r="AC159" i="1"/>
  <c r="AF81" i="1"/>
  <c r="AF30" i="1"/>
  <c r="AF26" i="1"/>
  <c r="C1030" i="6"/>
  <c r="AC61" i="1"/>
  <c r="AC167" i="1" s="1"/>
  <c r="AC227" i="1" s="1"/>
  <c r="AC65" i="1"/>
  <c r="AC171" i="1" s="1"/>
  <c r="AC231" i="1" s="1"/>
  <c r="AC35" i="4"/>
  <c r="AD35" i="4" s="1"/>
  <c r="AC9" i="4"/>
  <c r="H136" i="1"/>
  <c r="H153" i="1" s="1"/>
  <c r="H183" i="1"/>
  <c r="H243" i="1" s="1"/>
  <c r="AC10" i="4"/>
  <c r="AC11" i="4"/>
  <c r="AC33" i="4"/>
  <c r="AC34" i="4"/>
  <c r="AD34" i="4" s="1"/>
  <c r="AC12" i="4"/>
  <c r="AC32" i="4"/>
  <c r="H135" i="1"/>
  <c r="H191" i="1" s="1"/>
  <c r="H1104" i="6"/>
  <c r="D1078" i="6"/>
  <c r="C1083" i="6"/>
  <c r="D1083" i="6"/>
  <c r="H143" i="1"/>
  <c r="H199" i="1" s="1"/>
  <c r="AY19" i="1"/>
  <c r="AY23" i="1" s="1"/>
  <c r="H132" i="1"/>
  <c r="H188" i="1" s="1"/>
  <c r="C1139" i="6"/>
  <c r="C1137" i="6"/>
  <c r="AD37" i="1"/>
  <c r="AY44" i="1"/>
  <c r="AY46" i="1" s="1"/>
  <c r="AY48" i="1" s="1"/>
  <c r="AY21" i="1"/>
  <c r="H260" i="1"/>
  <c r="H38" i="1"/>
  <c r="H37" i="1"/>
  <c r="H169" i="1"/>
  <c r="H229" i="1" s="1"/>
  <c r="H225" i="1"/>
  <c r="H207" i="1"/>
  <c r="H149" i="1"/>
  <c r="H86" i="1"/>
  <c r="H26" i="1"/>
  <c r="H223" i="1"/>
  <c r="H71" i="1"/>
  <c r="H72" i="1" s="1"/>
  <c r="H88" i="1"/>
  <c r="H172" i="1"/>
  <c r="H232" i="1" s="1"/>
  <c r="AC117" i="1"/>
  <c r="AC122" i="1" s="1"/>
  <c r="AY61" i="1"/>
  <c r="AY167" i="1" s="1"/>
  <c r="AY227" i="1" s="1"/>
  <c r="Y61" i="1"/>
  <c r="D1173" i="6"/>
  <c r="D1178" i="6"/>
  <c r="D1182" i="6"/>
  <c r="F1209" i="6"/>
  <c r="F1205" i="6"/>
  <c r="D1207" i="6"/>
  <c r="D1199" i="6"/>
  <c r="F1206" i="6"/>
  <c r="F1208" i="6"/>
  <c r="F1204" i="6"/>
  <c r="D1206" i="6"/>
  <c r="D1208" i="6"/>
  <c r="F1207" i="6"/>
  <c r="D1209" i="6"/>
  <c r="D1205" i="6"/>
  <c r="D1204" i="6"/>
  <c r="D1174" i="6"/>
  <c r="D1179" i="6"/>
  <c r="AY184" i="1"/>
  <c r="AY244" i="1" s="1"/>
  <c r="AY152" i="1"/>
  <c r="AY211" i="1" s="1"/>
  <c r="AY143" i="1"/>
  <c r="AY199" i="1" s="1"/>
  <c r="AY268" i="1" s="1"/>
  <c r="D1169" i="6"/>
  <c r="D1176" i="6"/>
  <c r="D1184" i="6"/>
  <c r="D1189" i="6"/>
  <c r="D1171" i="6"/>
  <c r="D1177" i="6"/>
  <c r="D1181" i="6"/>
  <c r="D1186" i="6"/>
  <c r="G1210" i="6"/>
  <c r="C1198" i="6"/>
  <c r="D1198" i="6" s="1"/>
  <c r="C1180" i="6"/>
  <c r="D1180" i="6" s="1"/>
  <c r="AC48" i="4"/>
  <c r="AC18" i="1"/>
  <c r="AF82" i="1" s="1"/>
  <c r="AD9" i="4" l="1"/>
  <c r="AG24" i="4"/>
  <c r="AD10" i="4"/>
  <c r="AG25" i="4"/>
  <c r="AD11" i="4"/>
  <c r="AD43" i="4" s="1"/>
  <c r="AG26" i="4"/>
  <c r="AG27" i="4"/>
  <c r="AJ222" i="1"/>
  <c r="AD268" i="1"/>
  <c r="H261" i="1"/>
  <c r="H258" i="1"/>
  <c r="D613" i="6"/>
  <c r="D616" i="6"/>
  <c r="H638" i="6"/>
  <c r="AL52" i="1"/>
  <c r="AJ87" i="1"/>
  <c r="AH38" i="4"/>
  <c r="AK84" i="1"/>
  <c r="AG163" i="1"/>
  <c r="AK162" i="1"/>
  <c r="AI87" i="1"/>
  <c r="AK87" i="1"/>
  <c r="AC37" i="4"/>
  <c r="AC38" i="4" s="1"/>
  <c r="AH21" i="4"/>
  <c r="AJ84" i="1"/>
  <c r="AJ133" i="1" s="1"/>
  <c r="AJ189" i="1" s="1"/>
  <c r="AG165" i="1"/>
  <c r="AG225" i="1" s="1"/>
  <c r="AY25" i="1"/>
  <c r="AY30" i="1" s="1"/>
  <c r="AI84" i="1"/>
  <c r="AG221" i="1"/>
  <c r="AC150" i="1"/>
  <c r="AC209" i="1" s="1"/>
  <c r="AC43" i="4"/>
  <c r="I179" i="1"/>
  <c r="I239" i="1" s="1"/>
  <c r="AD61" i="1"/>
  <c r="AD167" i="1" s="1"/>
  <c r="AD227" i="1" s="1"/>
  <c r="AA74" i="1"/>
  <c r="H192" i="1"/>
  <c r="I74" i="1"/>
  <c r="H154" i="1"/>
  <c r="AD33" i="4"/>
  <c r="AC13" i="4"/>
  <c r="AC42" i="4"/>
  <c r="AC44" i="4"/>
  <c r="AD12" i="4"/>
  <c r="AG172" i="1"/>
  <c r="AG232" i="1" s="1"/>
  <c r="AG71" i="1"/>
  <c r="AG72" i="1" s="1"/>
  <c r="H213" i="1"/>
  <c r="AD65" i="1"/>
  <c r="AG86" i="1"/>
  <c r="AC219" i="1"/>
  <c r="AG220" i="1" s="1"/>
  <c r="AG160" i="1"/>
  <c r="AF147" i="1"/>
  <c r="AF206" i="1" s="1"/>
  <c r="AF41" i="1"/>
  <c r="AF98" i="1"/>
  <c r="AF223" i="1"/>
  <c r="AF225" i="1"/>
  <c r="AF169" i="1"/>
  <c r="AF229" i="1" s="1"/>
  <c r="AE177" i="1"/>
  <c r="AE237" i="1" s="1"/>
  <c r="AF71" i="1"/>
  <c r="AF72" i="1" s="1"/>
  <c r="AF172" i="1"/>
  <c r="AF232" i="1" s="1"/>
  <c r="AD32" i="4"/>
  <c r="AC41" i="4"/>
  <c r="C1085" i="6"/>
  <c r="AD26" i="1"/>
  <c r="AC123" i="1"/>
  <c r="AC183" i="1" s="1"/>
  <c r="AC243" i="1" s="1"/>
  <c r="AY38" i="1"/>
  <c r="AC127" i="1"/>
  <c r="AY37" i="1"/>
  <c r="H177" i="1"/>
  <c r="H237" i="1" s="1"/>
  <c r="H179" i="1"/>
  <c r="H239" i="1" s="1"/>
  <c r="H208" i="1"/>
  <c r="H212" i="1"/>
  <c r="C1183" i="6"/>
  <c r="D1183" i="6" s="1"/>
  <c r="C1200" i="6"/>
  <c r="AC44" i="1"/>
  <c r="AC46" i="1" s="1"/>
  <c r="AG47" i="1" s="1"/>
  <c r="AC21" i="1"/>
  <c r="AC36" i="1"/>
  <c r="AC19" i="1"/>
  <c r="AC184" i="1"/>
  <c r="AC244" i="1" s="1"/>
  <c r="AC152" i="1"/>
  <c r="AC211" i="1" s="1"/>
  <c r="AC143" i="1"/>
  <c r="AC199" i="1" s="1"/>
  <c r="AB73" i="1"/>
  <c r="C1243" i="6"/>
  <c r="C1241" i="6"/>
  <c r="C1230" i="6"/>
  <c r="C1232" i="6" s="1"/>
  <c r="E1262" i="6"/>
  <c r="C1262" i="6"/>
  <c r="G1261" i="6"/>
  <c r="G1260" i="6"/>
  <c r="G1259" i="6"/>
  <c r="G1258" i="6"/>
  <c r="G1257" i="6"/>
  <c r="G1256" i="6"/>
  <c r="B1250" i="6"/>
  <c r="AB61" i="4"/>
  <c r="AB54" i="4"/>
  <c r="AB49" i="4"/>
  <c r="AB44" i="4"/>
  <c r="AB43" i="4"/>
  <c r="AB42" i="4"/>
  <c r="AB41" i="4"/>
  <c r="AB38" i="4"/>
  <c r="AB13" i="4"/>
  <c r="AA13" i="4"/>
  <c r="AB205" i="1"/>
  <c r="AB217" i="1" s="1"/>
  <c r="AB204" i="1"/>
  <c r="AB216" i="1" s="1"/>
  <c r="AB171" i="1"/>
  <c r="AB231" i="1" s="1"/>
  <c r="AB167" i="1"/>
  <c r="AB227" i="1" s="1"/>
  <c r="AB157" i="1"/>
  <c r="AB156" i="1"/>
  <c r="AB151" i="1"/>
  <c r="AB210" i="1" s="1"/>
  <c r="AB146" i="1"/>
  <c r="AB145" i="1"/>
  <c r="AB130" i="1"/>
  <c r="AB116" i="1"/>
  <c r="AB115" i="1"/>
  <c r="AB112" i="1"/>
  <c r="AB107" i="1"/>
  <c r="AB97" i="1"/>
  <c r="X97" i="1"/>
  <c r="AB92" i="1"/>
  <c r="X73" i="1"/>
  <c r="AB68" i="1"/>
  <c r="AB62" i="1"/>
  <c r="X62" i="1"/>
  <c r="AB54" i="1"/>
  <c r="X54" i="1"/>
  <c r="AB43" i="1"/>
  <c r="AB58" i="1" s="1"/>
  <c r="AB79" i="1" s="1"/>
  <c r="AB90" i="1" s="1"/>
  <c r="AB39" i="1"/>
  <c r="AB35" i="1"/>
  <c r="AB34" i="1"/>
  <c r="AB33" i="1"/>
  <c r="X33" i="1"/>
  <c r="AB10" i="1"/>
  <c r="AB101" i="1" s="1"/>
  <c r="X10" i="1"/>
  <c r="AB8" i="1"/>
  <c r="X8" i="1"/>
  <c r="C1314" i="6"/>
  <c r="C1295" i="6"/>
  <c r="C1293" i="6"/>
  <c r="C1302" i="6" s="1"/>
  <c r="N1266" i="6"/>
  <c r="D1308" i="6" s="1"/>
  <c r="E1314" i="6"/>
  <c r="G1313" i="6"/>
  <c r="G1312" i="6"/>
  <c r="G1311" i="6"/>
  <c r="G1310" i="6"/>
  <c r="G1309" i="6"/>
  <c r="G1308" i="6"/>
  <c r="B1302" i="6"/>
  <c r="C1282" i="6"/>
  <c r="AA61" i="4"/>
  <c r="AA54" i="4"/>
  <c r="AA49" i="4"/>
  <c r="AA44" i="4"/>
  <c r="AA43" i="4"/>
  <c r="AA42" i="4"/>
  <c r="AA41" i="4"/>
  <c r="AA38" i="4"/>
  <c r="AE11" i="1"/>
  <c r="AH24" i="4" l="1"/>
  <c r="AH25" i="4"/>
  <c r="AH26" i="4"/>
  <c r="AC14" i="4"/>
  <c r="AG28" i="4"/>
  <c r="AH27" i="4"/>
  <c r="AF28" i="4"/>
  <c r="AE28" i="4"/>
  <c r="AC268" i="1"/>
  <c r="D618" i="6"/>
  <c r="AY26" i="1"/>
  <c r="C776" i="6"/>
  <c r="AG223" i="1"/>
  <c r="AK222" i="1"/>
  <c r="AK186" i="1"/>
  <c r="AK246" i="1" s="1"/>
  <c r="AK141" i="1"/>
  <c r="AK197" i="1" s="1"/>
  <c r="AK140" i="1"/>
  <c r="AK196" i="1" s="1"/>
  <c r="AK148" i="1"/>
  <c r="AK138" i="1"/>
  <c r="AK194" i="1" s="1"/>
  <c r="AK133" i="1"/>
  <c r="AK189" i="1" s="1"/>
  <c r="AK136" i="1"/>
  <c r="AK132" i="1"/>
  <c r="AK188" i="1" s="1"/>
  <c r="AK135" i="1"/>
  <c r="C827" i="6"/>
  <c r="AD37" i="4"/>
  <c r="AC18" i="4"/>
  <c r="AJ136" i="1"/>
  <c r="AJ192" i="1" s="1"/>
  <c r="AJ135" i="1"/>
  <c r="AJ154" i="1" s="1"/>
  <c r="AJ141" i="1"/>
  <c r="AJ197" i="1" s="1"/>
  <c r="AG169" i="1"/>
  <c r="AG229" i="1" s="1"/>
  <c r="AJ132" i="1"/>
  <c r="AJ188" i="1" s="1"/>
  <c r="AJ148" i="1"/>
  <c r="AJ138" i="1"/>
  <c r="AJ194" i="1" s="1"/>
  <c r="AJ186" i="1"/>
  <c r="AJ246" i="1" s="1"/>
  <c r="AJ140" i="1"/>
  <c r="AJ196" i="1" s="1"/>
  <c r="AI141" i="1"/>
  <c r="AI197" i="1" s="1"/>
  <c r="C878" i="6"/>
  <c r="AC23" i="1"/>
  <c r="AC25" i="1" s="1"/>
  <c r="AF86" i="1" s="1"/>
  <c r="AI133" i="1"/>
  <c r="AI189" i="1" s="1"/>
  <c r="AI138" i="1"/>
  <c r="AI194" i="1" s="1"/>
  <c r="AI148" i="1"/>
  <c r="AI207" i="1" s="1"/>
  <c r="AI132" i="1"/>
  <c r="AI188" i="1" s="1"/>
  <c r="AI135" i="1"/>
  <c r="AI154" i="1" s="1"/>
  <c r="AI136" i="1"/>
  <c r="AI153" i="1" s="1"/>
  <c r="AI186" i="1"/>
  <c r="AI246" i="1" s="1"/>
  <c r="AI140" i="1"/>
  <c r="AI196" i="1" s="1"/>
  <c r="AD42" i="4"/>
  <c r="AD44" i="4"/>
  <c r="AE179" i="1"/>
  <c r="AE239" i="1" s="1"/>
  <c r="AA180" i="1"/>
  <c r="AA240" i="1" s="1"/>
  <c r="AD171" i="1"/>
  <c r="AD231" i="1" s="1"/>
  <c r="I180" i="1"/>
  <c r="I240" i="1" s="1"/>
  <c r="AC20" i="4"/>
  <c r="AC19" i="4"/>
  <c r="AC17" i="4"/>
  <c r="AD13" i="4"/>
  <c r="AG177" i="1"/>
  <c r="AG237" i="1" s="1"/>
  <c r="AG179" i="1"/>
  <c r="AG239" i="1" s="1"/>
  <c r="AC48" i="1"/>
  <c r="AF83" i="1"/>
  <c r="AF177" i="1"/>
  <c r="AF237" i="1" s="1"/>
  <c r="AE74" i="1"/>
  <c r="AE81" i="1"/>
  <c r="AF11" i="1"/>
  <c r="AC73" i="1"/>
  <c r="AC178" i="1" s="1"/>
  <c r="AC238" i="1" s="1"/>
  <c r="AD41" i="4"/>
  <c r="AC45" i="4"/>
  <c r="G1314" i="6"/>
  <c r="AE160" i="1"/>
  <c r="AD81" i="1"/>
  <c r="AB70" i="1"/>
  <c r="AC38" i="1"/>
  <c r="H74" i="1"/>
  <c r="AB178" i="1"/>
  <c r="AB238" i="1" s="1"/>
  <c r="AY62" i="1"/>
  <c r="AY168" i="1" s="1"/>
  <c r="AY228" i="1" s="1"/>
  <c r="Y62" i="1"/>
  <c r="AY73" i="1"/>
  <c r="AY178" i="1" s="1"/>
  <c r="AY238" i="1" s="1"/>
  <c r="Y73" i="1"/>
  <c r="X51" i="1"/>
  <c r="AY54" i="1"/>
  <c r="AY56" i="1" s="1"/>
  <c r="Y54" i="1"/>
  <c r="AB168" i="1"/>
  <c r="AB228" i="1" s="1"/>
  <c r="AC62" i="1"/>
  <c r="AB11" i="1"/>
  <c r="AB55" i="1"/>
  <c r="AC54" i="1"/>
  <c r="AB174" i="1"/>
  <c r="AB234" i="1" s="1"/>
  <c r="AC68" i="1"/>
  <c r="C1188" i="6"/>
  <c r="C1185" i="6"/>
  <c r="C1211" i="6" s="1"/>
  <c r="AC37" i="1"/>
  <c r="AB67" i="1"/>
  <c r="AB18" i="1"/>
  <c r="AE82" i="1" s="1"/>
  <c r="AB117" i="1"/>
  <c r="AB159" i="1"/>
  <c r="AF160" i="1" s="1"/>
  <c r="AB14" i="4"/>
  <c r="AB64" i="1"/>
  <c r="AB69" i="1"/>
  <c r="AB161" i="1"/>
  <c r="AF162" i="1" s="1"/>
  <c r="D1251" i="6"/>
  <c r="D1229" i="6"/>
  <c r="D1226" i="6"/>
  <c r="AB60" i="1"/>
  <c r="AB56" i="1"/>
  <c r="D1272" i="6"/>
  <c r="AB48" i="4"/>
  <c r="AB45" i="4"/>
  <c r="AB17" i="4"/>
  <c r="AB18" i="4"/>
  <c r="AB19" i="4"/>
  <c r="AB20" i="4"/>
  <c r="D1232" i="6"/>
  <c r="D1238" i="6"/>
  <c r="D1259" i="6"/>
  <c r="D1223" i="6"/>
  <c r="D1257" i="6"/>
  <c r="D1225" i="6"/>
  <c r="F1256" i="6"/>
  <c r="D1221" i="6"/>
  <c r="F1261" i="6"/>
  <c r="F1260" i="6"/>
  <c r="D1239" i="6"/>
  <c r="D1230" i="6"/>
  <c r="F1259" i="6"/>
  <c r="D1261" i="6"/>
  <c r="D1260" i="6"/>
  <c r="D1258" i="6"/>
  <c r="D1228" i="6"/>
  <c r="D1231" i="6"/>
  <c r="F1258" i="6"/>
  <c r="D1234" i="6"/>
  <c r="F1257" i="6"/>
  <c r="D1236" i="6"/>
  <c r="D1220" i="6"/>
  <c r="D1241" i="6"/>
  <c r="D1233" i="6"/>
  <c r="D1256" i="6"/>
  <c r="G1262" i="6"/>
  <c r="C1235" i="6"/>
  <c r="D1235" i="6" s="1"/>
  <c r="C1250" i="6"/>
  <c r="D1250" i="6" s="1"/>
  <c r="D1312" i="6"/>
  <c r="D1285" i="6"/>
  <c r="D1302" i="6"/>
  <c r="D1288" i="6"/>
  <c r="F1309" i="6"/>
  <c r="D1303" i="6"/>
  <c r="D1283" i="6"/>
  <c r="F1310" i="6"/>
  <c r="D1281" i="6"/>
  <c r="F1311" i="6"/>
  <c r="D1280" i="6"/>
  <c r="F1312" i="6"/>
  <c r="D1278" i="6"/>
  <c r="F1313" i="6"/>
  <c r="D1277" i="6"/>
  <c r="F1308" i="6"/>
  <c r="D1275" i="6"/>
  <c r="D1309" i="6"/>
  <c r="D1293" i="6"/>
  <c r="D1273" i="6"/>
  <c r="D1310" i="6"/>
  <c r="D1291" i="6"/>
  <c r="D1311" i="6"/>
  <c r="D1290" i="6"/>
  <c r="D1286" i="6"/>
  <c r="D1313" i="6"/>
  <c r="D1282" i="6"/>
  <c r="AA14" i="4"/>
  <c r="C1284" i="6"/>
  <c r="C1287" i="6" s="1"/>
  <c r="C1304" i="6"/>
  <c r="AA48" i="4"/>
  <c r="AA19" i="4"/>
  <c r="AA18" i="4"/>
  <c r="AA17" i="4"/>
  <c r="AA20" i="4"/>
  <c r="AA45" i="4"/>
  <c r="AE162" i="1"/>
  <c r="AD17" i="4" l="1"/>
  <c r="AH28" i="4"/>
  <c r="AJ263" i="1"/>
  <c r="AJ266" i="1"/>
  <c r="AJ258" i="1"/>
  <c r="AJ261" i="1"/>
  <c r="AJ257" i="1"/>
  <c r="AJ260" i="1"/>
  <c r="AK266" i="1"/>
  <c r="AK263" i="1"/>
  <c r="AK261" i="1"/>
  <c r="AK258" i="1"/>
  <c r="AK257" i="1"/>
  <c r="AK260" i="1"/>
  <c r="AI266" i="1"/>
  <c r="AI263" i="1"/>
  <c r="AI258" i="1"/>
  <c r="AI261" i="1"/>
  <c r="AI257" i="1"/>
  <c r="AI260" i="1"/>
  <c r="AJ149" i="1"/>
  <c r="D621" i="6"/>
  <c r="F616" i="6" s="1"/>
  <c r="AJ207" i="1"/>
  <c r="AJ153" i="1"/>
  <c r="D776" i="6"/>
  <c r="E771" i="6"/>
  <c r="E773" i="6"/>
  <c r="E720" i="6"/>
  <c r="E722" i="6"/>
  <c r="AK154" i="1"/>
  <c r="AK191" i="1"/>
  <c r="AK207" i="1"/>
  <c r="AK149" i="1"/>
  <c r="D827" i="6"/>
  <c r="E822" i="6"/>
  <c r="E824" i="6"/>
  <c r="AK192" i="1"/>
  <c r="AK153" i="1"/>
  <c r="AC30" i="1"/>
  <c r="AJ191" i="1"/>
  <c r="AC26" i="1"/>
  <c r="D878" i="6"/>
  <c r="E873" i="6"/>
  <c r="E875" i="6"/>
  <c r="AI149" i="1"/>
  <c r="AI192" i="1"/>
  <c r="AI191" i="1"/>
  <c r="AI212" i="1"/>
  <c r="AI213" i="1"/>
  <c r="AI208" i="1"/>
  <c r="AF179" i="1"/>
  <c r="AF239" i="1" s="1"/>
  <c r="AH72" i="1"/>
  <c r="AC21" i="4"/>
  <c r="X53" i="1"/>
  <c r="AF74" i="1"/>
  <c r="AF180" i="1" s="1"/>
  <c r="AF240" i="1" s="1"/>
  <c r="AD14" i="4"/>
  <c r="AD19" i="4"/>
  <c r="AD18" i="4"/>
  <c r="AD20" i="4"/>
  <c r="AG74" i="1"/>
  <c r="AG180" i="1" s="1"/>
  <c r="AG240" i="1" s="1"/>
  <c r="AE147" i="1"/>
  <c r="AE98" i="1"/>
  <c r="AE41" i="1"/>
  <c r="AE180" i="1"/>
  <c r="AE240" i="1" s="1"/>
  <c r="AD73" i="1"/>
  <c r="H1257" i="6"/>
  <c r="AB176" i="1"/>
  <c r="AB236" i="1" s="1"/>
  <c r="AY160" i="1"/>
  <c r="AD45" i="4"/>
  <c r="AE220" i="1"/>
  <c r="AC70" i="1"/>
  <c r="AD70" i="1" s="1"/>
  <c r="AB53" i="1"/>
  <c r="C1190" i="6"/>
  <c r="C1194" i="6"/>
  <c r="AC168" i="1"/>
  <c r="AC228" i="1" s="1"/>
  <c r="AD62" i="1"/>
  <c r="AC174" i="1"/>
  <c r="AC234" i="1" s="1"/>
  <c r="AD68" i="1"/>
  <c r="AD147" i="1"/>
  <c r="AD206" i="1" s="1"/>
  <c r="AD98" i="1"/>
  <c r="AD41" i="1"/>
  <c r="AD82" i="1"/>
  <c r="AB52" i="1"/>
  <c r="AC56" i="1"/>
  <c r="AD54" i="1"/>
  <c r="H180" i="1"/>
  <c r="H240" i="1" s="1"/>
  <c r="AB173" i="1"/>
  <c r="AB233" i="1" s="1"/>
  <c r="AC67" i="1"/>
  <c r="AB170" i="1"/>
  <c r="AB230" i="1" s="1"/>
  <c r="AC64" i="1"/>
  <c r="AB166" i="1"/>
  <c r="AB226" i="1" s="1"/>
  <c r="AC60" i="1"/>
  <c r="AB175" i="1"/>
  <c r="AB235" i="1" s="1"/>
  <c r="AC69" i="1"/>
  <c r="AB59" i="1"/>
  <c r="X55" i="1"/>
  <c r="D1262" i="6"/>
  <c r="H1205" i="6"/>
  <c r="H1209" i="6"/>
  <c r="H1207" i="6"/>
  <c r="F1210" i="6"/>
  <c r="D1200" i="6"/>
  <c r="H1206" i="6"/>
  <c r="D1210" i="6"/>
  <c r="H1204" i="6"/>
  <c r="H1208" i="6"/>
  <c r="D1188" i="6"/>
  <c r="D1190" i="6" s="1"/>
  <c r="D1185" i="6"/>
  <c r="AB163" i="1"/>
  <c r="AB221" i="1"/>
  <c r="AB219" i="1"/>
  <c r="AF220" i="1" s="1"/>
  <c r="AB150" i="1"/>
  <c r="AB209" i="1" s="1"/>
  <c r="AB123" i="1"/>
  <c r="AB122" i="1"/>
  <c r="AB127" i="1"/>
  <c r="AB44" i="1"/>
  <c r="AB46" i="1" s="1"/>
  <c r="AB36" i="1"/>
  <c r="AB19" i="1"/>
  <c r="AB21" i="1"/>
  <c r="AB23" i="1" s="1"/>
  <c r="AB25" i="1" s="1"/>
  <c r="D1240" i="6"/>
  <c r="D1242" i="6" s="1"/>
  <c r="AB21" i="4"/>
  <c r="H1260" i="6"/>
  <c r="H1259" i="6"/>
  <c r="H1256" i="6"/>
  <c r="H1261" i="6"/>
  <c r="F1262" i="6"/>
  <c r="H1258" i="6"/>
  <c r="D1237" i="6"/>
  <c r="D1252" i="6"/>
  <c r="C1252" i="6"/>
  <c r="C1237" i="6"/>
  <c r="C1263" i="6" s="1"/>
  <c r="C1240" i="6"/>
  <c r="AE47" i="1"/>
  <c r="C1289" i="6"/>
  <c r="C1315" i="6" s="1"/>
  <c r="C1292" i="6"/>
  <c r="C1294" i="6" s="1"/>
  <c r="D1284" i="6"/>
  <c r="AA21" i="4"/>
  <c r="AE222" i="1"/>
  <c r="N1317" i="6"/>
  <c r="E1365" i="6"/>
  <c r="C1365" i="6"/>
  <c r="G1364" i="6"/>
  <c r="G1363" i="6"/>
  <c r="G1362" i="6"/>
  <c r="G1361" i="6"/>
  <c r="G1360" i="6"/>
  <c r="G1359" i="6"/>
  <c r="B1353" i="6"/>
  <c r="C1333" i="6"/>
  <c r="C1335" i="6" s="1"/>
  <c r="C1338" i="6" s="1"/>
  <c r="C1340" i="6" s="1"/>
  <c r="Z69" i="4"/>
  <c r="Z68" i="4"/>
  <c r="Z67" i="4"/>
  <c r="Z66" i="4"/>
  <c r="Z63" i="4"/>
  <c r="Z62" i="4"/>
  <c r="Z59" i="4"/>
  <c r="Z56" i="4"/>
  <c r="Z55" i="4"/>
  <c r="Z52" i="4"/>
  <c r="Z50" i="4"/>
  <c r="G61" i="4"/>
  <c r="G54" i="4"/>
  <c r="G49" i="4"/>
  <c r="G44" i="4"/>
  <c r="G43" i="4"/>
  <c r="G42" i="4"/>
  <c r="G41" i="4"/>
  <c r="G13" i="4"/>
  <c r="G20" i="4" l="1"/>
  <c r="H28" i="4"/>
  <c r="AF222" i="1"/>
  <c r="F618" i="6"/>
  <c r="Z49" i="4"/>
  <c r="AJ208" i="1"/>
  <c r="AJ213" i="1"/>
  <c r="AJ212" i="1"/>
  <c r="F771" i="6"/>
  <c r="F773" i="6"/>
  <c r="AK208" i="1"/>
  <c r="AK212" i="1"/>
  <c r="AK213" i="1"/>
  <c r="F822" i="6"/>
  <c r="F824" i="6"/>
  <c r="F873" i="6"/>
  <c r="F875" i="6"/>
  <c r="AD21" i="4"/>
  <c r="AD178" i="1"/>
  <c r="AD238" i="1" s="1"/>
  <c r="AE85" i="1"/>
  <c r="AG85" i="1"/>
  <c r="AE83" i="1"/>
  <c r="AF47" i="1"/>
  <c r="AF85" i="1"/>
  <c r="AE206" i="1"/>
  <c r="AC176" i="1"/>
  <c r="AC236" i="1" s="1"/>
  <c r="AD85" i="1"/>
  <c r="AY220" i="1"/>
  <c r="AD51" i="1"/>
  <c r="AD53" i="1" s="1"/>
  <c r="AD174" i="1"/>
  <c r="AD234" i="1" s="1"/>
  <c r="AD176" i="1"/>
  <c r="AD236" i="1" s="1"/>
  <c r="AD56" i="1"/>
  <c r="AD168" i="1"/>
  <c r="AD228" i="1" s="1"/>
  <c r="F1359" i="6"/>
  <c r="AC170" i="1"/>
  <c r="AC230" i="1" s="1"/>
  <c r="AD64" i="1"/>
  <c r="AD83" i="1"/>
  <c r="AC166" i="1"/>
  <c r="AC226" i="1" s="1"/>
  <c r="AD60" i="1"/>
  <c r="AC173" i="1"/>
  <c r="AC233" i="1" s="1"/>
  <c r="AD67" i="1"/>
  <c r="AC175" i="1"/>
  <c r="AC235" i="1" s="1"/>
  <c r="AD69" i="1"/>
  <c r="AB63" i="1"/>
  <c r="AB66" i="1" s="1"/>
  <c r="AB165" i="1"/>
  <c r="AC55" i="1"/>
  <c r="AC53" i="1"/>
  <c r="AC59" i="1"/>
  <c r="AC161" i="1"/>
  <c r="AG162" i="1" s="1"/>
  <c r="AC50" i="1"/>
  <c r="C1246" i="6"/>
  <c r="H1210" i="6"/>
  <c r="C1192" i="6"/>
  <c r="AB37" i="1"/>
  <c r="AE86" i="1"/>
  <c r="AB38" i="1"/>
  <c r="AB143" i="1"/>
  <c r="AB199" i="1" s="1"/>
  <c r="AB184" i="1"/>
  <c r="AB244" i="1" s="1"/>
  <c r="AB152" i="1"/>
  <c r="AB211" i="1" s="1"/>
  <c r="AB183" i="1"/>
  <c r="AB243" i="1" s="1"/>
  <c r="AB223" i="1"/>
  <c r="AB48" i="1"/>
  <c r="AB50" i="1"/>
  <c r="H1262" i="6"/>
  <c r="C1242" i="6"/>
  <c r="D1363" i="6"/>
  <c r="D1329" i="6"/>
  <c r="D1323" i="6"/>
  <c r="D1364" i="6"/>
  <c r="F1361" i="6"/>
  <c r="D1333" i="6"/>
  <c r="D1360" i="6"/>
  <c r="D1362" i="6"/>
  <c r="D1326" i="6"/>
  <c r="D1328" i="6"/>
  <c r="D1331" i="6"/>
  <c r="D1332" i="6"/>
  <c r="D1354" i="6"/>
  <c r="D1359" i="6"/>
  <c r="D1361" i="6"/>
  <c r="Z54" i="4"/>
  <c r="C1298" i="6"/>
  <c r="D1334" i="6"/>
  <c r="F1362" i="6"/>
  <c r="D1335" i="6"/>
  <c r="F1363" i="6"/>
  <c r="D1336" i="6"/>
  <c r="F1364" i="6"/>
  <c r="D1339" i="6"/>
  <c r="D1337" i="6"/>
  <c r="D1341" i="6"/>
  <c r="H1311" i="6"/>
  <c r="H1312" i="6"/>
  <c r="D1304" i="6"/>
  <c r="D1287" i="6"/>
  <c r="D1342" i="6"/>
  <c r="F1360" i="6"/>
  <c r="C1296" i="6"/>
  <c r="G1365" i="6"/>
  <c r="Z61" i="4"/>
  <c r="G48" i="4"/>
  <c r="G17" i="4"/>
  <c r="G18" i="4"/>
  <c r="G45" i="4"/>
  <c r="G19" i="4"/>
  <c r="Z119" i="1"/>
  <c r="C1344" i="6" s="1"/>
  <c r="D1344" i="6" s="1"/>
  <c r="Z126" i="1"/>
  <c r="Z125" i="1"/>
  <c r="Z248" i="1" s="1"/>
  <c r="Z111" i="1"/>
  <c r="Z252" i="1" s="1"/>
  <c r="Z110" i="1"/>
  <c r="Z251" i="1" s="1"/>
  <c r="Z106" i="1"/>
  <c r="Z105" i="1"/>
  <c r="Z96" i="1"/>
  <c r="Z95" i="1"/>
  <c r="Z94" i="1"/>
  <c r="Z93" i="1"/>
  <c r="Z45" i="1"/>
  <c r="Z29" i="1"/>
  <c r="Z28" i="1"/>
  <c r="Z22" i="1"/>
  <c r="Z20" i="1"/>
  <c r="Z17" i="1"/>
  <c r="Z16" i="1"/>
  <c r="Z13" i="1"/>
  <c r="Z9" i="1"/>
  <c r="Z7" i="1"/>
  <c r="Z201" i="1"/>
  <c r="Z205" i="1"/>
  <c r="Z217" i="1" s="1"/>
  <c r="Z204" i="1"/>
  <c r="Z216" i="1" s="1"/>
  <c r="Z157" i="1"/>
  <c r="Z156" i="1"/>
  <c r="Z146" i="1"/>
  <c r="Z145" i="1"/>
  <c r="Z130" i="1"/>
  <c r="Z43" i="1"/>
  <c r="Z58" i="1" s="1"/>
  <c r="Z79" i="1" s="1"/>
  <c r="Z90" i="1" s="1"/>
  <c r="G92" i="1"/>
  <c r="Z92" i="1" s="1"/>
  <c r="G69" i="1"/>
  <c r="G175" i="1" s="1"/>
  <c r="G235" i="1" s="1"/>
  <c r="G70" i="1"/>
  <c r="G176" i="1" s="1"/>
  <c r="G236" i="1" s="1"/>
  <c r="G67" i="1"/>
  <c r="G173" i="1" s="1"/>
  <c r="G233" i="1" s="1"/>
  <c r="G65" i="1"/>
  <c r="G171" i="1" s="1"/>
  <c r="G231" i="1" s="1"/>
  <c r="G64" i="1"/>
  <c r="G87" i="1" s="1"/>
  <c r="G60" i="1"/>
  <c r="G166" i="1" s="1"/>
  <c r="G226" i="1" s="1"/>
  <c r="G51" i="1"/>
  <c r="G205" i="1"/>
  <c r="G217" i="1" s="1"/>
  <c r="G204" i="1"/>
  <c r="G216" i="1" s="1"/>
  <c r="G178" i="1"/>
  <c r="G238" i="1" s="1"/>
  <c r="G168" i="1"/>
  <c r="G228" i="1" s="1"/>
  <c r="G167" i="1"/>
  <c r="G227" i="1" s="1"/>
  <c r="G157" i="1"/>
  <c r="G156" i="1"/>
  <c r="G151" i="1"/>
  <c r="G210" i="1" s="1"/>
  <c r="G146" i="1"/>
  <c r="G145" i="1"/>
  <c r="G130" i="1"/>
  <c r="G116" i="1"/>
  <c r="Z116" i="1" s="1"/>
  <c r="G115" i="1"/>
  <c r="G112" i="1"/>
  <c r="G107" i="1"/>
  <c r="Z107" i="1" s="1"/>
  <c r="G97" i="1"/>
  <c r="G85" i="1"/>
  <c r="G174" i="1"/>
  <c r="G234" i="1" s="1"/>
  <c r="G56" i="1"/>
  <c r="G43" i="1"/>
  <c r="G58" i="1" s="1"/>
  <c r="G79" i="1" s="1"/>
  <c r="G90" i="1" s="1"/>
  <c r="G39" i="1"/>
  <c r="G35" i="1"/>
  <c r="G34" i="1"/>
  <c r="G33" i="1"/>
  <c r="G10" i="1"/>
  <c r="G101" i="1" s="1"/>
  <c r="G8" i="1"/>
  <c r="Z253" i="1" l="1"/>
  <c r="C1346" i="6"/>
  <c r="Z255" i="1"/>
  <c r="AB268" i="1"/>
  <c r="Z48" i="4"/>
  <c r="AE87" i="1"/>
  <c r="AG84" i="1"/>
  <c r="AG138" i="1" s="1"/>
  <c r="AG194" i="1" s="1"/>
  <c r="AG87" i="1"/>
  <c r="AF87" i="1"/>
  <c r="AD161" i="1"/>
  <c r="AD221" i="1" s="1"/>
  <c r="AE84" i="1"/>
  <c r="AF84" i="1"/>
  <c r="AD38" i="4"/>
  <c r="AD86" i="1"/>
  <c r="AD84" i="1"/>
  <c r="AD186" i="1" s="1"/>
  <c r="AD246" i="1" s="1"/>
  <c r="AD50" i="1"/>
  <c r="AD59" i="1"/>
  <c r="AD55" i="1"/>
  <c r="AD175" i="1"/>
  <c r="AD235" i="1" s="1"/>
  <c r="AD166" i="1"/>
  <c r="AD226" i="1" s="1"/>
  <c r="AD170" i="1"/>
  <c r="AD230" i="1" s="1"/>
  <c r="AD173" i="1"/>
  <c r="AD233" i="1" s="1"/>
  <c r="H1154" i="6"/>
  <c r="H1152" i="6"/>
  <c r="H1153" i="6"/>
  <c r="D1145" i="6"/>
  <c r="H1149" i="6"/>
  <c r="D1155" i="6"/>
  <c r="H1150" i="6"/>
  <c r="F1155" i="6"/>
  <c r="D1128" i="6"/>
  <c r="H1151" i="6"/>
  <c r="G117" i="1"/>
  <c r="G123" i="1" s="1"/>
  <c r="AD87" i="1"/>
  <c r="G159" i="1"/>
  <c r="H160" i="1" s="1"/>
  <c r="H11" i="1"/>
  <c r="G55" i="1"/>
  <c r="G38" i="4" s="1"/>
  <c r="H52" i="1"/>
  <c r="AD8" i="1"/>
  <c r="Z112" i="1"/>
  <c r="AC163" i="1"/>
  <c r="AC221" i="1"/>
  <c r="AC165" i="1"/>
  <c r="AC63" i="1"/>
  <c r="AC66" i="1" s="1"/>
  <c r="AB169" i="1"/>
  <c r="AB229" i="1" s="1"/>
  <c r="AB225" i="1"/>
  <c r="N1163" i="6"/>
  <c r="N1215" i="6"/>
  <c r="AB71" i="1"/>
  <c r="AB172" i="1"/>
  <c r="AB232" i="1" s="1"/>
  <c r="G21" i="4"/>
  <c r="AB26" i="1"/>
  <c r="AB30" i="1"/>
  <c r="Z115" i="1"/>
  <c r="Z117" i="1" s="1"/>
  <c r="C1244" i="6"/>
  <c r="F1365" i="6"/>
  <c r="C1353" i="6"/>
  <c r="D1353" i="6" s="1"/>
  <c r="Z151" i="1"/>
  <c r="Z210" i="1" s="1"/>
  <c r="Z97" i="1"/>
  <c r="G14" i="4"/>
  <c r="N1318" i="6"/>
  <c r="N1267" i="6"/>
  <c r="Z10" i="1"/>
  <c r="AD11" i="1" s="1"/>
  <c r="D1314" i="6"/>
  <c r="H1308" i="6"/>
  <c r="H1309" i="6"/>
  <c r="F1314" i="6"/>
  <c r="D1289" i="6"/>
  <c r="D1292" i="6"/>
  <c r="H1310" i="6"/>
  <c r="H1313" i="6"/>
  <c r="C1343" i="6"/>
  <c r="C1366" i="6"/>
  <c r="Z39" i="1"/>
  <c r="Z33" i="1"/>
  <c r="G18" i="1"/>
  <c r="G82" i="1" s="1"/>
  <c r="G161" i="1"/>
  <c r="H162" i="1" s="1"/>
  <c r="G170" i="1"/>
  <c r="G230" i="1" s="1"/>
  <c r="G53" i="1"/>
  <c r="G59" i="1"/>
  <c r="G81" i="1"/>
  <c r="G84" i="1"/>
  <c r="C1416" i="6"/>
  <c r="C1397" i="6"/>
  <c r="C1395" i="6"/>
  <c r="C1384" i="6"/>
  <c r="C1386" i="6" s="1"/>
  <c r="C1389" i="6" s="1"/>
  <c r="N1368" i="6"/>
  <c r="E1416" i="6"/>
  <c r="G1415" i="6"/>
  <c r="G1414" i="6"/>
  <c r="G1413" i="6"/>
  <c r="G1412" i="6"/>
  <c r="G1411" i="6"/>
  <c r="G1410" i="6"/>
  <c r="B1404" i="6"/>
  <c r="AD265" i="1" l="1"/>
  <c r="AD266" i="1"/>
  <c r="AD263" i="1"/>
  <c r="AD261" i="1"/>
  <c r="AD258" i="1"/>
  <c r="AD257" i="1"/>
  <c r="AD260" i="1"/>
  <c r="AG222" i="1"/>
  <c r="G150" i="1"/>
  <c r="G209" i="1" s="1"/>
  <c r="G122" i="1"/>
  <c r="G132" i="1" s="1"/>
  <c r="G188" i="1" s="1"/>
  <c r="AD138" i="1"/>
  <c r="AD194" i="1" s="1"/>
  <c r="G127" i="1"/>
  <c r="AD163" i="1"/>
  <c r="AG186" i="1"/>
  <c r="AG246" i="1" s="1"/>
  <c r="AG140" i="1"/>
  <c r="AG196" i="1" s="1"/>
  <c r="AG136" i="1"/>
  <c r="AG192" i="1" s="1"/>
  <c r="AG141" i="1"/>
  <c r="AG197" i="1" s="1"/>
  <c r="AG133" i="1"/>
  <c r="AG189" i="1" s="1"/>
  <c r="AG148" i="1"/>
  <c r="AG207" i="1" s="1"/>
  <c r="AG135" i="1"/>
  <c r="AG191" i="1" s="1"/>
  <c r="AG132" i="1"/>
  <c r="AG188" i="1" s="1"/>
  <c r="AD63" i="1"/>
  <c r="AD66" i="1" s="1"/>
  <c r="AG88" i="1" s="1"/>
  <c r="C980" i="6"/>
  <c r="AD165" i="1"/>
  <c r="AD225" i="1" s="1"/>
  <c r="C1031" i="6"/>
  <c r="AF138" i="1"/>
  <c r="AF194" i="1" s="1"/>
  <c r="AF141" i="1"/>
  <c r="AF197" i="1" s="1"/>
  <c r="AF135" i="1"/>
  <c r="AF148" i="1"/>
  <c r="AF133" i="1"/>
  <c r="AF189" i="1" s="1"/>
  <c r="AF140" i="1"/>
  <c r="AF196" i="1" s="1"/>
  <c r="AF132" i="1"/>
  <c r="AF188" i="1" s="1"/>
  <c r="AF186" i="1"/>
  <c r="AF246" i="1" s="1"/>
  <c r="AF136" i="1"/>
  <c r="AE138" i="1"/>
  <c r="AE194" i="1" s="1"/>
  <c r="AE140" i="1"/>
  <c r="AE196" i="1" s="1"/>
  <c r="AE186" i="1"/>
  <c r="AE246" i="1" s="1"/>
  <c r="AE148" i="1"/>
  <c r="AE141" i="1"/>
  <c r="AE197" i="1" s="1"/>
  <c r="AE135" i="1"/>
  <c r="AE132" i="1"/>
  <c r="AE188" i="1" s="1"/>
  <c r="AE136" i="1"/>
  <c r="AE133" i="1"/>
  <c r="AE189" i="1" s="1"/>
  <c r="C1086" i="6"/>
  <c r="E1083" i="6" s="1"/>
  <c r="AD135" i="1"/>
  <c r="AD191" i="1" s="1"/>
  <c r="AD148" i="1"/>
  <c r="AD149" i="1" s="1"/>
  <c r="AD132" i="1"/>
  <c r="AD188" i="1" s="1"/>
  <c r="AD136" i="1"/>
  <c r="AD133" i="1"/>
  <c r="AD189" i="1" s="1"/>
  <c r="AD141" i="1"/>
  <c r="AD197" i="1" s="1"/>
  <c r="C1138" i="6"/>
  <c r="E1135" i="6" s="1"/>
  <c r="AD140" i="1"/>
  <c r="AD196" i="1" s="1"/>
  <c r="D1130" i="6"/>
  <c r="D1133" i="6"/>
  <c r="H1155" i="6"/>
  <c r="G219" i="1"/>
  <c r="H220" i="1" s="1"/>
  <c r="AD223" i="1"/>
  <c r="G21" i="1"/>
  <c r="Z127" i="1"/>
  <c r="Z150" i="1"/>
  <c r="Z209" i="1" s="1"/>
  <c r="Z123" i="1"/>
  <c r="C1349" i="6" s="1"/>
  <c r="Z159" i="1"/>
  <c r="AD160" i="1" s="1"/>
  <c r="AC81" i="1"/>
  <c r="AB72" i="1"/>
  <c r="AB177" i="1"/>
  <c r="AB237" i="1" s="1"/>
  <c r="AC223" i="1"/>
  <c r="AC225" i="1"/>
  <c r="AC169" i="1"/>
  <c r="AC229" i="1" s="1"/>
  <c r="AC172" i="1"/>
  <c r="AC232" i="1" s="1"/>
  <c r="AC71" i="1"/>
  <c r="AC72" i="1" s="1"/>
  <c r="C1355" i="6"/>
  <c r="Z122" i="1"/>
  <c r="Z184" i="1" s="1"/>
  <c r="Z244" i="1" s="1"/>
  <c r="G36" i="1"/>
  <c r="G19" i="1"/>
  <c r="D1395" i="6"/>
  <c r="D1294" i="6"/>
  <c r="H1314" i="6"/>
  <c r="F1415" i="6"/>
  <c r="F1410" i="6"/>
  <c r="D1374" i="6"/>
  <c r="F1414" i="6"/>
  <c r="F1413" i="6"/>
  <c r="F1411" i="6"/>
  <c r="F1412" i="6"/>
  <c r="C1404" i="6"/>
  <c r="C1406" i="6" s="1"/>
  <c r="D1411" i="6"/>
  <c r="H1364" i="6"/>
  <c r="H1363" i="6"/>
  <c r="H1362" i="6"/>
  <c r="H1361" i="6"/>
  <c r="H1360" i="6"/>
  <c r="D1324" i="6"/>
  <c r="D1385" i="6"/>
  <c r="D1414" i="6"/>
  <c r="D1405" i="6"/>
  <c r="D1390" i="6"/>
  <c r="D1380" i="6"/>
  <c r="C1345" i="6"/>
  <c r="G44" i="1"/>
  <c r="G46" i="1" s="1"/>
  <c r="G140" i="1"/>
  <c r="G196" i="1" s="1"/>
  <c r="G186" i="1"/>
  <c r="G246" i="1" s="1"/>
  <c r="G263" i="1" s="1"/>
  <c r="G138" i="1"/>
  <c r="G194" i="1" s="1"/>
  <c r="G148" i="1"/>
  <c r="G141" i="1"/>
  <c r="G197" i="1" s="1"/>
  <c r="G147" i="1"/>
  <c r="G206" i="1" s="1"/>
  <c r="G41" i="1"/>
  <c r="G98" i="1"/>
  <c r="G163" i="1"/>
  <c r="G221" i="1"/>
  <c r="H222" i="1" s="1"/>
  <c r="G133" i="1"/>
  <c r="G189" i="1" s="1"/>
  <c r="G136" i="1"/>
  <c r="G183" i="1"/>
  <c r="G243" i="1" s="1"/>
  <c r="G165" i="1"/>
  <c r="G63" i="1"/>
  <c r="G66" i="1" s="1"/>
  <c r="D1375" i="6"/>
  <c r="D1382" i="6"/>
  <c r="D1386" i="6"/>
  <c r="D1392" i="6"/>
  <c r="D1413" i="6"/>
  <c r="D1377" i="6"/>
  <c r="D1383" i="6"/>
  <c r="D1387" i="6"/>
  <c r="D1393" i="6"/>
  <c r="D1410" i="6"/>
  <c r="D1412" i="6"/>
  <c r="D1379" i="6"/>
  <c r="D1384" i="6"/>
  <c r="D1388" i="6"/>
  <c r="D1415" i="6"/>
  <c r="G1416" i="6"/>
  <c r="C1394" i="6"/>
  <c r="C1391" i="6"/>
  <c r="Y61" i="4"/>
  <c r="Y54" i="4"/>
  <c r="Y49" i="4"/>
  <c r="Y97" i="1"/>
  <c r="Y92" i="1"/>
  <c r="AG266" i="1" l="1"/>
  <c r="AG265" i="1"/>
  <c r="AG263" i="1"/>
  <c r="AG258" i="1"/>
  <c r="AG261" i="1"/>
  <c r="AG260" i="1"/>
  <c r="AG257" i="1"/>
  <c r="AE265" i="1"/>
  <c r="AE266" i="1"/>
  <c r="AE263" i="1"/>
  <c r="AE258" i="1"/>
  <c r="AE261" i="1"/>
  <c r="AE257" i="1"/>
  <c r="AE260" i="1"/>
  <c r="AF266" i="1"/>
  <c r="AF265" i="1"/>
  <c r="AF263" i="1"/>
  <c r="AF257" i="1"/>
  <c r="AF260" i="1"/>
  <c r="AF258" i="1"/>
  <c r="AF261" i="1"/>
  <c r="G258" i="1"/>
  <c r="Z268" i="1"/>
  <c r="G266" i="1"/>
  <c r="G265" i="1"/>
  <c r="G38" i="1"/>
  <c r="G23" i="1"/>
  <c r="G25" i="1" s="1"/>
  <c r="G86" i="1" s="1"/>
  <c r="G143" i="1"/>
  <c r="G199" i="1" s="1"/>
  <c r="G152" i="1"/>
  <c r="G211" i="1" s="1"/>
  <c r="G135" i="1"/>
  <c r="G154" i="1" s="1"/>
  <c r="G184" i="1"/>
  <c r="G244" i="1" s="1"/>
  <c r="AG153" i="1"/>
  <c r="AG154" i="1"/>
  <c r="AD172" i="1"/>
  <c r="AD232" i="1" s="1"/>
  <c r="AD71" i="1"/>
  <c r="AD177" i="1" s="1"/>
  <c r="AD237" i="1" s="1"/>
  <c r="AD154" i="1"/>
  <c r="AF88" i="1"/>
  <c r="AE88" i="1"/>
  <c r="AG149" i="1"/>
  <c r="AD88" i="1"/>
  <c r="D980" i="6"/>
  <c r="E975" i="6"/>
  <c r="E977" i="6"/>
  <c r="AD169" i="1"/>
  <c r="AD229" i="1" s="1"/>
  <c r="AG212" i="1"/>
  <c r="AG213" i="1"/>
  <c r="AG208" i="1"/>
  <c r="AE207" i="1"/>
  <c r="AE149" i="1"/>
  <c r="AF207" i="1"/>
  <c r="AF149" i="1"/>
  <c r="AF191" i="1"/>
  <c r="AF154" i="1"/>
  <c r="AE153" i="1"/>
  <c r="AE192" i="1"/>
  <c r="D1086" i="6"/>
  <c r="F1081" i="6" s="1"/>
  <c r="AF192" i="1"/>
  <c r="AF153" i="1"/>
  <c r="AE154" i="1"/>
  <c r="AE191" i="1"/>
  <c r="D1031" i="6"/>
  <c r="E1026" i="6"/>
  <c r="E1028" i="6"/>
  <c r="E1081" i="6"/>
  <c r="D1138" i="6"/>
  <c r="F1133" i="6" s="1"/>
  <c r="E1133" i="6"/>
  <c r="AB179" i="1"/>
  <c r="AB239" i="1" s="1"/>
  <c r="AD207" i="1"/>
  <c r="AD212" i="1" s="1"/>
  <c r="AD192" i="1"/>
  <c r="AD153" i="1"/>
  <c r="G37" i="1"/>
  <c r="D1135" i="6"/>
  <c r="Z219" i="1"/>
  <c r="AD220" i="1" s="1"/>
  <c r="AB74" i="1"/>
  <c r="AB180" i="1" s="1"/>
  <c r="AB240" i="1" s="1"/>
  <c r="G50" i="1"/>
  <c r="H47" i="1"/>
  <c r="AC177" i="1"/>
  <c r="AC237" i="1" s="1"/>
  <c r="Z183" i="1"/>
  <c r="Z243" i="1" s="1"/>
  <c r="AC98" i="1"/>
  <c r="AC41" i="1"/>
  <c r="AC147" i="1"/>
  <c r="AC206" i="1" s="1"/>
  <c r="F1416" i="6"/>
  <c r="Y48" i="4"/>
  <c r="Z143" i="1"/>
  <c r="Z199" i="1" s="1"/>
  <c r="Z152" i="1"/>
  <c r="Z211" i="1" s="1"/>
  <c r="C1417" i="6"/>
  <c r="H1411" i="6"/>
  <c r="H1412" i="6"/>
  <c r="H1410" i="6"/>
  <c r="G83" i="1"/>
  <c r="H1414" i="6"/>
  <c r="H1413" i="6"/>
  <c r="D1404" i="6"/>
  <c r="D1406" i="6" s="1"/>
  <c r="H1415" i="6"/>
  <c r="D1355" i="6"/>
  <c r="C1347" i="6"/>
  <c r="D1389" i="6"/>
  <c r="D1394" i="6" s="1"/>
  <c r="D1338" i="6"/>
  <c r="D1365" i="6"/>
  <c r="H1359" i="6"/>
  <c r="H1365" i="6" s="1"/>
  <c r="G261" i="1"/>
  <c r="G48" i="1"/>
  <c r="G207" i="1"/>
  <c r="G149" i="1"/>
  <c r="G71" i="1"/>
  <c r="G72" i="1" s="1"/>
  <c r="G172" i="1"/>
  <c r="G232" i="1" s="1"/>
  <c r="G88" i="1"/>
  <c r="G169" i="1"/>
  <c r="G229" i="1" s="1"/>
  <c r="G225" i="1"/>
  <c r="G223" i="1"/>
  <c r="G192" i="1"/>
  <c r="G153" i="1"/>
  <c r="D1416" i="6"/>
  <c r="C1396" i="6"/>
  <c r="Y205" i="1"/>
  <c r="Y217" i="1" s="1"/>
  <c r="Y204" i="1"/>
  <c r="Y216" i="1" s="1"/>
  <c r="Y157" i="1"/>
  <c r="Y156" i="1"/>
  <c r="Y151" i="1"/>
  <c r="Y210" i="1" s="1"/>
  <c r="Y146" i="1"/>
  <c r="Y145" i="1"/>
  <c r="Y130" i="1"/>
  <c r="Y116" i="1"/>
  <c r="Y115" i="1"/>
  <c r="Y112" i="1"/>
  <c r="Y107" i="1"/>
  <c r="Y43" i="1"/>
  <c r="Y58" i="1" s="1"/>
  <c r="Y79" i="1" s="1"/>
  <c r="Y90" i="1" s="1"/>
  <c r="Y39" i="1"/>
  <c r="Y35" i="1"/>
  <c r="Y34" i="1"/>
  <c r="Y33" i="1"/>
  <c r="Y10" i="1"/>
  <c r="AA81" i="1" s="1"/>
  <c r="G260" i="1" l="1"/>
  <c r="G268" i="1"/>
  <c r="G257" i="1"/>
  <c r="G213" i="1"/>
  <c r="G191" i="1"/>
  <c r="AA98" i="1"/>
  <c r="AA147" i="1"/>
  <c r="AA206" i="1" s="1"/>
  <c r="AA41" i="1"/>
  <c r="F1083" i="6"/>
  <c r="AD208" i="1"/>
  <c r="F975" i="6"/>
  <c r="F977" i="6"/>
  <c r="AF208" i="1"/>
  <c r="AF212" i="1"/>
  <c r="AF213" i="1"/>
  <c r="F1028" i="6"/>
  <c r="F1026" i="6"/>
  <c r="AD213" i="1"/>
  <c r="AE212" i="1"/>
  <c r="AE213" i="1"/>
  <c r="AE208" i="1"/>
  <c r="F1135" i="6"/>
  <c r="G30" i="1"/>
  <c r="G26" i="1"/>
  <c r="AC179" i="1"/>
  <c r="AC239" i="1" s="1"/>
  <c r="AD72" i="1"/>
  <c r="AC74" i="1"/>
  <c r="AC180" i="1" s="1"/>
  <c r="AC240" i="1" s="1"/>
  <c r="AC11" i="1"/>
  <c r="Y18" i="1"/>
  <c r="Y36" i="1" s="1"/>
  <c r="AB81" i="1"/>
  <c r="Y117" i="1"/>
  <c r="Y122" i="1" s="1"/>
  <c r="H1416" i="6"/>
  <c r="D1396" i="6"/>
  <c r="D1391" i="6"/>
  <c r="D1343" i="6"/>
  <c r="D1340" i="6"/>
  <c r="G177" i="1"/>
  <c r="G237" i="1" s="1"/>
  <c r="G179" i="1"/>
  <c r="G239" i="1" s="1"/>
  <c r="G208" i="1"/>
  <c r="G212" i="1"/>
  <c r="C1398" i="6"/>
  <c r="Y159" i="1"/>
  <c r="B1455" i="6"/>
  <c r="H1484" i="6"/>
  <c r="T12" i="4"/>
  <c r="W51" i="1"/>
  <c r="AA52" i="1" s="1"/>
  <c r="O51" i="1"/>
  <c r="N1419" i="6"/>
  <c r="D1443" i="6" s="1"/>
  <c r="C1435" i="6"/>
  <c r="C1437" i="6" s="1"/>
  <c r="C1440" i="6" s="1"/>
  <c r="C1448" i="6"/>
  <c r="C1446" i="6"/>
  <c r="C1455" i="6" s="1"/>
  <c r="C1457" i="6" s="1"/>
  <c r="E1467" i="6"/>
  <c r="C1467" i="6"/>
  <c r="G1466" i="6"/>
  <c r="G1465" i="6"/>
  <c r="G1464" i="6"/>
  <c r="G1463" i="6"/>
  <c r="G1462" i="6"/>
  <c r="G1461" i="6"/>
  <c r="AT161" i="1" l="1"/>
  <c r="AT55" i="1"/>
  <c r="AT53" i="1"/>
  <c r="AT52" i="1"/>
  <c r="AT59" i="1"/>
  <c r="AT50" i="1"/>
  <c r="AT84" i="1"/>
  <c r="AP59" i="1"/>
  <c r="AP63" i="1" s="1"/>
  <c r="AP66" i="1" s="1"/>
  <c r="AS88" i="1" s="1"/>
  <c r="AP50" i="1"/>
  <c r="AP55" i="1"/>
  <c r="AP52" i="1"/>
  <c r="AP161" i="1"/>
  <c r="AP53" i="1"/>
  <c r="AP84" i="1"/>
  <c r="AH53" i="1"/>
  <c r="AH59" i="1"/>
  <c r="AH55" i="1"/>
  <c r="AH52" i="1"/>
  <c r="AH161" i="1"/>
  <c r="AL162" i="1" s="1"/>
  <c r="AH50" i="1"/>
  <c r="AH84" i="1"/>
  <c r="Y44" i="1"/>
  <c r="Y46" i="1" s="1"/>
  <c r="AC47" i="1" s="1"/>
  <c r="Y19" i="1"/>
  <c r="Y123" i="1"/>
  <c r="C1400" i="6" s="1"/>
  <c r="AD179" i="1"/>
  <c r="AD239" i="1" s="1"/>
  <c r="AD74" i="1"/>
  <c r="AD180" i="1" s="1"/>
  <c r="AD240" i="1" s="1"/>
  <c r="Y127" i="1"/>
  <c r="Y51" i="1"/>
  <c r="AY51" i="1"/>
  <c r="Y219" i="1"/>
  <c r="AC220" i="1" s="1"/>
  <c r="AC160" i="1"/>
  <c r="Y150" i="1"/>
  <c r="Y209" i="1" s="1"/>
  <c r="AB41" i="1"/>
  <c r="AB147" i="1"/>
  <c r="AB206" i="1" s="1"/>
  <c r="AB98" i="1"/>
  <c r="Y21" i="1"/>
  <c r="D1463" i="6"/>
  <c r="F1461" i="6"/>
  <c r="D1436" i="6"/>
  <c r="D1345" i="6"/>
  <c r="G74" i="1"/>
  <c r="Y152" i="1"/>
  <c r="Y211" i="1" s="1"/>
  <c r="Y184" i="1"/>
  <c r="Y244" i="1" s="1"/>
  <c r="Y143" i="1"/>
  <c r="Y199" i="1" s="1"/>
  <c r="F1465" i="6"/>
  <c r="D1455" i="6"/>
  <c r="D1456" i="6"/>
  <c r="G1467" i="6"/>
  <c r="D1430" i="6"/>
  <c r="D1464" i="6"/>
  <c r="F1462" i="6"/>
  <c r="F1466" i="6"/>
  <c r="D1431" i="6"/>
  <c r="D1438" i="6"/>
  <c r="D1444" i="6"/>
  <c r="D1461" i="6"/>
  <c r="D1465" i="6"/>
  <c r="F1463" i="6"/>
  <c r="D1426" i="6"/>
  <c r="D1433" i="6"/>
  <c r="D1439" i="6"/>
  <c r="D1446" i="6"/>
  <c r="D1462" i="6"/>
  <c r="D1466" i="6"/>
  <c r="F1464" i="6"/>
  <c r="D1428" i="6"/>
  <c r="D1434" i="6"/>
  <c r="D1441" i="6"/>
  <c r="C1445" i="6"/>
  <c r="C1442" i="6"/>
  <c r="X12" i="4"/>
  <c r="X35" i="4"/>
  <c r="X34" i="4"/>
  <c r="X33" i="4"/>
  <c r="X32" i="4"/>
  <c r="X10" i="4"/>
  <c r="X9" i="4"/>
  <c r="X61" i="4"/>
  <c r="X54" i="4"/>
  <c r="X49" i="4"/>
  <c r="X11" i="4"/>
  <c r="X27" i="4" l="1"/>
  <c r="AB27" i="4"/>
  <c r="AB25" i="4"/>
  <c r="AB24" i="4"/>
  <c r="AB26" i="4"/>
  <c r="C227" i="6"/>
  <c r="C198" i="6"/>
  <c r="AT141" i="1"/>
  <c r="AT197" i="1" s="1"/>
  <c r="AT186" i="1"/>
  <c r="AT246" i="1" s="1"/>
  <c r="AT148" i="1"/>
  <c r="AT138" i="1"/>
  <c r="AT194" i="1" s="1"/>
  <c r="AT132" i="1"/>
  <c r="AT188" i="1" s="1"/>
  <c r="AT133" i="1"/>
  <c r="AT189" i="1" s="1"/>
  <c r="AT136" i="1"/>
  <c r="AT135" i="1"/>
  <c r="AT165" i="1"/>
  <c r="AT162" i="1"/>
  <c r="AT221" i="1"/>
  <c r="AT163" i="1"/>
  <c r="X43" i="4"/>
  <c r="AP71" i="1"/>
  <c r="AP74" i="1" s="1"/>
  <c r="AP88" i="1"/>
  <c r="AQ88" i="1"/>
  <c r="AR88" i="1"/>
  <c r="C520" i="6"/>
  <c r="E515" i="6" s="1"/>
  <c r="C489" i="6"/>
  <c r="Y268" i="1"/>
  <c r="AP141" i="1"/>
  <c r="AP197" i="1" s="1"/>
  <c r="AP186" i="1"/>
  <c r="AP246" i="1" s="1"/>
  <c r="AP148" i="1"/>
  <c r="AP138" i="1"/>
  <c r="AP194" i="1" s="1"/>
  <c r="AP163" i="1"/>
  <c r="AP162" i="1"/>
  <c r="AP221" i="1"/>
  <c r="AP165" i="1"/>
  <c r="X48" i="4"/>
  <c r="X37" i="4"/>
  <c r="Y37" i="1"/>
  <c r="Y23" i="1"/>
  <c r="Y25" i="1" s="1"/>
  <c r="Y30" i="1" s="1"/>
  <c r="C929" i="6"/>
  <c r="AC52" i="1"/>
  <c r="AH186" i="1"/>
  <c r="AH246" i="1" s="1"/>
  <c r="AH138" i="1"/>
  <c r="AH194" i="1" s="1"/>
  <c r="AH141" i="1"/>
  <c r="AH197" i="1" s="1"/>
  <c r="AH148" i="1"/>
  <c r="AH165" i="1"/>
  <c r="AH163" i="1"/>
  <c r="AH221" i="1"/>
  <c r="AH162" i="1"/>
  <c r="X42" i="4"/>
  <c r="Y183" i="1"/>
  <c r="Y243" i="1" s="1"/>
  <c r="H1465" i="6"/>
  <c r="H1466" i="6"/>
  <c r="Y48" i="1"/>
  <c r="H1461" i="6"/>
  <c r="AY161" i="1"/>
  <c r="AY53" i="1"/>
  <c r="AY59" i="1"/>
  <c r="AY50" i="1"/>
  <c r="AY55" i="1"/>
  <c r="Y38" i="1"/>
  <c r="H1464" i="6"/>
  <c r="C1468" i="6"/>
  <c r="H1463" i="6"/>
  <c r="Y33" i="4"/>
  <c r="Y34" i="4"/>
  <c r="Y11" i="4"/>
  <c r="Y35" i="4"/>
  <c r="Y12" i="4"/>
  <c r="X44" i="4"/>
  <c r="X13" i="4"/>
  <c r="Y9" i="4"/>
  <c r="Y10" i="4"/>
  <c r="Y32" i="4"/>
  <c r="G180" i="1"/>
  <c r="G240" i="1" s="1"/>
  <c r="D1435" i="6"/>
  <c r="D1437" i="6" s="1"/>
  <c r="D1440" i="6" s="1"/>
  <c r="D1445" i="6" s="1"/>
  <c r="D1447" i="6" s="1"/>
  <c r="F1467" i="6"/>
  <c r="H1462" i="6"/>
  <c r="D1467" i="6"/>
  <c r="D1457" i="6"/>
  <c r="C1447" i="6"/>
  <c r="X41" i="4"/>
  <c r="AC26" i="4" l="1"/>
  <c r="AC27" i="4"/>
  <c r="X17" i="4"/>
  <c r="AB28" i="4"/>
  <c r="AC24" i="4"/>
  <c r="AC25" i="4"/>
  <c r="E224" i="6"/>
  <c r="E222" i="6"/>
  <c r="D227" i="6"/>
  <c r="E195" i="6"/>
  <c r="E193" i="6"/>
  <c r="D198" i="6"/>
  <c r="AT192" i="1"/>
  <c r="AT153" i="1"/>
  <c r="AT223" i="1"/>
  <c r="AT222" i="1"/>
  <c r="AT149" i="1"/>
  <c r="AT207" i="1"/>
  <c r="AT225" i="1"/>
  <c r="AT266" i="1"/>
  <c r="AT263" i="1"/>
  <c r="AT261" i="1"/>
  <c r="AT258" i="1"/>
  <c r="AT257" i="1"/>
  <c r="AT260" i="1"/>
  <c r="AT191" i="1"/>
  <c r="AT154" i="1"/>
  <c r="AP266" i="1"/>
  <c r="AP263" i="1"/>
  <c r="AH266" i="1"/>
  <c r="AH263" i="1"/>
  <c r="E517" i="6"/>
  <c r="D484" i="6"/>
  <c r="E489" i="6"/>
  <c r="D486" i="6"/>
  <c r="AL222" i="1"/>
  <c r="AP223" i="1"/>
  <c r="AP222" i="1"/>
  <c r="AP207" i="1"/>
  <c r="AP149" i="1"/>
  <c r="AP225" i="1"/>
  <c r="Y37" i="4"/>
  <c r="D929" i="6"/>
  <c r="E924" i="6"/>
  <c r="E926" i="6"/>
  <c r="AH223" i="1"/>
  <c r="AH222" i="1"/>
  <c r="AH225" i="1"/>
  <c r="AH149" i="1"/>
  <c r="D725" i="6" s="1"/>
  <c r="AH207" i="1"/>
  <c r="D1442" i="6"/>
  <c r="H1467" i="6"/>
  <c r="AY221" i="1"/>
  <c r="AY162" i="1"/>
  <c r="AY163" i="1"/>
  <c r="AY165" i="1"/>
  <c r="Y26" i="1"/>
  <c r="Z35" i="4"/>
  <c r="Y42" i="4"/>
  <c r="Z10" i="4"/>
  <c r="Z34" i="4"/>
  <c r="Z11" i="4"/>
  <c r="Y13" i="4"/>
  <c r="Z9" i="4"/>
  <c r="X19" i="4"/>
  <c r="Y41" i="4"/>
  <c r="X18" i="4"/>
  <c r="X20" i="4"/>
  <c r="Y43" i="4"/>
  <c r="Z32" i="4"/>
  <c r="Z12" i="4"/>
  <c r="Z33" i="4"/>
  <c r="Y44" i="4"/>
  <c r="C1449" i="6"/>
  <c r="X45" i="4"/>
  <c r="AD25" i="4" l="1"/>
  <c r="AD26" i="4"/>
  <c r="Y14" i="4"/>
  <c r="AC28" i="4"/>
  <c r="AD24" i="4"/>
  <c r="AD27" i="4"/>
  <c r="F224" i="6"/>
  <c r="F222" i="6"/>
  <c r="F195" i="6"/>
  <c r="F193" i="6"/>
  <c r="AT208" i="1"/>
  <c r="AT212" i="1"/>
  <c r="AT213" i="1"/>
  <c r="F484" i="6"/>
  <c r="F486" i="6"/>
  <c r="AP208" i="1"/>
  <c r="F720" i="6"/>
  <c r="F722" i="6"/>
  <c r="Z37" i="4"/>
  <c r="X21" i="4"/>
  <c r="F924" i="6"/>
  <c r="F926" i="6"/>
  <c r="AH208" i="1"/>
  <c r="Y18" i="4"/>
  <c r="Y17" i="4"/>
  <c r="Y20" i="4"/>
  <c r="Y19" i="4"/>
  <c r="Z44" i="4"/>
  <c r="AY225" i="1"/>
  <c r="AY223" i="1"/>
  <c r="AY222" i="1"/>
  <c r="Z42" i="4"/>
  <c r="Z13" i="4"/>
  <c r="Z41" i="4"/>
  <c r="Z43" i="4"/>
  <c r="Y45" i="4"/>
  <c r="X92" i="1"/>
  <c r="X68" i="1"/>
  <c r="X205" i="1"/>
  <c r="X217" i="1" s="1"/>
  <c r="X204" i="1"/>
  <c r="X216" i="1" s="1"/>
  <c r="X157" i="1"/>
  <c r="X156" i="1"/>
  <c r="X151" i="1"/>
  <c r="X210" i="1" s="1"/>
  <c r="X146" i="1"/>
  <c r="X145" i="1"/>
  <c r="X130" i="1"/>
  <c r="X116" i="1"/>
  <c r="X115" i="1"/>
  <c r="X112" i="1"/>
  <c r="X107" i="1"/>
  <c r="X178" i="1"/>
  <c r="X238" i="1" s="1"/>
  <c r="X167" i="1"/>
  <c r="X227" i="1" s="1"/>
  <c r="X43" i="1"/>
  <c r="X58" i="1" s="1"/>
  <c r="X79" i="1" s="1"/>
  <c r="X90" i="1" s="1"/>
  <c r="X39" i="1"/>
  <c r="X35" i="1"/>
  <c r="X34" i="1"/>
  <c r="Z19" i="4" l="1"/>
  <c r="AD28" i="4"/>
  <c r="Z18" i="4"/>
  <c r="Y21" i="4"/>
  <c r="Z20" i="4"/>
  <c r="X117" i="1"/>
  <c r="X127" i="1" s="1"/>
  <c r="AY68" i="1"/>
  <c r="AY174" i="1" s="1"/>
  <c r="AY234" i="1" s="1"/>
  <c r="Y68" i="1"/>
  <c r="Z14" i="4"/>
  <c r="Z17" i="4"/>
  <c r="X56" i="1"/>
  <c r="X168" i="1"/>
  <c r="X228" i="1" s="1"/>
  <c r="Z45" i="4"/>
  <c r="X14" i="4"/>
  <c r="X174" i="1"/>
  <c r="X234" i="1" s="1"/>
  <c r="X18" i="1"/>
  <c r="X159" i="1"/>
  <c r="X59" i="1"/>
  <c r="Z21" i="4" l="1"/>
  <c r="X19" i="1"/>
  <c r="X150" i="1"/>
  <c r="X209" i="1" s="1"/>
  <c r="X122" i="1"/>
  <c r="X143" i="1" s="1"/>
  <c r="X199" i="1" s="1"/>
  <c r="X123" i="1"/>
  <c r="C1451" i="6" s="1"/>
  <c r="X219" i="1"/>
  <c r="AB220" i="1" s="1"/>
  <c r="AB160" i="1"/>
  <c r="X21" i="1"/>
  <c r="X38" i="4"/>
  <c r="Z54" i="1"/>
  <c r="Y56" i="1"/>
  <c r="Z61" i="1"/>
  <c r="Y167" i="1"/>
  <c r="Y227" i="1" s="1"/>
  <c r="Z62" i="1"/>
  <c r="AA85" i="1" s="1"/>
  <c r="Y168" i="1"/>
  <c r="Y228" i="1" s="1"/>
  <c r="Z68" i="1"/>
  <c r="Y174" i="1"/>
  <c r="Y234" i="1" s="1"/>
  <c r="X36" i="1"/>
  <c r="Z73" i="1"/>
  <c r="Y178" i="1"/>
  <c r="Y238" i="1" s="1"/>
  <c r="X161" i="1"/>
  <c r="X44" i="1"/>
  <c r="X46" i="1" s="1"/>
  <c r="X165" i="1"/>
  <c r="V201" i="1"/>
  <c r="R201" i="1"/>
  <c r="X38" i="1" l="1"/>
  <c r="X23" i="1"/>
  <c r="X25" i="1" s="1"/>
  <c r="X184" i="1"/>
  <c r="X244" i="1" s="1"/>
  <c r="X183" i="1"/>
  <c r="X243" i="1" s="1"/>
  <c r="X152" i="1"/>
  <c r="X211" i="1" s="1"/>
  <c r="Z174" i="1"/>
  <c r="Z234" i="1" s="1"/>
  <c r="Z167" i="1"/>
  <c r="Z227" i="1" s="1"/>
  <c r="Z178" i="1"/>
  <c r="Z238" i="1" s="1"/>
  <c r="Z168" i="1"/>
  <c r="Z228" i="1" s="1"/>
  <c r="AC85" i="1"/>
  <c r="Z56" i="1"/>
  <c r="AB85" i="1"/>
  <c r="X48" i="1"/>
  <c r="X50" i="1"/>
  <c r="AB47" i="1"/>
  <c r="X163" i="1"/>
  <c r="AB162" i="1"/>
  <c r="Z85" i="1"/>
  <c r="X221" i="1"/>
  <c r="Z51" i="1"/>
  <c r="AA84" i="1" s="1"/>
  <c r="Y59" i="1"/>
  <c r="Y161" i="1"/>
  <c r="AC162" i="1" s="1"/>
  <c r="Y55" i="1"/>
  <c r="Y38" i="4" s="1"/>
  <c r="Y53" i="1"/>
  <c r="Y50" i="1"/>
  <c r="X37" i="1"/>
  <c r="N1369" i="6"/>
  <c r="N1420" i="6"/>
  <c r="X225" i="1"/>
  <c r="F51" i="1"/>
  <c r="G52" i="1" s="1"/>
  <c r="E51" i="1"/>
  <c r="D51" i="1"/>
  <c r="U92" i="1"/>
  <c r="T92" i="1"/>
  <c r="S92" i="1"/>
  <c r="T73" i="1"/>
  <c r="U73" i="1" s="1"/>
  <c r="P73" i="1"/>
  <c r="Q73" i="1" s="1"/>
  <c r="S70" i="1"/>
  <c r="T70" i="1" s="1"/>
  <c r="U70" i="1" s="1"/>
  <c r="S69" i="1"/>
  <c r="T69" i="1" s="1"/>
  <c r="U69" i="1" s="1"/>
  <c r="T68" i="1"/>
  <c r="U68" i="1" s="1"/>
  <c r="S67" i="1"/>
  <c r="T67" i="1" s="1"/>
  <c r="U67" i="1" s="1"/>
  <c r="O70" i="1"/>
  <c r="O69" i="1"/>
  <c r="P68" i="1"/>
  <c r="Q68" i="1" s="1"/>
  <c r="O67" i="1"/>
  <c r="T65" i="1"/>
  <c r="U65" i="1" s="1"/>
  <c r="S64" i="1"/>
  <c r="T64" i="1" s="1"/>
  <c r="U64" i="1" s="1"/>
  <c r="O65" i="1"/>
  <c r="O64" i="1"/>
  <c r="T62" i="1"/>
  <c r="U62" i="1" s="1"/>
  <c r="T61" i="1"/>
  <c r="U61" i="1" s="1"/>
  <c r="S60" i="1"/>
  <c r="T60" i="1" s="1"/>
  <c r="U60" i="1" s="1"/>
  <c r="P62" i="1"/>
  <c r="Q62" i="1" s="1"/>
  <c r="P61" i="1"/>
  <c r="Q61" i="1" s="1"/>
  <c r="O60" i="1"/>
  <c r="T54" i="1"/>
  <c r="P54" i="1"/>
  <c r="S51" i="1"/>
  <c r="V45" i="1"/>
  <c r="R45" i="1"/>
  <c r="AT166" i="1" l="1"/>
  <c r="AT63" i="1"/>
  <c r="AP173" i="1"/>
  <c r="AP233" i="1" s="1"/>
  <c r="AT173" i="1"/>
  <c r="AT233" i="1" s="1"/>
  <c r="AP171" i="1"/>
  <c r="AP231" i="1" s="1"/>
  <c r="AT171" i="1"/>
  <c r="AT231" i="1" s="1"/>
  <c r="AP175" i="1"/>
  <c r="AP235" i="1" s="1"/>
  <c r="AT175" i="1"/>
  <c r="AT235" i="1" s="1"/>
  <c r="AP176" i="1"/>
  <c r="AP236" i="1" s="1"/>
  <c r="AT176" i="1"/>
  <c r="AT236" i="1" s="1"/>
  <c r="AT170" i="1"/>
  <c r="AT230" i="1" s="1"/>
  <c r="AV265" i="1" s="1"/>
  <c r="AT87" i="1"/>
  <c r="AT140" i="1" s="1"/>
  <c r="AT196" i="1" s="1"/>
  <c r="AB222" i="1"/>
  <c r="X268" i="1"/>
  <c r="AP166" i="1"/>
  <c r="AP170" i="1"/>
  <c r="AP230" i="1" s="1"/>
  <c r="AP140" i="1"/>
  <c r="AP196" i="1" s="1"/>
  <c r="X30" i="1"/>
  <c r="AA148" i="1"/>
  <c r="AA141" i="1"/>
  <c r="AA197" i="1" s="1"/>
  <c r="AA186" i="1"/>
  <c r="AA246" i="1" s="1"/>
  <c r="AA138" i="1"/>
  <c r="AA194" i="1" s="1"/>
  <c r="AA132" i="1"/>
  <c r="AA188" i="1" s="1"/>
  <c r="AA135" i="1"/>
  <c r="AA133" i="1"/>
  <c r="AA189" i="1" s="1"/>
  <c r="AA136" i="1"/>
  <c r="X26" i="1"/>
  <c r="P60" i="1"/>
  <c r="Q60" i="1" s="1"/>
  <c r="P65" i="1"/>
  <c r="Q65" i="1" s="1"/>
  <c r="P69" i="1"/>
  <c r="Q69" i="1" s="1"/>
  <c r="P64" i="1"/>
  <c r="Q64" i="1" s="1"/>
  <c r="P67" i="1"/>
  <c r="Q67" i="1" s="1"/>
  <c r="P70" i="1"/>
  <c r="Q70" i="1" s="1"/>
  <c r="AB84" i="1"/>
  <c r="AB148" i="1" s="1"/>
  <c r="AD52" i="1"/>
  <c r="AC84" i="1"/>
  <c r="X223" i="1"/>
  <c r="U54" i="1"/>
  <c r="V54" i="1" s="1"/>
  <c r="T51" i="1"/>
  <c r="X52" i="1" s="1"/>
  <c r="Y221" i="1"/>
  <c r="Y163" i="1"/>
  <c r="Z161" i="1"/>
  <c r="AD162" i="1" s="1"/>
  <c r="Z59" i="1"/>
  <c r="Z55" i="1"/>
  <c r="Z38" i="4" s="1"/>
  <c r="Z53" i="1"/>
  <c r="Z84" i="1"/>
  <c r="Q54" i="1"/>
  <c r="R54" i="1" s="1"/>
  <c r="P51" i="1"/>
  <c r="Q51" i="1" s="1"/>
  <c r="Y165" i="1"/>
  <c r="AT265" i="1" l="1"/>
  <c r="AU265" i="1"/>
  <c r="AT66" i="1"/>
  <c r="AT226" i="1"/>
  <c r="AT169" i="1"/>
  <c r="AT229" i="1" s="1"/>
  <c r="AS265" i="1"/>
  <c r="AR265" i="1"/>
  <c r="AQ265" i="1"/>
  <c r="AP265" i="1"/>
  <c r="AA266" i="1"/>
  <c r="AA263" i="1"/>
  <c r="AA258" i="1"/>
  <c r="AA261" i="1"/>
  <c r="AA257" i="1"/>
  <c r="AA260" i="1"/>
  <c r="AC222" i="1"/>
  <c r="AP172" i="1"/>
  <c r="AP232" i="1" s="1"/>
  <c r="AP226" i="1"/>
  <c r="AP169" i="1"/>
  <c r="AP229" i="1" s="1"/>
  <c r="AH173" i="1"/>
  <c r="AH233" i="1" s="1"/>
  <c r="AH171" i="1"/>
  <c r="AH231" i="1" s="1"/>
  <c r="AA207" i="1"/>
  <c r="AA149" i="1"/>
  <c r="AH176" i="1"/>
  <c r="AH236" i="1" s="1"/>
  <c r="AA153" i="1"/>
  <c r="AA192" i="1"/>
  <c r="AH175" i="1"/>
  <c r="AH235" i="1" s="1"/>
  <c r="AA154" i="1"/>
  <c r="AA191" i="1"/>
  <c r="AH170" i="1"/>
  <c r="AH230" i="1" s="1"/>
  <c r="AH87" i="1"/>
  <c r="AH166" i="1"/>
  <c r="AH63" i="1"/>
  <c r="AH66" i="1" s="1"/>
  <c r="AK88" i="1" s="1"/>
  <c r="AB133" i="1"/>
  <c r="AB189" i="1" s="1"/>
  <c r="AB141" i="1"/>
  <c r="AB197" i="1" s="1"/>
  <c r="AB138" i="1"/>
  <c r="AB194" i="1" s="1"/>
  <c r="AB136" i="1"/>
  <c r="C1245" i="6"/>
  <c r="E1242" i="6" s="1"/>
  <c r="AB132" i="1"/>
  <c r="AB188" i="1" s="1"/>
  <c r="AB186" i="1"/>
  <c r="AB246" i="1" s="1"/>
  <c r="AB135" i="1"/>
  <c r="AB191" i="1" s="1"/>
  <c r="C1193" i="6"/>
  <c r="AC186" i="1"/>
  <c r="AC246" i="1" s="1"/>
  <c r="AC136" i="1"/>
  <c r="AC138" i="1"/>
  <c r="AC194" i="1" s="1"/>
  <c r="AC141" i="1"/>
  <c r="AC197" i="1" s="1"/>
  <c r="AC133" i="1"/>
  <c r="AC189" i="1" s="1"/>
  <c r="AC148" i="1"/>
  <c r="AC132" i="1"/>
  <c r="AC188" i="1" s="1"/>
  <c r="AC135" i="1"/>
  <c r="AB207" i="1"/>
  <c r="AB149" i="1"/>
  <c r="Z221" i="1"/>
  <c r="Z163" i="1"/>
  <c r="C1348" i="6"/>
  <c r="Z148" i="1"/>
  <c r="Z186" i="1"/>
  <c r="Z246" i="1" s="1"/>
  <c r="Z138" i="1"/>
  <c r="Z194" i="1" s="1"/>
  <c r="Z141" i="1"/>
  <c r="Z197" i="1" s="1"/>
  <c r="Z133" i="1"/>
  <c r="Z189" i="1" s="1"/>
  <c r="Z136" i="1"/>
  <c r="Z135" i="1"/>
  <c r="Z132" i="1"/>
  <c r="Z188" i="1" s="1"/>
  <c r="Z165" i="1"/>
  <c r="C1297" i="6"/>
  <c r="E1292" i="6" s="1"/>
  <c r="Y225" i="1"/>
  <c r="Y223" i="1"/>
  <c r="U51" i="1"/>
  <c r="V67" i="4"/>
  <c r="V68" i="4"/>
  <c r="V69" i="4"/>
  <c r="V70" i="4"/>
  <c r="V66" i="4"/>
  <c r="R67" i="4"/>
  <c r="R68" i="4"/>
  <c r="R69" i="4"/>
  <c r="R70" i="4"/>
  <c r="R66" i="4"/>
  <c r="AU88" i="1" l="1"/>
  <c r="AV88" i="1"/>
  <c r="AB192" i="1"/>
  <c r="AB153" i="1"/>
  <c r="AT71" i="1"/>
  <c r="AT172" i="1"/>
  <c r="AT232" i="1" s="1"/>
  <c r="AT88" i="1"/>
  <c r="AC266" i="1"/>
  <c r="AC263" i="1"/>
  <c r="AC261" i="1"/>
  <c r="AC258" i="1"/>
  <c r="AC257" i="1"/>
  <c r="AC260" i="1"/>
  <c r="Z263" i="1"/>
  <c r="Z257" i="1"/>
  <c r="Z260" i="1"/>
  <c r="Z258" i="1"/>
  <c r="Z261" i="1"/>
  <c r="AB263" i="1"/>
  <c r="AB266" i="1"/>
  <c r="AB257" i="1"/>
  <c r="AB260" i="1"/>
  <c r="AB258" i="1"/>
  <c r="AB261" i="1"/>
  <c r="AJ265" i="1"/>
  <c r="AK265" i="1"/>
  <c r="AI265" i="1"/>
  <c r="AH265" i="1"/>
  <c r="AD222" i="1"/>
  <c r="AP177" i="1"/>
  <c r="AP237" i="1" s="1"/>
  <c r="AI88" i="1"/>
  <c r="AJ88" i="1"/>
  <c r="AH140" i="1"/>
  <c r="AH196" i="1" s="1"/>
  <c r="AA208" i="1"/>
  <c r="AA212" i="1"/>
  <c r="AA213" i="1"/>
  <c r="AH71" i="1"/>
  <c r="AH172" i="1"/>
  <c r="AH232" i="1" s="1"/>
  <c r="AH88" i="1"/>
  <c r="AH226" i="1"/>
  <c r="AH169" i="1"/>
  <c r="AH229" i="1" s="1"/>
  <c r="E1240" i="6"/>
  <c r="AB154" i="1"/>
  <c r="D1245" i="6"/>
  <c r="F1242" i="6" s="1"/>
  <c r="AC154" i="1"/>
  <c r="AC191" i="1"/>
  <c r="Y52" i="1"/>
  <c r="AY52" i="1"/>
  <c r="E1190" i="6"/>
  <c r="D1193" i="6"/>
  <c r="E1188" i="6"/>
  <c r="AC192" i="1"/>
  <c r="AC153" i="1"/>
  <c r="AC149" i="1"/>
  <c r="AC207" i="1"/>
  <c r="AB212" i="1"/>
  <c r="AB208" i="1"/>
  <c r="AB213" i="1"/>
  <c r="Z153" i="1"/>
  <c r="Z192" i="1"/>
  <c r="D1297" i="6"/>
  <c r="E1294" i="6"/>
  <c r="Z154" i="1"/>
  <c r="Z191" i="1"/>
  <c r="D1348" i="6"/>
  <c r="E1343" i="6"/>
  <c r="E1345" i="6"/>
  <c r="Z225" i="1"/>
  <c r="Z207" i="1"/>
  <c r="Z223" i="1"/>
  <c r="C1498" i="6"/>
  <c r="G1498" i="6" s="1"/>
  <c r="C1496" i="6"/>
  <c r="G1496" i="6" s="1"/>
  <c r="H1496" i="6" s="1"/>
  <c r="N1471" i="6"/>
  <c r="G1484" i="6" s="1"/>
  <c r="G1485" i="6" s="1"/>
  <c r="G1487" i="6" s="1"/>
  <c r="G1490" i="6" s="1"/>
  <c r="E1512" i="6"/>
  <c r="C1512" i="6"/>
  <c r="G1511" i="6"/>
  <c r="F1511" i="6"/>
  <c r="D1511" i="6"/>
  <c r="G1510" i="6"/>
  <c r="F1510" i="6"/>
  <c r="D1510" i="6"/>
  <c r="G1509" i="6"/>
  <c r="F1509" i="6"/>
  <c r="D1509" i="6"/>
  <c r="G1508" i="6"/>
  <c r="G1507" i="6"/>
  <c r="F1507" i="6"/>
  <c r="D1507" i="6"/>
  <c r="G1506" i="6"/>
  <c r="F1506" i="6"/>
  <c r="D1506" i="6"/>
  <c r="H1491" i="6"/>
  <c r="D1491" i="6"/>
  <c r="H1489" i="6"/>
  <c r="D1489" i="6"/>
  <c r="H1488" i="6"/>
  <c r="D1488" i="6"/>
  <c r="C1485" i="6"/>
  <c r="C1487" i="6" s="1"/>
  <c r="C1490" i="6" s="1"/>
  <c r="D1484" i="6"/>
  <c r="H1483" i="6"/>
  <c r="D1483" i="6"/>
  <c r="H1481" i="6"/>
  <c r="D1481" i="6"/>
  <c r="H1480" i="6"/>
  <c r="D1480" i="6"/>
  <c r="H1478" i="6"/>
  <c r="D1478" i="6"/>
  <c r="H1476" i="6"/>
  <c r="H1494" i="6"/>
  <c r="AT177" i="1" l="1"/>
  <c r="AT237" i="1" s="1"/>
  <c r="AH177" i="1"/>
  <c r="AH237" i="1" s="1"/>
  <c r="F1240" i="6"/>
  <c r="F1188" i="6"/>
  <c r="F1190" i="6"/>
  <c r="AC213" i="1"/>
  <c r="AC212" i="1"/>
  <c r="AC208" i="1"/>
  <c r="H1510" i="6"/>
  <c r="F1292" i="6"/>
  <c r="F1294" i="6"/>
  <c r="F1343" i="6"/>
  <c r="F1345" i="6"/>
  <c r="Z212" i="1"/>
  <c r="Z213" i="1"/>
  <c r="G1512" i="6"/>
  <c r="H1507" i="6"/>
  <c r="H1509" i="6"/>
  <c r="H1506" i="6"/>
  <c r="H1511" i="6"/>
  <c r="H1485" i="6"/>
  <c r="C1492" i="6"/>
  <c r="C1495" i="6"/>
  <c r="G1492" i="6"/>
  <c r="G1495" i="6"/>
  <c r="D1496" i="6"/>
  <c r="H1493" i="6"/>
  <c r="D1508" i="6"/>
  <c r="D1512" i="6" s="1"/>
  <c r="D1486" i="6"/>
  <c r="D1493" i="6"/>
  <c r="H1486" i="6"/>
  <c r="D1494" i="6"/>
  <c r="F1508" i="6"/>
  <c r="F1512" i="6" s="1"/>
  <c r="D1476" i="6"/>
  <c r="D1485" i="6" s="1"/>
  <c r="C1513" i="6" l="1"/>
  <c r="D1487" i="6"/>
  <c r="D1490" i="6" s="1"/>
  <c r="D1492" i="6" s="1"/>
  <c r="H1487" i="6"/>
  <c r="H1490" i="6" s="1"/>
  <c r="H1495" i="6" s="1"/>
  <c r="H1508" i="6"/>
  <c r="H1512" i="6" s="1"/>
  <c r="G1497" i="6"/>
  <c r="C1497" i="6"/>
  <c r="D1495" i="6" l="1"/>
  <c r="D1497" i="6" s="1"/>
  <c r="H1492" i="6"/>
  <c r="C1499" i="6"/>
  <c r="G1499" i="6"/>
  <c r="H1497" i="6"/>
  <c r="V63" i="4" l="1"/>
  <c r="R63" i="4"/>
  <c r="V62" i="4"/>
  <c r="R62" i="4"/>
  <c r="W61" i="4"/>
  <c r="U61" i="4"/>
  <c r="T61" i="4"/>
  <c r="S61" i="4"/>
  <c r="Q61" i="4"/>
  <c r="P61" i="4"/>
  <c r="O61" i="4"/>
  <c r="F61" i="4"/>
  <c r="E61" i="4"/>
  <c r="D61" i="4"/>
  <c r="C61" i="4"/>
  <c r="V59" i="4"/>
  <c r="R59" i="4"/>
  <c r="V56" i="4"/>
  <c r="R56" i="4"/>
  <c r="V55" i="4"/>
  <c r="R55" i="4"/>
  <c r="W54" i="4"/>
  <c r="U54" i="4"/>
  <c r="T54" i="4"/>
  <c r="S54" i="4"/>
  <c r="Q54" i="4"/>
  <c r="P54" i="4"/>
  <c r="O54" i="4"/>
  <c r="F54" i="4"/>
  <c r="E54" i="4"/>
  <c r="D54" i="4"/>
  <c r="C54" i="4"/>
  <c r="V52" i="4"/>
  <c r="R52" i="4"/>
  <c r="V51" i="4"/>
  <c r="R51" i="4"/>
  <c r="V50" i="4"/>
  <c r="R50" i="4"/>
  <c r="W49" i="4"/>
  <c r="U49" i="4"/>
  <c r="T49" i="4"/>
  <c r="S49" i="4"/>
  <c r="Q49" i="4"/>
  <c r="P49" i="4"/>
  <c r="O49" i="4"/>
  <c r="F49" i="4"/>
  <c r="E49" i="4"/>
  <c r="D49" i="4"/>
  <c r="C49" i="4"/>
  <c r="W44" i="4"/>
  <c r="S44" i="4"/>
  <c r="O44" i="4"/>
  <c r="F44" i="4"/>
  <c r="E44" i="4"/>
  <c r="D44" i="4"/>
  <c r="C44" i="4"/>
  <c r="W43" i="4"/>
  <c r="S43" i="4"/>
  <c r="O43" i="4"/>
  <c r="F43" i="4"/>
  <c r="E43" i="4"/>
  <c r="D43" i="4"/>
  <c r="C43" i="4"/>
  <c r="W42" i="4"/>
  <c r="S42" i="4"/>
  <c r="O42" i="4"/>
  <c r="F42" i="4"/>
  <c r="E42" i="4"/>
  <c r="D42" i="4"/>
  <c r="C42" i="4"/>
  <c r="W41" i="4"/>
  <c r="S41" i="4"/>
  <c r="O41" i="4"/>
  <c r="F41" i="4"/>
  <c r="E41" i="4"/>
  <c r="D41" i="4"/>
  <c r="C41" i="4"/>
  <c r="T35" i="4"/>
  <c r="U35" i="4" s="1"/>
  <c r="P35" i="4"/>
  <c r="T34" i="4"/>
  <c r="P34" i="4"/>
  <c r="T33" i="4"/>
  <c r="P33" i="4"/>
  <c r="Q33" i="4" s="1"/>
  <c r="T32" i="4"/>
  <c r="P32" i="4"/>
  <c r="W13" i="4"/>
  <c r="S13" i="4"/>
  <c r="O13" i="4"/>
  <c r="O18" i="4" s="1"/>
  <c r="F13" i="4"/>
  <c r="E13" i="4"/>
  <c r="D13" i="4"/>
  <c r="C13" i="4"/>
  <c r="C20" i="4" s="1"/>
  <c r="P12" i="4"/>
  <c r="T27" i="4" s="1"/>
  <c r="T11" i="4"/>
  <c r="P11" i="4"/>
  <c r="T10" i="4"/>
  <c r="P10" i="4"/>
  <c r="T9" i="4"/>
  <c r="P9" i="4"/>
  <c r="D3" i="4"/>
  <c r="E3" i="4" s="1"/>
  <c r="F3" i="4" s="1"/>
  <c r="G3" i="4" s="1"/>
  <c r="H3" i="4" s="1"/>
  <c r="I3" i="4" s="1"/>
  <c r="J3" i="4" s="1"/>
  <c r="K3" i="4" s="1"/>
  <c r="L3" i="4" s="1"/>
  <c r="W18" i="4" l="1"/>
  <c r="W28" i="4"/>
  <c r="AA28" i="4"/>
  <c r="S18" i="4"/>
  <c r="S28" i="4"/>
  <c r="F17" i="4"/>
  <c r="F28" i="4"/>
  <c r="G28" i="4"/>
  <c r="E17" i="4"/>
  <c r="E28" i="4"/>
  <c r="D20" i="4"/>
  <c r="D28" i="4"/>
  <c r="T26" i="4"/>
  <c r="X26" i="4"/>
  <c r="U10" i="4"/>
  <c r="V10" i="4" s="1"/>
  <c r="T25" i="4"/>
  <c r="X25" i="4"/>
  <c r="T24" i="4"/>
  <c r="X24" i="4"/>
  <c r="AP48" i="4"/>
  <c r="AT48" i="4"/>
  <c r="S48" i="4"/>
  <c r="P48" i="4"/>
  <c r="R61" i="4"/>
  <c r="V61" i="4"/>
  <c r="P37" i="4"/>
  <c r="T37" i="4"/>
  <c r="T43" i="4"/>
  <c r="U48" i="4"/>
  <c r="T48" i="4"/>
  <c r="E20" i="4"/>
  <c r="T42" i="4"/>
  <c r="O45" i="4"/>
  <c r="R54" i="4"/>
  <c r="P41" i="4"/>
  <c r="C19" i="4"/>
  <c r="E19" i="4"/>
  <c r="E45" i="4"/>
  <c r="W45" i="4"/>
  <c r="Q48" i="4"/>
  <c r="W48" i="4"/>
  <c r="S20" i="4"/>
  <c r="F45" i="4"/>
  <c r="T41" i="4"/>
  <c r="U32" i="4"/>
  <c r="V54" i="4"/>
  <c r="Q11" i="4"/>
  <c r="R11" i="4" s="1"/>
  <c r="O17" i="4"/>
  <c r="S17" i="4"/>
  <c r="U11" i="4"/>
  <c r="P43" i="4"/>
  <c r="P42" i="4"/>
  <c r="O19" i="4"/>
  <c r="D48" i="4"/>
  <c r="R49" i="4"/>
  <c r="C45" i="4"/>
  <c r="F48" i="4"/>
  <c r="S19" i="4"/>
  <c r="E48" i="4"/>
  <c r="V49" i="4"/>
  <c r="O20" i="4"/>
  <c r="O48" i="4"/>
  <c r="F19" i="4"/>
  <c r="F20" i="4"/>
  <c r="D45" i="4"/>
  <c r="D19" i="4"/>
  <c r="C48" i="4"/>
  <c r="R33" i="4"/>
  <c r="Q34" i="4"/>
  <c r="R34" i="4" s="1"/>
  <c r="Q12" i="4"/>
  <c r="Q10" i="4"/>
  <c r="R10" i="4" s="1"/>
  <c r="P44" i="4"/>
  <c r="Q9" i="4"/>
  <c r="R9" i="4" s="1"/>
  <c r="Q35" i="4"/>
  <c r="W20" i="4"/>
  <c r="P13" i="4"/>
  <c r="T44" i="4"/>
  <c r="S45" i="4"/>
  <c r="D18" i="4"/>
  <c r="F18" i="4"/>
  <c r="W17" i="4"/>
  <c r="C18" i="4"/>
  <c r="V35" i="4"/>
  <c r="D17" i="4"/>
  <c r="W19" i="4"/>
  <c r="U9" i="4"/>
  <c r="U34" i="4"/>
  <c r="V34" i="4" s="1"/>
  <c r="U12" i="4"/>
  <c r="Q32" i="4"/>
  <c r="E18" i="4"/>
  <c r="C17" i="4"/>
  <c r="T13" i="4"/>
  <c r="U33" i="4"/>
  <c r="V33" i="4" s="1"/>
  <c r="Y25" i="4" l="1"/>
  <c r="U25" i="4"/>
  <c r="V11" i="4"/>
  <c r="V43" i="4" s="1"/>
  <c r="U26" i="4"/>
  <c r="Y26" i="4"/>
  <c r="V25" i="4"/>
  <c r="Z25" i="4"/>
  <c r="U24" i="4"/>
  <c r="Y24" i="4"/>
  <c r="U27" i="4"/>
  <c r="Y27" i="4"/>
  <c r="T28" i="4"/>
  <c r="X28" i="4"/>
  <c r="V32" i="4"/>
  <c r="V37" i="4" s="1"/>
  <c r="U37" i="4"/>
  <c r="R32" i="4"/>
  <c r="R41" i="4" s="1"/>
  <c r="Q37" i="4"/>
  <c r="E21" i="4"/>
  <c r="V48" i="4"/>
  <c r="F21" i="4"/>
  <c r="R48" i="4"/>
  <c r="S21" i="4"/>
  <c r="O21" i="4"/>
  <c r="Q44" i="4"/>
  <c r="Q42" i="4"/>
  <c r="V42" i="4"/>
  <c r="Q43" i="4"/>
  <c r="R35" i="4"/>
  <c r="R43" i="4"/>
  <c r="C21" i="4"/>
  <c r="P45" i="4"/>
  <c r="U41" i="4"/>
  <c r="V9" i="4"/>
  <c r="D21" i="4"/>
  <c r="U44" i="4"/>
  <c r="T19" i="4"/>
  <c r="T18" i="4"/>
  <c r="P18" i="4"/>
  <c r="T45" i="4"/>
  <c r="Q13" i="4"/>
  <c r="Q20" i="4" s="1"/>
  <c r="V12" i="4"/>
  <c r="T20" i="4"/>
  <c r="U42" i="4"/>
  <c r="R42" i="4"/>
  <c r="R12" i="4"/>
  <c r="W21" i="4"/>
  <c r="P19" i="4"/>
  <c r="Q41" i="4"/>
  <c r="T17" i="4"/>
  <c r="U43" i="4"/>
  <c r="U13" i="4"/>
  <c r="P17" i="4"/>
  <c r="P20" i="4"/>
  <c r="Z26" i="4" l="1"/>
  <c r="V26" i="4"/>
  <c r="V24" i="4"/>
  <c r="Z24" i="4"/>
  <c r="V27" i="4"/>
  <c r="Z27" i="4"/>
  <c r="U20" i="4"/>
  <c r="U28" i="4"/>
  <c r="Y28" i="4"/>
  <c r="V41" i="4"/>
  <c r="R37" i="4"/>
  <c r="Q18" i="4"/>
  <c r="T21" i="4"/>
  <c r="U17" i="4"/>
  <c r="Q19" i="4"/>
  <c r="Q17" i="4"/>
  <c r="Q45" i="4"/>
  <c r="P21" i="4"/>
  <c r="R13" i="4"/>
  <c r="V44" i="4"/>
  <c r="U45" i="4"/>
  <c r="V13" i="4"/>
  <c r="U19" i="4"/>
  <c r="U18" i="4"/>
  <c r="R44" i="4"/>
  <c r="V45" i="4" l="1"/>
  <c r="V28" i="4"/>
  <c r="Z28" i="4"/>
  <c r="Q21" i="4"/>
  <c r="U21" i="4"/>
  <c r="V20" i="4"/>
  <c r="R19" i="4"/>
  <c r="R17" i="4"/>
  <c r="R18" i="4"/>
  <c r="R20" i="4"/>
  <c r="R45" i="4"/>
  <c r="V19" i="4"/>
  <c r="V17" i="4"/>
  <c r="V18" i="4"/>
  <c r="V21" i="4" l="1"/>
  <c r="R21" i="4"/>
  <c r="C70" i="1" l="1"/>
  <c r="C68" i="1"/>
  <c r="C69" i="1"/>
  <c r="C67" i="1"/>
  <c r="C65" i="1"/>
  <c r="C64" i="1"/>
  <c r="C60" i="1"/>
  <c r="C51" i="1"/>
  <c r="F70" i="1"/>
  <c r="E70" i="1"/>
  <c r="D70" i="1"/>
  <c r="F68" i="1"/>
  <c r="E68" i="1"/>
  <c r="F67" i="1"/>
  <c r="E67" i="1"/>
  <c r="D67" i="1"/>
  <c r="F65" i="1"/>
  <c r="E65" i="1"/>
  <c r="D65" i="1"/>
  <c r="W157" i="1" l="1"/>
  <c r="V157" i="1"/>
  <c r="U157" i="1"/>
  <c r="T157" i="1"/>
  <c r="S157" i="1"/>
  <c r="R157" i="1"/>
  <c r="Q157" i="1"/>
  <c r="P157" i="1"/>
  <c r="O157" i="1"/>
  <c r="D157" i="1"/>
  <c r="E157" i="1"/>
  <c r="F157" i="1"/>
  <c r="C157" i="1"/>
  <c r="P156" i="1"/>
  <c r="Q156" i="1"/>
  <c r="R156" i="1"/>
  <c r="S156" i="1"/>
  <c r="T156" i="1"/>
  <c r="U156" i="1"/>
  <c r="V156" i="1"/>
  <c r="W156" i="1"/>
  <c r="O156" i="1"/>
  <c r="D156" i="1"/>
  <c r="E156" i="1"/>
  <c r="F156" i="1"/>
  <c r="C156" i="1"/>
  <c r="P130" i="1"/>
  <c r="Q130" i="1"/>
  <c r="R130" i="1"/>
  <c r="S130" i="1"/>
  <c r="T130" i="1"/>
  <c r="U130" i="1"/>
  <c r="V130" i="1"/>
  <c r="W130" i="1"/>
  <c r="O130" i="1"/>
  <c r="D130" i="1"/>
  <c r="E130" i="1"/>
  <c r="F130" i="1"/>
  <c r="C130" i="1"/>
  <c r="P146" i="1"/>
  <c r="Q146" i="1"/>
  <c r="R146" i="1"/>
  <c r="S146" i="1"/>
  <c r="T146" i="1"/>
  <c r="U146" i="1"/>
  <c r="V146" i="1"/>
  <c r="W146" i="1"/>
  <c r="O146" i="1"/>
  <c r="D146" i="1"/>
  <c r="E146" i="1"/>
  <c r="F146" i="1"/>
  <c r="C146" i="1"/>
  <c r="P205" i="1"/>
  <c r="P217" i="1" s="1"/>
  <c r="Q205" i="1"/>
  <c r="Q217" i="1" s="1"/>
  <c r="R205" i="1"/>
  <c r="R217" i="1" s="1"/>
  <c r="S205" i="1"/>
  <c r="S217" i="1" s="1"/>
  <c r="T205" i="1"/>
  <c r="T217" i="1" s="1"/>
  <c r="U205" i="1"/>
  <c r="U217" i="1" s="1"/>
  <c r="V205" i="1"/>
  <c r="V217" i="1" s="1"/>
  <c r="W205" i="1"/>
  <c r="W217" i="1" s="1"/>
  <c r="O205" i="1"/>
  <c r="O217" i="1" s="1"/>
  <c r="D205" i="1"/>
  <c r="D217" i="1" s="1"/>
  <c r="E205" i="1"/>
  <c r="E217" i="1" s="1"/>
  <c r="F205" i="1"/>
  <c r="F217" i="1" s="1"/>
  <c r="C205" i="1"/>
  <c r="C217" i="1" s="1"/>
  <c r="E92" i="1" l="1"/>
  <c r="F92" i="1"/>
  <c r="D69" i="1"/>
  <c r="E69" i="1"/>
  <c r="F69" i="1"/>
  <c r="D64" i="1"/>
  <c r="E64" i="1"/>
  <c r="F64" i="1"/>
  <c r="D60" i="1"/>
  <c r="E60" i="1"/>
  <c r="F60" i="1"/>
  <c r="W97" i="1" l="1"/>
  <c r="W70" i="1"/>
  <c r="X70" i="1" s="1"/>
  <c r="W69" i="1"/>
  <c r="X69" i="1" s="1"/>
  <c r="W67" i="1"/>
  <c r="X67" i="1" s="1"/>
  <c r="W56" i="1"/>
  <c r="W39" i="1"/>
  <c r="W33" i="1"/>
  <c r="AY67" i="1" l="1"/>
  <c r="AY173" i="1" s="1"/>
  <c r="AY233" i="1" s="1"/>
  <c r="Y67" i="1"/>
  <c r="AY69" i="1"/>
  <c r="AY175" i="1" s="1"/>
  <c r="AY235" i="1" s="1"/>
  <c r="Y69" i="1"/>
  <c r="AY70" i="1"/>
  <c r="AY176" i="1" s="1"/>
  <c r="AY236" i="1" s="1"/>
  <c r="Y70" i="1"/>
  <c r="X173" i="1"/>
  <c r="X233" i="1" s="1"/>
  <c r="X175" i="1"/>
  <c r="X235" i="1" s="1"/>
  <c r="X176" i="1"/>
  <c r="X236" i="1" s="1"/>
  <c r="W92" i="1"/>
  <c r="W65" i="1"/>
  <c r="X65" i="1" s="1"/>
  <c r="W64" i="1"/>
  <c r="X64" i="1" s="1"/>
  <c r="W60" i="1"/>
  <c r="X60" i="1" s="1"/>
  <c r="W55" i="1"/>
  <c r="W38" i="4" s="1"/>
  <c r="W15" i="1"/>
  <c r="W14" i="1"/>
  <c r="V119" i="1"/>
  <c r="V151" i="1" s="1"/>
  <c r="R119" i="1"/>
  <c r="R151" i="1" s="1"/>
  <c r="B199" i="1"/>
  <c r="B268" i="1" s="1"/>
  <c r="B196" i="1"/>
  <c r="B265" i="1" s="1"/>
  <c r="B197" i="1"/>
  <c r="B266" i="1" s="1"/>
  <c r="W151" i="1"/>
  <c r="W210" i="1" s="1"/>
  <c r="U151" i="1"/>
  <c r="U210" i="1" s="1"/>
  <c r="T151" i="1"/>
  <c r="T210" i="1" s="1"/>
  <c r="S151" i="1"/>
  <c r="S210" i="1" s="1"/>
  <c r="Q151" i="1"/>
  <c r="Q210" i="1" s="1"/>
  <c r="P151" i="1"/>
  <c r="O151" i="1"/>
  <c r="F151" i="1"/>
  <c r="E151" i="1"/>
  <c r="D151" i="1"/>
  <c r="D210" i="1" s="1"/>
  <c r="W116" i="1"/>
  <c r="T116" i="1"/>
  <c r="U116" i="1"/>
  <c r="S116" i="1"/>
  <c r="P115" i="1"/>
  <c r="Q115" i="1"/>
  <c r="P116" i="1"/>
  <c r="Q116" i="1"/>
  <c r="O116" i="1"/>
  <c r="O115" i="1"/>
  <c r="E115" i="1"/>
  <c r="F115" i="1"/>
  <c r="D116" i="1"/>
  <c r="E116" i="1"/>
  <c r="F116" i="1"/>
  <c r="V116" i="1" s="1"/>
  <c r="R116" i="1"/>
  <c r="C116" i="1"/>
  <c r="V111" i="1"/>
  <c r="V252" i="1" s="1"/>
  <c r="V110" i="1"/>
  <c r="V251" i="1" s="1"/>
  <c r="R111" i="1"/>
  <c r="R252" i="1" s="1"/>
  <c r="R110" i="1"/>
  <c r="R251" i="1" s="1"/>
  <c r="Q112" i="1"/>
  <c r="W112" i="1"/>
  <c r="U112" i="1"/>
  <c r="T112" i="1"/>
  <c r="S112" i="1"/>
  <c r="P112" i="1"/>
  <c r="O112" i="1"/>
  <c r="F112" i="1"/>
  <c r="E112" i="1"/>
  <c r="D112" i="1"/>
  <c r="C112" i="1"/>
  <c r="W43" i="1"/>
  <c r="W58" i="1" s="1"/>
  <c r="W79" i="1" s="1"/>
  <c r="W90" i="1" s="1"/>
  <c r="V43" i="1"/>
  <c r="V58" i="1" s="1"/>
  <c r="V79" i="1" s="1"/>
  <c r="V90" i="1" s="1"/>
  <c r="U43" i="1"/>
  <c r="U58" i="1" s="1"/>
  <c r="U79" i="1" s="1"/>
  <c r="U90" i="1" s="1"/>
  <c r="T43" i="1"/>
  <c r="T58" i="1" s="1"/>
  <c r="T79" i="1" s="1"/>
  <c r="T90" i="1" s="1"/>
  <c r="S43" i="1"/>
  <c r="S58" i="1" s="1"/>
  <c r="S79" i="1" s="1"/>
  <c r="S90" i="1" s="1"/>
  <c r="R43" i="1"/>
  <c r="R58" i="1" s="1"/>
  <c r="R79" i="1" s="1"/>
  <c r="R90" i="1" s="1"/>
  <c r="Q43" i="1"/>
  <c r="Q58" i="1" s="1"/>
  <c r="Q79" i="1" s="1"/>
  <c r="Q90" i="1" s="1"/>
  <c r="P43" i="1"/>
  <c r="P58" i="1" s="1"/>
  <c r="P79" i="1" s="1"/>
  <c r="P90" i="1" s="1"/>
  <c r="O43" i="1"/>
  <c r="O58" i="1" s="1"/>
  <c r="O79" i="1" s="1"/>
  <c r="O90" i="1" s="1"/>
  <c r="D43" i="1"/>
  <c r="D58" i="1" s="1"/>
  <c r="D79" i="1" s="1"/>
  <c r="D90" i="1" s="1"/>
  <c r="E43" i="1"/>
  <c r="E58" i="1" s="1"/>
  <c r="E79" i="1" s="1"/>
  <c r="E90" i="1" s="1"/>
  <c r="F43" i="1"/>
  <c r="F58" i="1" s="1"/>
  <c r="F79" i="1" s="1"/>
  <c r="F90" i="1" s="1"/>
  <c r="C43" i="1"/>
  <c r="C58" i="1" s="1"/>
  <c r="C79" i="1" s="1"/>
  <c r="C90" i="1" s="1"/>
  <c r="D84" i="1"/>
  <c r="D186" i="1" s="1"/>
  <c r="D246" i="1" s="1"/>
  <c r="D263" i="1" s="1"/>
  <c r="E84" i="1"/>
  <c r="E186" i="1" s="1"/>
  <c r="E246" i="1" s="1"/>
  <c r="E263" i="1" s="1"/>
  <c r="F84" i="1"/>
  <c r="D85" i="1"/>
  <c r="E85" i="1"/>
  <c r="F85" i="1"/>
  <c r="U56" i="1"/>
  <c r="T56" i="1"/>
  <c r="S56" i="1"/>
  <c r="F55" i="1"/>
  <c r="F38" i="4" s="1"/>
  <c r="E55" i="1"/>
  <c r="E38" i="4" s="1"/>
  <c r="D55" i="1"/>
  <c r="D38" i="4" s="1"/>
  <c r="E52" i="1"/>
  <c r="F52" i="1"/>
  <c r="P33" i="1"/>
  <c r="Q33" i="1"/>
  <c r="S33" i="1"/>
  <c r="T33" i="1"/>
  <c r="U33" i="1"/>
  <c r="P34" i="1"/>
  <c r="Q34" i="1"/>
  <c r="S34" i="1"/>
  <c r="T34" i="1"/>
  <c r="U34" i="1"/>
  <c r="P35" i="1"/>
  <c r="Q35" i="1"/>
  <c r="S35" i="1"/>
  <c r="T35" i="1"/>
  <c r="U35" i="1"/>
  <c r="P39" i="1"/>
  <c r="Q39" i="1"/>
  <c r="S39" i="1"/>
  <c r="T39" i="1"/>
  <c r="U39" i="1"/>
  <c r="O39" i="1"/>
  <c r="O35" i="1"/>
  <c r="O34" i="1"/>
  <c r="O33" i="1"/>
  <c r="D33" i="1"/>
  <c r="E33" i="1"/>
  <c r="F33" i="1"/>
  <c r="D34" i="1"/>
  <c r="E34" i="1"/>
  <c r="F34" i="1"/>
  <c r="D35" i="1"/>
  <c r="E35" i="1"/>
  <c r="F35" i="1"/>
  <c r="D39" i="1"/>
  <c r="E39" i="1"/>
  <c r="F39" i="1"/>
  <c r="C39" i="1"/>
  <c r="B39" i="1"/>
  <c r="V29" i="1"/>
  <c r="V28" i="1"/>
  <c r="R29" i="1"/>
  <c r="R28" i="1"/>
  <c r="E8" i="1"/>
  <c r="F8" i="1"/>
  <c r="W204" i="1"/>
  <c r="W216" i="1" s="1"/>
  <c r="W178" i="1"/>
  <c r="W238" i="1" s="1"/>
  <c r="W168" i="1"/>
  <c r="W228" i="1" s="1"/>
  <c r="Z266" i="1" s="1"/>
  <c r="W167" i="1"/>
  <c r="W227" i="1" s="1"/>
  <c r="W161" i="1"/>
  <c r="AA162" i="1" s="1"/>
  <c r="W145" i="1"/>
  <c r="W176" i="1"/>
  <c r="W236" i="1" s="1"/>
  <c r="W175" i="1"/>
  <c r="W235" i="1" s="1"/>
  <c r="W174" i="1"/>
  <c r="W234" i="1" s="1"/>
  <c r="W173" i="1"/>
  <c r="W233" i="1" s="1"/>
  <c r="W59" i="1"/>
  <c r="W52" i="1"/>
  <c r="W10" i="1"/>
  <c r="AA11" i="1" s="1"/>
  <c r="W8" i="1"/>
  <c r="B246" i="1"/>
  <c r="B220" i="1"/>
  <c r="B219" i="1"/>
  <c r="V204" i="1"/>
  <c r="V216" i="1" s="1"/>
  <c r="U204" i="1"/>
  <c r="U216" i="1" s="1"/>
  <c r="T204" i="1"/>
  <c r="T216" i="1" s="1"/>
  <c r="S204" i="1"/>
  <c r="S216" i="1" s="1"/>
  <c r="R204" i="1"/>
  <c r="R216" i="1" s="1"/>
  <c r="Q204" i="1"/>
  <c r="Q216" i="1" s="1"/>
  <c r="P204" i="1"/>
  <c r="P216" i="1" s="1"/>
  <c r="O204" i="1"/>
  <c r="O216" i="1" s="1"/>
  <c r="F204" i="1"/>
  <c r="F216" i="1" s="1"/>
  <c r="E204" i="1"/>
  <c r="E216" i="1" s="1"/>
  <c r="D204" i="1"/>
  <c r="D216" i="1" s="1"/>
  <c r="C204" i="1"/>
  <c r="C216" i="1" s="1"/>
  <c r="B194" i="1"/>
  <c r="B263" i="1" s="1"/>
  <c r="B192" i="1"/>
  <c r="B261" i="1" s="1"/>
  <c r="B191" i="1"/>
  <c r="B260" i="1" s="1"/>
  <c r="B189" i="1"/>
  <c r="B258" i="1" s="1"/>
  <c r="B188" i="1"/>
  <c r="B257" i="1" s="1"/>
  <c r="B181" i="1"/>
  <c r="B241" i="1" s="1"/>
  <c r="B180" i="1"/>
  <c r="B240" i="1" s="1"/>
  <c r="B179" i="1"/>
  <c r="B239" i="1" s="1"/>
  <c r="U178" i="1"/>
  <c r="U238" i="1" s="1"/>
  <c r="T178" i="1"/>
  <c r="T238" i="1" s="1"/>
  <c r="S178" i="1"/>
  <c r="S238" i="1" s="1"/>
  <c r="Q178" i="1"/>
  <c r="Q238" i="1" s="1"/>
  <c r="P178" i="1"/>
  <c r="P238" i="1" s="1"/>
  <c r="O178" i="1"/>
  <c r="O238" i="1" s="1"/>
  <c r="F178" i="1"/>
  <c r="F238" i="1" s="1"/>
  <c r="E178" i="1"/>
  <c r="E238" i="1" s="1"/>
  <c r="D178" i="1"/>
  <c r="D238" i="1" s="1"/>
  <c r="C178" i="1"/>
  <c r="C238" i="1" s="1"/>
  <c r="B178" i="1"/>
  <c r="B238" i="1" s="1"/>
  <c r="B177" i="1"/>
  <c r="B237" i="1" s="1"/>
  <c r="U176" i="1"/>
  <c r="U236" i="1" s="1"/>
  <c r="T176" i="1"/>
  <c r="T236" i="1" s="1"/>
  <c r="O176" i="1"/>
  <c r="O236" i="1" s="1"/>
  <c r="B176" i="1"/>
  <c r="B236" i="1" s="1"/>
  <c r="B175" i="1"/>
  <c r="B235" i="1" s="1"/>
  <c r="B174" i="1"/>
  <c r="B234" i="1" s="1"/>
  <c r="B173" i="1"/>
  <c r="B233" i="1" s="1"/>
  <c r="B172" i="1"/>
  <c r="B232" i="1" s="1"/>
  <c r="U171" i="1"/>
  <c r="U231" i="1" s="1"/>
  <c r="B171" i="1"/>
  <c r="B231" i="1" s="1"/>
  <c r="B170" i="1"/>
  <c r="B230" i="1" s="1"/>
  <c r="B169" i="1"/>
  <c r="B229" i="1" s="1"/>
  <c r="U168" i="1"/>
  <c r="U228" i="1" s="1"/>
  <c r="T168" i="1"/>
  <c r="T228" i="1" s="1"/>
  <c r="S168" i="1"/>
  <c r="S228" i="1" s="1"/>
  <c r="Q168" i="1"/>
  <c r="Q228" i="1" s="1"/>
  <c r="P168" i="1"/>
  <c r="P228" i="1" s="1"/>
  <c r="O168" i="1"/>
  <c r="O228" i="1" s="1"/>
  <c r="F168" i="1"/>
  <c r="F228" i="1" s="1"/>
  <c r="E168" i="1"/>
  <c r="E228" i="1" s="1"/>
  <c r="D168" i="1"/>
  <c r="D228" i="1" s="1"/>
  <c r="C168" i="1"/>
  <c r="C228" i="1" s="1"/>
  <c r="B168" i="1"/>
  <c r="B228" i="1" s="1"/>
  <c r="U167" i="1"/>
  <c r="U227" i="1" s="1"/>
  <c r="T167" i="1"/>
  <c r="T227" i="1" s="1"/>
  <c r="S167" i="1"/>
  <c r="S227" i="1" s="1"/>
  <c r="Q167" i="1"/>
  <c r="Q227" i="1" s="1"/>
  <c r="P167" i="1"/>
  <c r="P227" i="1" s="1"/>
  <c r="O167" i="1"/>
  <c r="O227" i="1" s="1"/>
  <c r="F167" i="1"/>
  <c r="F227" i="1" s="1"/>
  <c r="E167" i="1"/>
  <c r="E227" i="1" s="1"/>
  <c r="D167" i="1"/>
  <c r="D227" i="1" s="1"/>
  <c r="C167" i="1"/>
  <c r="C227" i="1" s="1"/>
  <c r="B167" i="1"/>
  <c r="B227" i="1" s="1"/>
  <c r="B166" i="1"/>
  <c r="B226" i="1" s="1"/>
  <c r="B165" i="1"/>
  <c r="B225" i="1" s="1"/>
  <c r="B163" i="1"/>
  <c r="B223" i="1" s="1"/>
  <c r="B162" i="1"/>
  <c r="B222" i="1" s="1"/>
  <c r="U161" i="1"/>
  <c r="Y162" i="1" s="1"/>
  <c r="T161" i="1"/>
  <c r="X162" i="1" s="1"/>
  <c r="S161" i="1"/>
  <c r="Q161" i="1"/>
  <c r="P161" i="1"/>
  <c r="O161" i="1"/>
  <c r="F161" i="1"/>
  <c r="E161" i="1"/>
  <c r="E221" i="1" s="1"/>
  <c r="D161" i="1"/>
  <c r="C161" i="1"/>
  <c r="C221" i="1" s="1"/>
  <c r="B161" i="1"/>
  <c r="B221" i="1" s="1"/>
  <c r="B157" i="1"/>
  <c r="V145" i="1"/>
  <c r="U145" i="1"/>
  <c r="T145" i="1"/>
  <c r="S145" i="1"/>
  <c r="R145" i="1"/>
  <c r="Q145" i="1"/>
  <c r="P145" i="1"/>
  <c r="O145" i="1"/>
  <c r="F145" i="1"/>
  <c r="E145" i="1"/>
  <c r="D145" i="1"/>
  <c r="C145" i="1"/>
  <c r="V126" i="1"/>
  <c r="V255" i="1" s="1"/>
  <c r="R126" i="1"/>
  <c r="R255" i="1" s="1"/>
  <c r="V125" i="1"/>
  <c r="V248" i="1" s="1"/>
  <c r="R125" i="1"/>
  <c r="R248" i="1" s="1"/>
  <c r="C151" i="1"/>
  <c r="C210" i="1" s="1"/>
  <c r="F107" i="1"/>
  <c r="E107" i="1"/>
  <c r="V106" i="1"/>
  <c r="R106" i="1"/>
  <c r="V105" i="1"/>
  <c r="R105" i="1"/>
  <c r="S115" i="1" s="1"/>
  <c r="D107" i="1"/>
  <c r="C107" i="1"/>
  <c r="U97" i="1"/>
  <c r="T97" i="1"/>
  <c r="S97" i="1"/>
  <c r="Q97" i="1"/>
  <c r="P97" i="1"/>
  <c r="O97" i="1"/>
  <c r="F97" i="1"/>
  <c r="E97" i="1"/>
  <c r="D97" i="1"/>
  <c r="C97" i="1"/>
  <c r="V96" i="1"/>
  <c r="R96" i="1"/>
  <c r="V95" i="1"/>
  <c r="R95" i="1"/>
  <c r="V94" i="1"/>
  <c r="R94" i="1"/>
  <c r="V93" i="1"/>
  <c r="R93" i="1"/>
  <c r="V92" i="1"/>
  <c r="R92" i="1"/>
  <c r="C85" i="1"/>
  <c r="C84" i="1"/>
  <c r="C138" i="1" s="1"/>
  <c r="C194" i="1" s="1"/>
  <c r="V73" i="1"/>
  <c r="V178" i="1" s="1"/>
  <c r="V238" i="1" s="1"/>
  <c r="R73" i="1"/>
  <c r="R178" i="1" s="1"/>
  <c r="R238" i="1" s="1"/>
  <c r="S176" i="1"/>
  <c r="S236" i="1" s="1"/>
  <c r="Q176" i="1"/>
  <c r="Q236" i="1" s="1"/>
  <c r="P176" i="1"/>
  <c r="P236" i="1" s="1"/>
  <c r="E176" i="1"/>
  <c r="E236" i="1" s="1"/>
  <c r="D176" i="1"/>
  <c r="D236" i="1" s="1"/>
  <c r="C176" i="1"/>
  <c r="C236" i="1" s="1"/>
  <c r="U175" i="1"/>
  <c r="U235" i="1" s="1"/>
  <c r="S175" i="1"/>
  <c r="S235" i="1" s="1"/>
  <c r="P175" i="1"/>
  <c r="P235" i="1" s="1"/>
  <c r="O175" i="1"/>
  <c r="O235" i="1" s="1"/>
  <c r="F175" i="1"/>
  <c r="F235" i="1" s="1"/>
  <c r="E175" i="1"/>
  <c r="E235" i="1" s="1"/>
  <c r="D175" i="1"/>
  <c r="D235" i="1" s="1"/>
  <c r="C175" i="1"/>
  <c r="C235" i="1" s="1"/>
  <c r="S174" i="1"/>
  <c r="S234" i="1" s="1"/>
  <c r="Q174" i="1"/>
  <c r="Q234" i="1" s="1"/>
  <c r="P174" i="1"/>
  <c r="P234" i="1" s="1"/>
  <c r="O174" i="1"/>
  <c r="O234" i="1" s="1"/>
  <c r="F174" i="1"/>
  <c r="F234" i="1" s="1"/>
  <c r="D174" i="1"/>
  <c r="D234" i="1" s="1"/>
  <c r="C174" i="1"/>
  <c r="C234" i="1" s="1"/>
  <c r="U173" i="1"/>
  <c r="U233" i="1" s="1"/>
  <c r="T173" i="1"/>
  <c r="T233" i="1" s="1"/>
  <c r="S173" i="1"/>
  <c r="S233" i="1" s="1"/>
  <c r="Q173" i="1"/>
  <c r="Q233" i="1" s="1"/>
  <c r="P173" i="1"/>
  <c r="P233" i="1" s="1"/>
  <c r="O173" i="1"/>
  <c r="O233" i="1" s="1"/>
  <c r="F173" i="1"/>
  <c r="F233" i="1" s="1"/>
  <c r="D173" i="1"/>
  <c r="D233" i="1" s="1"/>
  <c r="C173" i="1"/>
  <c r="C233" i="1" s="1"/>
  <c r="S171" i="1"/>
  <c r="S231" i="1" s="1"/>
  <c r="Q171" i="1"/>
  <c r="Q231" i="1" s="1"/>
  <c r="P171" i="1"/>
  <c r="P231" i="1" s="1"/>
  <c r="O171" i="1"/>
  <c r="O231" i="1" s="1"/>
  <c r="F171" i="1"/>
  <c r="F231" i="1" s="1"/>
  <c r="E171" i="1"/>
  <c r="E231" i="1" s="1"/>
  <c r="D171" i="1"/>
  <c r="D231" i="1" s="1"/>
  <c r="C171" i="1"/>
  <c r="C231" i="1" s="1"/>
  <c r="U170" i="1"/>
  <c r="U230" i="1" s="1"/>
  <c r="P170" i="1"/>
  <c r="P230" i="1" s="1"/>
  <c r="O170" i="1"/>
  <c r="O230" i="1" s="1"/>
  <c r="F87" i="1"/>
  <c r="E87" i="1"/>
  <c r="D87" i="1"/>
  <c r="V62" i="1"/>
  <c r="R62" i="1"/>
  <c r="V61" i="1"/>
  <c r="V167" i="1" s="1"/>
  <c r="V227" i="1" s="1"/>
  <c r="R61" i="1"/>
  <c r="R167" i="1" s="1"/>
  <c r="R227" i="1" s="1"/>
  <c r="U166" i="1"/>
  <c r="U226" i="1" s="1"/>
  <c r="T166" i="1"/>
  <c r="T226" i="1" s="1"/>
  <c r="S166" i="1"/>
  <c r="S226" i="1" s="1"/>
  <c r="Q166" i="1"/>
  <c r="Q226" i="1" s="1"/>
  <c r="P166" i="1"/>
  <c r="P226" i="1" s="1"/>
  <c r="O166" i="1"/>
  <c r="O226" i="1" s="1"/>
  <c r="D166" i="1"/>
  <c r="D226" i="1" s="1"/>
  <c r="C166" i="1"/>
  <c r="C226" i="1" s="1"/>
  <c r="U59" i="1"/>
  <c r="T59" i="1"/>
  <c r="S59" i="1"/>
  <c r="Q59" i="1"/>
  <c r="P59" i="1"/>
  <c r="O59" i="1"/>
  <c r="F59" i="1"/>
  <c r="F165" i="1" s="1"/>
  <c r="E59" i="1"/>
  <c r="E165" i="1" s="1"/>
  <c r="D59" i="1"/>
  <c r="D165" i="1" s="1"/>
  <c r="C59" i="1"/>
  <c r="C165" i="1" s="1"/>
  <c r="F56" i="1"/>
  <c r="E56" i="1"/>
  <c r="D56" i="1"/>
  <c r="Q56" i="1"/>
  <c r="O56" i="1"/>
  <c r="C56" i="1"/>
  <c r="U52" i="1"/>
  <c r="T52" i="1"/>
  <c r="S52" i="1"/>
  <c r="D52" i="1"/>
  <c r="V51" i="1"/>
  <c r="R51" i="1"/>
  <c r="B44" i="1"/>
  <c r="B36" i="1"/>
  <c r="C35" i="1"/>
  <c r="B35" i="1"/>
  <c r="C34" i="1"/>
  <c r="B34" i="1"/>
  <c r="C33" i="1"/>
  <c r="B33" i="1"/>
  <c r="V20" i="1"/>
  <c r="R20" i="1"/>
  <c r="V17" i="1"/>
  <c r="R17" i="1"/>
  <c r="V16" i="1"/>
  <c r="R16" i="1"/>
  <c r="V15" i="1"/>
  <c r="R15" i="1"/>
  <c r="V14" i="1"/>
  <c r="R14" i="1"/>
  <c r="V13" i="1"/>
  <c r="R13" i="1"/>
  <c r="U10" i="1"/>
  <c r="T10" i="1"/>
  <c r="X11" i="1" s="1"/>
  <c r="S10" i="1"/>
  <c r="Q10" i="1"/>
  <c r="P10" i="1"/>
  <c r="O10" i="1"/>
  <c r="F10" i="1"/>
  <c r="E10" i="1"/>
  <c r="D10" i="1"/>
  <c r="C10" i="1"/>
  <c r="C14" i="4" s="1"/>
  <c r="V9" i="1"/>
  <c r="R9" i="1"/>
  <c r="U8" i="1"/>
  <c r="T8" i="1"/>
  <c r="S8" i="1"/>
  <c r="D8" i="1"/>
  <c r="V7" i="1"/>
  <c r="Z8" i="1" s="1"/>
  <c r="R7" i="1"/>
  <c r="E266" i="1" l="1"/>
  <c r="D266" i="1"/>
  <c r="R253" i="1"/>
  <c r="V253" i="1"/>
  <c r="W171" i="1"/>
  <c r="W231" i="1" s="1"/>
  <c r="AP117" i="1"/>
  <c r="G11" i="1"/>
  <c r="F101" i="1"/>
  <c r="AH117" i="1"/>
  <c r="Y64" i="1"/>
  <c r="AY64" i="1"/>
  <c r="AY170" i="1" s="1"/>
  <c r="AY230" i="1" s="1"/>
  <c r="Y84" i="1"/>
  <c r="AY84" i="1"/>
  <c r="AY85" i="1"/>
  <c r="Y85" i="1"/>
  <c r="AY65" i="1"/>
  <c r="AY171" i="1" s="1"/>
  <c r="AY231" i="1" s="1"/>
  <c r="Y65" i="1"/>
  <c r="W170" i="1"/>
  <c r="W230" i="1" s="1"/>
  <c r="AY11" i="1"/>
  <c r="Y11" i="1"/>
  <c r="AY60" i="1"/>
  <c r="Y60" i="1"/>
  <c r="Y63" i="1" s="1"/>
  <c r="Z81" i="1"/>
  <c r="W14" i="4"/>
  <c r="W18" i="1"/>
  <c r="Z52" i="1"/>
  <c r="X171" i="1"/>
  <c r="X231" i="1" s="1"/>
  <c r="F221" i="1"/>
  <c r="G222" i="1" s="1"/>
  <c r="G162" i="1"/>
  <c r="Z70" i="1"/>
  <c r="Y176" i="1"/>
  <c r="Y236" i="1" s="1"/>
  <c r="V112" i="1"/>
  <c r="Z69" i="1"/>
  <c r="Y175" i="1"/>
  <c r="Y235" i="1" s="1"/>
  <c r="W34" i="1"/>
  <c r="Z14" i="1"/>
  <c r="V168" i="1"/>
  <c r="V228" i="1" s="1"/>
  <c r="X85" i="1"/>
  <c r="W35" i="1"/>
  <c r="Z15" i="1"/>
  <c r="W221" i="1"/>
  <c r="Z67" i="1"/>
  <c r="Y173" i="1"/>
  <c r="Y233" i="1" s="1"/>
  <c r="W166" i="1"/>
  <c r="W226" i="1" s="1"/>
  <c r="E14" i="4"/>
  <c r="E18" i="1"/>
  <c r="E21" i="1" s="1"/>
  <c r="E23" i="1" s="1"/>
  <c r="E25" i="1" s="1"/>
  <c r="D14" i="4"/>
  <c r="D18" i="1"/>
  <c r="D21" i="1" s="1"/>
  <c r="D23" i="1" s="1"/>
  <c r="D25" i="1" s="1"/>
  <c r="F14" i="4"/>
  <c r="F18" i="1"/>
  <c r="F21" i="1" s="1"/>
  <c r="F23" i="1" s="1"/>
  <c r="F25" i="1" s="1"/>
  <c r="X84" i="1"/>
  <c r="D221" i="1"/>
  <c r="E222" i="1" s="1"/>
  <c r="E162" i="1"/>
  <c r="T14" i="4"/>
  <c r="T18" i="1"/>
  <c r="T21" i="1" s="1"/>
  <c r="T23" i="1" s="1"/>
  <c r="T25" i="1" s="1"/>
  <c r="S14" i="4"/>
  <c r="S18" i="1"/>
  <c r="S21" i="1" s="1"/>
  <c r="S23" i="1" s="1"/>
  <c r="S25" i="1" s="1"/>
  <c r="U14" i="4"/>
  <c r="U18" i="1"/>
  <c r="U21" i="1" s="1"/>
  <c r="U23" i="1" s="1"/>
  <c r="U25" i="1" s="1"/>
  <c r="P14" i="4"/>
  <c r="P18" i="1"/>
  <c r="P21" i="1" s="1"/>
  <c r="P23" i="1" s="1"/>
  <c r="P25" i="1" s="1"/>
  <c r="O14" i="4"/>
  <c r="O18" i="1"/>
  <c r="O21" i="1" s="1"/>
  <c r="O23" i="1" s="1"/>
  <c r="O25" i="1" s="1"/>
  <c r="Q14" i="4"/>
  <c r="Q18" i="1"/>
  <c r="Q21" i="1" s="1"/>
  <c r="Q23" i="1" s="1"/>
  <c r="Q25" i="1" s="1"/>
  <c r="C18" i="1"/>
  <c r="C21" i="1" s="1"/>
  <c r="C23" i="1" s="1"/>
  <c r="C25" i="1" s="1"/>
  <c r="E138" i="1"/>
  <c r="E194" i="1" s="1"/>
  <c r="W53" i="1"/>
  <c r="T53" i="1"/>
  <c r="Q53" i="1"/>
  <c r="P53" i="1"/>
  <c r="S53" i="1"/>
  <c r="D138" i="1"/>
  <c r="D194" i="1" s="1"/>
  <c r="D81" i="1"/>
  <c r="D147" i="1" s="1"/>
  <c r="D206" i="1" s="1"/>
  <c r="E81" i="1"/>
  <c r="E147" i="1" s="1"/>
  <c r="F140" i="1"/>
  <c r="F196" i="1" s="1"/>
  <c r="F148" i="1"/>
  <c r="F138" i="1"/>
  <c r="F194" i="1" s="1"/>
  <c r="C141" i="1"/>
  <c r="C197" i="1" s="1"/>
  <c r="D141" i="1"/>
  <c r="D197" i="1" s="1"/>
  <c r="E141" i="1"/>
  <c r="E197" i="1" s="1"/>
  <c r="E148" i="1"/>
  <c r="F141" i="1"/>
  <c r="F197" i="1" s="1"/>
  <c r="D140" i="1"/>
  <c r="D196" i="1" s="1"/>
  <c r="E140" i="1"/>
  <c r="E196" i="1" s="1"/>
  <c r="D148" i="1"/>
  <c r="D207" i="1" s="1"/>
  <c r="R39" i="1"/>
  <c r="R112" i="1"/>
  <c r="O117" i="1"/>
  <c r="F81" i="1"/>
  <c r="F147" i="1" s="1"/>
  <c r="S117" i="1"/>
  <c r="V34" i="1"/>
  <c r="E117" i="1"/>
  <c r="R33" i="1"/>
  <c r="V33" i="1"/>
  <c r="F117" i="1"/>
  <c r="R34" i="1"/>
  <c r="D115" i="1"/>
  <c r="D117" i="1" s="1"/>
  <c r="Q117" i="1"/>
  <c r="P117" i="1"/>
  <c r="C115" i="1"/>
  <c r="C117" i="1" s="1"/>
  <c r="R35" i="1"/>
  <c r="V39" i="1"/>
  <c r="S55" i="1"/>
  <c r="S38" i="4" s="1"/>
  <c r="V35" i="1"/>
  <c r="T55" i="1"/>
  <c r="T38" i="4" s="1"/>
  <c r="U55" i="1"/>
  <c r="U38" i="4" s="1"/>
  <c r="W63" i="1"/>
  <c r="W66" i="1" s="1"/>
  <c r="E11" i="1"/>
  <c r="S11" i="1"/>
  <c r="V52" i="1"/>
  <c r="D11" i="1"/>
  <c r="W84" i="1"/>
  <c r="C1500" i="6" s="1"/>
  <c r="W85" i="1"/>
  <c r="F11" i="1"/>
  <c r="W11" i="1"/>
  <c r="W159" i="1"/>
  <c r="AA160" i="1" s="1"/>
  <c r="W162" i="1"/>
  <c r="W165" i="1"/>
  <c r="S162" i="1"/>
  <c r="V85" i="1"/>
  <c r="F162" i="1"/>
  <c r="U11" i="1"/>
  <c r="E170" i="1"/>
  <c r="E230" i="1" s="1"/>
  <c r="E265" i="1" s="1"/>
  <c r="V64" i="1"/>
  <c r="V69" i="1"/>
  <c r="V8" i="1"/>
  <c r="R22" i="1"/>
  <c r="V84" i="1"/>
  <c r="U53" i="1"/>
  <c r="V161" i="1"/>
  <c r="D162" i="1"/>
  <c r="C55" i="1"/>
  <c r="C38" i="4" s="1"/>
  <c r="O53" i="1"/>
  <c r="O159" i="1"/>
  <c r="O219" i="1" s="1"/>
  <c r="P159" i="1"/>
  <c r="P163" i="1" s="1"/>
  <c r="V22" i="1"/>
  <c r="Q159" i="1"/>
  <c r="Q219" i="1" s="1"/>
  <c r="T11" i="1"/>
  <c r="R59" i="1"/>
  <c r="R165" i="1" s="1"/>
  <c r="V59" i="1"/>
  <c r="V165" i="1" s="1"/>
  <c r="V225" i="1" s="1"/>
  <c r="R10" i="1"/>
  <c r="V67" i="1"/>
  <c r="R97" i="1"/>
  <c r="E63" i="1"/>
  <c r="E66" i="1" s="1"/>
  <c r="R84" i="1"/>
  <c r="S84" i="1"/>
  <c r="T84" i="1"/>
  <c r="U84" i="1"/>
  <c r="T162" i="1"/>
  <c r="C81" i="1"/>
  <c r="C98" i="1" s="1"/>
  <c r="C159" i="1"/>
  <c r="P165" i="1"/>
  <c r="P63" i="1"/>
  <c r="P66" i="1" s="1"/>
  <c r="C170" i="1"/>
  <c r="C230" i="1" s="1"/>
  <c r="C87" i="1"/>
  <c r="C140" i="1" s="1"/>
  <c r="C196" i="1" s="1"/>
  <c r="E173" i="1"/>
  <c r="E233" i="1" s="1"/>
  <c r="R67" i="1"/>
  <c r="R173" i="1" s="1"/>
  <c r="R233" i="1" s="1"/>
  <c r="F210" i="1"/>
  <c r="R65" i="1"/>
  <c r="R171" i="1" s="1"/>
  <c r="R231" i="1" s="1"/>
  <c r="T171" i="1"/>
  <c r="T231" i="1" s="1"/>
  <c r="V65" i="1"/>
  <c r="E159" i="1"/>
  <c r="E53" i="1"/>
  <c r="E210" i="1"/>
  <c r="F170" i="1"/>
  <c r="F230" i="1" s="1"/>
  <c r="O210" i="1"/>
  <c r="S159" i="1"/>
  <c r="S163" i="1" s="1"/>
  <c r="V56" i="1"/>
  <c r="D170" i="1"/>
  <c r="D230" i="1" s="1"/>
  <c r="D265" i="1" s="1"/>
  <c r="Q175" i="1"/>
  <c r="Q235" i="1" s="1"/>
  <c r="R69" i="1"/>
  <c r="R175" i="1" s="1"/>
  <c r="R235" i="1" s="1"/>
  <c r="C53" i="1"/>
  <c r="P56" i="1"/>
  <c r="P55" i="1"/>
  <c r="P38" i="4" s="1"/>
  <c r="U174" i="1"/>
  <c r="U234" i="1" s="1"/>
  <c r="V68" i="1"/>
  <c r="T159" i="1"/>
  <c r="V10" i="1"/>
  <c r="R115" i="1"/>
  <c r="R117" i="1" s="1"/>
  <c r="D159" i="1"/>
  <c r="D53" i="1"/>
  <c r="V115" i="1"/>
  <c r="V117" i="1" s="1"/>
  <c r="F159" i="1"/>
  <c r="G160" i="1" s="1"/>
  <c r="F53" i="1"/>
  <c r="O165" i="1"/>
  <c r="O63" i="1"/>
  <c r="O66" i="1" s="1"/>
  <c r="R168" i="1"/>
  <c r="R228" i="1" s="1"/>
  <c r="U85" i="1"/>
  <c r="T85" i="1"/>
  <c r="S85" i="1"/>
  <c r="R85" i="1"/>
  <c r="U159" i="1"/>
  <c r="F166" i="1"/>
  <c r="F226" i="1" s="1"/>
  <c r="V60" i="1"/>
  <c r="F186" i="1"/>
  <c r="F246" i="1" s="1"/>
  <c r="F263" i="1" s="1"/>
  <c r="Q63" i="1"/>
  <c r="Q66" i="1" s="1"/>
  <c r="Q165" i="1"/>
  <c r="P210" i="1"/>
  <c r="S63" i="1"/>
  <c r="S66" i="1" s="1"/>
  <c r="S165" i="1"/>
  <c r="E174" i="1"/>
  <c r="E234" i="1" s="1"/>
  <c r="R68" i="1"/>
  <c r="R174" i="1" s="1"/>
  <c r="R234" i="1" s="1"/>
  <c r="R56" i="1"/>
  <c r="T63" i="1"/>
  <c r="T66" i="1" s="1"/>
  <c r="T165" i="1"/>
  <c r="U165" i="1"/>
  <c r="U63" i="1"/>
  <c r="U66" i="1" s="1"/>
  <c r="C63" i="1"/>
  <c r="C66" i="1" s="1"/>
  <c r="V107" i="1"/>
  <c r="D63" i="1"/>
  <c r="D66" i="1" s="1"/>
  <c r="D88" i="1" s="1"/>
  <c r="T174" i="1"/>
  <c r="T234" i="1" s="1"/>
  <c r="V97" i="1"/>
  <c r="C225" i="1"/>
  <c r="C169" i="1"/>
  <c r="C229" i="1" s="1"/>
  <c r="D225" i="1"/>
  <c r="D169" i="1"/>
  <c r="D229" i="1" s="1"/>
  <c r="F63" i="1"/>
  <c r="F66" i="1" s="1"/>
  <c r="F88" i="1" s="1"/>
  <c r="Q170" i="1"/>
  <c r="Q230" i="1" s="1"/>
  <c r="E225" i="1"/>
  <c r="R64" i="1"/>
  <c r="R87" i="1" s="1"/>
  <c r="F225" i="1"/>
  <c r="S170" i="1"/>
  <c r="S230" i="1" s="1"/>
  <c r="T175" i="1"/>
  <c r="T235" i="1" s="1"/>
  <c r="R70" i="1"/>
  <c r="R176" i="1" s="1"/>
  <c r="R236" i="1" s="1"/>
  <c r="T115" i="1"/>
  <c r="T117" i="1" s="1"/>
  <c r="S107" i="1"/>
  <c r="E166" i="1"/>
  <c r="E226" i="1" s="1"/>
  <c r="R60" i="1"/>
  <c r="R166" i="1" s="1"/>
  <c r="R226" i="1" s="1"/>
  <c r="T170" i="1"/>
  <c r="T230" i="1" s="1"/>
  <c r="R107" i="1"/>
  <c r="O55" i="1"/>
  <c r="O38" i="4" s="1"/>
  <c r="Q221" i="1"/>
  <c r="R161" i="1"/>
  <c r="Q55" i="1"/>
  <c r="Q38" i="4" s="1"/>
  <c r="V70" i="1"/>
  <c r="F176" i="1"/>
  <c r="F236" i="1" s="1"/>
  <c r="S221" i="1"/>
  <c r="R55" i="1"/>
  <c r="R38" i="4" s="1"/>
  <c r="T221" i="1"/>
  <c r="U162" i="1"/>
  <c r="V55" i="1"/>
  <c r="V38" i="4" s="1"/>
  <c r="U221" i="1"/>
  <c r="C148" i="1"/>
  <c r="C186" i="1"/>
  <c r="C246" i="1" s="1"/>
  <c r="C263" i="1" s="1"/>
  <c r="O221" i="1"/>
  <c r="P221" i="1"/>
  <c r="Y222" i="1" l="1"/>
  <c r="X222" i="1"/>
  <c r="AA222" i="1"/>
  <c r="F265" i="1"/>
  <c r="F266" i="1"/>
  <c r="W222" i="1"/>
  <c r="C266" i="1"/>
  <c r="C265" i="1"/>
  <c r="AP122" i="1"/>
  <c r="AP123" i="1"/>
  <c r="AP150" i="1"/>
  <c r="AP127" i="1"/>
  <c r="AH127" i="1"/>
  <c r="AH123" i="1"/>
  <c r="C930" i="6" s="1"/>
  <c r="AH122" i="1"/>
  <c r="AH150" i="1"/>
  <c r="AH209" i="1" s="1"/>
  <c r="AH212" i="1" s="1"/>
  <c r="F222" i="1"/>
  <c r="S36" i="1"/>
  <c r="F19" i="1"/>
  <c r="AY81" i="1"/>
  <c r="Y81" i="1"/>
  <c r="AY87" i="1"/>
  <c r="AY140" i="1" s="1"/>
  <c r="AY196" i="1" s="1"/>
  <c r="AY265" i="1" s="1"/>
  <c r="Y87" i="1"/>
  <c r="Y140" i="1" s="1"/>
  <c r="Y196" i="1" s="1"/>
  <c r="AY141" i="1"/>
  <c r="AY197" i="1" s="1"/>
  <c r="AY266" i="1" s="1"/>
  <c r="AY138" i="1"/>
  <c r="AY194" i="1" s="1"/>
  <c r="AY186" i="1"/>
  <c r="AY148" i="1"/>
  <c r="AY136" i="1"/>
  <c r="AY133" i="1"/>
  <c r="AY189" i="1" s="1"/>
  <c r="AY132" i="1"/>
  <c r="AY188" i="1" s="1"/>
  <c r="AY135" i="1"/>
  <c r="D222" i="1"/>
  <c r="X81" i="1"/>
  <c r="X98" i="1" s="1"/>
  <c r="AY166" i="1"/>
  <c r="AY63" i="1"/>
  <c r="AY66" i="1" s="1"/>
  <c r="Z173" i="1"/>
  <c r="Z233" i="1" s="1"/>
  <c r="F36" i="1"/>
  <c r="Z65" i="1"/>
  <c r="Y171" i="1"/>
  <c r="Y231" i="1" s="1"/>
  <c r="Z34" i="1"/>
  <c r="Z18" i="1"/>
  <c r="AA82" i="1" s="1"/>
  <c r="E149" i="1"/>
  <c r="X87" i="1"/>
  <c r="X140" i="1" s="1"/>
  <c r="X196" i="1" s="1"/>
  <c r="Z175" i="1"/>
  <c r="Z235" i="1" s="1"/>
  <c r="U163" i="1"/>
  <c r="Y160" i="1"/>
  <c r="Y141" i="1"/>
  <c r="Y197" i="1" s="1"/>
  <c r="C1399" i="6"/>
  <c r="Y138" i="1"/>
  <c r="Y194" i="1" s="1"/>
  <c r="Y148" i="1"/>
  <c r="Y186" i="1"/>
  <c r="Y246" i="1" s="1"/>
  <c r="Y133" i="1"/>
  <c r="Y189" i="1" s="1"/>
  <c r="Y136" i="1"/>
  <c r="Y135" i="1"/>
  <c r="Y132" i="1"/>
  <c r="Y188" i="1" s="1"/>
  <c r="W21" i="1"/>
  <c r="W23" i="1" s="1"/>
  <c r="W25" i="1" s="1"/>
  <c r="W163" i="1"/>
  <c r="Z11" i="1"/>
  <c r="Z35" i="1"/>
  <c r="Z176" i="1"/>
  <c r="Z236" i="1" s="1"/>
  <c r="X166" i="1"/>
  <c r="X63" i="1"/>
  <c r="X66" i="1" s="1"/>
  <c r="E98" i="1"/>
  <c r="Z147" i="1"/>
  <c r="Z41" i="1"/>
  <c r="Z98" i="1"/>
  <c r="X170" i="1"/>
  <c r="X230" i="1" s="1"/>
  <c r="E160" i="1"/>
  <c r="V221" i="1"/>
  <c r="Z162" i="1"/>
  <c r="O36" i="1"/>
  <c r="C1450" i="6"/>
  <c r="X135" i="1"/>
  <c r="X133" i="1"/>
  <c r="X189" i="1" s="1"/>
  <c r="X132" i="1"/>
  <c r="X188" i="1" s="1"/>
  <c r="X186" i="1"/>
  <c r="X246" i="1" s="1"/>
  <c r="X136" i="1"/>
  <c r="X148" i="1"/>
  <c r="X207" i="1" s="1"/>
  <c r="X138" i="1"/>
  <c r="X194" i="1" s="1"/>
  <c r="X141" i="1"/>
  <c r="X197" i="1" s="1"/>
  <c r="W71" i="1"/>
  <c r="W72" i="1" s="1"/>
  <c r="T36" i="1"/>
  <c r="U36" i="1"/>
  <c r="T163" i="1"/>
  <c r="X160" i="1"/>
  <c r="G1500" i="6"/>
  <c r="D1500" i="6"/>
  <c r="E1495" i="6"/>
  <c r="E1497" i="6"/>
  <c r="P36" i="1"/>
  <c r="V14" i="4"/>
  <c r="V18" i="1"/>
  <c r="Q36" i="1"/>
  <c r="R14" i="4"/>
  <c r="R18" i="1"/>
  <c r="R21" i="1" s="1"/>
  <c r="D149" i="1"/>
  <c r="E207" i="1"/>
  <c r="F82" i="1"/>
  <c r="W36" i="1"/>
  <c r="W44" i="1"/>
  <c r="W46" i="1" s="1"/>
  <c r="AA47" i="1" s="1"/>
  <c r="F37" i="1"/>
  <c r="F149" i="1"/>
  <c r="F44" i="1"/>
  <c r="F46" i="1" s="1"/>
  <c r="W81" i="1"/>
  <c r="W41" i="1" s="1"/>
  <c r="P150" i="1"/>
  <c r="P123" i="1"/>
  <c r="P183" i="1" s="1"/>
  <c r="P122" i="1"/>
  <c r="Q150" i="1"/>
  <c r="Q123" i="1"/>
  <c r="Q183" i="1" s="1"/>
  <c r="Q122" i="1"/>
  <c r="O123" i="1"/>
  <c r="O183" i="1" s="1"/>
  <c r="O122" i="1"/>
  <c r="O150" i="1"/>
  <c r="F150" i="1"/>
  <c r="F122" i="1"/>
  <c r="F123" i="1"/>
  <c r="T150" i="1"/>
  <c r="T122" i="1"/>
  <c r="T132" i="1" s="1"/>
  <c r="T188" i="1" s="1"/>
  <c r="T123" i="1"/>
  <c r="T183" i="1" s="1"/>
  <c r="V150" i="1"/>
  <c r="V122" i="1"/>
  <c r="V135" i="1" s="1"/>
  <c r="V123" i="1"/>
  <c r="V183" i="1" s="1"/>
  <c r="E122" i="1"/>
  <c r="E123" i="1"/>
  <c r="E150" i="1"/>
  <c r="C123" i="1"/>
  <c r="C122" i="1"/>
  <c r="S150" i="1"/>
  <c r="S122" i="1"/>
  <c r="S132" i="1" s="1"/>
  <c r="S188" i="1" s="1"/>
  <c r="S123" i="1"/>
  <c r="S183" i="1" s="1"/>
  <c r="R150" i="1"/>
  <c r="R122" i="1"/>
  <c r="R135" i="1" s="1"/>
  <c r="R123" i="1"/>
  <c r="R183" i="1" s="1"/>
  <c r="D150" i="1"/>
  <c r="D122" i="1"/>
  <c r="D123" i="1"/>
  <c r="V175" i="1"/>
  <c r="V235" i="1" s="1"/>
  <c r="V174" i="1"/>
  <c r="V234" i="1" s="1"/>
  <c r="V170" i="1"/>
  <c r="V230" i="1" s="1"/>
  <c r="V171" i="1"/>
  <c r="V231" i="1" s="1"/>
  <c r="U186" i="1"/>
  <c r="U246" i="1" s="1"/>
  <c r="U148" i="1"/>
  <c r="U207" i="1" s="1"/>
  <c r="U141" i="1"/>
  <c r="U197" i="1" s="1"/>
  <c r="U138" i="1"/>
  <c r="U194" i="1" s="1"/>
  <c r="T138" i="1"/>
  <c r="T194" i="1" s="1"/>
  <c r="T148" i="1"/>
  <c r="T207" i="1" s="1"/>
  <c r="T141" i="1"/>
  <c r="T197" i="1" s="1"/>
  <c r="W138" i="1"/>
  <c r="W194" i="1" s="1"/>
  <c r="W148" i="1"/>
  <c r="W207" i="1" s="1"/>
  <c r="W141" i="1"/>
  <c r="W197" i="1" s="1"/>
  <c r="S186" i="1"/>
  <c r="S246" i="1" s="1"/>
  <c r="S148" i="1"/>
  <c r="S207" i="1" s="1"/>
  <c r="S141" i="1"/>
  <c r="S197" i="1" s="1"/>
  <c r="S138" i="1"/>
  <c r="S194" i="1" s="1"/>
  <c r="R186" i="1"/>
  <c r="R246" i="1" s="1"/>
  <c r="R140" i="1"/>
  <c r="R196" i="1" s="1"/>
  <c r="R138" i="1"/>
  <c r="R194" i="1" s="1"/>
  <c r="R148" i="1"/>
  <c r="R207" i="1" s="1"/>
  <c r="R141" i="1"/>
  <c r="R197" i="1" s="1"/>
  <c r="V148" i="1"/>
  <c r="V207" i="1" s="1"/>
  <c r="V141" i="1"/>
  <c r="V197" i="1" s="1"/>
  <c r="V138" i="1"/>
  <c r="V194" i="1" s="1"/>
  <c r="F98" i="1"/>
  <c r="E172" i="1"/>
  <c r="E232" i="1" s="1"/>
  <c r="E88" i="1"/>
  <c r="E36" i="1"/>
  <c r="E82" i="1"/>
  <c r="W107" i="1"/>
  <c r="W115" i="1"/>
  <c r="W117" i="1" s="1"/>
  <c r="D36" i="1"/>
  <c r="D82" i="1"/>
  <c r="F41" i="1"/>
  <c r="D41" i="1"/>
  <c r="E41" i="1"/>
  <c r="R210" i="1"/>
  <c r="W172" i="1"/>
  <c r="W232" i="1" s="1"/>
  <c r="V186" i="1"/>
  <c r="V246" i="1" s="1"/>
  <c r="W186" i="1"/>
  <c r="W246" i="1" s="1"/>
  <c r="W19" i="1"/>
  <c r="W87" i="1"/>
  <c r="W140" i="1" s="1"/>
  <c r="W196" i="1" s="1"/>
  <c r="W219" i="1"/>
  <c r="AA220" i="1" s="1"/>
  <c r="W160" i="1"/>
  <c r="W169" i="1"/>
  <c r="W229" i="1" s="1"/>
  <c r="W225" i="1"/>
  <c r="E71" i="1"/>
  <c r="E72" i="1" s="1"/>
  <c r="V162" i="1"/>
  <c r="O163" i="1"/>
  <c r="V87" i="1"/>
  <c r="V140" i="1" s="1"/>
  <c r="V196" i="1" s="1"/>
  <c r="R81" i="1"/>
  <c r="V210" i="1"/>
  <c r="Q163" i="1"/>
  <c r="C150" i="1"/>
  <c r="C127" i="1"/>
  <c r="E169" i="1"/>
  <c r="E229" i="1" s="1"/>
  <c r="P219" i="1"/>
  <c r="P223" i="1" s="1"/>
  <c r="T186" i="1"/>
  <c r="T246" i="1" s="1"/>
  <c r="T81" i="1"/>
  <c r="T147" i="1" s="1"/>
  <c r="S87" i="1"/>
  <c r="S140" i="1" s="1"/>
  <c r="S196" i="1" s="1"/>
  <c r="R159" i="1"/>
  <c r="T87" i="1"/>
  <c r="T140" i="1" s="1"/>
  <c r="T196" i="1" s="1"/>
  <c r="S81" i="1"/>
  <c r="S147" i="1" s="1"/>
  <c r="U81" i="1"/>
  <c r="R53" i="1"/>
  <c r="V173" i="1"/>
  <c r="V233" i="1" s="1"/>
  <c r="S225" i="1"/>
  <c r="S169" i="1"/>
  <c r="S229" i="1" s="1"/>
  <c r="C172" i="1"/>
  <c r="C232" i="1" s="1"/>
  <c r="C71" i="1"/>
  <c r="C72" i="1" s="1"/>
  <c r="C88" i="1"/>
  <c r="F207" i="1"/>
  <c r="Q172" i="1"/>
  <c r="Q232" i="1" s="1"/>
  <c r="Q71" i="1"/>
  <c r="Q72" i="1" s="1"/>
  <c r="T219" i="1"/>
  <c r="X220" i="1" s="1"/>
  <c r="T160" i="1"/>
  <c r="D219" i="1"/>
  <c r="D160" i="1"/>
  <c r="D163" i="1"/>
  <c r="V176" i="1"/>
  <c r="V236" i="1" s="1"/>
  <c r="U172" i="1"/>
  <c r="U232" i="1" s="1"/>
  <c r="U71" i="1"/>
  <c r="U72" i="1" s="1"/>
  <c r="U44" i="1"/>
  <c r="U46" i="1" s="1"/>
  <c r="U19" i="1"/>
  <c r="S19" i="1"/>
  <c r="S44" i="1"/>
  <c r="S46" i="1" s="1"/>
  <c r="P172" i="1"/>
  <c r="P232" i="1" s="1"/>
  <c r="P71" i="1"/>
  <c r="P72" i="1" s="1"/>
  <c r="C41" i="1"/>
  <c r="C147" i="1"/>
  <c r="C206" i="1" s="1"/>
  <c r="E127" i="1"/>
  <c r="U225" i="1"/>
  <c r="U169" i="1"/>
  <c r="U229" i="1" s="1"/>
  <c r="V166" i="1"/>
  <c r="V63" i="1"/>
  <c r="V66" i="1" s="1"/>
  <c r="U219" i="1"/>
  <c r="U160" i="1"/>
  <c r="O19" i="1"/>
  <c r="O44" i="1"/>
  <c r="O46" i="1" s="1"/>
  <c r="S219" i="1"/>
  <c r="S220" i="1" s="1"/>
  <c r="S160" i="1"/>
  <c r="S71" i="1"/>
  <c r="S72" i="1" s="1"/>
  <c r="S172" i="1"/>
  <c r="S232" i="1" s="1"/>
  <c r="T225" i="1"/>
  <c r="T169" i="1"/>
  <c r="T229" i="1" s="1"/>
  <c r="T107" i="1"/>
  <c r="U115" i="1"/>
  <c r="U117" i="1" s="1"/>
  <c r="D98" i="1"/>
  <c r="P225" i="1"/>
  <c r="P169" i="1"/>
  <c r="P229" i="1" s="1"/>
  <c r="E44" i="1"/>
  <c r="E46" i="1" s="1"/>
  <c r="E19" i="1"/>
  <c r="C82" i="1"/>
  <c r="C36" i="1"/>
  <c r="C19" i="1"/>
  <c r="C37" i="1" s="1"/>
  <c r="C44" i="1"/>
  <c r="C46" i="1" s="1"/>
  <c r="E219" i="1"/>
  <c r="E163" i="1"/>
  <c r="F206" i="1"/>
  <c r="C207" i="1"/>
  <c r="O223" i="1"/>
  <c r="D172" i="1"/>
  <c r="D232" i="1" s="1"/>
  <c r="D71" i="1"/>
  <c r="D72" i="1" s="1"/>
  <c r="T222" i="1"/>
  <c r="F160" i="1"/>
  <c r="F163" i="1"/>
  <c r="F219" i="1"/>
  <c r="G220" i="1" s="1"/>
  <c r="V159" i="1"/>
  <c r="Z160" i="1" s="1"/>
  <c r="V53" i="1"/>
  <c r="V11" i="1"/>
  <c r="C219" i="1"/>
  <c r="C163" i="1"/>
  <c r="F127" i="1"/>
  <c r="Q225" i="1"/>
  <c r="Q169" i="1"/>
  <c r="Q229" i="1" s="1"/>
  <c r="T44" i="1"/>
  <c r="T46" i="1" s="1"/>
  <c r="X47" i="1" s="1"/>
  <c r="T19" i="1"/>
  <c r="R170" i="1"/>
  <c r="R230" i="1" s="1"/>
  <c r="U87" i="1"/>
  <c r="U140" i="1" s="1"/>
  <c r="U196" i="1" s="1"/>
  <c r="T71" i="1"/>
  <c r="T72" i="1" s="1"/>
  <c r="T172" i="1"/>
  <c r="T232" i="1" s="1"/>
  <c r="R225" i="1"/>
  <c r="R169" i="1"/>
  <c r="R229" i="1" s="1"/>
  <c r="V81" i="1"/>
  <c r="O107" i="1"/>
  <c r="R221" i="1"/>
  <c r="F169" i="1"/>
  <c r="F229" i="1" s="1"/>
  <c r="P19" i="1"/>
  <c r="P44" i="1"/>
  <c r="P46" i="1" s="1"/>
  <c r="R63" i="1"/>
  <c r="R66" i="1" s="1"/>
  <c r="S88" i="1" s="1"/>
  <c r="F172" i="1"/>
  <c r="F232" i="1" s="1"/>
  <c r="F71" i="1"/>
  <c r="F72" i="1" s="1"/>
  <c r="Q223" i="1"/>
  <c r="U222" i="1"/>
  <c r="Q19" i="1"/>
  <c r="Q44" i="1"/>
  <c r="Q46" i="1" s="1"/>
  <c r="D19" i="1"/>
  <c r="D44" i="1"/>
  <c r="D46" i="1" s="1"/>
  <c r="D83" i="1" s="1"/>
  <c r="S222" i="1"/>
  <c r="O172" i="1"/>
  <c r="O232" i="1" s="1"/>
  <c r="O71" i="1"/>
  <c r="O72" i="1" s="1"/>
  <c r="D208" i="1"/>
  <c r="O225" i="1"/>
  <c r="O169" i="1"/>
  <c r="O229" i="1" s="1"/>
  <c r="D127" i="1"/>
  <c r="AT179" i="1" l="1"/>
  <c r="AT239" i="1" s="1"/>
  <c r="AT74" i="1"/>
  <c r="AT180" i="1" s="1"/>
  <c r="AT240" i="1" s="1"/>
  <c r="U265" i="1"/>
  <c r="U266" i="1"/>
  <c r="U263" i="1"/>
  <c r="S266" i="1"/>
  <c r="S265" i="1"/>
  <c r="S263" i="1"/>
  <c r="R266" i="1"/>
  <c r="R265" i="1"/>
  <c r="R263" i="1"/>
  <c r="Y266" i="1"/>
  <c r="Y263" i="1"/>
  <c r="Y260" i="1"/>
  <c r="Y257" i="1"/>
  <c r="Y258" i="1"/>
  <c r="Y261" i="1"/>
  <c r="W266" i="1"/>
  <c r="W265" i="1"/>
  <c r="W263" i="1"/>
  <c r="T265" i="1"/>
  <c r="T266" i="1"/>
  <c r="T263" i="1"/>
  <c r="X266" i="1"/>
  <c r="X265" i="1"/>
  <c r="X263" i="1"/>
  <c r="X258" i="1"/>
  <c r="X260" i="1"/>
  <c r="X261" i="1"/>
  <c r="X257" i="1"/>
  <c r="V265" i="1"/>
  <c r="V266" i="1"/>
  <c r="V263" i="1"/>
  <c r="Z82" i="1"/>
  <c r="C521" i="6"/>
  <c r="C490" i="6"/>
  <c r="AP209" i="1"/>
  <c r="AP212" i="1" s="1"/>
  <c r="D526" i="6"/>
  <c r="D527" i="6" s="1"/>
  <c r="Z222" i="1"/>
  <c r="AP183" i="1"/>
  <c r="AP243" i="1" s="1"/>
  <c r="AP133" i="1"/>
  <c r="AP189" i="1" s="1"/>
  <c r="AP136" i="1"/>
  <c r="AP179" i="1"/>
  <c r="AP239" i="1" s="1"/>
  <c r="AP180" i="1"/>
  <c r="AP240" i="1" s="1"/>
  <c r="AP135" i="1"/>
  <c r="AP132" i="1"/>
  <c r="AP188" i="1" s="1"/>
  <c r="AP152" i="1"/>
  <c r="AP211" i="1" s="1"/>
  <c r="AP213" i="1" s="1"/>
  <c r="AP143" i="1"/>
  <c r="AP199" i="1" s="1"/>
  <c r="AP184" i="1"/>
  <c r="AP244" i="1" s="1"/>
  <c r="R37" i="1"/>
  <c r="R23" i="1"/>
  <c r="R25" i="1" s="1"/>
  <c r="W177" i="1"/>
  <c r="W237" i="1" s="1"/>
  <c r="V222" i="1"/>
  <c r="AH135" i="1"/>
  <c r="AH132" i="1"/>
  <c r="AH188" i="1" s="1"/>
  <c r="AH152" i="1"/>
  <c r="AH211" i="1" s="1"/>
  <c r="AH213" i="1" s="1"/>
  <c r="AH184" i="1"/>
  <c r="AH244" i="1" s="1"/>
  <c r="AH143" i="1"/>
  <c r="AH199" i="1" s="1"/>
  <c r="AH179" i="1"/>
  <c r="AH239" i="1" s="1"/>
  <c r="AH74" i="1"/>
  <c r="AH180" i="1" s="1"/>
  <c r="AH240" i="1" s="1"/>
  <c r="AH183" i="1"/>
  <c r="AH243" i="1" s="1"/>
  <c r="AH133" i="1"/>
  <c r="AH189" i="1" s="1"/>
  <c r="AH136" i="1"/>
  <c r="X147" i="1"/>
  <c r="X206" i="1" s="1"/>
  <c r="X208" i="1" s="1"/>
  <c r="X41" i="1"/>
  <c r="V88" i="1"/>
  <c r="AY88" i="1"/>
  <c r="AY47" i="1"/>
  <c r="Y47" i="1"/>
  <c r="Y82" i="1"/>
  <c r="AY82" i="1"/>
  <c r="AB82" i="1"/>
  <c r="AC82" i="1"/>
  <c r="Z171" i="1"/>
  <c r="Z231" i="1" s="1"/>
  <c r="AY192" i="1"/>
  <c r="AY153" i="1"/>
  <c r="AY226" i="1"/>
  <c r="AY169" i="1"/>
  <c r="AY229" i="1" s="1"/>
  <c r="AY246" i="1"/>
  <c r="AY71" i="1"/>
  <c r="AY172" i="1"/>
  <c r="AY232" i="1" s="1"/>
  <c r="AY154" i="1"/>
  <c r="AY191" i="1"/>
  <c r="AY207" i="1"/>
  <c r="AY41" i="1"/>
  <c r="AY147" i="1"/>
  <c r="AY206" i="1" s="1"/>
  <c r="AY98" i="1"/>
  <c r="Y191" i="1"/>
  <c r="Y154" i="1"/>
  <c r="Z64" i="1"/>
  <c r="Y170" i="1"/>
  <c r="Y230" i="1" s="1"/>
  <c r="Y153" i="1"/>
  <c r="Y192" i="1"/>
  <c r="U220" i="1"/>
  <c r="Y220" i="1"/>
  <c r="Z36" i="1"/>
  <c r="Z19" i="1"/>
  <c r="Z44" i="1"/>
  <c r="Z46" i="1" s="1"/>
  <c r="Z21" i="1"/>
  <c r="Z23" i="1" s="1"/>
  <c r="Z25" i="1" s="1"/>
  <c r="Z206" i="1"/>
  <c r="Z208" i="1" s="1"/>
  <c r="Z149" i="1"/>
  <c r="D1399" i="6"/>
  <c r="E1394" i="6"/>
  <c r="E1396" i="6"/>
  <c r="Y41" i="1"/>
  <c r="Y147" i="1"/>
  <c r="Y206" i="1" s="1"/>
  <c r="Y98" i="1"/>
  <c r="Y207" i="1"/>
  <c r="F83" i="1"/>
  <c r="G47" i="1"/>
  <c r="X71" i="1"/>
  <c r="X72" i="1" s="1"/>
  <c r="X172" i="1"/>
  <c r="X232" i="1" s="1"/>
  <c r="X226" i="1"/>
  <c r="X169" i="1"/>
  <c r="X229" i="1" s="1"/>
  <c r="Z60" i="1"/>
  <c r="Y166" i="1"/>
  <c r="Y66" i="1"/>
  <c r="V41" i="1"/>
  <c r="E220" i="1"/>
  <c r="W74" i="1"/>
  <c r="X88" i="1"/>
  <c r="X213" i="1"/>
  <c r="X212" i="1"/>
  <c r="X192" i="1"/>
  <c r="X153" i="1"/>
  <c r="X154" i="1"/>
  <c r="X191" i="1"/>
  <c r="D1450" i="6"/>
  <c r="E1445" i="6"/>
  <c r="E1447" i="6"/>
  <c r="R36" i="1"/>
  <c r="V21" i="1"/>
  <c r="V23" i="1" s="1"/>
  <c r="V25" i="1" s="1"/>
  <c r="X82" i="1"/>
  <c r="F1495" i="6"/>
  <c r="F1497" i="6"/>
  <c r="H1500" i="6"/>
  <c r="I1495" i="6"/>
  <c r="I1497" i="6"/>
  <c r="R44" i="1"/>
  <c r="R46" i="1" s="1"/>
  <c r="R83" i="1" s="1"/>
  <c r="U82" i="1"/>
  <c r="R19" i="1"/>
  <c r="T82" i="1"/>
  <c r="E177" i="1"/>
  <c r="E237" i="1" s="1"/>
  <c r="F38" i="1"/>
  <c r="F86" i="1"/>
  <c r="W38" i="1"/>
  <c r="W37" i="1"/>
  <c r="W98" i="1"/>
  <c r="S82" i="1"/>
  <c r="F48" i="1"/>
  <c r="F50" i="1"/>
  <c r="W50" i="1"/>
  <c r="W47" i="1"/>
  <c r="W48" i="1"/>
  <c r="W147" i="1"/>
  <c r="W206" i="1" s="1"/>
  <c r="W208" i="1" s="1"/>
  <c r="R82" i="1"/>
  <c r="T135" i="1"/>
  <c r="T154" i="1" s="1"/>
  <c r="T136" i="1"/>
  <c r="T192" i="1" s="1"/>
  <c r="O152" i="1"/>
  <c r="O184" i="1"/>
  <c r="Q184" i="1"/>
  <c r="Q152" i="1"/>
  <c r="P152" i="1"/>
  <c r="P184" i="1"/>
  <c r="R136" i="1"/>
  <c r="R153" i="1" s="1"/>
  <c r="C183" i="1"/>
  <c r="C243" i="1" s="1"/>
  <c r="C136" i="1"/>
  <c r="C133" i="1"/>
  <c r="C189" i="1" s="1"/>
  <c r="S133" i="1"/>
  <c r="S189" i="1" s="1"/>
  <c r="V133" i="1"/>
  <c r="V189" i="1" s="1"/>
  <c r="V184" i="1"/>
  <c r="V143" i="1"/>
  <c r="V199" i="1" s="1"/>
  <c r="V152" i="1"/>
  <c r="V132" i="1"/>
  <c r="V188" i="1" s="1"/>
  <c r="S136" i="1"/>
  <c r="S192" i="1" s="1"/>
  <c r="T133" i="1"/>
  <c r="T189" i="1" s="1"/>
  <c r="R152" i="1"/>
  <c r="R184" i="1"/>
  <c r="R143" i="1"/>
  <c r="R199" i="1" s="1"/>
  <c r="R132" i="1"/>
  <c r="R188" i="1" s="1"/>
  <c r="S135" i="1"/>
  <c r="S191" i="1" s="1"/>
  <c r="C143" i="1"/>
  <c r="C199" i="1" s="1"/>
  <c r="C132" i="1"/>
  <c r="C188" i="1" s="1"/>
  <c r="C184" i="1"/>
  <c r="C244" i="1" s="1"/>
  <c r="C152" i="1"/>
  <c r="C211" i="1" s="1"/>
  <c r="C213" i="1" s="1"/>
  <c r="C135" i="1"/>
  <c r="T152" i="1"/>
  <c r="T184" i="1"/>
  <c r="T143" i="1"/>
  <c r="T199" i="1" s="1"/>
  <c r="S152" i="1"/>
  <c r="S184" i="1"/>
  <c r="S143" i="1"/>
  <c r="S199" i="1" s="1"/>
  <c r="V136" i="1"/>
  <c r="V192" i="1" s="1"/>
  <c r="E184" i="1"/>
  <c r="E244" i="1" s="1"/>
  <c r="E152" i="1"/>
  <c r="E143" i="1"/>
  <c r="E199" i="1" s="1"/>
  <c r="E132" i="1"/>
  <c r="E188" i="1" s="1"/>
  <c r="E135" i="1"/>
  <c r="D136" i="1"/>
  <c r="D183" i="1"/>
  <c r="D243" i="1" s="1"/>
  <c r="D133" i="1"/>
  <c r="D189" i="1" s="1"/>
  <c r="F183" i="1"/>
  <c r="F243" i="1" s="1"/>
  <c r="F133" i="1"/>
  <c r="F189" i="1" s="1"/>
  <c r="F136" i="1"/>
  <c r="U150" i="1"/>
  <c r="U123" i="1"/>
  <c r="U122" i="1"/>
  <c r="E136" i="1"/>
  <c r="E183" i="1"/>
  <c r="E243" i="1" s="1"/>
  <c r="E133" i="1"/>
  <c r="E189" i="1" s="1"/>
  <c r="W127" i="1"/>
  <c r="D143" i="1"/>
  <c r="D199" i="1" s="1"/>
  <c r="D152" i="1"/>
  <c r="D184" i="1"/>
  <c r="D244" i="1" s="1"/>
  <c r="D132" i="1"/>
  <c r="D188" i="1" s="1"/>
  <c r="D135" i="1"/>
  <c r="F184" i="1"/>
  <c r="F244" i="1" s="1"/>
  <c r="F143" i="1"/>
  <c r="F199" i="1" s="1"/>
  <c r="F152" i="1"/>
  <c r="F135" i="1"/>
  <c r="F132" i="1"/>
  <c r="F188" i="1" s="1"/>
  <c r="R133" i="1"/>
  <c r="R189" i="1" s="1"/>
  <c r="S149" i="1"/>
  <c r="T149" i="1"/>
  <c r="R154" i="1"/>
  <c r="R191" i="1"/>
  <c r="V191" i="1"/>
  <c r="V154" i="1"/>
  <c r="U41" i="1"/>
  <c r="U147" i="1"/>
  <c r="U149" i="1" s="1"/>
  <c r="V147" i="1"/>
  <c r="V149" i="1" s="1"/>
  <c r="R147" i="1"/>
  <c r="R149" i="1" s="1"/>
  <c r="E47" i="1"/>
  <c r="E83" i="1"/>
  <c r="S37" i="1"/>
  <c r="S38" i="1"/>
  <c r="U47" i="1"/>
  <c r="V82" i="1"/>
  <c r="V36" i="1"/>
  <c r="R38" i="1"/>
  <c r="T98" i="1"/>
  <c r="T41" i="1"/>
  <c r="D37" i="1"/>
  <c r="D38" i="1"/>
  <c r="T37" i="1"/>
  <c r="T38" i="1"/>
  <c r="Q37" i="1"/>
  <c r="Q38" i="1"/>
  <c r="F47" i="1"/>
  <c r="O37" i="1"/>
  <c r="O38" i="1"/>
  <c r="P37" i="1"/>
  <c r="P38" i="1"/>
  <c r="T47" i="1"/>
  <c r="S98" i="1"/>
  <c r="S41" i="1"/>
  <c r="R41" i="1"/>
  <c r="U37" i="1"/>
  <c r="U38" i="1"/>
  <c r="E37" i="1"/>
  <c r="E38" i="1"/>
  <c r="W88" i="1"/>
  <c r="W82" i="1"/>
  <c r="W179" i="1"/>
  <c r="W239" i="1" s="1"/>
  <c r="W220" i="1"/>
  <c r="W223" i="1"/>
  <c r="S206" i="1"/>
  <c r="S208" i="1" s="1"/>
  <c r="U223" i="1"/>
  <c r="E74" i="1"/>
  <c r="R98" i="1"/>
  <c r="C149" i="1"/>
  <c r="R163" i="1"/>
  <c r="R219" i="1"/>
  <c r="R223" i="1" s="1"/>
  <c r="T220" i="1"/>
  <c r="C209" i="1"/>
  <c r="C212" i="1" s="1"/>
  <c r="C208" i="1"/>
  <c r="T206" i="1"/>
  <c r="T208" i="1" s="1"/>
  <c r="U98" i="1"/>
  <c r="S223" i="1"/>
  <c r="C223" i="1"/>
  <c r="V219" i="1"/>
  <c r="Z220" i="1" s="1"/>
  <c r="V160" i="1"/>
  <c r="V163" i="1"/>
  <c r="D177" i="1"/>
  <c r="D237" i="1" s="1"/>
  <c r="D74" i="1"/>
  <c r="D75" i="1" s="1"/>
  <c r="Q48" i="1"/>
  <c r="Q50" i="1"/>
  <c r="P48" i="1"/>
  <c r="P50" i="1"/>
  <c r="T48" i="1"/>
  <c r="T50" i="1"/>
  <c r="E50" i="1"/>
  <c r="E48" i="1"/>
  <c r="P107" i="1"/>
  <c r="E206" i="1"/>
  <c r="E208" i="1" s="1"/>
  <c r="T30" i="1"/>
  <c r="F220" i="1"/>
  <c r="F223" i="1"/>
  <c r="S177" i="1"/>
  <c r="S237" i="1" s="1"/>
  <c r="S74" i="1"/>
  <c r="S180" i="1" s="1"/>
  <c r="S240" i="1" s="1"/>
  <c r="U177" i="1"/>
  <c r="U237" i="1" s="1"/>
  <c r="U74" i="1"/>
  <c r="U180" i="1" s="1"/>
  <c r="U240" i="1" s="1"/>
  <c r="V98" i="1"/>
  <c r="C38" i="1"/>
  <c r="R127" i="1"/>
  <c r="R243" i="1"/>
  <c r="V44" i="1"/>
  <c r="V46" i="1" s="1"/>
  <c r="V19" i="1"/>
  <c r="C83" i="1"/>
  <c r="C48" i="1"/>
  <c r="C50" i="1"/>
  <c r="P177" i="1"/>
  <c r="P237" i="1" s="1"/>
  <c r="U88" i="1"/>
  <c r="R71" i="1"/>
  <c r="R172" i="1"/>
  <c r="R232" i="1" s="1"/>
  <c r="V172" i="1"/>
  <c r="V232" i="1" s="1"/>
  <c r="V71" i="1"/>
  <c r="E86" i="1"/>
  <c r="O74" i="1"/>
  <c r="O177" i="1"/>
  <c r="O237" i="1" s="1"/>
  <c r="R88" i="1"/>
  <c r="T223" i="1"/>
  <c r="E223" i="1"/>
  <c r="V226" i="1"/>
  <c r="V169" i="1"/>
  <c r="V229" i="1" s="1"/>
  <c r="F208" i="1"/>
  <c r="F177" i="1"/>
  <c r="F237" i="1" s="1"/>
  <c r="F209" i="1"/>
  <c r="F212" i="1" s="1"/>
  <c r="D220" i="1"/>
  <c r="D223" i="1"/>
  <c r="E209" i="1"/>
  <c r="E212" i="1" s="1"/>
  <c r="D86" i="1"/>
  <c r="D47" i="1"/>
  <c r="D48" i="1"/>
  <c r="D50" i="1"/>
  <c r="T177" i="1"/>
  <c r="T237" i="1" s="1"/>
  <c r="S243" i="1"/>
  <c r="S127" i="1"/>
  <c r="S47" i="1"/>
  <c r="S50" i="1"/>
  <c r="S48" i="1"/>
  <c r="Q177" i="1"/>
  <c r="Q237" i="1" s="1"/>
  <c r="Q74" i="1"/>
  <c r="Q180" i="1" s="1"/>
  <c r="Q240" i="1" s="1"/>
  <c r="D209" i="1"/>
  <c r="D212" i="1" s="1"/>
  <c r="O48" i="1"/>
  <c r="O50" i="1"/>
  <c r="T88" i="1"/>
  <c r="C177" i="1"/>
  <c r="C237" i="1" s="1"/>
  <c r="U107" i="1"/>
  <c r="V243" i="1"/>
  <c r="V127" i="1"/>
  <c r="U48" i="1"/>
  <c r="U50" i="1"/>
  <c r="V261" i="1" l="1"/>
  <c r="V258" i="1"/>
  <c r="AH258" i="1"/>
  <c r="AH261" i="1"/>
  <c r="Y265" i="1"/>
  <c r="R258" i="1"/>
  <c r="R261" i="1"/>
  <c r="AH257" i="1"/>
  <c r="AH260" i="1"/>
  <c r="AP260" i="1"/>
  <c r="AP257" i="1"/>
  <c r="S258" i="1"/>
  <c r="S261" i="1"/>
  <c r="AP258" i="1"/>
  <c r="AP261" i="1"/>
  <c r="F260" i="1"/>
  <c r="F257" i="1"/>
  <c r="F268" i="1"/>
  <c r="E261" i="1"/>
  <c r="E258" i="1"/>
  <c r="AH268" i="1"/>
  <c r="AP268" i="1"/>
  <c r="C260" i="1"/>
  <c r="C257" i="1"/>
  <c r="C268" i="1"/>
  <c r="D261" i="1"/>
  <c r="D258" i="1"/>
  <c r="C261" i="1"/>
  <c r="C258" i="1"/>
  <c r="D260" i="1"/>
  <c r="D257" i="1"/>
  <c r="D268" i="1"/>
  <c r="D537" i="6"/>
  <c r="D520" i="6"/>
  <c r="F261" i="1"/>
  <c r="F258" i="1"/>
  <c r="E260" i="1"/>
  <c r="E257" i="1"/>
  <c r="E268" i="1"/>
  <c r="AP192" i="1"/>
  <c r="AP153" i="1"/>
  <c r="AP154" i="1"/>
  <c r="AP191" i="1"/>
  <c r="X149" i="1"/>
  <c r="AD47" i="1"/>
  <c r="AA83" i="1"/>
  <c r="R48" i="1"/>
  <c r="Z87" i="1"/>
  <c r="Z140" i="1" s="1"/>
  <c r="Z196" i="1" s="1"/>
  <c r="AA87" i="1"/>
  <c r="AA140" i="1" s="1"/>
  <c r="AA196" i="1" s="1"/>
  <c r="AH153" i="1"/>
  <c r="AH192" i="1"/>
  <c r="AH154" i="1"/>
  <c r="AH191" i="1"/>
  <c r="Z83" i="1"/>
  <c r="AY83" i="1"/>
  <c r="Y83" i="1"/>
  <c r="AY258" i="1"/>
  <c r="AY260" i="1"/>
  <c r="AY261" i="1"/>
  <c r="AY257" i="1"/>
  <c r="AC87" i="1"/>
  <c r="AY149" i="1"/>
  <c r="AB83" i="1"/>
  <c r="AC83" i="1"/>
  <c r="AY212" i="1"/>
  <c r="AY213" i="1"/>
  <c r="AY208" i="1"/>
  <c r="AY263" i="1"/>
  <c r="AY177" i="1"/>
  <c r="AY237" i="1" s="1"/>
  <c r="AY72" i="1"/>
  <c r="AY179" i="1" s="1"/>
  <c r="AY239" i="1" s="1"/>
  <c r="Y88" i="1"/>
  <c r="Y149" i="1"/>
  <c r="AB87" i="1"/>
  <c r="W26" i="1"/>
  <c r="S83" i="1"/>
  <c r="X177" i="1"/>
  <c r="X237" i="1" s="1"/>
  <c r="X74" i="1"/>
  <c r="X180" i="1" s="1"/>
  <c r="X240" i="1" s="1"/>
  <c r="F1394" i="6"/>
  <c r="F1396" i="6"/>
  <c r="Y226" i="1"/>
  <c r="Y169" i="1"/>
  <c r="Y229" i="1" s="1"/>
  <c r="Y212" i="1"/>
  <c r="Y213" i="1"/>
  <c r="Y208" i="1"/>
  <c r="Z38" i="1"/>
  <c r="Z37" i="1"/>
  <c r="Y172" i="1"/>
  <c r="Y232" i="1" s="1"/>
  <c r="Y71" i="1"/>
  <c r="Z166" i="1"/>
  <c r="Z63" i="1"/>
  <c r="Z66" i="1" s="1"/>
  <c r="Z88" i="1" s="1"/>
  <c r="Z47" i="1"/>
  <c r="Z48" i="1"/>
  <c r="Z50" i="1"/>
  <c r="Z170" i="1"/>
  <c r="Z230" i="1" s="1"/>
  <c r="AC265" i="1" s="1"/>
  <c r="X83" i="1"/>
  <c r="U83" i="1"/>
  <c r="R50" i="1"/>
  <c r="F26" i="1"/>
  <c r="O180" i="1"/>
  <c r="O240" i="1" s="1"/>
  <c r="O75" i="1"/>
  <c r="O77" i="1" s="1"/>
  <c r="F1445" i="6"/>
  <c r="F1447" i="6"/>
  <c r="T83" i="1"/>
  <c r="F30" i="1"/>
  <c r="W149" i="1"/>
  <c r="E75" i="1"/>
  <c r="S75" i="1" s="1"/>
  <c r="J1495" i="6"/>
  <c r="J1497" i="6"/>
  <c r="D180" i="1"/>
  <c r="D240" i="1" s="1"/>
  <c r="T191" i="1"/>
  <c r="R192" i="1"/>
  <c r="T153" i="1"/>
  <c r="S153" i="1"/>
  <c r="V153" i="1"/>
  <c r="D154" i="1"/>
  <c r="D191" i="1"/>
  <c r="S154" i="1"/>
  <c r="F154" i="1"/>
  <c r="F191" i="1"/>
  <c r="E191" i="1"/>
  <c r="E154" i="1"/>
  <c r="E192" i="1"/>
  <c r="E153" i="1"/>
  <c r="D192" i="1"/>
  <c r="D153" i="1"/>
  <c r="U184" i="1"/>
  <c r="U143" i="1"/>
  <c r="U199" i="1" s="1"/>
  <c r="U152" i="1"/>
  <c r="U135" i="1"/>
  <c r="U132" i="1"/>
  <c r="U188" i="1" s="1"/>
  <c r="C192" i="1"/>
  <c r="C153" i="1"/>
  <c r="F192" i="1"/>
  <c r="F153" i="1"/>
  <c r="U183" i="1"/>
  <c r="U133" i="1"/>
  <c r="U189" i="1" s="1"/>
  <c r="U136" i="1"/>
  <c r="C191" i="1"/>
  <c r="C154" i="1"/>
  <c r="W150" i="1"/>
  <c r="W209" i="1" s="1"/>
  <c r="W212" i="1" s="1"/>
  <c r="W122" i="1"/>
  <c r="W123" i="1"/>
  <c r="C1501" i="6" s="1"/>
  <c r="V206" i="1"/>
  <c r="V208" i="1" s="1"/>
  <c r="R206" i="1"/>
  <c r="R208" i="1" s="1"/>
  <c r="W30" i="1"/>
  <c r="V83" i="1"/>
  <c r="V47" i="1"/>
  <c r="V37" i="1"/>
  <c r="V38" i="1"/>
  <c r="E26" i="1"/>
  <c r="E30" i="1"/>
  <c r="S26" i="1"/>
  <c r="S30" i="1"/>
  <c r="T26" i="1"/>
  <c r="O30" i="1"/>
  <c r="O26" i="1"/>
  <c r="R26" i="1"/>
  <c r="R30" i="1"/>
  <c r="Q26" i="1"/>
  <c r="Q30" i="1"/>
  <c r="D30" i="1"/>
  <c r="D26" i="1"/>
  <c r="P26" i="1"/>
  <c r="P30" i="1"/>
  <c r="C30" i="1"/>
  <c r="C26" i="1"/>
  <c r="U26" i="1"/>
  <c r="U30" i="1"/>
  <c r="E179" i="1"/>
  <c r="E239" i="1" s="1"/>
  <c r="W83" i="1"/>
  <c r="W180" i="1"/>
  <c r="W240" i="1" s="1"/>
  <c r="T127" i="1"/>
  <c r="T243" i="1"/>
  <c r="T209" i="1"/>
  <c r="T212" i="1" s="1"/>
  <c r="R72" i="1"/>
  <c r="R179" i="1" s="1"/>
  <c r="R239" i="1" s="1"/>
  <c r="U206" i="1"/>
  <c r="U208" i="1" s="1"/>
  <c r="P74" i="1"/>
  <c r="P180" i="1" s="1"/>
  <c r="P240" i="1" s="1"/>
  <c r="R86" i="1"/>
  <c r="D211" i="1"/>
  <c r="D213" i="1" s="1"/>
  <c r="R209" i="1"/>
  <c r="R212" i="1" s="1"/>
  <c r="R211" i="1"/>
  <c r="R213" i="1" s="1"/>
  <c r="O127" i="1"/>
  <c r="O243" i="1"/>
  <c r="V220" i="1"/>
  <c r="V223" i="1"/>
  <c r="R177" i="1"/>
  <c r="R237" i="1" s="1"/>
  <c r="R244" i="1"/>
  <c r="V177" i="1"/>
  <c r="V237" i="1" s="1"/>
  <c r="C86" i="1"/>
  <c r="S86" i="1"/>
  <c r="T179" i="1"/>
  <c r="T239" i="1" s="1"/>
  <c r="C179" i="1"/>
  <c r="C239" i="1" s="1"/>
  <c r="F179" i="1"/>
  <c r="F239" i="1" s="1"/>
  <c r="V72" i="1"/>
  <c r="Q107" i="1"/>
  <c r="S209" i="1"/>
  <c r="S212" i="1" s="1"/>
  <c r="S211" i="1"/>
  <c r="S213" i="1" s="1"/>
  <c r="O179" i="1"/>
  <c r="O239" i="1" s="1"/>
  <c r="Q179" i="1"/>
  <c r="Q239" i="1" s="1"/>
  <c r="T74" i="1"/>
  <c r="T180" i="1" s="1"/>
  <c r="T240" i="1" s="1"/>
  <c r="C74" i="1"/>
  <c r="U86" i="1"/>
  <c r="V48" i="1"/>
  <c r="V50" i="1"/>
  <c r="V244" i="1"/>
  <c r="P179" i="1"/>
  <c r="P239" i="1" s="1"/>
  <c r="E180" i="1"/>
  <c r="E240" i="1" s="1"/>
  <c r="S244" i="1"/>
  <c r="U179" i="1"/>
  <c r="U239" i="1" s="1"/>
  <c r="S179" i="1"/>
  <c r="S239" i="1" s="1"/>
  <c r="E211" i="1"/>
  <c r="E213" i="1" s="1"/>
  <c r="T86" i="1"/>
  <c r="F74" i="1"/>
  <c r="V209" i="1"/>
  <c r="V212" i="1" s="1"/>
  <c r="V211" i="1"/>
  <c r="V213" i="1" s="1"/>
  <c r="F211" i="1"/>
  <c r="F213" i="1" s="1"/>
  <c r="D179" i="1"/>
  <c r="D239" i="1" s="1"/>
  <c r="Z265" i="1" l="1"/>
  <c r="AA265" i="1"/>
  <c r="AB265" i="1"/>
  <c r="V257" i="1"/>
  <c r="V260" i="1"/>
  <c r="R260" i="1"/>
  <c r="R257" i="1"/>
  <c r="S257" i="1"/>
  <c r="S260" i="1"/>
  <c r="T258" i="1"/>
  <c r="T261" i="1"/>
  <c r="F515" i="6"/>
  <c r="F517" i="6"/>
  <c r="V268" i="1"/>
  <c r="R268" i="1"/>
  <c r="S268" i="1"/>
  <c r="AC86" i="1"/>
  <c r="AA86" i="1"/>
  <c r="AA88" i="1"/>
  <c r="AB88" i="1"/>
  <c r="AC88" i="1"/>
  <c r="AC140" i="1"/>
  <c r="AC196" i="1" s="1"/>
  <c r="Y86" i="1"/>
  <c r="AY86" i="1"/>
  <c r="AY74" i="1"/>
  <c r="AB140" i="1"/>
  <c r="AB196" i="1" s="1"/>
  <c r="Z86" i="1"/>
  <c r="AB86" i="1"/>
  <c r="Z226" i="1"/>
  <c r="Z169" i="1"/>
  <c r="Z229" i="1" s="1"/>
  <c r="X179" i="1"/>
  <c r="X239" i="1" s="1"/>
  <c r="Z71" i="1"/>
  <c r="Z172" i="1"/>
  <c r="Z232" i="1" s="1"/>
  <c r="Y72" i="1"/>
  <c r="Y177" i="1"/>
  <c r="Y237" i="1" s="1"/>
  <c r="Z26" i="1"/>
  <c r="Z30" i="1"/>
  <c r="X86" i="1"/>
  <c r="V30" i="1"/>
  <c r="F75" i="1"/>
  <c r="F180" i="1"/>
  <c r="F240" i="1" s="1"/>
  <c r="U191" i="1"/>
  <c r="U154" i="1"/>
  <c r="W183" i="1"/>
  <c r="W243" i="1" s="1"/>
  <c r="W136" i="1"/>
  <c r="W133" i="1"/>
  <c r="W189" i="1" s="1"/>
  <c r="U153" i="1"/>
  <c r="U192" i="1"/>
  <c r="W152" i="1"/>
  <c r="W211" i="1" s="1"/>
  <c r="W213" i="1" s="1"/>
  <c r="W184" i="1"/>
  <c r="W244" i="1" s="1"/>
  <c r="W143" i="1"/>
  <c r="W199" i="1" s="1"/>
  <c r="W132" i="1"/>
  <c r="W188" i="1" s="1"/>
  <c r="W135" i="1"/>
  <c r="V179" i="1"/>
  <c r="V239" i="1" s="1"/>
  <c r="V26" i="1"/>
  <c r="W86" i="1"/>
  <c r="T211" i="1"/>
  <c r="T213" i="1" s="1"/>
  <c r="T244" i="1"/>
  <c r="R74" i="1"/>
  <c r="R180" i="1" s="1"/>
  <c r="R240" i="1" s="1"/>
  <c r="V74" i="1"/>
  <c r="V180" i="1" s="1"/>
  <c r="V240" i="1" s="1"/>
  <c r="U243" i="1"/>
  <c r="U127" i="1"/>
  <c r="P127" i="1"/>
  <c r="P243" i="1"/>
  <c r="O209" i="1"/>
  <c r="O211" i="1"/>
  <c r="C180" i="1"/>
  <c r="C240" i="1" s="1"/>
  <c r="O244" i="1"/>
  <c r="V86" i="1"/>
  <c r="T257" i="1" l="1"/>
  <c r="T260" i="1"/>
  <c r="W257" i="1"/>
  <c r="W260" i="1"/>
  <c r="U261" i="1"/>
  <c r="U258" i="1"/>
  <c r="W258" i="1"/>
  <c r="W261" i="1"/>
  <c r="W268" i="1"/>
  <c r="T268" i="1"/>
  <c r="AY180" i="1"/>
  <c r="AY240" i="1" s="1"/>
  <c r="Z72" i="1"/>
  <c r="Y179" i="1"/>
  <c r="Y239" i="1" s="1"/>
  <c r="Z177" i="1"/>
  <c r="Z237" i="1" s="1"/>
  <c r="W75" i="1"/>
  <c r="G75" i="1"/>
  <c r="H75" i="1" s="1"/>
  <c r="I75" i="1" s="1"/>
  <c r="Y74" i="1"/>
  <c r="E77" i="1"/>
  <c r="E181" i="1"/>
  <c r="E241" i="1" s="1"/>
  <c r="W191" i="1"/>
  <c r="W154" i="1"/>
  <c r="W153" i="1"/>
  <c r="W192" i="1"/>
  <c r="D181" i="1"/>
  <c r="D241" i="1" s="1"/>
  <c r="D77" i="1"/>
  <c r="C181" i="1"/>
  <c r="C241" i="1" s="1"/>
  <c r="C77" i="1"/>
  <c r="P75" i="1"/>
  <c r="O181" i="1"/>
  <c r="O241" i="1" s="1"/>
  <c r="U244" i="1"/>
  <c r="P209" i="1"/>
  <c r="P211" i="1"/>
  <c r="U209" i="1"/>
  <c r="U212" i="1" s="1"/>
  <c r="U211" i="1"/>
  <c r="U213" i="1" s="1"/>
  <c r="P244" i="1"/>
  <c r="Q243" i="1"/>
  <c r="Q127" i="1"/>
  <c r="J75" i="1" l="1"/>
  <c r="I77" i="1"/>
  <c r="U257" i="1"/>
  <c r="U260" i="1"/>
  <c r="U268" i="1"/>
  <c r="J181" i="1"/>
  <c r="J241" i="1" s="1"/>
  <c r="I181" i="1"/>
  <c r="I241" i="1" s="1"/>
  <c r="H77" i="1"/>
  <c r="H181" i="1"/>
  <c r="H241" i="1" s="1"/>
  <c r="Z179" i="1"/>
  <c r="Z239" i="1" s="1"/>
  <c r="Z74" i="1"/>
  <c r="Z180" i="1" s="1"/>
  <c r="Z240" i="1" s="1"/>
  <c r="Y180" i="1"/>
  <c r="Y240" i="1" s="1"/>
  <c r="G181" i="1"/>
  <c r="G241" i="1" s="1"/>
  <c r="G77" i="1"/>
  <c r="X75" i="1"/>
  <c r="AY75" i="1" s="1"/>
  <c r="P77" i="1"/>
  <c r="Q75" i="1"/>
  <c r="R75" i="1" s="1"/>
  <c r="R77" i="1" s="1"/>
  <c r="S77" i="1"/>
  <c r="F181" i="1"/>
  <c r="F241" i="1" s="1"/>
  <c r="F77" i="1"/>
  <c r="Q244" i="1"/>
  <c r="Q209" i="1"/>
  <c r="Q211" i="1"/>
  <c r="P181" i="1"/>
  <c r="P241" i="1" s="1"/>
  <c r="J77" i="1" l="1"/>
  <c r="K75" i="1"/>
  <c r="K181" i="1" s="1"/>
  <c r="K241" i="1" s="1"/>
  <c r="Y75" i="1"/>
  <c r="AY181" i="1"/>
  <c r="AY241" i="1" s="1"/>
  <c r="AY77" i="1"/>
  <c r="X77" i="1"/>
  <c r="X181" i="1"/>
  <c r="X241" i="1" s="1"/>
  <c r="R181" i="1"/>
  <c r="R241" i="1" s="1"/>
  <c r="T75" i="1"/>
  <c r="S181" i="1"/>
  <c r="S241" i="1" s="1"/>
  <c r="Q181" i="1"/>
  <c r="Q241" i="1" s="1"/>
  <c r="Q77" i="1"/>
  <c r="K77" i="1" l="1"/>
  <c r="L75" i="1"/>
  <c r="Z75" i="1"/>
  <c r="AA75" i="1" s="1"/>
  <c r="Y77" i="1"/>
  <c r="Y181" i="1"/>
  <c r="Y241" i="1" s="1"/>
  <c r="T77" i="1"/>
  <c r="U75" i="1"/>
  <c r="T181" i="1"/>
  <c r="T241" i="1" s="1"/>
  <c r="L77" i="1" l="1"/>
  <c r="L181" i="1"/>
  <c r="L241" i="1" s="1"/>
  <c r="AA77" i="1"/>
  <c r="AA181" i="1"/>
  <c r="AA241" i="1" s="1"/>
  <c r="Z77" i="1"/>
  <c r="Z181" i="1"/>
  <c r="Z241" i="1" s="1"/>
  <c r="U77" i="1"/>
  <c r="V75" i="1"/>
  <c r="V77" i="1" s="1"/>
  <c r="U181" i="1"/>
  <c r="U241" i="1" s="1"/>
  <c r="AB75" i="1" l="1"/>
  <c r="AC75" i="1" s="1"/>
  <c r="V181" i="1"/>
  <c r="V241" i="1" s="1"/>
  <c r="W77" i="1"/>
  <c r="AC181" i="1" l="1"/>
  <c r="AC241" i="1" s="1"/>
  <c r="AD75" i="1"/>
  <c r="AB181" i="1"/>
  <c r="AB241" i="1" s="1"/>
  <c r="AB77" i="1"/>
  <c r="AC77" i="1"/>
  <c r="W181" i="1"/>
  <c r="W241" i="1" s="1"/>
  <c r="AE75" i="1" l="1"/>
  <c r="AD181" i="1"/>
  <c r="AD241" i="1" s="1"/>
  <c r="AD77" i="1"/>
  <c r="AE77" i="1" l="1"/>
  <c r="AE181" i="1"/>
  <c r="AE241" i="1" s="1"/>
  <c r="AF75" i="1"/>
  <c r="AG75" i="1" l="1"/>
  <c r="AF77" i="1"/>
  <c r="AF181" i="1"/>
  <c r="AF241" i="1" s="1"/>
  <c r="AH75" i="1" l="1"/>
  <c r="AG181" i="1"/>
  <c r="AG241" i="1" s="1"/>
  <c r="AG77" i="1"/>
  <c r="AI75" i="1" l="1"/>
  <c r="AH77" i="1"/>
  <c r="AH181" i="1"/>
  <c r="AH241" i="1" s="1"/>
  <c r="AJ75" i="1" l="1"/>
  <c r="AJ181" i="1" s="1"/>
  <c r="AJ241" i="1" s="1"/>
  <c r="AI181" i="1"/>
  <c r="AI241" i="1" s="1"/>
  <c r="AI77" i="1"/>
  <c r="AJ77" i="1" l="1"/>
  <c r="AK75" i="1"/>
  <c r="AK181" i="1" l="1"/>
  <c r="AK241" i="1" s="1"/>
  <c r="AK77" i="1"/>
  <c r="AL75" i="1"/>
  <c r="AL77" i="1" s="1"/>
  <c r="AL181" i="1" l="1"/>
  <c r="AL241" i="1" s="1"/>
  <c r="AM75" i="1"/>
  <c r="AM77" i="1" l="1"/>
  <c r="AM181" i="1"/>
  <c r="AM241" i="1" s="1"/>
  <c r="AN75" i="1"/>
  <c r="AO75" i="1" l="1"/>
  <c r="AN181" i="1"/>
  <c r="AN241" i="1" s="1"/>
  <c r="AN77" i="1"/>
  <c r="AP75" i="1" l="1"/>
  <c r="AO181" i="1"/>
  <c r="AO241" i="1" s="1"/>
  <c r="AO77" i="1"/>
  <c r="AP77" i="1" l="1"/>
  <c r="AQ75" i="1"/>
  <c r="AP181" i="1"/>
  <c r="AP241" i="1" s="1"/>
  <c r="AQ77" i="1" l="1"/>
  <c r="AR75" i="1"/>
  <c r="AQ181" i="1"/>
  <c r="AQ241" i="1" s="1"/>
  <c r="AR77" i="1" l="1"/>
  <c r="M75" i="1"/>
  <c r="M77" i="1" s="1"/>
  <c r="M181" i="1"/>
  <c r="M241" i="1" s="1"/>
  <c r="AS75" i="1"/>
  <c r="AR181" i="1"/>
  <c r="AR241" i="1" s="1"/>
  <c r="AT75" i="1" l="1"/>
  <c r="AT181" i="1" s="1"/>
  <c r="AT241" i="1" s="1"/>
  <c r="AS77" i="1"/>
  <c r="AS181" i="1"/>
  <c r="AS241" i="1" s="1"/>
  <c r="AT77" i="1" l="1"/>
  <c r="AU75" i="1"/>
  <c r="AU77" i="1" l="1"/>
  <c r="AV75" i="1"/>
  <c r="AU181" i="1"/>
  <c r="AU241" i="1" s="1"/>
  <c r="AV77" i="1" l="1"/>
  <c r="AV181" i="1"/>
  <c r="AV2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GR&amp;A</author>
    <author>Roshni Arunkumar</author>
  </authors>
  <commentList>
    <comment ref="J6" authorId="0" shapeId="0" xr:uid="{578891DD-2398-49FB-8004-CF28D7AC843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Deck</t>
        </r>
      </text>
    </comment>
    <comment ref="I7" authorId="0" shapeId="0" xr:uid="{BE353D0B-3524-46AC-8070-CEE03D586DF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excluded Lease Liabilities</t>
        </r>
      </text>
    </comment>
    <comment ref="B59" authorId="0" shapeId="0" xr:uid="{025D1159-B380-4F31-AAE3-8F4A2B6D84D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C66" authorId="0" shapeId="0" xr:uid="{220115BD-BF30-4A93-BC64-B671A6EE2FE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Consists of long-term debt, including current portion, gross of unamortized debt discount/premium and debt issuance costs.</t>
        </r>
      </text>
    </comment>
    <comment ref="J95" authorId="0" shapeId="0" xr:uid="{D0EF3E9A-7441-4BA7-B82A-40BB7FBC28B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Deck</t>
        </r>
      </text>
    </comment>
    <comment ref="I96" authorId="0" shapeId="0" xr:uid="{AA6A5C51-D933-4E90-A68F-BB2B939095A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excluded Lease Liabilities</t>
        </r>
      </text>
    </comment>
    <comment ref="B148" authorId="0" shapeId="0" xr:uid="{A0440857-0A40-4A68-B5EF-E4FEF0265FD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C155" authorId="0" shapeId="0" xr:uid="{F0B6AD5F-418C-4E2F-9C43-C050B4884D0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Consists of long-term debt, including current portion, gross of unamortized debt discount/premium and debt issuance costs.</t>
        </r>
      </text>
    </comment>
    <comment ref="I185" authorId="0" shapeId="0" xr:uid="{819F7C8F-C141-4587-AE5A-B08E4F1F371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excluded Lease Liabilities</t>
        </r>
      </text>
    </comment>
    <comment ref="B235" authorId="0" shapeId="0" xr:uid="{31909D4C-82B7-40CD-9141-716C50B6780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C242" authorId="0" shapeId="0" xr:uid="{66482633-4224-4417-AF72-7136A8F5413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Consists of long-term debt, including current portion, gross of unamortized debt discount/premium and debt issuance costs.</t>
        </r>
      </text>
    </comment>
    <comment ref="I274" authorId="0" shapeId="0" xr:uid="{2DD3F038-3457-4195-A199-4D72AF43D91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excluded Lease Liabilities</t>
        </r>
      </text>
    </comment>
    <comment ref="B300" authorId="0" shapeId="0" xr:uid="{132C0262-233B-447A-93D2-0B61382B1A2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4.0000% to 5.3500%; PHP BVAL + 0.4000%
to 1.1250% (floor rate 4.5000% to 4.6250%) in
2025 and 4.000% to 5.3500%; PHP BVAL
+ 0.5000% to 1.0000% (floor rate 4.5000% to
4.6250%) in 2024</t>
        </r>
      </text>
    </comment>
    <comment ref="B324" authorId="0" shapeId="0" xr:uid="{1860B616-46FA-4DEE-AA35-DD8ABD8ABE8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I341" authorId="0" shapeId="0" xr:uid="{52D2ED2F-69EE-44CD-BF37-F1902DC82F5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excluded Lease Liabilities</t>
        </r>
      </text>
    </comment>
    <comment ref="B367" authorId="0" shapeId="0" xr:uid="{1F5A7D25-FFD1-43E8-AC0B-7C228D2D057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 (4.0000% to 5.3500%; PHP BVAL + 0.5000% to 1.1250% (floor rate 4.5000% to 4.6250%) in 2025 and 4.000% to 5.3500%; PHP BVAL + 0.5000% to 1.0000% (floor rate 4.5000% to 4.6250%) in 2024)</t>
        </r>
      </text>
    </comment>
    <comment ref="B391" authorId="0" shapeId="0" xr:uid="{B38B1084-E9B4-4ED1-B1AC-C3FE3A6D8CF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M408" authorId="0" shapeId="0" xr:uid="{E3D53E01-6E4B-44DE-8AB4-0AFDFA3F543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excluded Lease Liabilities</t>
        </r>
      </text>
    </comment>
    <comment ref="B461" authorId="0" shapeId="0" xr:uid="{EEE11F90-8087-403B-8F1F-78774EEF4C2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G471" authorId="0" shapeId="0" xr:uid="{10798EFB-3012-4F38-B241-596665595A1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Due to rounding of debt values in ppt</t>
        </r>
      </text>
    </comment>
    <comment ref="M476" authorId="0" shapeId="0" xr:uid="{DD4894EA-3903-4BEB-AE50-12B6D33D9EC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excluded Lease Liabilities</t>
        </r>
      </text>
    </comment>
    <comment ref="B529" authorId="0" shapeId="0" xr:uid="{589845B9-0412-4653-98FA-DF8AF2CEEE7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B887" authorId="1" shapeId="0" xr:uid="{5E61C2FE-0F2E-4F01-A0E5-C24E964FEB33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Obtained from 4Q22 Financial Statements</t>
        </r>
      </text>
    </comment>
    <comment ref="B938" authorId="1" shapeId="0" xr:uid="{63CAFF7E-3056-433E-96E6-C74A35152983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Obtained from 4Q22 Financial Statements</t>
        </r>
      </text>
    </comment>
    <comment ref="B989" authorId="1" shapeId="0" xr:uid="{23B46E1E-6BC1-4ACB-A010-930818509A88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Obtained from 3Q22 Financial Statements</t>
        </r>
      </text>
    </comment>
    <comment ref="B1040" authorId="1" shapeId="0" xr:uid="{316AB49B-FBD4-428C-9449-E4D9D670EF51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Obtained from 2Q22 Financial Statements</t>
        </r>
      </text>
    </comment>
    <comment ref="C1061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2031 and 2050 notes
- </t>
        </r>
        <r>
          <rPr>
            <sz val="9"/>
            <color indexed="81"/>
            <rFont val="Tahoma"/>
            <family val="2"/>
          </rPr>
          <t xml:space="preserve">The Notes will be issued in registered form in the denomination of U.S.$200,000 each and integral multiples of U.S.$1,000 in excess thereof.
</t>
        </r>
      </text>
    </comment>
    <comment ref="B109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Obtained from 1Q22 Financial Statements</t>
        </r>
      </text>
    </comment>
    <comment ref="C111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2031 and 2050 notes
- </t>
        </r>
        <r>
          <rPr>
            <sz val="9"/>
            <color indexed="81"/>
            <rFont val="Tahoma"/>
            <family val="2"/>
          </rPr>
          <t xml:space="preserve">The Notes will be issued in registered form in the denomination of U.S.$200,000 each and integral multiples of U.S.$1,000 in excess thereof.
</t>
        </r>
      </text>
    </comment>
    <comment ref="C1144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From Presentation pg 29/67
</t>
        </r>
      </text>
    </comment>
    <comment ref="B114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99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From Presentation pg 25/61
</t>
        </r>
      </text>
    </comment>
    <comment ref="C1251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From Presentation pg 18/54
</t>
        </r>
      </text>
    </comment>
    <comment ref="C1272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2031 and 2050 notes
- </t>
        </r>
        <r>
          <rPr>
            <sz val="9"/>
            <color indexed="81"/>
            <rFont val="Tahoma"/>
            <family val="2"/>
          </rPr>
          <t xml:space="preserve">The Notes will be issued in registered form in the denomination of U.S.$200,000 each and integral multiples of U.S.$1,000 in excess thereof.
</t>
        </r>
      </text>
    </comment>
    <comment ref="B1306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23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2031 and 2050 notes
- </t>
        </r>
        <r>
          <rPr>
            <sz val="9"/>
            <color indexed="81"/>
            <rFont val="Tahoma"/>
            <family val="2"/>
          </rPr>
          <t xml:space="preserve">The Notes will be issued in registered form in the denomination of U.S.$200,000 each and integral multiples of U.S.$1,000 in excess thereof.
</t>
        </r>
      </text>
    </comment>
    <comment ref="B1357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74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 xml:space="preserve">2031 and 2050 notes
- </t>
        </r>
        <r>
          <rPr>
            <sz val="9"/>
            <color indexed="81"/>
            <rFont val="Tahoma"/>
            <family val="2"/>
          </rPr>
          <t xml:space="preserve">The Notes will be issued in registered form in the denomination of U.S.$200,000 each and integral multiples of U.S.$1,000 in excess thereof.
</t>
        </r>
      </text>
    </comment>
    <comment ref="C1405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From Presentation pg 31/62
</t>
        </r>
      </text>
    </comment>
    <comment ref="B1408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19" authorId="2" shapeId="0" xr:uid="{00000000-0006-0000-0000-000010000000}">
      <text>
        <r>
          <rPr>
            <sz val="9"/>
            <color indexed="81"/>
            <rFont val="Tahoma"/>
            <family val="2"/>
          </rPr>
          <t>The exchange rate used to convert the U.S. Dollar amounts into Philippine Peso was Php49.79 to US$1.00, the Philippine Peso-U.S.
Dollar exchange rate as quoted through the Bankers Association of the Philippines as at June 30, 2020.</t>
        </r>
      </text>
    </comment>
    <comment ref="C1425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 xml:space="preserve">2031 and 2050 notes
- </t>
        </r>
        <r>
          <rPr>
            <sz val="9"/>
            <color indexed="81"/>
            <rFont val="Tahoma"/>
            <family val="2"/>
          </rPr>
          <t xml:space="preserve">The Notes will be issued in registered form in the denomination of U.S.$200,000 each and integral multiples of U.S.$1,000 in excess thereof.
</t>
        </r>
      </text>
    </comment>
    <comment ref="C1456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From Presentation pg 34/63</t>
        </r>
      </text>
    </comment>
    <comment ref="B1459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70" authorId="2" shapeId="0" xr:uid="{00000000-0006-0000-0000-000014000000}">
      <text>
        <r>
          <rPr>
            <sz val="9"/>
            <color indexed="81"/>
            <rFont val="Tahoma"/>
            <family val="2"/>
          </rPr>
          <t xml:space="preserve">The exchange rate used to convert the U.S. Dollar amounts into Philippine Peso was Php50.78 to US$1.00, the Philippine Peso-U.S.
Dollar exchange rate as quoted through the Bankers Association of the Philippines as at March 31, 2020. </t>
        </r>
      </text>
    </comment>
    <comment ref="G1473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adjusted for 2031 and 2050 notes
- </t>
        </r>
        <r>
          <rPr>
            <sz val="9"/>
            <color indexed="81"/>
            <rFont val="Tahoma"/>
            <family val="2"/>
          </rPr>
          <t xml:space="preserve">The Notes will be issued in registered form in the denomination of U.S.$200,000 each and integral multiples of U.S.$1,000 in excess thereof.
</t>
        </r>
      </text>
    </comment>
    <comment ref="H1484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 xml:space="preserve">2031 and 2050 notes
- </t>
        </r>
        <r>
          <rPr>
            <sz val="9"/>
            <color indexed="81"/>
            <rFont val="Tahoma"/>
            <family val="2"/>
          </rPr>
          <t xml:space="preserve">The Notes will be issued in registered form in the denomination of U.S.$200,000 each and integral multiples of U.S.$1,000 in excess thereof.
</t>
        </r>
      </text>
    </comment>
    <comment ref="B1504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excluding lease liabilities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GR&amp;RS</author>
    <author>Meghana Ramesh Gollapudi</author>
    <author>Onabule, Yejide</author>
    <author>CRISIL</author>
    <author>CRISIL GR&amp;RS</author>
    <author>CRISIL GR&amp;A</author>
    <author>tc={BB07AC73-D5BF-4686-92D7-C04DFED7D847}</author>
    <author>Kshitij Manish Garg</author>
    <author>tc={733CF727-464A-4E1B-B403-9AC8B3B47C3D}</author>
  </authors>
  <commentList>
    <comment ref="H7" authorId="0" shapeId="0" xr:uid="{956B8B36-1BEF-41E1-A1EC-B592B1A3982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I7" authorId="0" shapeId="0" xr:uid="{A035575B-2DB8-43EE-BB08-6A460E65FF6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H13" authorId="0" shapeId="0" xr:uid="{14F85DCC-E507-4405-9078-81C8B2E989A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I13" authorId="0" shapeId="0" xr:uid="{F0653138-4055-484F-8ACC-82DDF52CFAE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B14" authorId="1" shapeId="0" xr:uid="{00000000-0006-0000-0100-000001000000}">
      <text>
        <r>
          <rPr>
            <sz val="9"/>
            <color indexed="81"/>
            <rFont val="Tahoma"/>
            <family val="2"/>
          </rPr>
          <t xml:space="preserve">less rent
</t>
        </r>
      </text>
    </comment>
    <comment ref="H14" authorId="0" shapeId="0" xr:uid="{0A2216C0-37B5-4C64-B142-510BC322090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I14" authorId="0" shapeId="0" xr:uid="{3A712B26-BB58-4077-B637-2C4D2C55E02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W14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including rent : PHP 338m
</t>
        </r>
      </text>
    </comment>
    <comment ref="AA14" authorId="1" shapeId="0" xr:uid="{00000000-0006-0000-0100-000003000000}">
      <text>
        <r>
          <rPr>
            <sz val="9"/>
            <color indexed="81"/>
            <rFont val="Tahoma"/>
            <family val="2"/>
          </rPr>
          <t xml:space="preserve">including rent : PHP 338m
</t>
        </r>
      </text>
    </comment>
    <comment ref="AE14" authorId="1" shapeId="0" xr:uid="{00000000-0006-0000-0100-000004000000}">
      <text>
        <r>
          <rPr>
            <sz val="9"/>
            <color indexed="81"/>
            <rFont val="Tahoma"/>
            <family val="2"/>
          </rPr>
          <t xml:space="preserve">including rent : PHP 389m
</t>
        </r>
      </text>
    </comment>
    <comment ref="H16" authorId="0" shapeId="0" xr:uid="{ACEBE263-9512-41DE-8B88-97650CDB3B8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I16" authorId="0" shapeId="0" xr:uid="{438E8AEE-3E4B-4EEE-A30D-9BB41572ADF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H17" authorId="0" shapeId="0" xr:uid="{B86C8A93-88BB-472A-9A01-8463D77C030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I17" authorId="0" shapeId="0" xr:uid="{141518AE-EF8A-4ED8-A8D3-A3143626C2A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C44" authorId="1" shapeId="0" xr:uid="{00000000-0006-0000-0100-000005000000}">
      <text>
        <r>
          <rPr>
            <sz val="9"/>
            <color indexed="81"/>
            <rFont val="Tahoma"/>
            <family val="2"/>
          </rPr>
          <t xml:space="preserve">including rent
</t>
        </r>
      </text>
    </comment>
    <comment ref="D44" authorId="1" shapeId="0" xr:uid="{00000000-0006-0000-0100-000006000000}">
      <text>
        <r>
          <rPr>
            <sz val="9"/>
            <color indexed="81"/>
            <rFont val="Tahoma"/>
            <family val="2"/>
          </rPr>
          <t xml:space="preserve">including rent
</t>
        </r>
      </text>
    </comment>
    <comment ref="E44" authorId="1" shapeId="0" xr:uid="{00000000-0006-0000-0100-000007000000}">
      <text>
        <r>
          <rPr>
            <sz val="9"/>
            <color indexed="81"/>
            <rFont val="Tahoma"/>
            <family val="2"/>
          </rPr>
          <t xml:space="preserve">including rent
</t>
        </r>
      </text>
    </comment>
    <comment ref="F44" authorId="1" shapeId="0" xr:uid="{00000000-0006-0000-0100-000008000000}">
      <text>
        <r>
          <rPr>
            <sz val="9"/>
            <color indexed="81"/>
            <rFont val="Tahoma"/>
            <family val="2"/>
          </rPr>
          <t xml:space="preserve">including rent
</t>
        </r>
      </text>
    </comment>
    <comment ref="G44" authorId="1" shapeId="0" xr:uid="{00000000-0006-0000-0100-000009000000}">
      <text>
        <r>
          <rPr>
            <sz val="9"/>
            <color indexed="81"/>
            <rFont val="Tahoma"/>
            <family val="2"/>
          </rPr>
          <t xml:space="preserve">including rent
</t>
        </r>
      </text>
    </comment>
    <comment ref="H44" authorId="1" shapeId="0" xr:uid="{00000000-0006-0000-0100-00000A000000}">
      <text>
        <r>
          <rPr>
            <sz val="9"/>
            <color indexed="81"/>
            <rFont val="Tahoma"/>
            <family val="2"/>
          </rPr>
          <t xml:space="preserve">including rent
</t>
        </r>
      </text>
    </comment>
    <comment ref="I44" authorId="1" shapeId="0" xr:uid="{6224C96E-47FD-43C9-97F4-49C1BB6A4C75}">
      <text>
        <r>
          <rPr>
            <sz val="9"/>
            <color indexed="81"/>
            <rFont val="Tahoma"/>
            <family val="2"/>
          </rPr>
          <t xml:space="preserve">including rent
</t>
        </r>
      </text>
    </comment>
    <comment ref="W44" authorId="1" shapeId="0" xr:uid="{00000000-0006-0000-0100-00000B000000}">
      <text>
        <r>
          <rPr>
            <sz val="9"/>
            <color indexed="81"/>
            <rFont val="Tahoma"/>
            <family val="2"/>
          </rPr>
          <t xml:space="preserve">including rent
</t>
        </r>
      </text>
    </comment>
    <comment ref="AA44" authorId="1" shapeId="0" xr:uid="{00000000-0006-0000-0100-00000C000000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AE44" authorId="1" shapeId="0" xr:uid="{00000000-0006-0000-0100-00000D000000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AI44" authorId="1" shapeId="0" xr:uid="{50335EB5-2D6A-4101-AA60-88DCF80087A2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AM44" authorId="1" shapeId="0" xr:uid="{25814B2A-F94D-4016-AA6C-E7F2B4EE54A7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AQ44" authorId="1" shapeId="0" xr:uid="{39E415CA-EAF8-4F79-9F47-803459E70BFC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AU44" authorId="1" shapeId="0" xr:uid="{F878FB04-34C7-45FB-9541-50E68300390E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B51" authorId="2" shapeId="0" xr:uid="{00000000-0006-0000-0100-00000E000000}">
      <text>
        <r>
          <rPr>
            <sz val="9"/>
            <color indexed="81"/>
            <rFont val="Tahoma"/>
            <family val="2"/>
          </rPr>
          <t xml:space="preserve">Adj. EBITDA reported by the  company
</t>
        </r>
      </text>
    </comment>
    <comment ref="C51" authorId="1" shapeId="0" xr:uid="{00000000-0006-0000-0100-00000F000000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D51" authorId="1" shapeId="0" xr:uid="{00000000-0006-0000-0100-000010000000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E51" authorId="1" shapeId="0" xr:uid="{00000000-0006-0000-0100-000011000000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F51" authorId="1" shapeId="0" xr:uid="{00000000-0006-0000-0100-000012000000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G51" authorId="1" shapeId="0" xr:uid="{00000000-0006-0000-0100-000013000000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H51" authorId="1" shapeId="0" xr:uid="{3A79EC27-3E9A-49EA-9709-826292D72A40}">
      <text>
        <r>
          <rPr>
            <sz val="9"/>
            <color indexed="81"/>
            <rFont val="Tahoma"/>
            <family val="2"/>
          </rPr>
          <t xml:space="preserve">Updated based on recent fillings
</t>
        </r>
      </text>
    </comment>
    <comment ref="I51" authorId="1" shapeId="0" xr:uid="{E251CD66-CCDD-410D-AFA4-5C9B21CDAC30}">
      <text>
        <r>
          <rPr>
            <sz val="9"/>
            <color indexed="81"/>
            <rFont val="Tahoma"/>
            <family val="2"/>
          </rPr>
          <t xml:space="preserve">Updated based on recent fillings
</t>
        </r>
      </text>
    </comment>
    <comment ref="K51" authorId="3" shapeId="0" xr:uid="{1F4098C1-A319-46F4-998B-356921DEEEE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PPT: Company reported EBITDA excludes MRP costs, Telecom Tower Sale and Leaseback related expenses and EBITDA from discontinued operations</t>
        </r>
      </text>
    </comment>
    <comment ref="L51" authorId="3" shapeId="0" xr:uid="{0C07695F-736B-4F5A-B70D-DCB8DDD361A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PPT: Company reported EBITDA excludes MRP costs, Telecom Tower Sale and Leaseback related expenses and EBITDA from discontinued operations</t>
        </r>
      </text>
    </comment>
    <comment ref="W51" authorId="1" shapeId="0" xr:uid="{00000000-0006-0000-0100-000015000000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AA51" authorId="1" shapeId="0" xr:uid="{00000000-0006-0000-0100-000016000000}">
      <text>
        <r>
          <rPr>
            <sz val="9"/>
            <color indexed="81"/>
            <rFont val="Tahoma"/>
            <family val="2"/>
          </rPr>
          <t xml:space="preserve">excluding rent
</t>
        </r>
      </text>
    </comment>
    <comment ref="AE51" authorId="1" shapeId="0" xr:uid="{00000000-0006-0000-0100-000017000000}">
      <text>
        <r>
          <rPr>
            <sz val="9"/>
            <color indexed="81"/>
            <rFont val="Tahoma"/>
            <family val="2"/>
          </rPr>
          <t>Normal EBITDA excluding rent
Obtained from Consolidated EBITDA reported in 1Q22 Financial Statements</t>
        </r>
      </text>
    </comment>
    <comment ref="AI51" authorId="1" shapeId="0" xr:uid="{FDD0ADCB-A02F-4127-BF69-F79BA02088A8}">
      <text>
        <r>
          <rPr>
            <sz val="9"/>
            <color indexed="81"/>
            <rFont val="Tahoma"/>
            <family val="2"/>
          </rPr>
          <t>Normal EBITDA excluding rent
Obtained from Consolidated EBITDA reported in 1Q22 Financial Statements</t>
        </r>
      </text>
    </comment>
    <comment ref="AM51" authorId="1" shapeId="0" xr:uid="{E824A7FD-4413-460E-AD44-EE653847394A}">
      <text>
        <r>
          <rPr>
            <sz val="9"/>
            <color indexed="81"/>
            <rFont val="Tahoma"/>
            <family val="2"/>
          </rPr>
          <t>Normal EBITDA excluding rent
Obtained from Consolidated EBITDA reported in 1Q23 Financial Statements</t>
        </r>
      </text>
    </comment>
    <comment ref="AQ51" authorId="1" shapeId="0" xr:uid="{AE2AC51A-BC6A-469D-B20A-FCA5A0BA86EF}">
      <text>
        <r>
          <rPr>
            <sz val="9"/>
            <color indexed="81"/>
            <rFont val="Tahoma"/>
            <family val="2"/>
          </rPr>
          <t>Normal EBITDA excluding rent
Obtained from Consolidated EBITDA reported in 1Q23 Financial Statements</t>
        </r>
      </text>
    </comment>
    <comment ref="AR51" authorId="3" shapeId="0" xr:uid="{EF5226CA-0B25-40A6-A2A3-30A82DF7BE4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S51" authorId="3" shapeId="0" xr:uid="{48AF86C3-CCDF-4516-A407-B95E369D606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V51" authorId="3" shapeId="0" xr:uid="{D11193DD-32DF-4E63-A08B-4CB4106C733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S54" authorId="3" shapeId="0" xr:uid="{14F43EEB-C36C-477E-93F9-54D7D6BEC83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B60" authorId="3" shapeId="0" xr:uid="{E096528A-3B4E-4F77-9F01-85EB1287281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Considered as : changes in assets and liabilities</t>
        </r>
      </text>
    </comment>
    <comment ref="L67" authorId="3" shapeId="0" xr:uid="{B2CD1938-B0EA-4977-A8B6-77FF6280788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Return of capital on an investment in joint venture: 600
* Maturity of short-term investments : 126
* Redemption of investment in debt securities: 25
* Interest received: 686
* Acquisition of intangibles: (217)
* Decrease (Increase) in other financial and non-financial assets: (544)</t>
        </r>
      </text>
    </comment>
    <comment ref="AE67" authorId="4" shapeId="0" xr:uid="{8D4A49DF-F21E-49D2-B535-021B763778D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The 2 0s indicate maturity of short term investments and redemption of investments in debt securities</t>
        </r>
      </text>
    </comment>
    <comment ref="AI67" authorId="4" shapeId="0" xr:uid="{C2C19AB6-402A-450D-B061-26EDEDBB695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The 2 0s indicate maturity of short term investments and redemption of investments in debt securities</t>
        </r>
      </text>
    </comment>
    <comment ref="AM67" authorId="4" shapeId="0" xr:uid="{A44B473F-BD11-463E-8373-2C556FE3998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The 2 0s indicate maturity of short term investments and redemption of investments in debt securities</t>
        </r>
      </text>
    </comment>
    <comment ref="AS67" authorId="3" shapeId="0" xr:uid="{BC527BE9-ED15-4CEC-996A-5818C868367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 
* Return of capital on an investment in joint venture: 600
* Maturity of short-term investments: 126
* Redemption of investment in debt securities: 25
* Interest received: 700
* Decrease in other financial and non-financial assets: 325</t>
        </r>
      </text>
    </comment>
    <comment ref="AU67" authorId="3" shapeId="0" xr:uid="{9D5068B5-BB61-44D5-8ED8-D1384634CA1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3M includes:
* Disposal of investment properties: 47
* Interest received: 145
* Purchase of investment in debt securities: (40)
* Decrease in other financial and non-financial assets: 24</t>
        </r>
      </text>
    </comment>
    <comment ref="AV67" authorId="3" shapeId="0" xr:uid="{5D8057B0-80CE-4D14-973C-6B08D21BDF7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6M includes:
* Disposal of investment properties: 47
* Interest received: 305
* Purchase of investment in debt securities: (40)
* Decrease in other financial and non-financial assets: 28 </t>
        </r>
      </text>
    </comment>
    <comment ref="L70" authorId="3" shapeId="0" xr:uid="{ABF8A4D8-412E-492E-8109-3C1530BBD18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Settlements of derivative financial instruments – net: (243)
* Debt issuance costs: (271)</t>
        </r>
      </text>
    </comment>
    <comment ref="AS70" authorId="3" shapeId="0" xr:uid="{43617D4A-972F-4CC7-A068-A9A229F46E5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 
* Debt issuance costs: (249)
* Settlements of derivative financial instruments – net: (944)</t>
        </r>
      </text>
    </comment>
    <comment ref="AU70" authorId="3" shapeId="0" xr:uid="{46B40D5F-841C-48AD-AE63-202D389848F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3M includes:
* Collections from derivative financial instruments – net: 213
* Debt issuance costs: (1)
</t>
        </r>
      </text>
    </comment>
    <comment ref="AV70" authorId="3" shapeId="0" xr:uid="{727A1D1F-1070-4FF1-BC5F-94F0F01DA67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6M includes:
* Collections from derivative financial instruments – net: 514
* Debt issuance costs: (61)
</t>
        </r>
      </text>
    </comment>
    <comment ref="L72" authorId="3" shapeId="0" xr:uid="{F420ABD4-F265-4D94-872E-2090E9DC0A6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duie to use of EBITDA instead of PBT to calculate CFO, and other adjustments apart from working capital, majolry:
* Interest on loans and other related items: 13,197
* Accretion on lease liabilities: 4,579
* Asset impairment: 3,970
* Pension benefit costs : 1,434
* Gain on sale and leaseback of telecom towers: (887)
* Gains on derivative financial instruments – net: (1,816)
* Others: 723</t>
        </r>
      </text>
    </comment>
    <comment ref="AS72" authorId="3" shapeId="0" xr:uid="{759A4B53-69A4-4E79-8D1F-B59BF32C61B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Balancing figure is high due to use of EBITDA to calculate CFO instead of "Income before income tax' and other adjustments before working capital changes manily:
* Accretion on lease liabilities: 3,325
* Pension benefit costs: 1,128
</t>
        </r>
      </text>
    </comment>
    <comment ref="AU72" authorId="3" shapeId="0" xr:uid="{22407A5F-DDAF-410A-8846-A69EC532F5B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PBT to calculate CFO and other adjustments apart from working capital majorly,
* Foreign exchange losses (gains): 1,265
* Accretion on lease liabilities: 1,096
* Asset impairment: 828
* Pension benefit costs: 414
* Gains on disposal of property and equipment: (374)
* Losses (Gains) on derivative financial instruments – net: (472)
* Equity share in net losses of associates and joint ventures: (1,023)</t>
        </r>
      </text>
    </comment>
    <comment ref="AV72" authorId="3" shapeId="0" xr:uid="{627F4B5D-16C1-4EDF-8F8F-FFAD3AD17EE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PBT to calculate CFO and other adjustments apart from working capital majorly,
* Asset impairment: 1,909 
* Foreign exchange losses (gains) – net: 1,365 
* Pension benefit costs: 776
* Accretion on financial liabilities: 190
* Gains on disposal of property and equipment: (235)
* Losses (gains) on derivative financial instruments – net: (495) 
* Equity share in net income of associates and joint ventures: (915)
* Others: (495) </t>
        </r>
      </text>
    </comment>
    <comment ref="B92" authorId="3" shapeId="0" xr:uid="{68072AD0-BC4A-4241-8E36-44B4D64F842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PPE and right of use assets</t>
        </r>
      </text>
    </comment>
    <comment ref="H125" authorId="5" shapeId="0" xr:uid="{00000000-0006-0000-0100-000019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4Q21 presentation</t>
        </r>
      </text>
    </comment>
    <comment ref="I125" authorId="5" shapeId="0" xr:uid="{094D1E17-73D6-4D86-8DBA-EFCDAA44000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4Q22 presentation</t>
        </r>
      </text>
    </comment>
    <comment ref="J125" authorId="5" shapeId="0" xr:uid="{888DF99B-ABC0-4643-9A2E-7C2902BEEE3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4Q23 presentation</t>
        </r>
      </text>
    </comment>
    <comment ref="L125" authorId="3" shapeId="0" xr:uid="{E4351C1D-7558-465E-817B-24C3F5F1C07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Net Debt calculated based on nominal value of debts less cash and cash equivalents and short-term investments
</t>
        </r>
      </text>
    </comment>
    <comment ref="AE125" authorId="6" shapeId="0" xr:uid="{00000000-0006-0000-01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Obtained from 1Q22 Analyst Presentation</t>
      </text>
    </comment>
    <comment ref="AF125" authorId="7" shapeId="0" xr:uid="{8F3F74B2-9D31-4386-A4A3-1F9D9973A84A}">
      <text>
        <r>
          <rPr>
            <sz val="9"/>
            <color indexed="81"/>
            <rFont val="Tahoma"/>
            <family val="2"/>
          </rPr>
          <t xml:space="preserve">Obtained from the 2Q22 Analyst Presentation
</t>
        </r>
      </text>
    </comment>
    <comment ref="AG125" authorId="7" shapeId="0" xr:uid="{CDBC63F4-7191-401D-9FA0-6DBB21E6C6F6}">
      <text>
        <r>
          <rPr>
            <sz val="9"/>
            <color indexed="81"/>
            <rFont val="Tahoma"/>
            <family val="2"/>
          </rPr>
          <t xml:space="preserve">Obtained from the 2Q22 Analyst Presentation
</t>
        </r>
      </text>
    </comment>
    <comment ref="AI125" authorId="8" shapeId="0" xr:uid="{733CF727-464A-4E1B-B403-9AC8B3B47C3D}">
      <text>
        <t>[Threaded comment]
Your version of Excel allows you to read this threaded comment; however, any edits to it will get removed if the file is opened in a newer version of Excel. Learn more: https://go.microsoft.com/fwlink/?linkid=870924
Comment:
    Obtained from 1Q22 Analyst Presentation</t>
      </text>
    </comment>
    <comment ref="AJ125" authorId="7" shapeId="0" xr:uid="{26E77D74-D425-4082-B232-E3FC7F933FEE}">
      <text>
        <r>
          <rPr>
            <sz val="9"/>
            <color indexed="81"/>
            <rFont val="Tahoma"/>
            <family val="2"/>
          </rPr>
          <t xml:space="preserve">Obtained from the 2Q23 Analyst Presentation
</t>
        </r>
      </text>
    </comment>
    <comment ref="AK125" authorId="7" shapeId="0" xr:uid="{541ACD34-5EC3-4B93-8DAD-29F40540F641}">
      <text>
        <r>
          <rPr>
            <sz val="9"/>
            <color indexed="81"/>
            <rFont val="Tahoma"/>
            <family val="2"/>
          </rPr>
          <t xml:space="preserve">Obtained from the Analyst Presentation
</t>
        </r>
      </text>
    </comment>
    <comment ref="AM125" authorId="5" shapeId="0" xr:uid="{12296AD5-770B-4FB8-BF9B-F1959E3062D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1Q23 presentation</t>
        </r>
      </text>
    </comment>
    <comment ref="AN125" authorId="7" shapeId="0" xr:uid="{3DE51EAF-8218-4108-A6BA-849D1118EDF6}">
      <text>
        <r>
          <rPr>
            <sz val="9"/>
            <color indexed="81"/>
            <rFont val="Tahoma"/>
            <family val="2"/>
          </rPr>
          <t xml:space="preserve">Obtained from the 2Q23 Analyst Presentation
</t>
        </r>
      </text>
    </comment>
    <comment ref="AO125" authorId="7" shapeId="0" xr:uid="{D8F03C34-ADE3-4A9E-87A8-C5D2802EF470}">
      <text>
        <r>
          <rPr>
            <sz val="9"/>
            <color indexed="81"/>
            <rFont val="Tahoma"/>
            <family val="2"/>
          </rPr>
          <t xml:space="preserve">Obtained from the Analyst Presentation
</t>
        </r>
      </text>
    </comment>
    <comment ref="AQ125" authorId="5" shapeId="0" xr:uid="{D73D4281-451A-49D0-9D5B-29202CDD8F2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1Q25 presentation:  calculated based on nominal value of debts less cash and cash equivalents and short-term investments</t>
        </r>
      </text>
    </comment>
    <comment ref="AR125" authorId="5" shapeId="0" xr:uid="{F798DAF9-A331-4E00-A46B-6010352B589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presentation:  calculated based on nominal value of debts less cash and cash equivalents and short-term investments</t>
        </r>
      </text>
    </comment>
    <comment ref="AS125" authorId="7" shapeId="0" xr:uid="{EBC34504-5675-4517-9C69-B783AC988C4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Obtained from the Analyst Presentation: Net Debt calculated based on nominal value of debts less cash and cash equivalents and short-term investments
</t>
        </r>
      </text>
    </comment>
    <comment ref="AT125" authorId="7" shapeId="0" xr:uid="{862F84AC-4FE7-4DA7-BE72-C093FD13A9A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Obtained from the Analyst Presentation: Net Debt calculated based on nominal value of debts less cash and cash equivalents and short-term investments
</t>
        </r>
      </text>
    </comment>
    <comment ref="AU125" authorId="5" shapeId="0" xr:uid="{AC9F182D-6008-4AE4-992E-AAE56D690F7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1Q26 presentation: Net Debt calculated based on nominal value of debts less cash and cash equivalents and short-term investments</t>
        </r>
      </text>
    </comment>
    <comment ref="AV125" authorId="5" shapeId="0" xr:uid="{913AA900-DDD9-46FC-8472-DADCF745FBA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2Q26 presentation: Net Debt calculated based on nominal value of debts less cash and cash equivalents and short-term investments</t>
        </r>
      </text>
    </comment>
    <comment ref="AF201" authorId="7" shapeId="0" xr:uid="{EC6F256A-A8E2-4CEF-881A-48239EA21423}">
      <text>
        <r>
          <rPr>
            <sz val="9"/>
            <color indexed="81"/>
            <rFont val="Tahoma"/>
            <family val="2"/>
          </rPr>
          <t xml:space="preserve">Taken from 2Q MD&amp;A 
</t>
        </r>
      </text>
    </comment>
    <comment ref="AJ201" authorId="7" shapeId="0" xr:uid="{6B81F2BB-FB42-4AB9-94C3-33406D50A787}">
      <text>
        <r>
          <rPr>
            <sz val="9"/>
            <color indexed="81"/>
            <rFont val="Tahoma"/>
            <family val="2"/>
          </rPr>
          <t xml:space="preserve">Taken from 2Q MD&amp;A 
</t>
        </r>
      </text>
    </comment>
    <comment ref="AF202" authorId="7" shapeId="0" xr:uid="{B9636365-D59A-443A-919A-883849676794}">
      <text>
        <r>
          <rPr>
            <sz val="9"/>
            <color indexed="81"/>
            <rFont val="Tahoma"/>
            <family val="2"/>
          </rPr>
          <t>Taken from 1Q22 MD&amp;A</t>
        </r>
      </text>
    </comment>
    <comment ref="AJ202" authorId="7" shapeId="0" xr:uid="{D224D4FC-2A0E-4667-8B15-29318CBACB27}">
      <text>
        <r>
          <rPr>
            <sz val="9"/>
            <color indexed="81"/>
            <rFont val="Tahoma"/>
            <family val="2"/>
          </rPr>
          <t>Taken from 2Q23 MD&amp;A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GR&amp;RS</author>
    <author>JayT</author>
    <author>Roshni Arunkumar</author>
  </authors>
  <commentList>
    <comment ref="L9" authorId="0" shapeId="0" xr:uid="{D376FFB8-E62D-4530-8422-E48A45A4D5B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R9" authorId="0" shapeId="0" xr:uid="{F60D6D58-ECB3-4C20-80B2-C61F4CB7E8B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S9" authorId="0" shapeId="0" xr:uid="{F02607F5-13AC-4A80-A91C-F6E82F73673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U9" authorId="0" shapeId="0" xr:uid="{510F7D59-51D6-4AF8-A031-DE5C91827F3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V9" authorId="0" shapeId="0" xr:uid="{C69E660E-6E4A-4218-BADC-92A3ECCFBE1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H10" authorId="1" shapeId="0" xr:uid="{301055E7-71C5-4C2A-BE28-A7DE1078EB4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
</t>
        </r>
      </text>
    </comment>
    <comment ref="I10" authorId="1" shapeId="0" xr:uid="{E34F4D0C-CA6D-4EF9-8763-5AC84BBC07F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
</t>
        </r>
      </text>
    </comment>
    <comment ref="I12" authorId="1" shapeId="0" xr:uid="{EB75B9EA-4BB6-4CFA-A530-509D333DCFB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
</t>
        </r>
      </text>
    </comment>
    <comment ref="Q14" authorId="2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matching due to restatement</t>
        </r>
      </text>
    </comment>
    <comment ref="R14" authorId="2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matching due to restatement</t>
        </r>
      </text>
    </comment>
    <comment ref="L32" authorId="0" shapeId="0" xr:uid="{2C744148-92E0-4B6E-90E2-9B690F0FFD5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R32" authorId="0" shapeId="0" xr:uid="{44A57516-5901-4F02-8C1F-3E2B45F446F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S32" authorId="0" shapeId="0" xr:uid="{758260AF-D0B1-40E3-A6D3-B7897AE8E29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U32" authorId="0" shapeId="0" xr:uid="{20C6A848-E2BC-4E18-A438-B9D615ABA01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V32" authorId="0" shapeId="0" xr:uid="{523781E4-9B7E-4418-B8ED-363C8904A81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I37" authorId="1" shapeId="0" xr:uid="{DA897909-ECEC-418D-8ABB-8E3A9B27B15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Hardcoded to match the reported numbers</t>
        </r>
      </text>
    </comment>
    <comment ref="AH37" authorId="1" shapeId="0" xr:uid="{3F7C37B4-E271-4F6A-8295-9B84935B923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to match the reported numbers
</t>
        </r>
      </text>
    </comment>
    <comment ref="P38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matching due to restatement</t>
        </r>
      </text>
    </comment>
    <comment ref="Q38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matching due to restatement</t>
        </r>
      </text>
    </comment>
    <comment ref="L50" authorId="0" shapeId="0" xr:uid="{06E2FEB3-27B3-48B2-ACD1-283CC4FA69F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R50" authorId="0" shapeId="0" xr:uid="{682DF804-0092-4962-9E58-606002804E6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S50" authorId="0" shapeId="0" xr:uid="{BDA4B1B8-8A7E-4080-85D6-C1B4FC37948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U50" authorId="0" shapeId="0" xr:uid="{2196655C-500C-4B41-B4FB-0C5B4C76237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V50" authorId="0" shapeId="0" xr:uid="{7DECA6DC-FBA2-48BA-B5A5-C8591FD389B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B59" authorId="3" shapeId="0" xr:uid="{00000000-0006-0000-0200-000005000000}">
      <text>
        <r>
          <rPr>
            <sz val="9"/>
            <color indexed="81"/>
            <rFont val="Tahoma"/>
            <family val="2"/>
          </rPr>
          <t>Includes Corporate Fixed Broadband Subscribers</t>
        </r>
      </text>
    </comment>
    <comment ref="L59" authorId="0" shapeId="0" xr:uid="{BE610F78-E085-4E59-8A27-7A584F639B1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R59" authorId="0" shapeId="0" xr:uid="{582677BE-E01C-4EB8-ADEB-E88FEAA4D88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S59" authorId="0" shapeId="0" xr:uid="{028BA536-2293-41F1-A9C1-0A322E48D81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U59" authorId="0" shapeId="0" xr:uid="{8928FBCC-D5F6-4C28-8339-7C1E7DFEE6A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V59" authorId="0" shapeId="0" xr:uid="{A1FCEC6F-B0F8-4619-8446-9A6772DC81A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L62" authorId="0" shapeId="0" xr:uid="{E5C24745-DC71-4BA8-BBC9-7B03BC6B699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R62" authorId="0" shapeId="0" xr:uid="{E5D770FC-3232-44C8-8FA4-E4624436E48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S62" authorId="0" shapeId="0" xr:uid="{B24AD261-8D2E-4E11-A23F-71E39827260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U62" authorId="0" shapeId="0" xr:uid="{B1C0B402-9B6A-4EC5-B6C7-A107F9D34DB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V62" authorId="0" shapeId="0" xr:uid="{17F57014-270E-4D35-8AA0-4C46EF7AB28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B65" authorId="3" shapeId="0" xr:uid="{00000000-0006-0000-0200-000006000000}">
      <text>
        <r>
          <rPr>
            <sz val="9"/>
            <color indexed="81"/>
            <rFont val="Tahoma"/>
            <family val="2"/>
          </rPr>
          <t>Includes Mobile Broadband subscribers</t>
        </r>
      </text>
    </comment>
    <comment ref="L66" authorId="0" shapeId="0" xr:uid="{7432B800-FFF9-4530-8D63-6C777C2807E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P66" authorId="3" shapeId="0" xr:uid="{00000000-0006-0000-0200-000007000000}">
      <text>
        <r>
          <rPr>
            <sz val="9"/>
            <color indexed="81"/>
            <rFont val="Tahoma"/>
            <family val="2"/>
          </rPr>
          <t>Only 6-month ended rate available</t>
        </r>
      </text>
    </comment>
    <comment ref="Q66" authorId="3" shapeId="0" xr:uid="{00000000-0006-0000-0200-000008000000}">
      <text>
        <r>
          <rPr>
            <sz val="9"/>
            <color indexed="81"/>
            <rFont val="Tahoma"/>
            <family val="2"/>
          </rPr>
          <t>Only 9-month ended rate available</t>
        </r>
      </text>
    </comment>
    <comment ref="R66" authorId="3" shapeId="0" xr:uid="{00000000-0006-0000-0200-000009000000}">
      <text>
        <r>
          <rPr>
            <sz val="9"/>
            <color indexed="81"/>
            <rFont val="Tahoma"/>
            <family val="2"/>
          </rPr>
          <t>Only year ended rate available</t>
        </r>
      </text>
    </comment>
    <comment ref="T66" authorId="3" shapeId="0" xr:uid="{00000000-0006-0000-0200-00000A000000}">
      <text>
        <r>
          <rPr>
            <sz val="9"/>
            <color indexed="81"/>
            <rFont val="Tahoma"/>
            <family val="2"/>
          </rPr>
          <t>Only 6-month ended rate available</t>
        </r>
      </text>
    </comment>
    <comment ref="U66" authorId="3" shapeId="0" xr:uid="{00000000-0006-0000-0200-00000B000000}">
      <text>
        <r>
          <rPr>
            <sz val="9"/>
            <color indexed="81"/>
            <rFont val="Tahoma"/>
            <family val="2"/>
          </rPr>
          <t>Only 9-month ended rate available</t>
        </r>
      </text>
    </comment>
    <comment ref="V66" authorId="3" shapeId="0" xr:uid="{00000000-0006-0000-0200-00000C000000}">
      <text>
        <r>
          <rPr>
            <sz val="9"/>
            <color indexed="81"/>
            <rFont val="Tahoma"/>
            <family val="2"/>
          </rPr>
          <t>Only year ended rate available</t>
        </r>
      </text>
    </comment>
    <comment ref="X66" authorId="3" shapeId="0" xr:uid="{00000000-0006-0000-0200-00000D000000}">
      <text>
        <r>
          <rPr>
            <sz val="9"/>
            <color indexed="81"/>
            <rFont val="Tahoma"/>
            <family val="2"/>
          </rPr>
          <t>Only 6-month ended rate available</t>
        </r>
      </text>
    </comment>
    <comment ref="Y66" authorId="3" shapeId="0" xr:uid="{00000000-0006-0000-0200-00000E000000}">
      <text>
        <r>
          <rPr>
            <sz val="9"/>
            <color indexed="81"/>
            <rFont val="Tahoma"/>
            <family val="2"/>
          </rPr>
          <t>Only 9-month ended rate available</t>
        </r>
      </text>
    </comment>
    <comment ref="Z66" authorId="3" shapeId="0" xr:uid="{00000000-0006-0000-0200-00000F000000}">
      <text>
        <r>
          <rPr>
            <sz val="9"/>
            <color indexed="81"/>
            <rFont val="Tahoma"/>
            <family val="2"/>
          </rPr>
          <t>Only year ended rate available</t>
        </r>
      </text>
    </comment>
    <comment ref="AB66" authorId="3" shapeId="0" xr:uid="{00000000-0006-0000-0200-000010000000}">
      <text>
        <r>
          <rPr>
            <sz val="9"/>
            <color indexed="81"/>
            <rFont val="Tahoma"/>
            <family val="2"/>
          </rPr>
          <t>Only 6-month ended rate available</t>
        </r>
      </text>
    </comment>
    <comment ref="AC66" authorId="3" shapeId="0" xr:uid="{00000000-0006-0000-0200-000011000000}">
      <text>
        <r>
          <rPr>
            <sz val="9"/>
            <color indexed="81"/>
            <rFont val="Tahoma"/>
            <family val="2"/>
          </rPr>
          <t>Only 9-month ended rate available</t>
        </r>
      </text>
    </comment>
    <comment ref="AD66" authorId="3" shapeId="0" xr:uid="{00000000-0006-0000-0200-000012000000}">
      <text>
        <r>
          <rPr>
            <sz val="9"/>
            <color indexed="81"/>
            <rFont val="Tahoma"/>
            <family val="2"/>
          </rPr>
          <t>Only year ended rate available</t>
        </r>
      </text>
    </comment>
    <comment ref="AG66" authorId="3" shapeId="0" xr:uid="{D5A4143F-4640-461A-A64B-72E0C2B39223}">
      <text>
        <r>
          <rPr>
            <sz val="9"/>
            <color indexed="81"/>
            <rFont val="Tahoma"/>
            <family val="2"/>
          </rPr>
          <t>Only 9-month ended rate available</t>
        </r>
      </text>
    </comment>
    <comment ref="AH66" authorId="3" shapeId="0" xr:uid="{F30C30C8-8DAF-467B-9E8F-33F0A6197224}">
      <text>
        <r>
          <rPr>
            <sz val="9"/>
            <color indexed="81"/>
            <rFont val="Tahoma"/>
            <family val="2"/>
          </rPr>
          <t>Only year ended rate available</t>
        </r>
      </text>
    </comment>
    <comment ref="AK66" authorId="3" shapeId="0" xr:uid="{31F32755-7B76-4A92-A700-4B97042A79A5}">
      <text>
        <r>
          <rPr>
            <sz val="9"/>
            <color indexed="81"/>
            <rFont val="Tahoma"/>
            <family val="2"/>
          </rPr>
          <t>Only 9-month ended rate available</t>
        </r>
      </text>
    </comment>
    <comment ref="AL66" authorId="3" shapeId="0" xr:uid="{055D220E-0444-4830-8645-93754B1BF73A}">
      <text>
        <r>
          <rPr>
            <sz val="9"/>
            <color indexed="81"/>
            <rFont val="Tahoma"/>
            <family val="2"/>
          </rPr>
          <t>Only year ended rate available</t>
        </r>
      </text>
    </comment>
    <comment ref="AP66" authorId="3" shapeId="0" xr:uid="{A72C4383-89A7-4860-BE60-DFE9C5ADC33B}">
      <text>
        <r>
          <rPr>
            <sz val="9"/>
            <color indexed="81"/>
            <rFont val="Tahoma"/>
            <family val="2"/>
          </rPr>
          <t>Only year ended rate available</t>
        </r>
      </text>
    </comment>
    <comment ref="AR66" authorId="0" shapeId="0" xr:uid="{0CE95464-B861-4C06-A38F-0560D8084C0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S66" authorId="0" shapeId="0" xr:uid="{7C0C4367-808A-4A90-8EB4-4AAA57D6D87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T66" authorId="3" shapeId="0" xr:uid="{9E5E5039-9EA2-4C88-A788-334F117A1CBE}">
      <text>
        <r>
          <rPr>
            <sz val="9"/>
            <color indexed="81"/>
            <rFont val="Tahoma"/>
            <family val="2"/>
          </rPr>
          <t>Only year ended rate available</t>
        </r>
      </text>
    </comment>
    <comment ref="AU66" authorId="0" shapeId="0" xr:uid="{4739492F-BC12-4036-92CB-6B71722185D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AV66" authorId="0" shapeId="0" xr:uid="{9874405A-C939-44F7-A89D-8F027D3FAF6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B72" authorId="3" shapeId="0" xr:uid="{00000000-0006-0000-0200-000013000000}">
      <text>
        <r>
          <rPr>
            <sz val="9"/>
            <color indexed="81"/>
            <rFont val="Tahoma"/>
            <family val="2"/>
          </rPr>
          <t>From Presentation</t>
        </r>
      </text>
    </comment>
    <comment ref="B73" authorId="3" shapeId="0" xr:uid="{00000000-0006-0000-0200-000014000000}">
      <text>
        <r>
          <rPr>
            <sz val="9"/>
            <color indexed="81"/>
            <rFont val="Tahoma"/>
            <family val="2"/>
          </rPr>
          <t>Includes Mobile Broadband subscribers</t>
        </r>
      </text>
    </comment>
    <comment ref="AR74" authorId="0" shapeId="0" xr:uid="{26F95944-8093-4A93-8DBD-908FBFF4E35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AS74" authorId="0" shapeId="0" xr:uid="{A181640E-4048-4936-AA2D-FAB9BFC16D0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AT74" authorId="0" shapeId="0" xr:uid="{D9DE694F-2164-4A6D-87F6-435469046F5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AU74" authorId="0" shapeId="0" xr:uid="{24E3BAF0-16F6-4E02-8D54-AC072D14047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AV74" authorId="0" shapeId="0" xr:uid="{9B442107-A318-44EE-B941-B7414DD7F58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B79" authorId="3" shapeId="0" xr:uid="{00000000-0006-0000-0200-000015000000}">
      <text>
        <r>
          <rPr>
            <sz val="9"/>
            <color indexed="81"/>
            <rFont val="Tahoma"/>
            <family val="2"/>
          </rPr>
          <t>Includes Prepaid Home Wifi, Ultera and WiMax</t>
        </r>
      </text>
    </comment>
    <comment ref="AR83" authorId="0" shapeId="0" xr:uid="{530ACA19-7A91-49D7-9633-42511852889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AS83" authorId="0" shapeId="0" xr:uid="{CD49E346-FA05-4B3F-BA21-25B8F93A9CA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AT83" authorId="0" shapeId="0" xr:uid="{6219E2C2-B3DA-497F-B026-99740F41F7B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AU83" authorId="0" shapeId="0" xr:uid="{DBC0DEC9-BD70-4ABC-BDBA-C2879C2F3D4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AV83" authorId="0" shapeId="0" xr:uid="{08AAB5F6-B021-4981-A5D2-9BB1F6D8087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briefing ppt</t>
        </r>
      </text>
    </comment>
    <comment ref="B85" authorId="3" shapeId="0" xr:uid="{C09DEC07-89DE-4851-9957-1DBABFCB8844}">
      <text>
        <r>
          <rPr>
            <sz val="9"/>
            <color indexed="81"/>
            <rFont val="Tahoma"/>
            <family val="2"/>
          </rPr>
          <t>From Presentation</t>
        </r>
      </text>
    </comment>
    <comment ref="B86" authorId="3" shapeId="0" xr:uid="{6152E4D8-4209-4A10-B34F-2CF8C4FE1FF9}">
      <text>
        <r>
          <rPr>
            <sz val="9"/>
            <color indexed="81"/>
            <rFont val="Tahoma"/>
            <family val="2"/>
          </rPr>
          <t>Includes Mobile Broadband subscribers</t>
        </r>
      </text>
    </comment>
    <comment ref="B90" authorId="3" shapeId="0" xr:uid="{A1B58DDB-1949-4112-A72E-3C7615F50385}">
      <text>
        <r>
          <rPr>
            <sz val="9"/>
            <color indexed="81"/>
            <rFont val="Tahoma"/>
            <family val="2"/>
          </rPr>
          <t>Includes Prepaid Home Wifi, Ultera and WiMax</t>
        </r>
      </text>
    </comment>
  </commentList>
</comments>
</file>

<file path=xl/sharedStrings.xml><?xml version="1.0" encoding="utf-8"?>
<sst xmlns="http://schemas.openxmlformats.org/spreadsheetml/2006/main" count="1924" uniqueCount="415">
  <si>
    <t>2Q26</t>
  </si>
  <si>
    <t>Exchange rate as at end</t>
  </si>
  <si>
    <t>LTM Average exchange rate</t>
  </si>
  <si>
    <t>Debt Breakdown as on 30-Jun-2026</t>
  </si>
  <si>
    <t>PHP (mn)</t>
  </si>
  <si>
    <t>USD (mn)</t>
  </si>
  <si>
    <t>Leverage (PHP)</t>
  </si>
  <si>
    <t>Leverage (USD)</t>
  </si>
  <si>
    <t>Company reported</t>
  </si>
  <si>
    <t>Interest-bearing financial liabilities</t>
  </si>
  <si>
    <t>Net debt</t>
  </si>
  <si>
    <t>Long -term</t>
  </si>
  <si>
    <t>Net debt to EBITDA</t>
  </si>
  <si>
    <t>2.6x</t>
  </si>
  <si>
    <t>Short term</t>
  </si>
  <si>
    <t>Lease Liabilites</t>
  </si>
  <si>
    <t>Short tem</t>
  </si>
  <si>
    <t>Total loan and borrowing</t>
  </si>
  <si>
    <t>Total cash and cash equivalents</t>
  </si>
  <si>
    <t xml:space="preserve">Net debt </t>
  </si>
  <si>
    <t>Equity</t>
  </si>
  <si>
    <t xml:space="preserve">Total Capitalisation </t>
  </si>
  <si>
    <t>LTM Adjusted EBITDA</t>
  </si>
  <si>
    <t>check</t>
  </si>
  <si>
    <t>U.S. Dollar Debts</t>
  </si>
  <si>
    <t>Fixed Rate Notes</t>
  </si>
  <si>
    <t>2.5000% to 3.4500% in 2026 and 2025</t>
  </si>
  <si>
    <t xml:space="preserve">Term Loans </t>
  </si>
  <si>
    <t>Unsecured Term Loans : SOFR + 1.31161 % in 2026 and 2025</t>
  </si>
  <si>
    <t>Philippine Peso Debts</t>
  </si>
  <si>
    <t>Term Loans</t>
  </si>
  <si>
    <t xml:space="preserve">Unsecured Term Loans : 4.0000% to 5.3500%; PHP BVAL + 0.4000% to 0.9000% in 2026; 4.0000% to 5.3500%; PHP BVAL + 0.4000% to 1.1250% (floor rate 4.5000% to 4.6250%) in 2025 </t>
  </si>
  <si>
    <t>Total Long term debt</t>
  </si>
  <si>
    <t>Less portion maturing within one year</t>
  </si>
  <si>
    <t>Non current portion of long-term debt</t>
  </si>
  <si>
    <t>Long-term debt maturing within one year</t>
  </si>
  <si>
    <t>Short-term debt</t>
  </si>
  <si>
    <t>Total Debt</t>
  </si>
  <si>
    <t>Current portion of lease liabilities</t>
  </si>
  <si>
    <t>Noncurrent portion of lease liabilities</t>
  </si>
  <si>
    <t>Total Debt (including lease liabilities)</t>
  </si>
  <si>
    <t>Cash &amp; Cash  Equivalents</t>
  </si>
  <si>
    <t>Liquidity table as of 2Q26</t>
  </si>
  <si>
    <t>Short term investments</t>
  </si>
  <si>
    <t xml:space="preserve">Total </t>
  </si>
  <si>
    <t>Debt Maturity: consolidated outstanding long-term and short-term debt at nominal values</t>
  </si>
  <si>
    <t>2031 and onwards</t>
  </si>
  <si>
    <t>1Q26</t>
  </si>
  <si>
    <t>Debt Breakdown as on 31-Mar-2026</t>
  </si>
  <si>
    <t>2.53x</t>
  </si>
  <si>
    <t>SOFR + 1.31161 % in 2026 and 2025</t>
  </si>
  <si>
    <t>4.2500% to 5.3500%; PHP BVAL + 0.4000% to 0.9000% (floor rate 4.5000% to 4.6250%) in 2026; 4.0000% to 5.3500%; PHP BVAL + 0.4000% to 1.0000% (floor rate 4.5000% to 4.6250%) in 2025</t>
  </si>
  <si>
    <t>Liquidity table as of 1Q26</t>
  </si>
  <si>
    <t>FY25</t>
  </si>
  <si>
    <t>Debt Breakdown as on 31-Dec-2025</t>
  </si>
  <si>
    <t>PHP (MM)</t>
  </si>
  <si>
    <t>USD (MM)</t>
  </si>
  <si>
    <t>2.56x</t>
  </si>
  <si>
    <t xml:space="preserve">2.5000% to 3.4500% in 2025 and 2024 </t>
  </si>
  <si>
    <t>SOFR + 1.31161 % in 2025</t>
  </si>
  <si>
    <t>Unsecured Term Loans (4.0000% to 5.3500%; PHP BVAL + 0.4000% to 1.1250% (floor rate 4.5000% to 4.6250%) in 2025)</t>
  </si>
  <si>
    <t>Liquidity table as of FY25</t>
  </si>
  <si>
    <t>3Q25</t>
  </si>
  <si>
    <t>Exchange rate as at end 3Q25</t>
  </si>
  <si>
    <t>Average exchange rate for 3Q25</t>
  </si>
  <si>
    <t>Debt Breakdown as on 30-Sep-2025</t>
  </si>
  <si>
    <t>2.5000% to 3.4500% in 2025 and 2024</t>
  </si>
  <si>
    <t>SOFR + 1.31161 % in 2025 and SOFR +
1.31161 % to 1.47826% in 2024</t>
  </si>
  <si>
    <t>Unsecured Term Loans</t>
  </si>
  <si>
    <t>Liquidity table as of 3Q25</t>
  </si>
  <si>
    <t>Debt Maturity: long-term debt at nominal values</t>
  </si>
  <si>
    <t>2030 and onwards</t>
  </si>
  <si>
    <t>2Q25</t>
  </si>
  <si>
    <t>Exchange rate as at end 2Q25</t>
  </si>
  <si>
    <t>Average exchange rate for 2Q25</t>
  </si>
  <si>
    <t>Debt Breakdown as on 30-Jun-2025</t>
  </si>
  <si>
    <t>2.57x</t>
  </si>
  <si>
    <t>Others SOFR + 1.31161 % in 2025 and SOFR + 1.31161 % to 1.47826% in 2024</t>
  </si>
  <si>
    <t>Liquidity table as of 2Q25</t>
  </si>
  <si>
    <t>Debt Maturity by currency</t>
  </si>
  <si>
    <t>2031 to 2050</t>
  </si>
  <si>
    <t>1Q25</t>
  </si>
  <si>
    <t>Exchange rate as at end 1Q25</t>
  </si>
  <si>
    <t>Average exchange rate for 1Q25</t>
  </si>
  <si>
    <t>Debt Breakdown as on 31-Mar-2025</t>
  </si>
  <si>
    <t>Php (in million)</t>
  </si>
  <si>
    <t>Leverage</t>
  </si>
  <si>
    <t>2.48x</t>
  </si>
  <si>
    <t>USD</t>
  </si>
  <si>
    <t xml:space="preserve">Leverage </t>
  </si>
  <si>
    <t>Fixed Rate Notes (2031 &amp; 2050)</t>
  </si>
  <si>
    <t>Export Credit Agencies-Supported Loans</t>
  </si>
  <si>
    <t>Others</t>
  </si>
  <si>
    <t>Philippine Peso Debts:</t>
  </si>
  <si>
    <t>Fixed Rate Corporate Notes</t>
  </si>
  <si>
    <t>Fixed Rate Retail Bonds</t>
  </si>
  <si>
    <t>Term Loans:</t>
  </si>
  <si>
    <t>Notes to be issued (2031 and 2050)</t>
  </si>
  <si>
    <t>Noncurrent portion of long-term debt</t>
  </si>
  <si>
    <t>Add: Unamortized Debt Discount</t>
  </si>
  <si>
    <t>Nominal Value of Total Debt</t>
  </si>
  <si>
    <t>Liquidity table as of 1Q25</t>
  </si>
  <si>
    <t>in Php mn</t>
  </si>
  <si>
    <t>in USD mn</t>
  </si>
  <si>
    <t xml:space="preserve">Php debt </t>
  </si>
  <si>
    <t>FY24</t>
  </si>
  <si>
    <t>Exchange rate as at end FY24</t>
  </si>
  <si>
    <t>Average exchange rate for FY24</t>
  </si>
  <si>
    <t>Debt Breakdown as on 31-Dec-2024</t>
  </si>
  <si>
    <t>2.52x</t>
  </si>
  <si>
    <t>Liquidity table as of FY24</t>
  </si>
  <si>
    <t>3Q24</t>
  </si>
  <si>
    <t>Exchange rate as at end 3Q24</t>
  </si>
  <si>
    <t>Average exchange rate for 3Q24</t>
  </si>
  <si>
    <t>Debt Breakdown as on 30-Sep-2024</t>
  </si>
  <si>
    <t>2.44x</t>
  </si>
  <si>
    <t>Liquidity table as of 3Q24</t>
  </si>
  <si>
    <t>Long term bank facilities</t>
  </si>
  <si>
    <t>USD debt</t>
  </si>
  <si>
    <t>Total</t>
  </si>
  <si>
    <t>In Php mn</t>
  </si>
  <si>
    <t>2029 and onwards</t>
  </si>
  <si>
    <t>2Q24</t>
  </si>
  <si>
    <t>Exchange rate as at end 2Q24</t>
  </si>
  <si>
    <t>Average exchange rate for 2Q24</t>
  </si>
  <si>
    <t>Debt Breakdown as on 30-Jun-2024</t>
  </si>
  <si>
    <t>2.38x</t>
  </si>
  <si>
    <t>Liquidity table as of 2Q24</t>
  </si>
  <si>
    <t>1Q24</t>
  </si>
  <si>
    <t>Exchange rate as at end 1Q24</t>
  </si>
  <si>
    <t>Average exchange rate for 1Q24</t>
  </si>
  <si>
    <t>Debt Breakdown as on 31-Mar-2024</t>
  </si>
  <si>
    <t>2.29x</t>
  </si>
  <si>
    <t>Liquidity table as of 1Q24</t>
  </si>
  <si>
    <t>4Q23</t>
  </si>
  <si>
    <t>Exchange rate as at end 4Q23</t>
  </si>
  <si>
    <t>Average exchange rate for 4Q23</t>
  </si>
  <si>
    <t>Debt Breakdown as on 31-Dec-2023</t>
  </si>
  <si>
    <t>2.41x</t>
  </si>
  <si>
    <t>Liquidity table as of 4Q23</t>
  </si>
  <si>
    <t>3Q23</t>
  </si>
  <si>
    <t>Exchange rate as at end 3Q23</t>
  </si>
  <si>
    <t>Average exchange rate for 3Q23</t>
  </si>
  <si>
    <t>Debt Breakdown as on 30-Sept-2023</t>
  </si>
  <si>
    <t>2.50x</t>
  </si>
  <si>
    <t>Liquidity table as of 3Q23</t>
  </si>
  <si>
    <t>2028 and onwards</t>
  </si>
  <si>
    <t>2Q23</t>
  </si>
  <si>
    <t>Exchange rate as at end 2Q23</t>
  </si>
  <si>
    <t>Average exchange rate for 2Q23</t>
  </si>
  <si>
    <t>Debt Breakdown as on 30-Jun-2023</t>
  </si>
  <si>
    <t>2.55x</t>
  </si>
  <si>
    <t>Liquidity table as of 2Q23</t>
  </si>
  <si>
    <t>1Q23</t>
  </si>
  <si>
    <t>Exchange rate as at end 1Q23</t>
  </si>
  <si>
    <t>Average exchange rate for 1Q23</t>
  </si>
  <si>
    <t>Debt Breakdown as on 31-Mar-2023</t>
  </si>
  <si>
    <t>2.26x</t>
  </si>
  <si>
    <t>Liquidity table as of 1Q23</t>
  </si>
  <si>
    <t>FY22</t>
  </si>
  <si>
    <t>Exchange rate as at end FY22</t>
  </si>
  <si>
    <t>Average exchange rate for FY22</t>
  </si>
  <si>
    <t>(company reported net debt)</t>
  </si>
  <si>
    <t>Debt Breakdown as on 31-Dec-2022</t>
  </si>
  <si>
    <t>Cash and Short-Term Investments</t>
  </si>
  <si>
    <t>Liquidity table as of FY22</t>
  </si>
  <si>
    <t>3Q22</t>
  </si>
  <si>
    <t>Exchange rate as at end 3Q22</t>
  </si>
  <si>
    <t>Average exchange rate for LTM 3Q22</t>
  </si>
  <si>
    <t>Debt Breakdown as on 30-Sept-2022</t>
  </si>
  <si>
    <t>Liquidity table as of 3Q22</t>
  </si>
  <si>
    <t>2027 and onwards</t>
  </si>
  <si>
    <t>2Q22</t>
  </si>
  <si>
    <t>Exchange rate as at end 2Q22</t>
  </si>
  <si>
    <t>Average exchange rate for LTM 2Q22</t>
  </si>
  <si>
    <t>Debt Breakdown as on 30-June-2022</t>
  </si>
  <si>
    <t>Liquidity table as of 2Q22</t>
  </si>
  <si>
    <t>1Q22</t>
  </si>
  <si>
    <t>Exchange rate as at end 1Q22</t>
  </si>
  <si>
    <t>Average exchange rate for LTM 1Q22</t>
  </si>
  <si>
    <t>Debt Breakdown as on 31-Mar-2022</t>
  </si>
  <si>
    <t>Liquidity table as of 1Q22</t>
  </si>
  <si>
    <t>4Q21</t>
  </si>
  <si>
    <t>Exchange rate as at end 4Q21</t>
  </si>
  <si>
    <t>Average exchange rate for LTM 4Q21</t>
  </si>
  <si>
    <t>Debt Breakdown as on 31-Dec-2021</t>
  </si>
  <si>
    <t>Liquidity table as of 4Q21</t>
  </si>
  <si>
    <t>2026 and onwards</t>
  </si>
  <si>
    <t>3Q21</t>
  </si>
  <si>
    <t>Exchange rate as at end 3Q21</t>
  </si>
  <si>
    <t>Average exchange rate for LTM 3Q21</t>
  </si>
  <si>
    <t>Debt Breakdown as on 30-Sep-2021</t>
  </si>
  <si>
    <t>Liquidity table as of 3Q21</t>
  </si>
  <si>
    <t>2Q21</t>
  </si>
  <si>
    <t>Exchange rate as at end 2Q21</t>
  </si>
  <si>
    <t>Average exchange rate for LTM 2Q21</t>
  </si>
  <si>
    <t>Debt Breakdown as on 30-Jun-2021</t>
  </si>
  <si>
    <t>Liquidity table as of 2Q21</t>
  </si>
  <si>
    <t>1Q21</t>
  </si>
  <si>
    <t>Exchange rate as at end 1Q21</t>
  </si>
  <si>
    <t>Average exchange rate for LTM 1Q21</t>
  </si>
  <si>
    <t>Debt Breakdown as on 31-Mar-2021</t>
  </si>
  <si>
    <t>Liquidity table as of 1Q21</t>
  </si>
  <si>
    <t>4Q20</t>
  </si>
  <si>
    <t>Exchange rate as at end 4Q20</t>
  </si>
  <si>
    <t>Average exchange rate for LTM 4Q20</t>
  </si>
  <si>
    <t>Debt Breakdown as on 31-Dec-2020</t>
  </si>
  <si>
    <t>Liquidity table as of 4Q20</t>
  </si>
  <si>
    <t>3Q20</t>
  </si>
  <si>
    <t>Exchange rate as at end 3Q20</t>
  </si>
  <si>
    <t>Average exchange rate for LTM 3Q20</t>
  </si>
  <si>
    <t>Debt Breakdown as on 30-Sep-2020</t>
  </si>
  <si>
    <t>Liquidity table as of 3Q20</t>
  </si>
  <si>
    <t>2025 and onwards</t>
  </si>
  <si>
    <t>2Q20</t>
  </si>
  <si>
    <t>Exchange rate as at end 2Q20</t>
  </si>
  <si>
    <t>Average exchange rate for LTM 2Q20</t>
  </si>
  <si>
    <t>Debt Breakdown as on 30-Jun-2020</t>
  </si>
  <si>
    <t>Liquidity table as of 2Q20</t>
  </si>
  <si>
    <t>1Q20</t>
  </si>
  <si>
    <t>Exchange rate as at end 1Q20</t>
  </si>
  <si>
    <t>Average exchange rate for LTM 1Q20</t>
  </si>
  <si>
    <t>Proforma</t>
  </si>
  <si>
    <t>Debt Breakdown as on 31-Mar-2020</t>
  </si>
  <si>
    <t>PLDT INC.</t>
  </si>
  <si>
    <t>Annual</t>
  </si>
  <si>
    <t>LTM</t>
  </si>
  <si>
    <t>Quarter</t>
  </si>
  <si>
    <t>(PHP millions)</t>
  </si>
  <si>
    <t>Act</t>
  </si>
  <si>
    <t>Restated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</si>
  <si>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</si>
  <si>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</si>
  <si>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</si>
  <si>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</si>
  <si>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</si>
  <si>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</si>
  <si>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</si>
  <si>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</si>
  <si>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</si>
  <si>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Q1 18</t>
  </si>
  <si>
    <t>Q2 18</t>
  </si>
  <si>
    <t>Q3 18</t>
  </si>
  <si>
    <t>Q4 18</t>
  </si>
  <si>
    <t>Q1 19</t>
  </si>
  <si>
    <t>Q2 19</t>
  </si>
  <si>
    <t>Q3 19</t>
  </si>
  <si>
    <t>Q4 19</t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</si>
  <si>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</si>
  <si>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</si>
  <si>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</si>
  <si>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</si>
  <si>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</si>
  <si>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</si>
  <si>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</si>
  <si>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</si>
  <si>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</si>
  <si>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</si>
  <si>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</si>
  <si>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</si>
  <si>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</si>
  <si>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</si>
  <si>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</si>
  <si>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</si>
  <si>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</si>
  <si>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</si>
  <si>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</si>
  <si>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</si>
  <si>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Q1 25</t>
  </si>
  <si>
    <t>Q2 25</t>
  </si>
  <si>
    <t>Q3 25</t>
  </si>
  <si>
    <t>Q4 25</t>
  </si>
  <si>
    <t>Q1 26</t>
  </si>
  <si>
    <t>INCOME STATEMENT</t>
  </si>
  <si>
    <t>Service revenues</t>
  </si>
  <si>
    <t xml:space="preserve">% growth </t>
  </si>
  <si>
    <t>Non-service revenues</t>
  </si>
  <si>
    <t>Total revenue</t>
  </si>
  <si>
    <t>Expenses</t>
  </si>
  <si>
    <t>Cost of sales and services</t>
  </si>
  <si>
    <t>Selling, general and administrative expenses</t>
  </si>
  <si>
    <t xml:space="preserve">Interconnection costs </t>
  </si>
  <si>
    <t>Depreciation and amortisation</t>
  </si>
  <si>
    <t xml:space="preserve">Asset impairment </t>
  </si>
  <si>
    <t>Operating profit</t>
  </si>
  <si>
    <t>% margin</t>
  </si>
  <si>
    <t>Other expenses - net</t>
  </si>
  <si>
    <t>Profit before tax</t>
  </si>
  <si>
    <t xml:space="preserve">Income  Tax Expense </t>
  </si>
  <si>
    <t>Net profit/loss from continuing operations</t>
  </si>
  <si>
    <t>Net Loss From Discontinued Operations</t>
  </si>
  <si>
    <t>Net profit/loss</t>
  </si>
  <si>
    <t>Net income attributACle to non-controlling interests</t>
  </si>
  <si>
    <t>Net income attributACle to shareholders</t>
  </si>
  <si>
    <t>Check</t>
  </si>
  <si>
    <t>As % of service revenues unless stated otherwise</t>
  </si>
  <si>
    <t>PBT</t>
  </si>
  <si>
    <t xml:space="preserve">Income  Tax Expense as a % PBT </t>
  </si>
  <si>
    <t>Working capital/sales</t>
  </si>
  <si>
    <t xml:space="preserve">EBITDA </t>
  </si>
  <si>
    <t>Depreciation &amp; amortisation</t>
  </si>
  <si>
    <t>Adjustment</t>
  </si>
  <si>
    <t xml:space="preserve">Adj. EBITDA </t>
  </si>
  <si>
    <t xml:space="preserve">Rent </t>
  </si>
  <si>
    <t>Adj. EBITDAR</t>
  </si>
  <si>
    <t>rent % of sales</t>
  </si>
  <si>
    <t>CASH FLOW</t>
  </si>
  <si>
    <t xml:space="preserve">Adj EBITDA </t>
  </si>
  <si>
    <t>Working Capital</t>
  </si>
  <si>
    <t>Taxes</t>
  </si>
  <si>
    <t>Cash interest paid</t>
  </si>
  <si>
    <t xml:space="preserve">Net cash from operations </t>
  </si>
  <si>
    <t>Net Capex</t>
  </si>
  <si>
    <t>Acquisitions investments in associates and joint ventures  / (Asset Sales)</t>
  </si>
  <si>
    <t xml:space="preserve">Free cash flow </t>
  </si>
  <si>
    <t>Other investing activities</t>
  </si>
  <si>
    <t>Dividends / Equity movements</t>
  </si>
  <si>
    <t>Principal Repayments</t>
  </si>
  <si>
    <t>Other financing activities</t>
  </si>
  <si>
    <t>Cash flow after financing activities</t>
  </si>
  <si>
    <t>Balancing figure</t>
  </si>
  <si>
    <t xml:space="preserve">FX </t>
  </si>
  <si>
    <t xml:space="preserve">Net change in cash </t>
  </si>
  <si>
    <t>Cash and cash equivalents</t>
  </si>
  <si>
    <t>LTM  METRICS</t>
  </si>
  <si>
    <t>Revenue</t>
  </si>
  <si>
    <t xml:space="preserve">Operating profit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</si>
  <si>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</si>
  <si>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</si>
  <si>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</si>
  <si>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</si>
  <si>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</si>
  <si>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</si>
  <si>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Pension and other employee benefits</t>
  </si>
  <si>
    <t>Inventory</t>
  </si>
  <si>
    <t>Trade debtors</t>
  </si>
  <si>
    <t xml:space="preserve">Trade creditors </t>
  </si>
  <si>
    <t>Net working capital</t>
  </si>
  <si>
    <t>% of revenues</t>
  </si>
  <si>
    <t>Inventory Days</t>
  </si>
  <si>
    <t>Receivable Days</t>
  </si>
  <si>
    <t>Payable Days</t>
  </si>
  <si>
    <t xml:space="preserve">Debt  Breakdown </t>
  </si>
  <si>
    <t>Long-term debt</t>
  </si>
  <si>
    <t>Lease Obligations</t>
  </si>
  <si>
    <t>Total Lease</t>
  </si>
  <si>
    <t>Debt  Including Lease</t>
  </si>
  <si>
    <t>Total Cash &amp; cash equivalents</t>
  </si>
  <si>
    <t>Cash &amp; cash equivalents</t>
  </si>
  <si>
    <t>Short-term investments</t>
  </si>
  <si>
    <t>Net Debt</t>
  </si>
  <si>
    <t xml:space="preserve">Gross Debt </t>
  </si>
  <si>
    <t>Company reported net debt</t>
  </si>
  <si>
    <t>Equity (as reported on balance sheet)</t>
  </si>
  <si>
    <t>Total debt + Equity</t>
  </si>
  <si>
    <t>CREDIT RATIOS</t>
  </si>
  <si>
    <t>Total Net Leverage exc lease</t>
  </si>
  <si>
    <t>Total Gross Leverage  exc lease</t>
  </si>
  <si>
    <t>Total Net Leverage including lease</t>
  </si>
  <si>
    <t>Total Gross Leverage  including lease</t>
  </si>
  <si>
    <t>Net Leverage (based on company reported debt)</t>
  </si>
  <si>
    <t>EBITDA - Capex / Interest</t>
  </si>
  <si>
    <t>EBITDA/Interest</t>
  </si>
  <si>
    <t xml:space="preserve">Gearing (Net debt / Equity) </t>
  </si>
  <si>
    <t>Key  Credit Metrics (PHP Mn where applicable)</t>
  </si>
  <si>
    <t xml:space="preserve">Revenues </t>
  </si>
  <si>
    <t>Adj. EBITDA</t>
  </si>
  <si>
    <t>Adj. EBITDA Margin</t>
  </si>
  <si>
    <t>Cash</t>
  </si>
  <si>
    <t>Gross Leverage</t>
  </si>
  <si>
    <t xml:space="preserve">Net Leverage </t>
  </si>
  <si>
    <t xml:space="preserve">Model Summary </t>
  </si>
  <si>
    <t xml:space="preserve">Sales </t>
  </si>
  <si>
    <t>Gross Debt</t>
  </si>
  <si>
    <t>FX rate average - USD/PHP</t>
  </si>
  <si>
    <t>FX rate  - USD/PHP (as at end of period)</t>
  </si>
  <si>
    <t>Key  Credit Metrics (USD Mn where applicACle)</t>
  </si>
  <si>
    <t>(USD millions)</t>
  </si>
  <si>
    <t>Gross Total Debt</t>
  </si>
  <si>
    <t>Net Total Debt</t>
  </si>
  <si>
    <t>Quarterly</t>
  </si>
  <si>
    <t>FY</t>
  </si>
  <si>
    <t>Q1</t>
  </si>
  <si>
    <t>Q2</t>
  </si>
  <si>
    <t>Q3</t>
  </si>
  <si>
    <t>Q4</t>
  </si>
  <si>
    <t>Revenue by business segment</t>
  </si>
  <si>
    <t>Wireless</t>
  </si>
  <si>
    <t>Fixed Line</t>
  </si>
  <si>
    <t>Others.</t>
  </si>
  <si>
    <t>Inter-segment transactions</t>
  </si>
  <si>
    <t>Revenue by business segment (Share %)</t>
  </si>
  <si>
    <t>Revenue by business segment (YoY % Growth)</t>
  </si>
  <si>
    <t>EBITDA by business segment</t>
  </si>
  <si>
    <t>Discontinued Operations</t>
  </si>
  <si>
    <t>Mobile Subscribers by Category</t>
  </si>
  <si>
    <t>Prepaid</t>
  </si>
  <si>
    <t>Smart Prepaid</t>
  </si>
  <si>
    <t>Sun Prepaid</t>
  </si>
  <si>
    <t>TNT</t>
  </si>
  <si>
    <t>Postpaid</t>
  </si>
  <si>
    <t>Smart Postpaid</t>
  </si>
  <si>
    <t>Sun Postpaid</t>
  </si>
  <si>
    <t>Subscriber Base: Fixed Line and Broadband</t>
  </si>
  <si>
    <t>Fixed Line Subscribers</t>
  </si>
  <si>
    <t>Broadband Subscribers</t>
  </si>
  <si>
    <t>Fixed Line Broadband</t>
  </si>
  <si>
    <t>Fixed Wireless Broadband</t>
  </si>
  <si>
    <t>Average monthly churn rates</t>
  </si>
  <si>
    <t>ARPU</t>
  </si>
  <si>
    <t>Mobile ARPU, Net</t>
  </si>
  <si>
    <t>Broadband ARPU, Net :</t>
  </si>
  <si>
    <t>Fibre ARPU</t>
  </si>
  <si>
    <t>Mobile ARPU, Gross</t>
  </si>
  <si>
    <t>Broadband ARPU,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</si>
</sst>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 * #,##0.00_ ;_ * \-#,##0.00_ ;_ * &quot;-&quot;??_ ;_ @_ "/>
    <numFmt numFmtId="165" formatCode="mmm\ yyyy"/>
    <numFmt numFmtId="166" formatCode="#,##0.0_);\(#,##0.0\)"/>
    <numFmt numFmtId="167" formatCode="0.0%"/>
    <numFmt numFmtId="168" formatCode="_(* #,##0_);_(* \(#,##0\);_(* &quot;-&quot;??_);_(@_)"/>
    <numFmt numFmtId="169" formatCode="0.0"/>
    <numFmt numFmtId="170" formatCode="_(* #,##0.0_);_(* \(#,##0.0\);_(* &quot;-&quot;??_);_(@_)"/>
    <numFmt numFmtId="171" formatCode="#0.0\x"/>
    <numFmt numFmtId="172" formatCode="#0.0%_);\(#0.0%\)"/>
    <numFmt numFmtId="173" formatCode="0.0\x"/>
    <numFmt numFmtId="174" formatCode="#,##0.0"/>
    <numFmt numFmtId="175" formatCode="#,##0.000_);\(#,##0.000\)"/>
    <numFmt numFmtId="176" formatCode="#,##0.000000_);\(#,##0.000000\)"/>
    <numFmt numFmtId="177" formatCode="_(* #,##0.0_);_(* \(#,##0.0\);_(* &quot;-&quot;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" fillId="0" borderId="0"/>
  </cellStyleXfs>
  <cellXfs count="348">
    <xf numFmtId="0" fontId="0" fillId="0" borderId="0" xfId="0"/>
    <xf numFmtId="0" fontId="4" fillId="0" borderId="0" xfId="0" applyFont="1"/>
    <xf numFmtId="0" fontId="5" fillId="0" borderId="0" xfId="0" applyFont="1"/>
    <xf numFmtId="164" fontId="6" fillId="0" borderId="0" xfId="1" applyFont="1" applyFill="1" applyBorder="1" applyAlignment="1">
      <alignment horizontal="center"/>
    </xf>
    <xf numFmtId="0" fontId="5" fillId="2" borderId="2" xfId="0" applyFont="1" applyFill="1" applyBorder="1"/>
    <xf numFmtId="166" fontId="6" fillId="0" borderId="0" xfId="0" applyNumberFormat="1" applyFont="1"/>
    <xf numFmtId="166" fontId="5" fillId="0" borderId="0" xfId="0" applyNumberFormat="1" applyFont="1"/>
    <xf numFmtId="0" fontId="7" fillId="0" borderId="0" xfId="0" applyFont="1"/>
    <xf numFmtId="0" fontId="7" fillId="3" borderId="0" xfId="0" applyFont="1" applyFill="1" applyAlignment="1">
      <alignment horizontal="left" indent="1"/>
    </xf>
    <xf numFmtId="167" fontId="7" fillId="3" borderId="0" xfId="2" applyNumberFormat="1" applyFont="1" applyFill="1"/>
    <xf numFmtId="167" fontId="8" fillId="3" borderId="0" xfId="2" applyNumberFormat="1" applyFont="1" applyFill="1"/>
    <xf numFmtId="166" fontId="9" fillId="0" borderId="0" xfId="0" applyNumberFormat="1" applyFont="1"/>
    <xf numFmtId="166" fontId="4" fillId="0" borderId="0" xfId="0" applyNumberFormat="1" applyFont="1"/>
    <xf numFmtId="167" fontId="8" fillId="0" borderId="0" xfId="2" applyNumberFormat="1" applyFont="1" applyFill="1"/>
    <xf numFmtId="166" fontId="10" fillId="0" borderId="0" xfId="0" applyNumberFormat="1" applyFont="1"/>
    <xf numFmtId="166" fontId="11" fillId="0" borderId="0" xfId="0" applyNumberFormat="1" applyFont="1"/>
    <xf numFmtId="0" fontId="4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indent="1"/>
    </xf>
    <xf numFmtId="168" fontId="12" fillId="0" borderId="0" xfId="1" applyNumberFormat="1" applyFont="1" applyFill="1"/>
    <xf numFmtId="0" fontId="7" fillId="3" borderId="0" xfId="0" applyFont="1" applyFill="1"/>
    <xf numFmtId="0" fontId="4" fillId="3" borderId="0" xfId="0" applyFont="1" applyFill="1"/>
    <xf numFmtId="167" fontId="7" fillId="0" borderId="0" xfId="2" applyNumberFormat="1" applyFont="1" applyFill="1"/>
    <xf numFmtId="0" fontId="7" fillId="0" borderId="0" xfId="0" applyFont="1" applyAlignment="1">
      <alignment horizontal="left" indent="1"/>
    </xf>
    <xf numFmtId="166" fontId="9" fillId="0" borderId="0" xfId="0" applyNumberFormat="1" applyFont="1" applyAlignment="1">
      <alignment horizontal="right"/>
    </xf>
    <xf numFmtId="170" fontId="11" fillId="0" borderId="0" xfId="1" applyNumberFormat="1" applyFont="1" applyFill="1" applyBorder="1"/>
    <xf numFmtId="166" fontId="14" fillId="0" borderId="0" xfId="0" applyNumberFormat="1" applyFont="1"/>
    <xf numFmtId="0" fontId="5" fillId="0" borderId="0" xfId="0" applyFont="1" applyAlignment="1">
      <alignment horizontal="left"/>
    </xf>
    <xf numFmtId="166" fontId="4" fillId="0" borderId="0" xfId="0" applyNumberFormat="1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left" indent="1"/>
    </xf>
    <xf numFmtId="168" fontId="15" fillId="0" borderId="0" xfId="1" applyNumberFormat="1" applyFont="1" applyFill="1"/>
    <xf numFmtId="0" fontId="7" fillId="3" borderId="0" xfId="0" applyFont="1" applyFill="1" applyAlignment="1">
      <alignment horizontal="left"/>
    </xf>
    <xf numFmtId="167" fontId="7" fillId="3" borderId="0" xfId="0" applyNumberFormat="1" applyFont="1" applyFill="1"/>
    <xf numFmtId="166" fontId="13" fillId="0" borderId="0" xfId="0" applyNumberFormat="1" applyFont="1"/>
    <xf numFmtId="166" fontId="11" fillId="0" borderId="0" xfId="2" applyNumberFormat="1" applyFont="1" applyFill="1"/>
    <xf numFmtId="166" fontId="11" fillId="0" borderId="0" xfId="3" applyNumberFormat="1" applyFont="1" applyFill="1"/>
    <xf numFmtId="168" fontId="4" fillId="0" borderId="0" xfId="1" applyNumberFormat="1" applyFont="1" applyFill="1"/>
    <xf numFmtId="171" fontId="4" fillId="0" borderId="0" xfId="0" applyNumberFormat="1" applyFont="1"/>
    <xf numFmtId="171" fontId="5" fillId="0" borderId="0" xfId="0" applyNumberFormat="1" applyFont="1"/>
    <xf numFmtId="171" fontId="4" fillId="0" borderId="0" xfId="0" applyNumberFormat="1" applyFont="1" applyAlignment="1">
      <alignment horizontal="right"/>
    </xf>
    <xf numFmtId="172" fontId="5" fillId="0" borderId="0" xfId="0" applyNumberFormat="1" applyFont="1"/>
    <xf numFmtId="0" fontId="5" fillId="2" borderId="3" xfId="0" applyFont="1" applyFill="1" applyBorder="1"/>
    <xf numFmtId="165" fontId="5" fillId="2" borderId="3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167" fontId="4" fillId="0" borderId="0" xfId="2" applyNumberFormat="1" applyFont="1" applyFill="1" applyBorder="1"/>
    <xf numFmtId="173" fontId="4" fillId="0" borderId="0" xfId="0" applyNumberFormat="1" applyFont="1"/>
    <xf numFmtId="173" fontId="4" fillId="0" borderId="0" xfId="0" applyNumberFormat="1" applyFont="1" applyAlignment="1">
      <alignment horizontal="right"/>
    </xf>
    <xf numFmtId="0" fontId="3" fillId="2" borderId="3" xfId="0" applyFont="1" applyFill="1" applyBorder="1" applyAlignment="1">
      <alignment horizontal="left"/>
    </xf>
    <xf numFmtId="166" fontId="5" fillId="0" borderId="0" xfId="0" applyNumberFormat="1" applyFont="1" applyAlignment="1">
      <alignment horizontal="right"/>
    </xf>
    <xf numFmtId="167" fontId="7" fillId="3" borderId="0" xfId="2" applyNumberFormat="1" applyFont="1" applyFill="1" applyAlignment="1">
      <alignment horizontal="right"/>
    </xf>
    <xf numFmtId="0" fontId="5" fillId="0" borderId="4" xfId="0" applyFont="1" applyBorder="1"/>
    <xf numFmtId="166" fontId="5" fillId="0" borderId="4" xfId="0" applyNumberFormat="1" applyFont="1" applyBorder="1" applyAlignment="1">
      <alignment horizontal="right"/>
    </xf>
    <xf numFmtId="37" fontId="4" fillId="0" borderId="0" xfId="0" applyNumberFormat="1" applyFont="1" applyAlignment="1">
      <alignment horizontal="right"/>
    </xf>
    <xf numFmtId="173" fontId="5" fillId="0" borderId="0" xfId="0" applyNumberFormat="1" applyFont="1" applyAlignment="1">
      <alignment horizontal="right"/>
    </xf>
    <xf numFmtId="164" fontId="11" fillId="4" borderId="0" xfId="1" applyFont="1" applyFill="1"/>
    <xf numFmtId="164" fontId="11" fillId="0" borderId="0" xfId="1" applyFont="1" applyFill="1"/>
    <xf numFmtId="164" fontId="4" fillId="0" borderId="0" xfId="1" applyFont="1" applyFill="1"/>
    <xf numFmtId="0" fontId="5" fillId="0" borderId="0" xfId="4" applyFont="1"/>
    <xf numFmtId="0" fontId="4" fillId="0" borderId="0" xfId="4" applyFont="1" applyAlignment="1">
      <alignment horizontal="left"/>
    </xf>
    <xf numFmtId="166" fontId="9" fillId="0" borderId="0" xfId="4" applyNumberFormat="1" applyFont="1"/>
    <xf numFmtId="166" fontId="4" fillId="0" borderId="0" xfId="4" applyNumberFormat="1" applyFont="1"/>
    <xf numFmtId="165" fontId="5" fillId="2" borderId="2" xfId="0" applyNumberFormat="1" applyFont="1" applyFill="1" applyBorder="1"/>
    <xf numFmtId="166" fontId="4" fillId="5" borderId="0" xfId="0" applyNumberFormat="1" applyFont="1" applyFill="1"/>
    <xf numFmtId="0" fontId="4" fillId="0" borderId="0" xfId="4" applyFont="1"/>
    <xf numFmtId="166" fontId="5" fillId="0" borderId="0" xfId="4" applyNumberFormat="1" applyFont="1"/>
    <xf numFmtId="171" fontId="5" fillId="0" borderId="0" xfId="4" applyNumberFormat="1" applyFont="1"/>
    <xf numFmtId="171" fontId="4" fillId="0" borderId="0" xfId="4" applyNumberFormat="1" applyFont="1"/>
    <xf numFmtId="9" fontId="5" fillId="0" borderId="0" xfId="2" applyFont="1" applyFill="1" applyBorder="1"/>
    <xf numFmtId="171" fontId="4" fillId="5" borderId="0" xfId="4" applyNumberFormat="1" applyFont="1" applyFill="1"/>
    <xf numFmtId="171" fontId="4" fillId="5" borderId="0" xfId="0" applyNumberFormat="1" applyFont="1" applyFill="1"/>
    <xf numFmtId="171" fontId="4" fillId="5" borderId="0" xfId="0" applyNumberFormat="1" applyFont="1" applyFill="1" applyAlignment="1">
      <alignment horizontal="right"/>
    </xf>
    <xf numFmtId="172" fontId="5" fillId="5" borderId="0" xfId="0" applyNumberFormat="1" applyFont="1" applyFill="1"/>
    <xf numFmtId="167" fontId="4" fillId="0" borderId="0" xfId="2" applyNumberFormat="1" applyFont="1"/>
    <xf numFmtId="166" fontId="4" fillId="5" borderId="0" xfId="0" applyNumberFormat="1" applyFont="1" applyFill="1" applyAlignment="1">
      <alignment horizontal="right"/>
    </xf>
    <xf numFmtId="165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"/>
    </xf>
    <xf numFmtId="164" fontId="19" fillId="0" borderId="0" xfId="1" applyFont="1" applyFill="1" applyBorder="1" applyAlignment="1">
      <alignment horizontal="left"/>
    </xf>
    <xf numFmtId="164" fontId="16" fillId="0" borderId="0" xfId="1" applyFont="1" applyFill="1" applyBorder="1" applyAlignment="1">
      <alignment horizontal="left"/>
    </xf>
    <xf numFmtId="3" fontId="11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5" fillId="0" borderId="0" xfId="1" applyNumberFormat="1" applyFont="1" applyFill="1" applyBorder="1" applyAlignment="1">
      <alignment horizontal="left"/>
    </xf>
    <xf numFmtId="168" fontId="5" fillId="0" borderId="0" xfId="1" applyNumberFormat="1" applyFont="1" applyFill="1" applyBorder="1" applyAlignment="1">
      <alignment horizontal="center"/>
    </xf>
    <xf numFmtId="168" fontId="4" fillId="0" borderId="0" xfId="1" applyNumberFormat="1" applyFont="1" applyFill="1" applyBorder="1"/>
    <xf numFmtId="164" fontId="12" fillId="0" borderId="0" xfId="1" applyFont="1" applyFill="1" applyBorder="1" applyAlignment="1">
      <alignment horizontal="left"/>
    </xf>
    <xf numFmtId="168" fontId="6" fillId="0" borderId="0" xfId="1" applyNumberFormat="1" applyFont="1" applyFill="1" applyBorder="1" applyAlignment="1">
      <alignment horizontal="center"/>
    </xf>
    <xf numFmtId="9" fontId="4" fillId="0" borderId="0" xfId="2" applyFont="1" applyFill="1" applyBorder="1" applyAlignment="1"/>
    <xf numFmtId="9" fontId="5" fillId="0" borderId="0" xfId="2" applyFont="1" applyFill="1" applyBorder="1" applyAlignment="1"/>
    <xf numFmtId="3" fontId="5" fillId="0" borderId="0" xfId="0" applyNumberFormat="1" applyFont="1"/>
    <xf numFmtId="168" fontId="4" fillId="0" borderId="0" xfId="1" applyNumberFormat="1" applyFont="1" applyFill="1" applyAlignment="1">
      <alignment horizontal="left" indent="1"/>
    </xf>
    <xf numFmtId="3" fontId="16" fillId="0" borderId="0" xfId="1" applyNumberFormat="1" applyFont="1"/>
    <xf numFmtId="3" fontId="16" fillId="0" borderId="0" xfId="1" applyNumberFormat="1" applyFont="1" applyFill="1"/>
    <xf numFmtId="0" fontId="4" fillId="0" borderId="0" xfId="0" applyFont="1" applyAlignment="1">
      <alignment horizontal="left" indent="3"/>
    </xf>
    <xf numFmtId="3" fontId="11" fillId="0" borderId="0" xfId="0" applyNumberFormat="1" applyFont="1"/>
    <xf numFmtId="3" fontId="4" fillId="0" borderId="0" xfId="0" applyNumberFormat="1" applyFont="1"/>
    <xf numFmtId="0" fontId="4" fillId="0" borderId="0" xfId="0" applyFont="1" applyAlignment="1">
      <alignment horizontal="left" indent="1"/>
    </xf>
    <xf numFmtId="174" fontId="11" fillId="0" borderId="0" xfId="0" applyNumberFormat="1" applyFont="1"/>
    <xf numFmtId="168" fontId="16" fillId="0" borderId="0" xfId="0" applyNumberFormat="1" applyFont="1"/>
    <xf numFmtId="174" fontId="16" fillId="0" borderId="0" xfId="0" applyNumberFormat="1" applyFont="1"/>
    <xf numFmtId="174" fontId="4" fillId="0" borderId="0" xfId="0" applyNumberFormat="1" applyFont="1"/>
    <xf numFmtId="0" fontId="5" fillId="0" borderId="0" xfId="0" applyFont="1" applyAlignment="1">
      <alignment horizontal="left" indent="1"/>
    </xf>
    <xf numFmtId="10" fontId="11" fillId="0" borderId="0" xfId="0" applyNumberFormat="1" applyFont="1"/>
    <xf numFmtId="0" fontId="20" fillId="0" borderId="0" xfId="0" applyFont="1"/>
    <xf numFmtId="0" fontId="5" fillId="0" borderId="0" xfId="5" applyFont="1"/>
    <xf numFmtId="0" fontId="5" fillId="0" borderId="0" xfId="5" applyFont="1" applyAlignment="1">
      <alignment wrapText="1"/>
    </xf>
    <xf numFmtId="175" fontId="5" fillId="0" borderId="0" xfId="0" applyNumberFormat="1" applyFont="1" applyAlignment="1">
      <alignment horizontal="right"/>
    </xf>
    <xf numFmtId="0" fontId="13" fillId="0" borderId="0" xfId="5" applyFont="1" applyAlignment="1">
      <alignment wrapText="1"/>
    </xf>
    <xf numFmtId="17" fontId="5" fillId="3" borderId="6" xfId="5" applyNumberFormat="1" applyFont="1" applyFill="1" applyBorder="1" applyAlignment="1">
      <alignment horizontal="left" vertical="center" wrapText="1"/>
    </xf>
    <xf numFmtId="17" fontId="5" fillId="3" borderId="6" xfId="5" applyNumberFormat="1" applyFont="1" applyFill="1" applyBorder="1" applyAlignment="1">
      <alignment horizontal="center" vertical="center" wrapText="1"/>
    </xf>
    <xf numFmtId="0" fontId="5" fillId="3" borderId="6" xfId="5" applyFont="1" applyFill="1" applyBorder="1" applyAlignment="1">
      <alignment horizontal="right" wrapText="1"/>
    </xf>
    <xf numFmtId="0" fontId="4" fillId="3" borderId="0" xfId="5" applyFont="1" applyFill="1" applyAlignment="1">
      <alignment horizontal="left"/>
    </xf>
    <xf numFmtId="168" fontId="11" fillId="3" borderId="0" xfId="1" applyNumberFormat="1" applyFont="1" applyFill="1" applyBorder="1" applyAlignment="1">
      <alignment horizontal="center" wrapText="1"/>
    </xf>
    <xf numFmtId="168" fontId="4" fillId="3" borderId="0" xfId="1" applyNumberFormat="1" applyFont="1" applyFill="1" applyBorder="1" applyAlignment="1">
      <alignment horizontal="center" wrapText="1"/>
    </xf>
    <xf numFmtId="0" fontId="4" fillId="3" borderId="0" xfId="5" applyFont="1" applyFill="1" applyAlignment="1">
      <alignment horizontal="right" wrapText="1"/>
    </xf>
    <xf numFmtId="0" fontId="4" fillId="3" borderId="0" xfId="5" applyFont="1" applyFill="1" applyAlignment="1">
      <alignment horizontal="left" indent="2"/>
    </xf>
    <xf numFmtId="0" fontId="4" fillId="3" borderId="0" xfId="5" applyFont="1" applyFill="1" applyAlignment="1">
      <alignment horizontal="left" indent="1"/>
    </xf>
    <xf numFmtId="0" fontId="4" fillId="3" borderId="0" xfId="5" applyFont="1" applyFill="1"/>
    <xf numFmtId="168" fontId="4" fillId="3" borderId="0" xfId="5" applyNumberFormat="1" applyFont="1" applyFill="1" applyAlignment="1">
      <alignment horizontal="right" wrapText="1"/>
    </xf>
    <xf numFmtId="0" fontId="5" fillId="3" borderId="0" xfId="5" applyFont="1" applyFill="1"/>
    <xf numFmtId="168" fontId="5" fillId="3" borderId="0" xfId="1" applyNumberFormat="1" applyFont="1" applyFill="1" applyBorder="1" applyAlignment="1">
      <alignment horizontal="center" wrapText="1"/>
    </xf>
    <xf numFmtId="0" fontId="5" fillId="3" borderId="0" xfId="5" applyFont="1" applyFill="1" applyAlignment="1">
      <alignment horizontal="right" wrapText="1"/>
    </xf>
    <xf numFmtId="168" fontId="5" fillId="3" borderId="0" xfId="5" applyNumberFormat="1" applyFont="1" applyFill="1" applyAlignment="1">
      <alignment horizontal="right" wrapText="1"/>
    </xf>
    <xf numFmtId="0" fontId="5" fillId="3" borderId="6" xfId="5" applyFont="1" applyFill="1" applyBorder="1"/>
    <xf numFmtId="168" fontId="5" fillId="3" borderId="6" xfId="1" applyNumberFormat="1" applyFont="1" applyFill="1" applyBorder="1"/>
    <xf numFmtId="173" fontId="5" fillId="3" borderId="6" xfId="5" applyNumberFormat="1" applyFont="1" applyFill="1" applyBorder="1"/>
    <xf numFmtId="173" fontId="4" fillId="3" borderId="0" xfId="5" applyNumberFormat="1" applyFont="1" applyFill="1"/>
    <xf numFmtId="168" fontId="4" fillId="3" borderId="0" xfId="5" applyNumberFormat="1" applyFont="1" applyFill="1"/>
    <xf numFmtId="173" fontId="5" fillId="3" borderId="0" xfId="5" applyNumberFormat="1" applyFont="1" applyFill="1"/>
    <xf numFmtId="168" fontId="5" fillId="3" borderId="0" xfId="1" applyNumberFormat="1" applyFont="1" applyFill="1" applyBorder="1"/>
    <xf numFmtId="168" fontId="4" fillId="3" borderId="0" xfId="0" applyNumberFormat="1" applyFont="1" applyFill="1"/>
    <xf numFmtId="0" fontId="15" fillId="0" borderId="0" xfId="5" applyFont="1"/>
    <xf numFmtId="0" fontId="5" fillId="3" borderId="3" xfId="5" applyFont="1" applyFill="1" applyBorder="1" applyAlignment="1">
      <alignment wrapText="1"/>
    </xf>
    <xf numFmtId="0" fontId="5" fillId="3" borderId="0" xfId="5" applyFont="1" applyFill="1" applyAlignment="1">
      <alignment wrapText="1"/>
    </xf>
    <xf numFmtId="0" fontId="4" fillId="6" borderId="0" xfId="5" applyFont="1" applyFill="1" applyAlignment="1">
      <alignment horizontal="left"/>
    </xf>
    <xf numFmtId="37" fontId="11" fillId="6" borderId="0" xfId="5" applyNumberFormat="1" applyFont="1" applyFill="1"/>
    <xf numFmtId="37" fontId="4" fillId="6" borderId="0" xfId="5" applyNumberFormat="1" applyFont="1" applyFill="1"/>
    <xf numFmtId="0" fontId="5" fillId="6" borderId="0" xfId="5" applyFont="1" applyFill="1" applyAlignment="1">
      <alignment horizontal="left"/>
    </xf>
    <xf numFmtId="37" fontId="5" fillId="6" borderId="0" xfId="5" applyNumberFormat="1" applyFont="1" applyFill="1"/>
    <xf numFmtId="37" fontId="0" fillId="0" borderId="0" xfId="0" applyNumberFormat="1"/>
    <xf numFmtId="168" fontId="15" fillId="0" borderId="0" xfId="5" applyNumberFormat="1" applyFont="1"/>
    <xf numFmtId="168" fontId="5" fillId="3" borderId="3" xfId="1" applyNumberFormat="1" applyFont="1" applyFill="1" applyBorder="1"/>
    <xf numFmtId="0" fontId="5" fillId="3" borderId="0" xfId="5" applyFont="1" applyFill="1" applyAlignment="1">
      <alignment horizontal="left"/>
    </xf>
    <xf numFmtId="168" fontId="0" fillId="0" borderId="0" xfId="0" applyNumberFormat="1"/>
    <xf numFmtId="0" fontId="5" fillId="3" borderId="0" xfId="5" applyFont="1" applyFill="1" applyAlignment="1">
      <alignment horizontal="center" wrapText="1"/>
    </xf>
    <xf numFmtId="165" fontId="4" fillId="2" borderId="2" xfId="0" applyNumberFormat="1" applyFont="1" applyFill="1" applyBorder="1" applyAlignment="1">
      <alignment horizontal="center"/>
    </xf>
    <xf numFmtId="174" fontId="0" fillId="0" borderId="0" xfId="0" applyNumberFormat="1"/>
    <xf numFmtId="17" fontId="5" fillId="3" borderId="7" xfId="5" applyNumberFormat="1" applyFont="1" applyFill="1" applyBorder="1" applyAlignment="1">
      <alignment horizontal="center" vertical="center" wrapText="1"/>
    </xf>
    <xf numFmtId="168" fontId="11" fillId="3" borderId="8" xfId="1" applyNumberFormat="1" applyFont="1" applyFill="1" applyBorder="1" applyAlignment="1">
      <alignment horizontal="center" wrapText="1"/>
    </xf>
    <xf numFmtId="168" fontId="4" fillId="3" borderId="8" xfId="1" applyNumberFormat="1" applyFont="1" applyFill="1" applyBorder="1" applyAlignment="1">
      <alignment horizontal="center" wrapText="1"/>
    </xf>
    <xf numFmtId="168" fontId="5" fillId="3" borderId="8" xfId="1" applyNumberFormat="1" applyFont="1" applyFill="1" applyBorder="1" applyAlignment="1">
      <alignment horizontal="center" wrapText="1"/>
    </xf>
    <xf numFmtId="168" fontId="5" fillId="3" borderId="7" xfId="1" applyNumberFormat="1" applyFont="1" applyFill="1" applyBorder="1"/>
    <xf numFmtId="168" fontId="5" fillId="3" borderId="9" xfId="1" applyNumberFormat="1" applyFont="1" applyFill="1" applyBorder="1"/>
    <xf numFmtId="168" fontId="5" fillId="3" borderId="8" xfId="1" applyNumberFormat="1" applyFont="1" applyFill="1" applyBorder="1"/>
    <xf numFmtId="168" fontId="4" fillId="3" borderId="8" xfId="0" applyNumberFormat="1" applyFont="1" applyFill="1" applyBorder="1"/>
    <xf numFmtId="167" fontId="4" fillId="5" borderId="0" xfId="2" applyNumberFormat="1" applyFont="1" applyFill="1" applyBorder="1"/>
    <xf numFmtId="173" fontId="4" fillId="5" borderId="0" xfId="0" applyNumberFormat="1" applyFont="1" applyFill="1"/>
    <xf numFmtId="173" fontId="4" fillId="5" borderId="0" xfId="0" applyNumberFormat="1" applyFont="1" applyFill="1" applyAlignment="1">
      <alignment horizontal="right"/>
    </xf>
    <xf numFmtId="173" fontId="5" fillId="5" borderId="0" xfId="0" applyNumberFormat="1" applyFont="1" applyFill="1" applyAlignment="1">
      <alignment horizontal="right"/>
    </xf>
    <xf numFmtId="168" fontId="23" fillId="0" borderId="0" xfId="0" applyNumberFormat="1" applyFont="1"/>
    <xf numFmtId="10" fontId="4" fillId="0" borderId="0" xfId="0" applyNumberFormat="1" applyFont="1"/>
    <xf numFmtId="37" fontId="11" fillId="0" borderId="0" xfId="5" applyNumberFormat="1" applyFont="1"/>
    <xf numFmtId="168" fontId="5" fillId="0" borderId="0" xfId="1" applyNumberFormat="1" applyFont="1" applyFill="1"/>
    <xf numFmtId="164" fontId="4" fillId="0" borderId="0" xfId="0" applyNumberFormat="1" applyFont="1"/>
    <xf numFmtId="166" fontId="16" fillId="0" borderId="0" xfId="0" applyNumberFormat="1" applyFont="1"/>
    <xf numFmtId="0" fontId="0" fillId="0" borderId="10" xfId="0" applyBorder="1"/>
    <xf numFmtId="0" fontId="0" fillId="0" borderId="12" xfId="0" applyBorder="1"/>
    <xf numFmtId="0" fontId="22" fillId="0" borderId="14" xfId="0" applyFont="1" applyBorder="1"/>
    <xf numFmtId="0" fontId="0" fillId="0" borderId="15" xfId="0" applyBorder="1"/>
    <xf numFmtId="168" fontId="11" fillId="0" borderId="11" xfId="1" applyNumberFormat="1" applyFont="1" applyFill="1" applyBorder="1" applyAlignment="1">
      <alignment horizontal="center" wrapText="1"/>
    </xf>
    <xf numFmtId="168" fontId="11" fillId="0" borderId="13" xfId="1" applyNumberFormat="1" applyFont="1" applyFill="1" applyBorder="1" applyAlignment="1">
      <alignment horizontal="center" wrapText="1"/>
    </xf>
    <xf numFmtId="166" fontId="0" fillId="0" borderId="0" xfId="0" applyNumberFormat="1"/>
    <xf numFmtId="169" fontId="11" fillId="0" borderId="0" xfId="0" applyNumberFormat="1" applyFont="1"/>
    <xf numFmtId="168" fontId="5" fillId="7" borderId="0" xfId="1" applyNumberFormat="1" applyFont="1" applyFill="1" applyBorder="1" applyAlignment="1">
      <alignment horizontal="center"/>
    </xf>
    <xf numFmtId="3" fontId="10" fillId="0" borderId="0" xfId="0" applyNumberFormat="1" applyFont="1"/>
    <xf numFmtId="174" fontId="5" fillId="0" borderId="0" xfId="0" applyNumberFormat="1" applyFont="1"/>
    <xf numFmtId="3" fontId="19" fillId="0" borderId="0" xfId="1" applyNumberFormat="1" applyFont="1" applyFill="1"/>
    <xf numFmtId="0" fontId="5" fillId="3" borderId="3" xfId="5" applyFont="1" applyFill="1" applyBorder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9" fillId="0" borderId="0" xfId="0" applyFont="1"/>
    <xf numFmtId="0" fontId="16" fillId="0" borderId="0" xfId="0" applyFont="1"/>
    <xf numFmtId="0" fontId="16" fillId="0" borderId="0" xfId="0" applyFont="1" applyAlignment="1">
      <alignment horizontal="left" indent="1"/>
    </xf>
    <xf numFmtId="0" fontId="4" fillId="0" borderId="0" xfId="5" applyFont="1"/>
    <xf numFmtId="170" fontId="11" fillId="0" borderId="0" xfId="1" applyNumberFormat="1" applyFont="1" applyFill="1" applyBorder="1" applyAlignment="1">
      <alignment horizontal="center" wrapText="1"/>
    </xf>
    <xf numFmtId="170" fontId="16" fillId="0" borderId="0" xfId="0" applyNumberFormat="1" applyFont="1"/>
    <xf numFmtId="170" fontId="4" fillId="0" borderId="0" xfId="1" applyNumberFormat="1" applyFont="1" applyFill="1" applyBorder="1" applyAlignment="1">
      <alignment horizontal="center" wrapText="1"/>
    </xf>
    <xf numFmtId="170" fontId="5" fillId="3" borderId="6" xfId="5" applyNumberFormat="1" applyFont="1" applyFill="1" applyBorder="1"/>
    <xf numFmtId="170" fontId="5" fillId="0" borderId="3" xfId="1" applyNumberFormat="1" applyFont="1" applyFill="1" applyBorder="1"/>
    <xf numFmtId="170" fontId="5" fillId="0" borderId="0" xfId="1" applyNumberFormat="1" applyFont="1" applyFill="1" applyBorder="1"/>
    <xf numFmtId="170" fontId="4" fillId="0" borderId="0" xfId="0" applyNumberFormat="1" applyFont="1"/>
    <xf numFmtId="43" fontId="16" fillId="0" borderId="0" xfId="0" applyNumberFormat="1" applyFont="1"/>
    <xf numFmtId="176" fontId="5" fillId="0" borderId="0" xfId="0" applyNumberFormat="1" applyFont="1" applyAlignment="1">
      <alignment horizontal="right"/>
    </xf>
    <xf numFmtId="177" fontId="0" fillId="0" borderId="0" xfId="0" applyNumberFormat="1"/>
    <xf numFmtId="165" fontId="5" fillId="0" borderId="0" xfId="0" applyNumberFormat="1" applyFont="1"/>
    <xf numFmtId="165" fontId="5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7" fontId="8" fillId="0" borderId="0" xfId="2" applyNumberFormat="1" applyFont="1" applyFill="1" applyBorder="1"/>
    <xf numFmtId="167" fontId="7" fillId="0" borderId="0" xfId="2" applyNumberFormat="1" applyFont="1" applyFill="1" applyBorder="1"/>
    <xf numFmtId="168" fontId="15" fillId="0" borderId="0" xfId="1" applyNumberFormat="1" applyFont="1" applyFill="1" applyBorder="1"/>
    <xf numFmtId="168" fontId="12" fillId="0" borderId="0" xfId="1" applyNumberFormat="1" applyFont="1" applyFill="1" applyBorder="1"/>
    <xf numFmtId="167" fontId="7" fillId="0" borderId="0" xfId="0" applyNumberFormat="1" applyFont="1"/>
    <xf numFmtId="166" fontId="11" fillId="0" borderId="0" xfId="2" applyNumberFormat="1" applyFont="1" applyFill="1" applyBorder="1"/>
    <xf numFmtId="167" fontId="7" fillId="0" borderId="0" xfId="2" applyNumberFormat="1" applyFont="1" applyFill="1" applyBorder="1" applyAlignment="1">
      <alignment horizontal="right"/>
    </xf>
    <xf numFmtId="164" fontId="11" fillId="0" borderId="0" xfId="1" applyFont="1" applyFill="1" applyBorder="1"/>
    <xf numFmtId="0" fontId="22" fillId="0" borderId="0" xfId="0" applyFont="1"/>
    <xf numFmtId="167" fontId="5" fillId="0" borderId="0" xfId="2" applyNumberFormat="1" applyFont="1" applyFill="1" applyBorder="1"/>
    <xf numFmtId="167" fontId="5" fillId="5" borderId="0" xfId="2" applyNumberFormat="1" applyFont="1" applyFill="1" applyBorder="1"/>
    <xf numFmtId="17" fontId="5" fillId="2" borderId="6" xfId="5" applyNumberFormat="1" applyFont="1" applyFill="1" applyBorder="1" applyAlignment="1">
      <alignment horizontal="left" vertical="center" wrapText="1"/>
    </xf>
    <xf numFmtId="17" fontId="5" fillId="2" borderId="6" xfId="5" applyNumberFormat="1" applyFont="1" applyFill="1" applyBorder="1" applyAlignment="1">
      <alignment horizontal="center" vertical="center" wrapText="1"/>
    </xf>
    <xf numFmtId="0" fontId="4" fillId="0" borderId="0" xfId="5" applyFont="1" applyAlignment="1">
      <alignment horizontal="left"/>
    </xf>
    <xf numFmtId="168" fontId="11" fillId="0" borderId="0" xfId="1" applyNumberFormat="1" applyFont="1" applyFill="1" applyBorder="1" applyAlignment="1">
      <alignment horizontal="center" wrapText="1"/>
    </xf>
    <xf numFmtId="168" fontId="4" fillId="0" borderId="0" xfId="1" applyNumberFormat="1" applyFont="1" applyFill="1" applyBorder="1" applyAlignment="1">
      <alignment horizontal="center" wrapText="1"/>
    </xf>
    <xf numFmtId="0" fontId="4" fillId="0" borderId="0" xfId="5" applyFont="1" applyAlignment="1">
      <alignment horizontal="right" wrapText="1"/>
    </xf>
    <xf numFmtId="0" fontId="4" fillId="0" borderId="0" xfId="5" applyFont="1" applyAlignment="1">
      <alignment horizontal="left" indent="1"/>
    </xf>
    <xf numFmtId="0" fontId="4" fillId="0" borderId="0" xfId="5" applyFont="1" applyAlignment="1">
      <alignment horizontal="left" indent="2"/>
    </xf>
    <xf numFmtId="168" fontId="4" fillId="0" borderId="0" xfId="5" applyNumberFormat="1" applyFont="1" applyAlignment="1">
      <alignment horizontal="right" wrapText="1"/>
    </xf>
    <xf numFmtId="168" fontId="5" fillId="0" borderId="0" xfId="1" applyNumberFormat="1" applyFont="1" applyFill="1" applyBorder="1" applyAlignment="1">
      <alignment horizontal="center" wrapText="1"/>
    </xf>
    <xf numFmtId="0" fontId="5" fillId="0" borderId="0" xfId="5" applyFont="1" applyAlignment="1">
      <alignment horizontal="right" wrapText="1"/>
    </xf>
    <xf numFmtId="168" fontId="5" fillId="0" borderId="0" xfId="5" applyNumberFormat="1" applyFont="1" applyAlignment="1">
      <alignment horizontal="right" wrapText="1"/>
    </xf>
    <xf numFmtId="0" fontId="5" fillId="0" borderId="0" xfId="5" applyFont="1" applyAlignment="1">
      <alignment horizontal="left"/>
    </xf>
    <xf numFmtId="0" fontId="5" fillId="0" borderId="6" xfId="5" applyFont="1" applyBorder="1"/>
    <xf numFmtId="168" fontId="5" fillId="0" borderId="6" xfId="1" applyNumberFormat="1" applyFont="1" applyFill="1" applyBorder="1"/>
    <xf numFmtId="173" fontId="5" fillId="0" borderId="6" xfId="5" applyNumberFormat="1" applyFont="1" applyBorder="1"/>
    <xf numFmtId="173" fontId="4" fillId="0" borderId="0" xfId="5" applyNumberFormat="1" applyFont="1"/>
    <xf numFmtId="168" fontId="5" fillId="0" borderId="3" xfId="1" applyNumberFormat="1" applyFont="1" applyFill="1" applyBorder="1"/>
    <xf numFmtId="168" fontId="4" fillId="0" borderId="0" xfId="5" applyNumberFormat="1" applyFont="1"/>
    <xf numFmtId="173" fontId="5" fillId="0" borderId="0" xfId="5" applyNumberFormat="1" applyFont="1"/>
    <xf numFmtId="168" fontId="5" fillId="0" borderId="0" xfId="1" applyNumberFormat="1" applyFont="1" applyFill="1" applyBorder="1"/>
    <xf numFmtId="168" fontId="4" fillId="0" borderId="0" xfId="0" applyNumberFormat="1" applyFont="1"/>
    <xf numFmtId="0" fontId="5" fillId="0" borderId="0" xfId="5" applyFont="1" applyAlignment="1">
      <alignment horizontal="left" indent="1"/>
    </xf>
    <xf numFmtId="0" fontId="4" fillId="0" borderId="0" xfId="5" applyFont="1" applyAlignment="1">
      <alignment horizontal="left" wrapText="1" indent="2"/>
    </xf>
    <xf numFmtId="0" fontId="4" fillId="0" borderId="0" xfId="5" applyFont="1" applyAlignment="1">
      <alignment horizontal="left" vertical="top" wrapText="1" indent="2"/>
    </xf>
    <xf numFmtId="0" fontId="5" fillId="2" borderId="6" xfId="5" applyFont="1" applyFill="1" applyBorder="1" applyAlignment="1">
      <alignment vertical="center" wrapText="1"/>
    </xf>
    <xf numFmtId="0" fontId="5" fillId="2" borderId="3" xfId="5" applyFont="1" applyFill="1" applyBorder="1" applyAlignment="1">
      <alignment horizontal="left" vertical="center" wrapText="1"/>
    </xf>
    <xf numFmtId="17" fontId="5" fillId="2" borderId="3" xfId="5" applyNumberFormat="1" applyFont="1" applyFill="1" applyBorder="1" applyAlignment="1">
      <alignment horizontal="center" vertical="center" wrapText="1"/>
    </xf>
    <xf numFmtId="0" fontId="22" fillId="2" borderId="14" xfId="0" applyFont="1" applyFill="1" applyBorder="1"/>
    <xf numFmtId="0" fontId="0" fillId="2" borderId="15" xfId="0" applyFill="1" applyBorder="1"/>
    <xf numFmtId="39" fontId="5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164" fontId="4" fillId="0" borderId="0" xfId="1" applyFont="1" applyFill="1" applyBorder="1"/>
    <xf numFmtId="0" fontId="5" fillId="6" borderId="6" xfId="5" applyFont="1" applyFill="1" applyBorder="1" applyAlignment="1">
      <alignment horizontal="left"/>
    </xf>
    <xf numFmtId="37" fontId="5" fillId="6" borderId="6" xfId="5" applyNumberFormat="1" applyFont="1" applyFill="1" applyBorder="1"/>
    <xf numFmtId="43" fontId="11" fillId="0" borderId="13" xfId="1" applyNumberFormat="1" applyFont="1" applyFill="1" applyBorder="1" applyAlignment="1">
      <alignment horizontal="center" wrapText="1"/>
    </xf>
    <xf numFmtId="166" fontId="15" fillId="0" borderId="0" xfId="4" applyNumberFormat="1" applyFont="1"/>
    <xf numFmtId="0" fontId="5" fillId="8" borderId="0" xfId="4" applyFont="1" applyFill="1" applyAlignment="1">
      <alignment horizontal="left"/>
    </xf>
    <xf numFmtId="166" fontId="9" fillId="8" borderId="0" xfId="0" applyNumberFormat="1" applyFont="1" applyFill="1"/>
    <xf numFmtId="0" fontId="5" fillId="8" borderId="0" xfId="0" applyFont="1" applyFill="1"/>
    <xf numFmtId="0" fontId="13" fillId="8" borderId="0" xfId="0" applyFont="1" applyFill="1" applyAlignment="1">
      <alignment horizontal="left"/>
    </xf>
    <xf numFmtId="166" fontId="4" fillId="8" borderId="0" xfId="0" applyNumberFormat="1" applyFont="1" applyFill="1"/>
    <xf numFmtId="166" fontId="12" fillId="0" borderId="0" xfId="0" applyNumberFormat="1" applyFont="1"/>
    <xf numFmtId="166" fontId="25" fillId="0" borderId="0" xfId="0" applyNumberFormat="1" applyFont="1"/>
    <xf numFmtId="171" fontId="5" fillId="0" borderId="0" xfId="4" applyNumberFormat="1" applyFont="1" applyAlignment="1">
      <alignment horizontal="left" indent="3"/>
    </xf>
    <xf numFmtId="171" fontId="5" fillId="5" borderId="0" xfId="4" applyNumberFormat="1" applyFont="1" applyFill="1" applyAlignment="1">
      <alignment horizontal="left" indent="3"/>
    </xf>
    <xf numFmtId="0" fontId="4" fillId="8" borderId="0" xfId="0" applyFont="1" applyFill="1"/>
    <xf numFmtId="164" fontId="11" fillId="8" borderId="0" xfId="1" applyFont="1" applyFill="1"/>
    <xf numFmtId="164" fontId="4" fillId="8" borderId="0" xfId="1" applyFont="1" applyFill="1"/>
    <xf numFmtId="43" fontId="4" fillId="8" borderId="0" xfId="1" applyNumberFormat="1" applyFont="1" applyFill="1"/>
    <xf numFmtId="3" fontId="5" fillId="0" borderId="0" xfId="0" applyNumberFormat="1" applyFont="1" applyAlignment="1">
      <alignment horizontal="right"/>
    </xf>
    <xf numFmtId="3" fontId="11" fillId="3" borderId="0" xfId="0" applyNumberFormat="1" applyFont="1" applyFill="1"/>
    <xf numFmtId="3" fontId="16" fillId="3" borderId="0" xfId="1" applyNumberFormat="1" applyFont="1" applyFill="1"/>
    <xf numFmtId="3" fontId="4" fillId="3" borderId="0" xfId="0" applyNumberFormat="1" applyFont="1" applyFill="1"/>
    <xf numFmtId="10" fontId="4" fillId="3" borderId="0" xfId="0" applyNumberFormat="1" applyFont="1" applyFill="1"/>
    <xf numFmtId="10" fontId="11" fillId="3" borderId="0" xfId="0" applyNumberFormat="1" applyFont="1" applyFill="1"/>
    <xf numFmtId="174" fontId="16" fillId="3" borderId="0" xfId="1" applyNumberFormat="1" applyFont="1" applyFill="1"/>
    <xf numFmtId="174" fontId="11" fillId="3" borderId="0" xfId="0" applyNumberFormat="1" applyFont="1" applyFill="1"/>
    <xf numFmtId="168" fontId="26" fillId="0" borderId="0" xfId="0" applyNumberFormat="1" applyFont="1"/>
    <xf numFmtId="170" fontId="4" fillId="0" borderId="0" xfId="1" applyNumberFormat="1" applyFont="1" applyFill="1" applyBorder="1"/>
    <xf numFmtId="0" fontId="4" fillId="0" borderId="0" xfId="5" applyFont="1" applyAlignment="1">
      <alignment wrapText="1"/>
    </xf>
    <xf numFmtId="175" fontId="4" fillId="0" borderId="0" xfId="0" applyNumberFormat="1" applyFont="1" applyAlignment="1">
      <alignment horizontal="right"/>
    </xf>
    <xf numFmtId="0" fontId="4" fillId="0" borderId="0" xfId="5" applyFont="1" applyAlignment="1">
      <alignment horizontal="left" vertical="top" indent="2"/>
    </xf>
    <xf numFmtId="0" fontId="22" fillId="2" borderId="14" xfId="0" applyFont="1" applyFill="1" applyBorder="1" applyAlignment="1">
      <alignment horizontal="left" vertical="center"/>
    </xf>
    <xf numFmtId="17" fontId="5" fillId="2" borderId="6" xfId="5" applyNumberFormat="1" applyFont="1" applyFill="1" applyBorder="1" applyAlignment="1">
      <alignment horizontal="left" vertical="center"/>
    </xf>
    <xf numFmtId="17" fontId="5" fillId="2" borderId="6" xfId="5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Continuous" vertical="center"/>
    </xf>
    <xf numFmtId="0" fontId="5" fillId="2" borderId="1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Continuous" vertical="center"/>
    </xf>
    <xf numFmtId="165" fontId="5" fillId="0" borderId="0" xfId="0" applyNumberFormat="1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66" fontId="10" fillId="0" borderId="0" xfId="2" applyNumberFormat="1" applyFont="1" applyFill="1"/>
    <xf numFmtId="166" fontId="10" fillId="0" borderId="0" xfId="2" applyNumberFormat="1" applyFont="1" applyFill="1" applyBorder="1"/>
    <xf numFmtId="0" fontId="5" fillId="0" borderId="5" xfId="0" applyFont="1" applyBorder="1"/>
    <xf numFmtId="167" fontId="5" fillId="0" borderId="5" xfId="2" applyNumberFormat="1" applyFont="1" applyBorder="1"/>
    <xf numFmtId="167" fontId="5" fillId="5" borderId="5" xfId="2" applyNumberFormat="1" applyFont="1" applyFill="1" applyBorder="1"/>
    <xf numFmtId="167" fontId="5" fillId="0" borderId="0" xfId="2" applyNumberFormat="1" applyFont="1"/>
    <xf numFmtId="166" fontId="5" fillId="5" borderId="0" xfId="0" applyNumberFormat="1" applyFont="1" applyFill="1" applyAlignment="1">
      <alignment horizontal="right"/>
    </xf>
    <xf numFmtId="167" fontId="5" fillId="0" borderId="5" xfId="0" applyNumberFormat="1" applyFont="1" applyBorder="1"/>
    <xf numFmtId="167" fontId="5" fillId="0" borderId="5" xfId="2" applyNumberFormat="1" applyFont="1" applyFill="1" applyBorder="1" applyAlignment="1">
      <alignment horizontal="right"/>
    </xf>
    <xf numFmtId="167" fontId="5" fillId="0" borderId="0" xfId="2" applyNumberFormat="1" applyFont="1" applyFill="1" applyBorder="1" applyAlignment="1">
      <alignment horizontal="right"/>
    </xf>
    <xf numFmtId="167" fontId="5" fillId="5" borderId="5" xfId="2" applyNumberFormat="1" applyFont="1" applyFill="1" applyBorder="1" applyAlignment="1">
      <alignment horizontal="right"/>
    </xf>
    <xf numFmtId="167" fontId="5" fillId="0" borderId="0" xfId="0" applyNumberFormat="1" applyFont="1"/>
    <xf numFmtId="9" fontId="5" fillId="3" borderId="0" xfId="2" applyFont="1" applyFill="1" applyBorder="1" applyAlignment="1"/>
    <xf numFmtId="167" fontId="4" fillId="0" borderId="0" xfId="2" applyNumberFormat="1" applyFont="1" applyFill="1" applyBorder="1" applyAlignment="1"/>
    <xf numFmtId="167" fontId="5" fillId="0" borderId="0" xfId="2" applyNumberFormat="1" applyFont="1" applyFill="1" applyBorder="1" applyAlignment="1"/>
    <xf numFmtId="164" fontId="19" fillId="9" borderId="0" xfId="1" applyFont="1" applyFill="1" applyBorder="1" applyAlignment="1">
      <alignment horizontal="left"/>
    </xf>
    <xf numFmtId="164" fontId="6" fillId="9" borderId="0" xfId="1" applyFont="1" applyFill="1" applyBorder="1" applyAlignment="1">
      <alignment horizontal="center"/>
    </xf>
    <xf numFmtId="0" fontId="10" fillId="9" borderId="0" xfId="0" applyFont="1" applyFill="1" applyAlignment="1">
      <alignment horizontal="center"/>
    </xf>
    <xf numFmtId="0" fontId="4" fillId="9" borderId="0" xfId="0" applyFont="1" applyFill="1"/>
    <xf numFmtId="168" fontId="5" fillId="9" borderId="0" xfId="1" applyNumberFormat="1" applyFont="1" applyFill="1" applyBorder="1" applyAlignment="1">
      <alignment horizontal="left"/>
    </xf>
    <xf numFmtId="9" fontId="5" fillId="9" borderId="0" xfId="2" applyFont="1" applyFill="1" applyBorder="1" applyAlignment="1"/>
    <xf numFmtId="168" fontId="4" fillId="9" borderId="0" xfId="1" applyNumberFormat="1" applyFont="1" applyFill="1" applyBorder="1"/>
    <xf numFmtId="170" fontId="4" fillId="0" borderId="3" xfId="1" applyNumberFormat="1" applyFont="1" applyFill="1" applyBorder="1"/>
    <xf numFmtId="170" fontId="5" fillId="0" borderId="0" xfId="0" applyNumberFormat="1" applyFont="1"/>
    <xf numFmtId="43" fontId="19" fillId="0" borderId="0" xfId="0" applyNumberFormat="1" applyFont="1"/>
    <xf numFmtId="39" fontId="4" fillId="0" borderId="0" xfId="0" applyNumberFormat="1" applyFont="1" applyAlignment="1">
      <alignment horizontal="right"/>
    </xf>
    <xf numFmtId="168" fontId="4" fillId="0" borderId="3" xfId="1" applyNumberFormat="1" applyFont="1" applyFill="1" applyBorder="1"/>
    <xf numFmtId="168" fontId="5" fillId="0" borderId="0" xfId="0" applyNumberFormat="1" applyFont="1"/>
    <xf numFmtId="168" fontId="15" fillId="0" borderId="0" xfId="0" applyNumberFormat="1" applyFont="1"/>
    <xf numFmtId="0" fontId="27" fillId="0" borderId="0" xfId="0" applyFont="1"/>
    <xf numFmtId="17" fontId="19" fillId="2" borderId="15" xfId="0" applyNumberFormat="1" applyFont="1" applyFill="1" applyBorder="1" applyAlignment="1">
      <alignment horizontal="center"/>
    </xf>
    <xf numFmtId="165" fontId="5" fillId="2" borderId="0" xfId="0" applyNumberFormat="1" applyFont="1" applyFill="1" applyAlignment="1">
      <alignment horizontal="center" vertical="center"/>
    </xf>
    <xf numFmtId="0" fontId="16" fillId="0" borderId="10" xfId="0" applyFont="1" applyBorder="1"/>
    <xf numFmtId="0" fontId="16" fillId="0" borderId="12" xfId="0" applyFont="1" applyBorder="1"/>
    <xf numFmtId="43" fontId="11" fillId="0" borderId="13" xfId="1" applyNumberFormat="1" applyFont="1" applyFill="1" applyBorder="1" applyAlignment="1">
      <alignment horizontal="right" wrapText="1"/>
    </xf>
    <xf numFmtId="0" fontId="2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0" fontId="5" fillId="0" borderId="0" xfId="2" applyNumberFormat="1" applyFont="1"/>
    <xf numFmtId="173" fontId="5" fillId="0" borderId="0" xfId="0" applyNumberFormat="1" applyFont="1"/>
    <xf numFmtId="173" fontId="5" fillId="5" borderId="0" xfId="0" applyNumberFormat="1" applyFont="1" applyFill="1"/>
    <xf numFmtId="0" fontId="5" fillId="9" borderId="1" xfId="0" applyFont="1" applyFill="1" applyBorder="1" applyAlignment="1">
      <alignment horizontal="center" vertical="center"/>
    </xf>
    <xf numFmtId="165" fontId="5" fillId="9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164" fontId="6" fillId="2" borderId="0" xfId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5" fontId="5" fillId="9" borderId="0" xfId="0" applyNumberFormat="1" applyFont="1" applyFill="1" applyAlignment="1">
      <alignment horizontal="centerContinuous" vertical="center"/>
    </xf>
    <xf numFmtId="0" fontId="28" fillId="9" borderId="0" xfId="0" applyFont="1" applyFill="1"/>
    <xf numFmtId="0" fontId="0" fillId="9" borderId="0" xfId="0" applyFill="1"/>
    <xf numFmtId="170" fontId="5" fillId="0" borderId="6" xfId="5" applyNumberFormat="1" applyFont="1" applyBorder="1"/>
    <xf numFmtId="0" fontId="19" fillId="2" borderId="14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3" borderId="3" xfId="5" applyFont="1" applyFill="1" applyBorder="1" applyAlignment="1">
      <alignment horizontal="center" wrapText="1"/>
    </xf>
    <xf numFmtId="0" fontId="5" fillId="3" borderId="0" xfId="5" applyFont="1" applyFill="1" applyAlignment="1">
      <alignment horizontal="center" wrapText="1"/>
    </xf>
    <xf numFmtId="0" fontId="22" fillId="0" borderId="2" xfId="0" applyFont="1" applyBorder="1" applyAlignment="1">
      <alignment horizontal="center"/>
    </xf>
    <xf numFmtId="0" fontId="5" fillId="3" borderId="3" xfId="5" applyFont="1" applyFill="1" applyBorder="1" applyAlignment="1">
      <alignment horizontal="left" vertical="center" wrapText="1"/>
    </xf>
    <xf numFmtId="0" fontId="5" fillId="3" borderId="0" xfId="5" applyFont="1" applyFill="1" applyAlignment="1">
      <alignment horizontal="left" vertical="center" wrapText="1"/>
    </xf>
  </cellXfs>
  <cellStyles count="7">
    <cellStyle name="Comma" xfId="1" builtinId="3"/>
    <cellStyle name="Normal" xfId="0" builtinId="0"/>
    <cellStyle name="Normal 2" xfId="4" xr:uid="{00000000-0005-0000-0000-000002000000}"/>
    <cellStyle name="Normal 2 2" xfId="5" xr:uid="{00000000-0005-0000-0000-000003000000}"/>
    <cellStyle name="Normal 3" xfId="6" xr:uid="{EC4B7E19-8D49-477C-942A-6A165975A5FF}"/>
    <cellStyle name="Per cent" xfId="2" builtinId="5"/>
    <cellStyle name="Percent 101" xfId="3" xr:uid="{00000000-0005-0000-0000-000005000000}"/>
  </cellStyles>
  <dxfs count="0"/>
  <tableStyles count="0" defaultTableStyle="TableStyleMedium2" defaultPivotStyle="PivotStyleLight16"/>
  <colors>
    <mruColors>
      <color rgb="FF0000FF"/>
      <color rgb="FFFF99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596348</xdr:colOff>
      <xdr:row>242</xdr:row>
      <xdr:rowOff>99391</xdr:rowOff>
    </xdr:from>
    <xdr:to>
      <xdr:col>4</xdr:col>
      <xdr:colOff>563217</xdr:colOff>
      <xdr:row>250</xdr:row>
      <xdr:rowOff>61901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3559DD-970F-176C-AC25-EF94E4C3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348" y="12382500"/>
          <a:ext cx="5648739" cy="148651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554935</xdr:colOff>
      <xdr:row>251</xdr:row>
      <xdr:rowOff>98998</xdr:rowOff>
    </xdr:from>
    <xdr:to>
      <xdr:col>6</xdr:col>
      <xdr:colOff>449231</xdr:colOff>
      <xdr:row>262</xdr:row>
      <xdr:rowOff>8281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317337-5A90-9635-A068-3C0CEBBC0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935" y="14096607"/>
          <a:ext cx="7265818" cy="200478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6</xdr:col>
      <xdr:colOff>131885</xdr:colOff>
      <xdr:row>164</xdr:row>
      <xdr:rowOff>177569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1F93AC-84AB-6BC5-D764-8E6A09882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135" y="12763500"/>
          <a:ext cx="6916615" cy="170156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21981</xdr:colOff>
      <xdr:row>166</xdr:row>
      <xdr:rowOff>14654</xdr:rowOff>
    </xdr:from>
    <xdr:to>
      <xdr:col>6</xdr:col>
      <xdr:colOff>139212</xdr:colOff>
      <xdr:row>176</xdr:row>
      <xdr:rowOff>17374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0521A3-CA44-A349-B5EE-DBA974BBC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0116" y="14683154"/>
          <a:ext cx="6901961" cy="190772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19050</xdr:colOff>
      <xdr:row>68</xdr:row>
      <xdr:rowOff>9525</xdr:rowOff>
    </xdr:from>
    <xdr:to>
      <xdr:col>6</xdr:col>
      <xdr:colOff>142874</xdr:colOff>
      <xdr:row>76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663116-D0A7-261E-EEAD-3DC04656A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" y="13154025"/>
          <a:ext cx="6896099" cy="15906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571500</xdr:colOff>
      <xdr:row>77</xdr:row>
      <xdr:rowOff>38101</xdr:rowOff>
    </xdr:from>
    <xdr:to>
      <xdr:col>6</xdr:col>
      <xdr:colOff>133350</xdr:colOff>
      <xdr:row>87</xdr:row>
      <xdr:rowOff>78203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917E913-17DC-5B9C-E475-68532FCE8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0" y="14897101"/>
          <a:ext cx="6943725" cy="19451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ushrut Bhushan Deo" id="{D5793A49-4CF5-481D-A718-411E5ABD3951}" userId="S::SushrutD@ad.crisil.com::0754170b-62f5-4525-bbab-73ea12f222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125" dT="2022-05-09T10:28:15.52" personId="{D5793A49-4CF5-481D-A718-411E5ABD3951}" id="{BB07AC73-D5BF-4686-92D7-C04DFED7D847}">
    <text>Obtained from 1Q22 Analyst Presentation</text>
  </threadedComment>
  <threadedComment ref="AI125" dT="2022-05-09T10:28:15.52" personId="{D5793A49-4CF5-481D-A718-411E5ABD3951}" id="{733CF727-464A-4E1B-B403-9AC8B3B47C3D}">
    <text>Obtained from 1Q22 Analyst Presentation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FA1513"/>
  <sheetViews>
    <sheetView showGridLines="0" zoomScaleNormal="100" workbookViewId="0">
      <selection activeCell="O1" sqref="O1"/>
    </sheetView>
  </sheetViews>
  <sheetFormatPr defaultRowHeight="15"/>
  <cols>
    <col min="2" max="2" width="50.7109375" customWidth="1"/>
    <col min="3" max="6" width="12.7109375" customWidth="1"/>
    <col min="7" max="7" width="11.28515625" bestFit="1" customWidth="1"/>
    <col min="8" max="8" width="11.140625" customWidth="1"/>
    <col min="9" max="9" width="34" customWidth="1"/>
    <col min="13" max="13" width="34.42578125" customWidth="1"/>
    <col min="14" max="14" width="9.140625" customWidth="1"/>
    <col min="16" max="16" width="27.7109375" customWidth="1"/>
    <col min="262" max="262" width="30.28515625" customWidth="1"/>
    <col min="263" max="263" width="10.7109375" customWidth="1"/>
    <col min="269" max="269" width="34.42578125" customWidth="1"/>
    <col min="272" max="272" width="27.7109375" customWidth="1"/>
    <col min="518" max="518" width="30.28515625" customWidth="1"/>
    <col min="519" max="519" width="10.7109375" customWidth="1"/>
    <col min="525" max="525" width="34.42578125" customWidth="1"/>
    <col min="528" max="528" width="27.7109375" customWidth="1"/>
    <col min="774" max="774" width="30.28515625" customWidth="1"/>
    <col min="775" max="775" width="10.7109375" customWidth="1"/>
    <col min="781" max="781" width="34.42578125" customWidth="1"/>
    <col min="784" max="784" width="27.7109375" customWidth="1"/>
    <col min="1030" max="1030" width="30.28515625" customWidth="1"/>
    <col min="1031" max="1031" width="10.7109375" customWidth="1"/>
    <col min="1037" max="1037" width="34.42578125" customWidth="1"/>
    <col min="1040" max="1040" width="27.7109375" customWidth="1"/>
    <col min="1286" max="1286" width="30.28515625" customWidth="1"/>
    <col min="1287" max="1287" width="10.7109375" customWidth="1"/>
    <col min="1293" max="1293" width="34.42578125" customWidth="1"/>
    <col min="1296" max="1296" width="27.7109375" customWidth="1"/>
    <col min="1542" max="1542" width="30.28515625" customWidth="1"/>
    <col min="1543" max="1543" width="10.7109375" customWidth="1"/>
    <col min="1549" max="1549" width="34.42578125" customWidth="1"/>
    <col min="1552" max="1552" width="27.7109375" customWidth="1"/>
    <col min="1798" max="1798" width="30.28515625" customWidth="1"/>
    <col min="1799" max="1799" width="10.7109375" customWidth="1"/>
    <col min="1805" max="1805" width="34.42578125" customWidth="1"/>
    <col min="1808" max="1808" width="27.7109375" customWidth="1"/>
    <col min="2054" max="2054" width="30.28515625" customWidth="1"/>
    <col min="2055" max="2055" width="10.7109375" customWidth="1"/>
    <col min="2061" max="2061" width="34.42578125" customWidth="1"/>
    <col min="2064" max="2064" width="27.7109375" customWidth="1"/>
    <col min="2310" max="2310" width="30.28515625" customWidth="1"/>
    <col min="2311" max="2311" width="10.7109375" customWidth="1"/>
    <col min="2317" max="2317" width="34.42578125" customWidth="1"/>
    <col min="2320" max="2320" width="27.7109375" customWidth="1"/>
    <col min="2566" max="2566" width="30.28515625" customWidth="1"/>
    <col min="2567" max="2567" width="10.7109375" customWidth="1"/>
    <col min="2573" max="2573" width="34.42578125" customWidth="1"/>
    <col min="2576" max="2576" width="27.7109375" customWidth="1"/>
    <col min="2822" max="2822" width="30.28515625" customWidth="1"/>
    <col min="2823" max="2823" width="10.7109375" customWidth="1"/>
    <col min="2829" max="2829" width="34.42578125" customWidth="1"/>
    <col min="2832" max="2832" width="27.7109375" customWidth="1"/>
    <col min="3078" max="3078" width="30.28515625" customWidth="1"/>
    <col min="3079" max="3079" width="10.7109375" customWidth="1"/>
    <col min="3085" max="3085" width="34.42578125" customWidth="1"/>
    <col min="3088" max="3088" width="27.7109375" customWidth="1"/>
    <col min="3334" max="3334" width="30.28515625" customWidth="1"/>
    <col min="3335" max="3335" width="10.7109375" customWidth="1"/>
    <col min="3341" max="3341" width="34.42578125" customWidth="1"/>
    <col min="3344" max="3344" width="27.7109375" customWidth="1"/>
    <col min="3590" max="3590" width="30.28515625" customWidth="1"/>
    <col min="3591" max="3591" width="10.7109375" customWidth="1"/>
    <col min="3597" max="3597" width="34.42578125" customWidth="1"/>
    <col min="3600" max="3600" width="27.7109375" customWidth="1"/>
    <col min="3846" max="3846" width="30.28515625" customWidth="1"/>
    <col min="3847" max="3847" width="10.7109375" customWidth="1"/>
    <col min="3853" max="3853" width="34.42578125" customWidth="1"/>
    <col min="3856" max="3856" width="27.7109375" customWidth="1"/>
    <col min="4102" max="4102" width="30.28515625" customWidth="1"/>
    <col min="4103" max="4103" width="10.7109375" customWidth="1"/>
    <col min="4109" max="4109" width="34.42578125" customWidth="1"/>
    <col min="4112" max="4112" width="27.7109375" customWidth="1"/>
    <col min="4358" max="4358" width="30.28515625" customWidth="1"/>
    <col min="4359" max="4359" width="10.7109375" customWidth="1"/>
    <col min="4365" max="4365" width="34.42578125" customWidth="1"/>
    <col min="4368" max="4368" width="27.7109375" customWidth="1"/>
    <col min="4614" max="4614" width="30.28515625" customWidth="1"/>
    <col min="4615" max="4615" width="10.7109375" customWidth="1"/>
    <col min="4621" max="4621" width="34.42578125" customWidth="1"/>
    <col min="4624" max="4624" width="27.7109375" customWidth="1"/>
    <col min="4870" max="4870" width="30.28515625" customWidth="1"/>
    <col min="4871" max="4871" width="10.7109375" customWidth="1"/>
    <col min="4877" max="4877" width="34.42578125" customWidth="1"/>
    <col min="4880" max="4880" width="27.7109375" customWidth="1"/>
    <col min="5126" max="5126" width="30.28515625" customWidth="1"/>
    <col min="5127" max="5127" width="10.7109375" customWidth="1"/>
    <col min="5133" max="5133" width="34.42578125" customWidth="1"/>
    <col min="5136" max="5136" width="27.7109375" customWidth="1"/>
    <col min="5382" max="5382" width="30.28515625" customWidth="1"/>
    <col min="5383" max="5383" width="10.7109375" customWidth="1"/>
    <col min="5389" max="5389" width="34.42578125" customWidth="1"/>
    <col min="5392" max="5392" width="27.7109375" customWidth="1"/>
    <col min="5638" max="5638" width="30.28515625" customWidth="1"/>
    <col min="5639" max="5639" width="10.7109375" customWidth="1"/>
    <col min="5645" max="5645" width="34.42578125" customWidth="1"/>
    <col min="5648" max="5648" width="27.7109375" customWidth="1"/>
    <col min="5894" max="5894" width="30.28515625" customWidth="1"/>
    <col min="5895" max="5895" width="10.7109375" customWidth="1"/>
    <col min="5901" max="5901" width="34.42578125" customWidth="1"/>
    <col min="5904" max="5904" width="27.7109375" customWidth="1"/>
    <col min="6150" max="6150" width="30.28515625" customWidth="1"/>
    <col min="6151" max="6151" width="10.7109375" customWidth="1"/>
    <col min="6157" max="6157" width="34.42578125" customWidth="1"/>
    <col min="6160" max="6160" width="27.7109375" customWidth="1"/>
    <col min="6406" max="6406" width="30.28515625" customWidth="1"/>
    <col min="6407" max="6407" width="10.7109375" customWidth="1"/>
    <col min="6413" max="6413" width="34.42578125" customWidth="1"/>
    <col min="6416" max="6416" width="27.7109375" customWidth="1"/>
    <col min="6662" max="6662" width="30.28515625" customWidth="1"/>
    <col min="6663" max="6663" width="10.7109375" customWidth="1"/>
    <col min="6669" max="6669" width="34.42578125" customWidth="1"/>
    <col min="6672" max="6672" width="27.7109375" customWidth="1"/>
    <col min="6918" max="6918" width="30.28515625" customWidth="1"/>
    <col min="6919" max="6919" width="10.7109375" customWidth="1"/>
    <col min="6925" max="6925" width="34.42578125" customWidth="1"/>
    <col min="6928" max="6928" width="27.7109375" customWidth="1"/>
    <col min="7174" max="7174" width="30.28515625" customWidth="1"/>
    <col min="7175" max="7175" width="10.7109375" customWidth="1"/>
    <col min="7181" max="7181" width="34.42578125" customWidth="1"/>
    <col min="7184" max="7184" width="27.7109375" customWidth="1"/>
    <col min="7430" max="7430" width="30.28515625" customWidth="1"/>
    <col min="7431" max="7431" width="10.7109375" customWidth="1"/>
    <col min="7437" max="7437" width="34.42578125" customWidth="1"/>
    <col min="7440" max="7440" width="27.7109375" customWidth="1"/>
    <col min="7686" max="7686" width="30.28515625" customWidth="1"/>
    <col min="7687" max="7687" width="10.7109375" customWidth="1"/>
    <col min="7693" max="7693" width="34.42578125" customWidth="1"/>
    <col min="7696" max="7696" width="27.7109375" customWidth="1"/>
    <col min="7942" max="7942" width="30.28515625" customWidth="1"/>
    <col min="7943" max="7943" width="10.7109375" customWidth="1"/>
    <col min="7949" max="7949" width="34.42578125" customWidth="1"/>
    <col min="7952" max="7952" width="27.7109375" customWidth="1"/>
    <col min="8198" max="8198" width="30.28515625" customWidth="1"/>
    <col min="8199" max="8199" width="10.7109375" customWidth="1"/>
    <col min="8205" max="8205" width="34.42578125" customWidth="1"/>
    <col min="8208" max="8208" width="27.7109375" customWidth="1"/>
    <col min="8454" max="8454" width="30.28515625" customWidth="1"/>
    <col min="8455" max="8455" width="10.7109375" customWidth="1"/>
    <col min="8461" max="8461" width="34.42578125" customWidth="1"/>
    <col min="8464" max="8464" width="27.7109375" customWidth="1"/>
    <col min="8710" max="8710" width="30.28515625" customWidth="1"/>
    <col min="8711" max="8711" width="10.7109375" customWidth="1"/>
    <col min="8717" max="8717" width="34.42578125" customWidth="1"/>
    <col min="8720" max="8720" width="27.7109375" customWidth="1"/>
    <col min="8966" max="8966" width="30.28515625" customWidth="1"/>
    <col min="8967" max="8967" width="10.7109375" customWidth="1"/>
    <col min="8973" max="8973" width="34.42578125" customWidth="1"/>
    <col min="8976" max="8976" width="27.7109375" customWidth="1"/>
    <col min="9222" max="9222" width="30.28515625" customWidth="1"/>
    <col min="9223" max="9223" width="10.7109375" customWidth="1"/>
    <col min="9229" max="9229" width="34.42578125" customWidth="1"/>
    <col min="9232" max="9232" width="27.7109375" customWidth="1"/>
    <col min="9478" max="9478" width="30.28515625" customWidth="1"/>
    <col min="9479" max="9479" width="10.7109375" customWidth="1"/>
    <col min="9485" max="9485" width="34.42578125" customWidth="1"/>
    <col min="9488" max="9488" width="27.7109375" customWidth="1"/>
    <col min="9734" max="9734" width="30.28515625" customWidth="1"/>
    <col min="9735" max="9735" width="10.7109375" customWidth="1"/>
    <col min="9741" max="9741" width="34.42578125" customWidth="1"/>
    <col min="9744" max="9744" width="27.7109375" customWidth="1"/>
    <col min="9990" max="9990" width="30.28515625" customWidth="1"/>
    <col min="9991" max="9991" width="10.7109375" customWidth="1"/>
    <col min="9997" max="9997" width="34.42578125" customWidth="1"/>
    <col min="10000" max="10000" width="27.7109375" customWidth="1"/>
    <col min="10246" max="10246" width="30.28515625" customWidth="1"/>
    <col min="10247" max="10247" width="10.7109375" customWidth="1"/>
    <col min="10253" max="10253" width="34.42578125" customWidth="1"/>
    <col min="10256" max="10256" width="27.7109375" customWidth="1"/>
    <col min="10502" max="10502" width="30.28515625" customWidth="1"/>
    <col min="10503" max="10503" width="10.7109375" customWidth="1"/>
    <col min="10509" max="10509" width="34.42578125" customWidth="1"/>
    <col min="10512" max="10512" width="27.7109375" customWidth="1"/>
    <col min="10758" max="10758" width="30.28515625" customWidth="1"/>
    <col min="10759" max="10759" width="10.7109375" customWidth="1"/>
    <col min="10765" max="10765" width="34.42578125" customWidth="1"/>
    <col min="10768" max="10768" width="27.7109375" customWidth="1"/>
    <col min="11014" max="11014" width="30.28515625" customWidth="1"/>
    <col min="11015" max="11015" width="10.7109375" customWidth="1"/>
    <col min="11021" max="11021" width="34.42578125" customWidth="1"/>
    <col min="11024" max="11024" width="27.7109375" customWidth="1"/>
    <col min="11270" max="11270" width="30.28515625" customWidth="1"/>
    <col min="11271" max="11271" width="10.7109375" customWidth="1"/>
    <col min="11277" max="11277" width="34.42578125" customWidth="1"/>
    <col min="11280" max="11280" width="27.7109375" customWidth="1"/>
    <col min="11526" max="11526" width="30.28515625" customWidth="1"/>
    <col min="11527" max="11527" width="10.7109375" customWidth="1"/>
    <col min="11533" max="11533" width="34.42578125" customWidth="1"/>
    <col min="11536" max="11536" width="27.7109375" customWidth="1"/>
    <col min="11782" max="11782" width="30.28515625" customWidth="1"/>
    <col min="11783" max="11783" width="10.7109375" customWidth="1"/>
    <col min="11789" max="11789" width="34.42578125" customWidth="1"/>
    <col min="11792" max="11792" width="27.7109375" customWidth="1"/>
    <col min="12038" max="12038" width="30.28515625" customWidth="1"/>
    <col min="12039" max="12039" width="10.7109375" customWidth="1"/>
    <col min="12045" max="12045" width="34.42578125" customWidth="1"/>
    <col min="12048" max="12048" width="27.7109375" customWidth="1"/>
    <col min="12294" max="12294" width="30.28515625" customWidth="1"/>
    <col min="12295" max="12295" width="10.7109375" customWidth="1"/>
    <col min="12301" max="12301" width="34.42578125" customWidth="1"/>
    <col min="12304" max="12304" width="27.7109375" customWidth="1"/>
    <col min="12550" max="12550" width="30.28515625" customWidth="1"/>
    <col min="12551" max="12551" width="10.7109375" customWidth="1"/>
    <col min="12557" max="12557" width="34.42578125" customWidth="1"/>
    <col min="12560" max="12560" width="27.7109375" customWidth="1"/>
    <col min="12806" max="12806" width="30.28515625" customWidth="1"/>
    <col min="12807" max="12807" width="10.7109375" customWidth="1"/>
    <col min="12813" max="12813" width="34.42578125" customWidth="1"/>
    <col min="12816" max="12816" width="27.7109375" customWidth="1"/>
    <col min="13062" max="13062" width="30.28515625" customWidth="1"/>
    <col min="13063" max="13063" width="10.7109375" customWidth="1"/>
    <col min="13069" max="13069" width="34.42578125" customWidth="1"/>
    <col min="13072" max="13072" width="27.7109375" customWidth="1"/>
    <col min="13318" max="13318" width="30.28515625" customWidth="1"/>
    <col min="13319" max="13319" width="10.7109375" customWidth="1"/>
    <col min="13325" max="13325" width="34.42578125" customWidth="1"/>
    <col min="13328" max="13328" width="27.7109375" customWidth="1"/>
    <col min="13574" max="13574" width="30.28515625" customWidth="1"/>
    <col min="13575" max="13575" width="10.7109375" customWidth="1"/>
    <col min="13581" max="13581" width="34.42578125" customWidth="1"/>
    <col min="13584" max="13584" width="27.7109375" customWidth="1"/>
    <col min="13830" max="13830" width="30.28515625" customWidth="1"/>
    <col min="13831" max="13831" width="10.7109375" customWidth="1"/>
    <col min="13837" max="13837" width="34.42578125" customWidth="1"/>
    <col min="13840" max="13840" width="27.7109375" customWidth="1"/>
    <col min="14086" max="14086" width="30.28515625" customWidth="1"/>
    <col min="14087" max="14087" width="10.7109375" customWidth="1"/>
    <col min="14093" max="14093" width="34.42578125" customWidth="1"/>
    <col min="14096" max="14096" width="27.7109375" customWidth="1"/>
    <col min="14342" max="14342" width="30.28515625" customWidth="1"/>
    <col min="14343" max="14343" width="10.7109375" customWidth="1"/>
    <col min="14349" max="14349" width="34.42578125" customWidth="1"/>
    <col min="14352" max="14352" width="27.7109375" customWidth="1"/>
    <col min="14598" max="14598" width="30.28515625" customWidth="1"/>
    <col min="14599" max="14599" width="10.7109375" customWidth="1"/>
    <col min="14605" max="14605" width="34.42578125" customWidth="1"/>
    <col min="14608" max="14608" width="27.7109375" customWidth="1"/>
    <col min="14854" max="14854" width="30.28515625" customWidth="1"/>
    <col min="14855" max="14855" width="10.7109375" customWidth="1"/>
    <col min="14861" max="14861" width="34.42578125" customWidth="1"/>
    <col min="14864" max="14864" width="27.7109375" customWidth="1"/>
    <col min="15110" max="15110" width="30.28515625" customWidth="1"/>
    <col min="15111" max="15111" width="10.7109375" customWidth="1"/>
    <col min="15117" max="15117" width="34.42578125" customWidth="1"/>
    <col min="15120" max="15120" width="27.7109375" customWidth="1"/>
    <col min="15366" max="15366" width="30.28515625" customWidth="1"/>
    <col min="15367" max="15367" width="10.7109375" customWidth="1"/>
    <col min="15373" max="15373" width="34.42578125" customWidth="1"/>
    <col min="15376" max="15376" width="27.7109375" customWidth="1"/>
    <col min="15622" max="15622" width="30.28515625" customWidth="1"/>
    <col min="15623" max="15623" width="10.7109375" customWidth="1"/>
    <col min="15629" max="15629" width="34.42578125" customWidth="1"/>
    <col min="15632" max="15632" width="27.7109375" customWidth="1"/>
    <col min="15878" max="15878" width="30.28515625" customWidth="1"/>
    <col min="15879" max="15879" width="10.7109375" customWidth="1"/>
    <col min="15885" max="15885" width="34.42578125" customWidth="1"/>
    <col min="15888" max="15888" width="27.7109375" customWidth="1"/>
    <col min="16134" max="16134" width="30.28515625" customWidth="1"/>
    <col min="16135" max="16135" width="10.7109375" customWidth="1"/>
    <col min="16141" max="16141" width="34.42578125" customWidth="1"/>
    <col min="16144" max="16144" width="27.7109375" customWidth="1"/>
  </cols>
  <sheetData>
    <row r="3" spans="1:14">
      <c r="A3" s="338" t="s">
        <v>0</v>
      </c>
      <c r="B3" s="339"/>
      <c r="C3" s="339"/>
      <c r="D3" s="339"/>
      <c r="E3" s="339"/>
      <c r="F3" s="339"/>
      <c r="I3" s="182" t="s">
        <v>1</v>
      </c>
      <c r="J3" s="304">
        <f>1/Model!$AV$202</f>
        <v>1.6299918500407497E-2</v>
      </c>
    </row>
    <row r="4" spans="1:14">
      <c r="I4" s="267" t="s">
        <v>2</v>
      </c>
      <c r="J4" s="304">
        <f>1/AVERAGE(Model!$AS$201:$AV$201)</f>
        <v>1.6968133844639768E-2</v>
      </c>
    </row>
    <row r="5" spans="1:14" ht="15.75" thickBot="1">
      <c r="M5" s="105"/>
      <c r="N5" s="106"/>
    </row>
    <row r="6" spans="1:14">
      <c r="B6" s="271" t="s">
        <v>3</v>
      </c>
      <c r="C6" s="272" t="s">
        <v>4</v>
      </c>
      <c r="D6" s="272" t="s">
        <v>5</v>
      </c>
      <c r="E6" s="272" t="s">
        <v>6</v>
      </c>
      <c r="F6" s="272" t="s">
        <v>7</v>
      </c>
      <c r="I6" s="341" t="s">
        <v>8</v>
      </c>
      <c r="J6" s="309" t="str">
        <f>C6</f>
        <v>PHP (mn)</v>
      </c>
    </row>
    <row r="7" spans="1:14">
      <c r="B7" s="179" t="s">
        <v>9</v>
      </c>
      <c r="C7" s="180"/>
      <c r="I7" s="311" t="s">
        <v>10</v>
      </c>
      <c r="J7" s="169">
        <v>287339</v>
      </c>
    </row>
    <row r="8" spans="1:14" ht="15.75" thickBot="1">
      <c r="B8" s="181" t="s">
        <v>11</v>
      </c>
      <c r="C8" s="183">
        <v>267008</v>
      </c>
      <c r="D8" s="190">
        <f>C8*$J3</f>
        <v>4352.2086389568049</v>
      </c>
      <c r="I8" s="312" t="s">
        <v>12</v>
      </c>
      <c r="J8" s="313" t="s">
        <v>13</v>
      </c>
    </row>
    <row r="9" spans="1:14">
      <c r="B9" s="181" t="s">
        <v>14</v>
      </c>
      <c r="C9" s="183">
        <v>30917</v>
      </c>
      <c r="D9" s="190">
        <f>C9*$J3</f>
        <v>503.94458027709857</v>
      </c>
      <c r="M9" s="105"/>
      <c r="N9" s="106"/>
    </row>
    <row r="10" spans="1:14">
      <c r="B10" s="180"/>
      <c r="C10" s="183"/>
      <c r="D10" s="180"/>
      <c r="M10" s="105"/>
      <c r="N10" s="106"/>
    </row>
    <row r="11" spans="1:14">
      <c r="B11" s="179" t="s">
        <v>15</v>
      </c>
      <c r="C11" s="183"/>
      <c r="D11" s="180"/>
      <c r="M11" s="105"/>
      <c r="N11" s="106"/>
    </row>
    <row r="12" spans="1:14">
      <c r="B12" s="181" t="s">
        <v>11</v>
      </c>
      <c r="C12" s="183">
        <v>52905</v>
      </c>
      <c r="D12" s="190">
        <f>C12*$J3</f>
        <v>862.34718826405856</v>
      </c>
      <c r="M12" s="105"/>
      <c r="N12" s="106"/>
    </row>
    <row r="13" spans="1:14">
      <c r="B13" s="181" t="s">
        <v>16</v>
      </c>
      <c r="C13" s="183">
        <v>10187</v>
      </c>
      <c r="D13" s="190">
        <f>C13*$J3</f>
        <v>166.04726976365117</v>
      </c>
      <c r="M13" s="105"/>
      <c r="N13" s="106"/>
    </row>
    <row r="14" spans="1:14">
      <c r="B14" s="181"/>
      <c r="C14" s="184"/>
      <c r="D14" s="180"/>
      <c r="H14" s="192"/>
      <c r="M14" s="105"/>
      <c r="N14" s="106"/>
    </row>
    <row r="15" spans="1:14">
      <c r="B15" s="220" t="s">
        <v>17</v>
      </c>
      <c r="C15" s="340">
        <f>SUM(C8,C9,C12,C13)</f>
        <v>361017</v>
      </c>
      <c r="D15" s="340">
        <f>SUM(D8,D9,D12,D13)</f>
        <v>5884.5476772616139</v>
      </c>
      <c r="E15" s="222">
        <f>C15/C20</f>
        <v>3.2306060904348137</v>
      </c>
      <c r="F15" s="222">
        <f>D15/D20</f>
        <v>3.1033828742246992</v>
      </c>
      <c r="M15" s="105"/>
      <c r="N15" s="106"/>
    </row>
    <row r="16" spans="1:14">
      <c r="B16" s="178" t="s">
        <v>18</v>
      </c>
      <c r="C16" s="185">
        <f>Model!AV$119</f>
        <v>11906</v>
      </c>
      <c r="D16" s="190">
        <f>C16*$J3</f>
        <v>194.06682966585166</v>
      </c>
      <c r="I16" s="192"/>
      <c r="M16" s="105"/>
      <c r="N16" s="106"/>
    </row>
    <row r="17" spans="2:14">
      <c r="B17" s="220" t="s">
        <v>19</v>
      </c>
      <c r="C17" s="340">
        <f>C15-C16</f>
        <v>349111</v>
      </c>
      <c r="D17" s="340">
        <f t="shared" ref="D17" si="0">D15-D16</f>
        <v>5690.4808475957625</v>
      </c>
      <c r="E17" s="222">
        <f>C17/C20</f>
        <v>3.1240637500111856</v>
      </c>
      <c r="F17" s="222">
        <f>D17/D20</f>
        <v>3.0010362354223181</v>
      </c>
      <c r="H17" s="192"/>
      <c r="M17" s="105"/>
      <c r="N17" s="106"/>
    </row>
    <row r="18" spans="2:14">
      <c r="B18" s="182" t="s">
        <v>20</v>
      </c>
      <c r="C18" s="301">
        <f>Model!AV$126</f>
        <v>114267</v>
      </c>
      <c r="D18" s="266">
        <f>C18*$J3</f>
        <v>1862.5427872860635</v>
      </c>
      <c r="M18" s="267"/>
      <c r="N18" s="268"/>
    </row>
    <row r="19" spans="2:14" s="204" customFormat="1">
      <c r="B19" s="104" t="s">
        <v>21</v>
      </c>
      <c r="C19" s="188">
        <f>C17+C18</f>
        <v>463378</v>
      </c>
      <c r="D19" s="188">
        <f>D17+D18</f>
        <v>7553.0236348818262</v>
      </c>
      <c r="M19" s="105"/>
      <c r="N19" s="106"/>
    </row>
    <row r="20" spans="2:14" s="204" customFormat="1">
      <c r="B20" s="104" t="s">
        <v>22</v>
      </c>
      <c r="C20" s="302">
        <f>Model!AV$84</f>
        <v>111749</v>
      </c>
      <c r="D20" s="303">
        <f>C20*$J4</f>
        <v>1896.1719890046495</v>
      </c>
      <c r="M20" s="105"/>
      <c r="N20" s="106"/>
    </row>
    <row r="21" spans="2:14">
      <c r="B21" s="131" t="s">
        <v>23</v>
      </c>
      <c r="C21" s="265">
        <f>C15-Model!AV$123</f>
        <v>0</v>
      </c>
      <c r="M21" s="105"/>
      <c r="N21" s="106"/>
    </row>
    <row r="22" spans="2:14">
      <c r="M22" s="105"/>
      <c r="N22" s="106"/>
    </row>
    <row r="23" spans="2:14">
      <c r="B23" s="107"/>
      <c r="C23" s="106"/>
    </row>
    <row r="24" spans="2:14">
      <c r="B24" s="271" t="str">
        <f>B6</f>
        <v>Debt Breakdown as on 30-Jun-2026</v>
      </c>
      <c r="C24" s="272" t="str">
        <f>C6</f>
        <v>PHP (mn)</v>
      </c>
      <c r="D24" s="272" t="str">
        <f>D6</f>
        <v>USD (mn)</v>
      </c>
      <c r="E24" s="272" t="str">
        <f>E6</f>
        <v>Leverage (PHP)</v>
      </c>
      <c r="F24" s="272" t="str">
        <f>F6</f>
        <v>Leverage (USD)</v>
      </c>
    </row>
    <row r="25" spans="2:14">
      <c r="B25" s="219" t="s">
        <v>24</v>
      </c>
      <c r="C25" s="210"/>
      <c r="D25" s="211"/>
      <c r="E25" s="212"/>
      <c r="F25" s="212"/>
    </row>
    <row r="26" spans="2:14">
      <c r="B26" s="229" t="s">
        <v>25</v>
      </c>
      <c r="C26" s="210"/>
      <c r="D26" s="211"/>
      <c r="E26" s="212"/>
      <c r="F26" s="212"/>
    </row>
    <row r="27" spans="2:14">
      <c r="B27" s="214" t="s">
        <v>26</v>
      </c>
      <c r="C27" s="210">
        <v>36291</v>
      </c>
      <c r="D27" s="211">
        <f>C27*$J3</f>
        <v>591.54034229828846</v>
      </c>
      <c r="E27" s="212"/>
      <c r="F27" s="212"/>
    </row>
    <row r="28" spans="2:14">
      <c r="B28" s="229" t="s">
        <v>27</v>
      </c>
      <c r="C28" s="210"/>
      <c r="D28" s="211"/>
      <c r="E28" s="212"/>
      <c r="F28" s="212"/>
    </row>
    <row r="29" spans="2:14">
      <c r="B29" s="214" t="s">
        <v>28</v>
      </c>
      <c r="C29" s="210">
        <v>3849</v>
      </c>
      <c r="D29" s="211">
        <f>C29*$J3</f>
        <v>62.738386308068456</v>
      </c>
      <c r="E29" s="212"/>
      <c r="F29" s="212"/>
    </row>
    <row r="30" spans="2:14">
      <c r="B30" s="230"/>
      <c r="C30" s="210"/>
      <c r="D30" s="211"/>
      <c r="E30" s="212"/>
      <c r="F30" s="212"/>
    </row>
    <row r="31" spans="2:14">
      <c r="B31" s="219" t="s">
        <v>29</v>
      </c>
      <c r="C31" s="210"/>
      <c r="D31" s="211"/>
      <c r="E31" s="212"/>
      <c r="F31" s="212"/>
    </row>
    <row r="32" spans="2:14">
      <c r="B32" s="229" t="s">
        <v>30</v>
      </c>
      <c r="C32" s="210"/>
      <c r="D32" s="211"/>
      <c r="E32" s="212"/>
      <c r="F32" s="212"/>
    </row>
    <row r="33" spans="2:8">
      <c r="B33" s="269" t="s">
        <v>31</v>
      </c>
      <c r="C33" s="210">
        <v>257485</v>
      </c>
      <c r="D33" s="211">
        <f>C33*$J3</f>
        <v>4196.9845150774245</v>
      </c>
      <c r="E33" s="212"/>
      <c r="F33" s="212"/>
    </row>
    <row r="34" spans="2:8" s="204" customFormat="1">
      <c r="B34" s="219" t="s">
        <v>32</v>
      </c>
      <c r="C34" s="216">
        <f>SUM(C27,C29,C33)</f>
        <v>297625</v>
      </c>
      <c r="D34" s="216">
        <f>SUM(D27,D29,D33)</f>
        <v>4851.2632436837812</v>
      </c>
      <c r="E34" s="217"/>
      <c r="F34" s="217"/>
      <c r="G34"/>
    </row>
    <row r="35" spans="2:8">
      <c r="B35" s="213" t="s">
        <v>33</v>
      </c>
      <c r="C35" s="210">
        <v>30617</v>
      </c>
      <c r="D35" s="211">
        <f>C35*$J3</f>
        <v>499.05460472697632</v>
      </c>
      <c r="E35" s="212"/>
      <c r="F35" s="212"/>
    </row>
    <row r="36" spans="2:8" s="204" customFormat="1">
      <c r="B36" s="219" t="s">
        <v>34</v>
      </c>
      <c r="C36" s="216">
        <f>+C34-C35</f>
        <v>267008</v>
      </c>
      <c r="D36" s="216">
        <f>+D34-D35</f>
        <v>4352.2086389568049</v>
      </c>
      <c r="E36" s="217"/>
      <c r="F36" s="217"/>
      <c r="G36"/>
    </row>
    <row r="37" spans="2:8">
      <c r="B37" s="209"/>
      <c r="C37" s="211"/>
      <c r="D37" s="211"/>
      <c r="E37" s="212"/>
      <c r="F37" s="212"/>
    </row>
    <row r="38" spans="2:8">
      <c r="B38" s="104" t="s">
        <v>35</v>
      </c>
      <c r="C38" s="216">
        <f>C35</f>
        <v>30617</v>
      </c>
      <c r="D38" s="216">
        <f>D35</f>
        <v>499.05460472697632</v>
      </c>
      <c r="E38" s="212"/>
      <c r="F38" s="215"/>
    </row>
    <row r="39" spans="2:8">
      <c r="B39" s="104" t="s">
        <v>36</v>
      </c>
      <c r="C39" s="210">
        <v>300</v>
      </c>
      <c r="D39" s="211">
        <f>C39*$J3</f>
        <v>4.8899755501222488</v>
      </c>
      <c r="E39" s="212"/>
      <c r="F39" s="215"/>
    </row>
    <row r="40" spans="2:8">
      <c r="B40" s="104" t="s">
        <v>37</v>
      </c>
      <c r="C40" s="216">
        <f>+C36+C38+C39</f>
        <v>297925</v>
      </c>
      <c r="D40" s="216">
        <f>+D36+D38+D39</f>
        <v>4856.1532192339037</v>
      </c>
      <c r="E40" s="217"/>
      <c r="F40" s="218"/>
    </row>
    <row r="41" spans="2:8">
      <c r="B41" s="104"/>
      <c r="C41" s="216"/>
      <c r="D41" s="216"/>
      <c r="E41" s="217"/>
      <c r="F41" s="218"/>
    </row>
    <row r="42" spans="2:8">
      <c r="B42" s="182" t="s">
        <v>38</v>
      </c>
      <c r="C42" s="211">
        <f>C13</f>
        <v>10187</v>
      </c>
      <c r="D42" s="211">
        <f>C42*$J3</f>
        <v>166.04726976365117</v>
      </c>
      <c r="E42" s="217"/>
      <c r="F42" s="218"/>
    </row>
    <row r="43" spans="2:8">
      <c r="B43" s="182" t="s">
        <v>39</v>
      </c>
      <c r="C43" s="211">
        <f>C12</f>
        <v>52905</v>
      </c>
      <c r="D43" s="211">
        <f>C43*$J3</f>
        <v>862.34718826405856</v>
      </c>
      <c r="E43" s="217"/>
      <c r="F43" s="218"/>
    </row>
    <row r="44" spans="2:8">
      <c r="B44" s="220" t="s">
        <v>40</v>
      </c>
      <c r="C44" s="221">
        <f>C40+C42+C43</f>
        <v>361017</v>
      </c>
      <c r="D44" s="221">
        <f>D40+D42+D43</f>
        <v>5884.5476772616139</v>
      </c>
      <c r="E44" s="222">
        <f>C44/C49</f>
        <v>3.2306060904348137</v>
      </c>
      <c r="F44" s="222">
        <f>D44/D49</f>
        <v>3.1033828742246992</v>
      </c>
      <c r="H44" s="143"/>
    </row>
    <row r="45" spans="2:8">
      <c r="B45" s="182" t="s">
        <v>41</v>
      </c>
      <c r="C45" s="211">
        <f>Model!AV$119</f>
        <v>11906</v>
      </c>
      <c r="D45" s="211">
        <f>C45*$J3</f>
        <v>194.06682966585166</v>
      </c>
      <c r="E45" s="223"/>
      <c r="F45" s="223"/>
    </row>
    <row r="46" spans="2:8">
      <c r="B46" s="220" t="s">
        <v>19</v>
      </c>
      <c r="C46" s="221">
        <f>C44-C45</f>
        <v>349111</v>
      </c>
      <c r="D46" s="221">
        <f>D44-D45</f>
        <v>5690.4808475957625</v>
      </c>
      <c r="E46" s="222">
        <f>C46/C49</f>
        <v>3.1240637500111856</v>
      </c>
      <c r="F46" s="222">
        <f>D46/D49</f>
        <v>3.0010362354223181</v>
      </c>
    </row>
    <row r="47" spans="2:8">
      <c r="B47" s="182" t="s">
        <v>20</v>
      </c>
      <c r="C47" s="305">
        <f>Model!AV$126</f>
        <v>114267</v>
      </c>
      <c r="D47" s="211">
        <f>C47*$J3</f>
        <v>1862.5427872860635</v>
      </c>
      <c r="E47" s="223"/>
      <c r="F47" s="182"/>
    </row>
    <row r="48" spans="2:8">
      <c r="B48" s="104" t="s">
        <v>21</v>
      </c>
      <c r="C48" s="227">
        <f>C46+C47</f>
        <v>463378</v>
      </c>
      <c r="D48" s="227">
        <f>D46+D47</f>
        <v>7553.0236348818262</v>
      </c>
      <c r="E48" s="226"/>
      <c r="F48" s="182"/>
    </row>
    <row r="49" spans="2:6" s="204" customFormat="1">
      <c r="B49" s="104" t="s">
        <v>22</v>
      </c>
      <c r="C49" s="306">
        <f>Model!AV$84</f>
        <v>111749</v>
      </c>
      <c r="D49" s="306">
        <f>C49*J4</f>
        <v>1896.1719890046495</v>
      </c>
      <c r="E49" s="104"/>
      <c r="F49" s="104"/>
    </row>
    <row r="50" spans="2:6" s="308" customFormat="1" ht="11.25">
      <c r="B50" s="131" t="s">
        <v>23</v>
      </c>
      <c r="C50" s="307">
        <f>C44-Model!AV$123</f>
        <v>0</v>
      </c>
    </row>
    <row r="51" spans="2:6" s="308" customFormat="1" ht="11.25">
      <c r="B51" s="131"/>
      <c r="C51" s="307"/>
    </row>
    <row r="52" spans="2:6">
      <c r="B52" s="131"/>
      <c r="C52" s="159"/>
    </row>
    <row r="53" spans="2:6">
      <c r="B53" s="232" t="s">
        <v>42</v>
      </c>
      <c r="C53" s="208" t="str">
        <f>C6</f>
        <v>PHP (mn)</v>
      </c>
      <c r="D53" s="208" t="str">
        <f>D6</f>
        <v>USD (mn)</v>
      </c>
    </row>
    <row r="54" spans="2:6">
      <c r="B54" s="134" t="str">
        <f>+B45</f>
        <v>Cash &amp; Cash  Equivalents</v>
      </c>
      <c r="C54" s="136">
        <f>Model!$AV$120</f>
        <v>11896</v>
      </c>
      <c r="D54" s="136">
        <f>+C54*$J3</f>
        <v>193.90383048084757</v>
      </c>
    </row>
    <row r="55" spans="2:6">
      <c r="B55" s="134" t="s">
        <v>43</v>
      </c>
      <c r="C55" s="136">
        <f>Model!$AV$121</f>
        <v>10</v>
      </c>
      <c r="D55" s="136">
        <f>+C55*$J3</f>
        <v>0.16299918500407495</v>
      </c>
    </row>
    <row r="56" spans="2:6">
      <c r="B56" s="240" t="s">
        <v>44</v>
      </c>
      <c r="C56" s="241">
        <f>+SUM(C54:C55)</f>
        <v>11906</v>
      </c>
      <c r="D56" s="241">
        <f>+SUM(D54:D55)</f>
        <v>194.06682966585166</v>
      </c>
    </row>
    <row r="57" spans="2:6">
      <c r="B57" s="137"/>
      <c r="C57" s="138"/>
      <c r="D57" s="138"/>
    </row>
    <row r="59" spans="2:6" ht="25.5">
      <c r="B59" s="233" t="s">
        <v>45</v>
      </c>
      <c r="C59" s="234" t="str">
        <f>C53</f>
        <v>PHP (mn)</v>
      </c>
      <c r="D59" s="234" t="str">
        <f>D53</f>
        <v>USD (mn)</v>
      </c>
    </row>
    <row r="60" spans="2:6">
      <c r="B60" s="134">
        <v>2026</v>
      </c>
      <c r="C60" s="135">
        <v>9527</v>
      </c>
      <c r="D60" s="136">
        <f>+C60*$J3</f>
        <v>155.28932355338222</v>
      </c>
    </row>
    <row r="61" spans="2:6">
      <c r="B61" s="134">
        <v>2027</v>
      </c>
      <c r="C61" s="135">
        <v>27996</v>
      </c>
      <c r="D61" s="136">
        <f>+C61*$J3</f>
        <v>456.33251833740826</v>
      </c>
    </row>
    <row r="62" spans="2:6">
      <c r="B62" s="134">
        <v>2028</v>
      </c>
      <c r="C62" s="135">
        <v>21824</v>
      </c>
      <c r="D62" s="136">
        <f>+C62*$J3</f>
        <v>355.72942135289321</v>
      </c>
    </row>
    <row r="63" spans="2:6">
      <c r="B63" s="134">
        <v>2029</v>
      </c>
      <c r="C63" s="135">
        <v>26743</v>
      </c>
      <c r="D63" s="136">
        <f>+C63*$J3</f>
        <v>435.9087204563977</v>
      </c>
    </row>
    <row r="64" spans="2:6">
      <c r="B64" s="134">
        <v>2030</v>
      </c>
      <c r="C64" s="135">
        <v>25131</v>
      </c>
      <c r="D64" s="136">
        <f>+C64*$J3</f>
        <v>409.63325183374081</v>
      </c>
    </row>
    <row r="65" spans="2:13">
      <c r="B65" s="134" t="s">
        <v>46</v>
      </c>
      <c r="C65" s="135">
        <v>188473</v>
      </c>
      <c r="D65" s="136">
        <f>+C65*$J3</f>
        <v>3072.094539527302</v>
      </c>
    </row>
    <row r="66" spans="2:13">
      <c r="B66" s="240" t="s">
        <v>44</v>
      </c>
      <c r="C66" s="241">
        <f>+SUM(C60:C65)</f>
        <v>299694</v>
      </c>
      <c r="D66" s="241">
        <f>+SUM(D60:D65)</f>
        <v>4884.987775061124</v>
      </c>
      <c r="M66" s="139"/>
    </row>
    <row r="67" spans="2:13">
      <c r="C67" s="143"/>
    </row>
    <row r="68" spans="2:13">
      <c r="G68" s="143"/>
    </row>
    <row r="69" spans="2:13">
      <c r="G69" s="143"/>
    </row>
    <row r="92" spans="1:14">
      <c r="A92" s="338" t="s">
        <v>47</v>
      </c>
      <c r="B92" s="339"/>
      <c r="C92" s="339"/>
      <c r="D92" s="339"/>
      <c r="E92" s="339"/>
      <c r="F92" s="339"/>
      <c r="I92" s="182" t="s">
        <v>1</v>
      </c>
      <c r="J92" s="304">
        <f>1/Model!$M$202</f>
        <v>1.6299918500407497E-2</v>
      </c>
    </row>
    <row r="93" spans="1:14">
      <c r="I93" s="267" t="s">
        <v>2</v>
      </c>
      <c r="J93" s="304">
        <f>1/Model!$M$201</f>
        <v>1.6968133844639768E-2</v>
      </c>
    </row>
    <row r="94" spans="1:14" ht="15.75" thickBot="1">
      <c r="M94" s="105"/>
      <c r="N94" s="106"/>
    </row>
    <row r="95" spans="1:14">
      <c r="B95" s="271" t="s">
        <v>48</v>
      </c>
      <c r="C95" s="272" t="s">
        <v>4</v>
      </c>
      <c r="D95" s="272" t="s">
        <v>5</v>
      </c>
      <c r="E95" s="272" t="s">
        <v>6</v>
      </c>
      <c r="F95" s="272" t="s">
        <v>7</v>
      </c>
      <c r="I95" s="270" t="s">
        <v>8</v>
      </c>
      <c r="J95" s="309" t="str">
        <f>C95</f>
        <v>PHP (mn)</v>
      </c>
    </row>
    <row r="96" spans="1:14">
      <c r="B96" s="179" t="s">
        <v>9</v>
      </c>
      <c r="C96" s="180"/>
      <c r="I96" s="311" t="s">
        <v>10</v>
      </c>
      <c r="J96" s="169">
        <v>282272</v>
      </c>
    </row>
    <row r="97" spans="2:14" ht="15.75" thickBot="1">
      <c r="B97" s="181" t="s">
        <v>11</v>
      </c>
      <c r="C97" s="183">
        <v>266392</v>
      </c>
      <c r="D97" s="190">
        <f>C97*$J92</f>
        <v>4342.1678891605543</v>
      </c>
      <c r="I97" s="312" t="s">
        <v>12</v>
      </c>
      <c r="J97" s="313" t="s">
        <v>49</v>
      </c>
    </row>
    <row r="98" spans="2:14">
      <c r="B98" s="181" t="s">
        <v>14</v>
      </c>
      <c r="C98" s="183">
        <v>29070</v>
      </c>
      <c r="D98" s="190">
        <f>C98*$J92</f>
        <v>473.83863080684591</v>
      </c>
      <c r="M98" s="105"/>
      <c r="N98" s="106"/>
    </row>
    <row r="99" spans="2:14">
      <c r="B99" s="180"/>
      <c r="C99" s="183"/>
      <c r="D99" s="180"/>
      <c r="M99" s="105"/>
      <c r="N99" s="106"/>
    </row>
    <row r="100" spans="2:14">
      <c r="B100" s="180" t="s">
        <v>15</v>
      </c>
      <c r="C100" s="183"/>
      <c r="D100" s="180"/>
      <c r="M100" s="105"/>
      <c r="N100" s="106"/>
    </row>
    <row r="101" spans="2:14">
      <c r="B101" s="181" t="s">
        <v>11</v>
      </c>
      <c r="C101" s="183">
        <v>52157</v>
      </c>
      <c r="D101" s="190">
        <f>C101*$J92</f>
        <v>850.15484922575376</v>
      </c>
      <c r="M101" s="105"/>
      <c r="N101" s="106"/>
    </row>
    <row r="102" spans="2:14">
      <c r="B102" s="181" t="s">
        <v>16</v>
      </c>
      <c r="C102" s="183">
        <v>9679</v>
      </c>
      <c r="D102" s="190">
        <f>C102*$J92</f>
        <v>157.76691116544416</v>
      </c>
      <c r="M102" s="105"/>
      <c r="N102" s="106"/>
    </row>
    <row r="103" spans="2:14">
      <c r="B103" s="181"/>
      <c r="C103" s="184"/>
      <c r="D103" s="180"/>
      <c r="H103" s="192"/>
      <c r="M103" s="105"/>
      <c r="N103" s="106"/>
    </row>
    <row r="104" spans="2:14">
      <c r="B104" s="123" t="s">
        <v>17</v>
      </c>
      <c r="C104" s="186">
        <f>SUM(C97,C98,C101,C102)</f>
        <v>357298</v>
      </c>
      <c r="D104" s="186">
        <f>SUM(D97,D98,D101,D102)</f>
        <v>5823.9282803585975</v>
      </c>
      <c r="E104" s="125">
        <f>C104/C109</f>
        <v>3.200046572447024</v>
      </c>
      <c r="F104" s="125">
        <f>D104/D109</f>
        <v>3.0740268084856215</v>
      </c>
      <c r="M104" s="105"/>
      <c r="N104" s="106"/>
    </row>
    <row r="105" spans="2:14">
      <c r="B105" s="178" t="s">
        <v>18</v>
      </c>
      <c r="C105" s="185">
        <f>Model!AU$119</f>
        <v>14544</v>
      </c>
      <c r="D105" s="190">
        <f>C105*$J92</f>
        <v>237.06601466992663</v>
      </c>
      <c r="I105" s="192"/>
      <c r="M105" s="105"/>
      <c r="N105" s="106"/>
    </row>
    <row r="106" spans="2:14">
      <c r="B106" s="123" t="s">
        <v>19</v>
      </c>
      <c r="C106" s="186">
        <f>C104-C105</f>
        <v>342754</v>
      </c>
      <c r="D106" s="186">
        <f t="shared" ref="D106" si="1">D104-D105</f>
        <v>5586.862265688671</v>
      </c>
      <c r="E106" s="125">
        <f>C106/C109</f>
        <v>3.0697870206172642</v>
      </c>
      <c r="F106" s="125">
        <f>D106/D109</f>
        <v>2.9488969563660605</v>
      </c>
      <c r="H106" s="192"/>
      <c r="M106" s="105"/>
      <c r="N106" s="106"/>
    </row>
    <row r="107" spans="2:14">
      <c r="B107" s="182" t="s">
        <v>20</v>
      </c>
      <c r="C107" s="301">
        <f>Model!AU$126</f>
        <v>127168</v>
      </c>
      <c r="D107" s="266">
        <f>C107*$J92</f>
        <v>2072.8280358598204</v>
      </c>
      <c r="M107" s="267"/>
      <c r="N107" s="268"/>
    </row>
    <row r="108" spans="2:14" s="204" customFormat="1">
      <c r="B108" s="104" t="s">
        <v>21</v>
      </c>
      <c r="C108" s="188">
        <f>C106+C107</f>
        <v>469922</v>
      </c>
      <c r="D108" s="188">
        <f>D106+D107</f>
        <v>7659.6903015484913</v>
      </c>
      <c r="M108" s="105"/>
      <c r="N108" s="106"/>
    </row>
    <row r="109" spans="2:14" s="204" customFormat="1">
      <c r="B109" s="104" t="s">
        <v>22</v>
      </c>
      <c r="C109" s="302">
        <f>Model!AU$84</f>
        <v>111654</v>
      </c>
      <c r="D109" s="303">
        <f>C109*$J93</f>
        <v>1894.5600162894086</v>
      </c>
      <c r="M109" s="105"/>
      <c r="N109" s="106"/>
    </row>
    <row r="110" spans="2:14">
      <c r="B110" s="131" t="s">
        <v>23</v>
      </c>
      <c r="C110" s="265">
        <f>C104-Model!AU$123</f>
        <v>0</v>
      </c>
      <c r="M110" s="105"/>
      <c r="N110" s="106"/>
    </row>
    <row r="111" spans="2:14">
      <c r="M111" s="105"/>
      <c r="N111" s="106"/>
    </row>
    <row r="112" spans="2:14">
      <c r="B112" s="107"/>
      <c r="C112" s="106"/>
    </row>
    <row r="113" spans="2:7" ht="25.5">
      <c r="B113" s="207" t="str">
        <f>B95</f>
        <v>Debt Breakdown as on 31-Mar-2026</v>
      </c>
      <c r="C113" s="208" t="str">
        <f>C95</f>
        <v>PHP (mn)</v>
      </c>
      <c r="D113" s="208" t="str">
        <f>D95</f>
        <v>USD (mn)</v>
      </c>
      <c r="E113" s="208" t="str">
        <f>E95</f>
        <v>Leverage (PHP)</v>
      </c>
      <c r="F113" s="208" t="str">
        <f>F95</f>
        <v>Leverage (USD)</v>
      </c>
    </row>
    <row r="114" spans="2:7">
      <c r="B114" s="219" t="s">
        <v>24</v>
      </c>
      <c r="C114" s="210"/>
      <c r="D114" s="211"/>
      <c r="E114" s="212"/>
      <c r="F114" s="212"/>
    </row>
    <row r="115" spans="2:7">
      <c r="B115" s="229" t="s">
        <v>25</v>
      </c>
      <c r="C115" s="210"/>
      <c r="D115" s="211"/>
      <c r="E115" s="212"/>
      <c r="F115" s="212"/>
    </row>
    <row r="116" spans="2:7">
      <c r="B116" s="214" t="s">
        <v>26</v>
      </c>
      <c r="C116" s="210">
        <v>35915</v>
      </c>
      <c r="D116" s="211">
        <f>C116*$J92</f>
        <v>585.41157294213519</v>
      </c>
      <c r="E116" s="212"/>
      <c r="F116" s="212"/>
    </row>
    <row r="117" spans="2:7">
      <c r="B117" s="229" t="s">
        <v>30</v>
      </c>
      <c r="C117" s="210"/>
      <c r="D117" s="211"/>
      <c r="E117" s="212"/>
      <c r="F117" s="212"/>
    </row>
    <row r="118" spans="2:7">
      <c r="B118" s="230" t="s">
        <v>50</v>
      </c>
      <c r="C118" s="210">
        <v>4021</v>
      </c>
      <c r="D118" s="211">
        <f>C118*$J92</f>
        <v>65.541972290138546</v>
      </c>
      <c r="E118" s="212"/>
      <c r="F118" s="212"/>
    </row>
    <row r="119" spans="2:7">
      <c r="B119" s="230"/>
      <c r="C119" s="210"/>
      <c r="D119" s="211"/>
      <c r="E119" s="212"/>
      <c r="F119" s="212"/>
    </row>
    <row r="120" spans="2:7">
      <c r="B120" s="219" t="s">
        <v>29</v>
      </c>
      <c r="C120" s="210"/>
      <c r="D120" s="211"/>
      <c r="E120" s="212"/>
      <c r="F120" s="212"/>
    </row>
    <row r="121" spans="2:7">
      <c r="B121" s="229" t="s">
        <v>30</v>
      </c>
      <c r="C121" s="210"/>
      <c r="D121" s="211"/>
      <c r="E121" s="212"/>
      <c r="F121" s="212"/>
    </row>
    <row r="122" spans="2:7">
      <c r="B122" s="269" t="s">
        <v>51</v>
      </c>
      <c r="C122" s="210">
        <v>255226</v>
      </c>
      <c r="D122" s="211">
        <f>C122*$J92</f>
        <v>4160.1629991850041</v>
      </c>
      <c r="E122" s="212"/>
      <c r="F122" s="212"/>
    </row>
    <row r="123" spans="2:7" s="204" customFormat="1">
      <c r="B123" s="219" t="s">
        <v>32</v>
      </c>
      <c r="C123" s="216">
        <f>SUM(C116,C118,C122)</f>
        <v>295162</v>
      </c>
      <c r="D123" s="216">
        <f>SUM(D116,D118,D122)</f>
        <v>4811.1165444172775</v>
      </c>
      <c r="E123" s="217"/>
      <c r="F123" s="217"/>
      <c r="G123"/>
    </row>
    <row r="124" spans="2:7">
      <c r="B124" s="213" t="s">
        <v>33</v>
      </c>
      <c r="C124" s="210">
        <v>28770</v>
      </c>
      <c r="D124" s="211">
        <f>C124*$J92</f>
        <v>468.94865525672367</v>
      </c>
      <c r="E124" s="212"/>
      <c r="F124" s="212"/>
    </row>
    <row r="125" spans="2:7" s="204" customFormat="1">
      <c r="B125" s="219" t="s">
        <v>34</v>
      </c>
      <c r="C125" s="216">
        <f>+C123-C124</f>
        <v>266392</v>
      </c>
      <c r="D125" s="216">
        <f>+D123-D124</f>
        <v>4342.1678891605534</v>
      </c>
      <c r="E125" s="217"/>
      <c r="F125" s="217"/>
      <c r="G125"/>
    </row>
    <row r="126" spans="2:7">
      <c r="B126" s="209"/>
      <c r="C126" s="211"/>
      <c r="D126" s="211"/>
      <c r="E126" s="212"/>
      <c r="F126" s="212"/>
    </row>
    <row r="127" spans="2:7">
      <c r="B127" s="104" t="s">
        <v>35</v>
      </c>
      <c r="C127" s="216">
        <f>C124</f>
        <v>28770</v>
      </c>
      <c r="D127" s="216">
        <f>D124</f>
        <v>468.94865525672367</v>
      </c>
      <c r="E127" s="212"/>
      <c r="F127" s="215"/>
    </row>
    <row r="128" spans="2:7">
      <c r="B128" s="104" t="s">
        <v>36</v>
      </c>
      <c r="C128" s="210">
        <v>300</v>
      </c>
      <c r="D128" s="211">
        <f>C128*$J92</f>
        <v>4.8899755501222488</v>
      </c>
      <c r="E128" s="212"/>
      <c r="F128" s="215"/>
    </row>
    <row r="129" spans="2:8">
      <c r="B129" s="104" t="s">
        <v>37</v>
      </c>
      <c r="C129" s="216">
        <f>+C125+C127+C128</f>
        <v>295462</v>
      </c>
      <c r="D129" s="216">
        <f>+D125+D127+D128</f>
        <v>4816.0065199673991</v>
      </c>
      <c r="E129" s="217"/>
      <c r="F129" s="218"/>
    </row>
    <row r="130" spans="2:8">
      <c r="B130" s="104"/>
      <c r="C130" s="216"/>
      <c r="D130" s="216"/>
      <c r="E130" s="217"/>
      <c r="F130" s="218"/>
    </row>
    <row r="131" spans="2:8">
      <c r="B131" s="182" t="s">
        <v>38</v>
      </c>
      <c r="C131" s="211">
        <f>C102</f>
        <v>9679</v>
      </c>
      <c r="D131" s="211">
        <f>C131*$J92</f>
        <v>157.76691116544416</v>
      </c>
      <c r="E131" s="217"/>
      <c r="F131" s="218"/>
    </row>
    <row r="132" spans="2:8">
      <c r="B132" s="182" t="s">
        <v>39</v>
      </c>
      <c r="C132" s="211">
        <f>C101</f>
        <v>52157</v>
      </c>
      <c r="D132" s="211">
        <f>C132*$J92</f>
        <v>850.15484922575376</v>
      </c>
      <c r="E132" s="217"/>
      <c r="F132" s="218"/>
    </row>
    <row r="133" spans="2:8">
      <c r="B133" s="123" t="s">
        <v>40</v>
      </c>
      <c r="C133" s="124">
        <f>C129+C131+C132</f>
        <v>357298</v>
      </c>
      <c r="D133" s="124">
        <f>D129+D131+D132</f>
        <v>5823.9282803585966</v>
      </c>
      <c r="E133" s="125">
        <f>C133/C138</f>
        <v>3.200046572447024</v>
      </c>
      <c r="F133" s="125">
        <f>D133/D138</f>
        <v>3.0740268084856206</v>
      </c>
      <c r="H133" s="143"/>
    </row>
    <row r="134" spans="2:8">
      <c r="B134" s="182" t="s">
        <v>41</v>
      </c>
      <c r="C134" s="211">
        <f>Model!AU$119</f>
        <v>14544</v>
      </c>
      <c r="D134" s="211">
        <f>C134*$J92</f>
        <v>237.06601466992663</v>
      </c>
      <c r="E134" s="223"/>
      <c r="F134" s="223"/>
    </row>
    <row r="135" spans="2:8">
      <c r="B135" s="123" t="s">
        <v>19</v>
      </c>
      <c r="C135" s="124">
        <f>C133-C134</f>
        <v>342754</v>
      </c>
      <c r="D135" s="124">
        <f>D133-D134</f>
        <v>5586.86226568867</v>
      </c>
      <c r="E135" s="125">
        <f>C135/C138</f>
        <v>3.0697870206172642</v>
      </c>
      <c r="F135" s="125">
        <f>D135/D138</f>
        <v>2.9488969563660601</v>
      </c>
    </row>
    <row r="136" spans="2:8">
      <c r="B136" s="182" t="s">
        <v>20</v>
      </c>
      <c r="C136" s="305">
        <f>Model!AU$126</f>
        <v>127168</v>
      </c>
      <c r="D136" s="211">
        <f>C136*$J92</f>
        <v>2072.8280358598204</v>
      </c>
      <c r="E136" s="223"/>
      <c r="F136" s="182"/>
    </row>
    <row r="137" spans="2:8">
      <c r="B137" s="104" t="s">
        <v>21</v>
      </c>
      <c r="C137" s="227">
        <f>C135+C136</f>
        <v>469922</v>
      </c>
      <c r="D137" s="227">
        <f>D135+D136</f>
        <v>7659.6903015484904</v>
      </c>
      <c r="E137" s="226"/>
      <c r="F137" s="182"/>
    </row>
    <row r="138" spans="2:8" s="204" customFormat="1">
      <c r="B138" s="104" t="s">
        <v>22</v>
      </c>
      <c r="C138" s="306">
        <f>Model!AU$84</f>
        <v>111654</v>
      </c>
      <c r="D138" s="306">
        <f>C138*J93</f>
        <v>1894.5600162894086</v>
      </c>
      <c r="E138" s="104"/>
      <c r="F138" s="104"/>
    </row>
    <row r="139" spans="2:8" s="308" customFormat="1" ht="11.25">
      <c r="B139" s="131" t="s">
        <v>23</v>
      </c>
      <c r="C139" s="307">
        <f>C133-Model!AU$123</f>
        <v>0</v>
      </c>
    </row>
    <row r="140" spans="2:8" s="308" customFormat="1" ht="11.25">
      <c r="B140" s="131"/>
      <c r="C140" s="307"/>
    </row>
    <row r="141" spans="2:8">
      <c r="B141" s="131"/>
      <c r="C141" s="159"/>
    </row>
    <row r="142" spans="2:8">
      <c r="B142" s="232" t="s">
        <v>52</v>
      </c>
      <c r="C142" s="208" t="str">
        <f>C95</f>
        <v>PHP (mn)</v>
      </c>
      <c r="D142" s="208" t="str">
        <f>D95</f>
        <v>USD (mn)</v>
      </c>
    </row>
    <row r="143" spans="2:8">
      <c r="B143" s="134" t="str">
        <f>+B134</f>
        <v>Cash &amp; Cash  Equivalents</v>
      </c>
      <c r="C143" s="136">
        <f>Model!$AU$120</f>
        <v>14534</v>
      </c>
      <c r="D143" s="136">
        <f>+C143*$J92</f>
        <v>236.90301548492255</v>
      </c>
    </row>
    <row r="144" spans="2:8">
      <c r="B144" s="134" t="s">
        <v>43</v>
      </c>
      <c r="C144" s="136">
        <f>Model!$AU$121</f>
        <v>10</v>
      </c>
      <c r="D144" s="136">
        <f>+C144*$J92</f>
        <v>0.16299918500407495</v>
      </c>
    </row>
    <row r="145" spans="2:13">
      <c r="B145" s="240" t="s">
        <v>44</v>
      </c>
      <c r="C145" s="241">
        <f>+SUM(C143:C144)</f>
        <v>14544</v>
      </c>
      <c r="D145" s="241">
        <f>+SUM(D143:D144)</f>
        <v>237.06601466992663</v>
      </c>
    </row>
    <row r="146" spans="2:13">
      <c r="B146" s="137"/>
      <c r="C146" s="138"/>
      <c r="D146" s="138"/>
    </row>
    <row r="148" spans="2:13" ht="25.5">
      <c r="B148" s="233" t="s">
        <v>45</v>
      </c>
      <c r="C148" s="234" t="str">
        <f>C142</f>
        <v>PHP (mn)</v>
      </c>
      <c r="D148" s="234" t="str">
        <f>D142</f>
        <v>USD (mn)</v>
      </c>
    </row>
    <row r="149" spans="2:13">
      <c r="B149" s="134">
        <v>2026</v>
      </c>
      <c r="C149" s="135">
        <v>15500</v>
      </c>
      <c r="D149" s="136">
        <f>+C149*$J92</f>
        <v>252.6487367563162</v>
      </c>
    </row>
    <row r="150" spans="2:13">
      <c r="B150" s="134">
        <v>2027</v>
      </c>
      <c r="C150" s="135">
        <v>27907</v>
      </c>
      <c r="D150" s="136">
        <f>+C150*$J92</f>
        <v>454.88182559087198</v>
      </c>
    </row>
    <row r="151" spans="2:13">
      <c r="B151" s="134">
        <v>2028</v>
      </c>
      <c r="C151" s="135">
        <v>21727</v>
      </c>
      <c r="D151" s="136">
        <f>+C151*$J92</f>
        <v>354.14832925835367</v>
      </c>
    </row>
    <row r="152" spans="2:13">
      <c r="B152" s="134">
        <v>2029</v>
      </c>
      <c r="C152" s="135">
        <v>26663</v>
      </c>
      <c r="D152" s="136">
        <f>+C152*$J92</f>
        <v>434.6047269763651</v>
      </c>
    </row>
    <row r="153" spans="2:13">
      <c r="B153" s="134">
        <v>2030</v>
      </c>
      <c r="C153" s="135">
        <v>25043</v>
      </c>
      <c r="D153" s="136">
        <f>+C153*$J92</f>
        <v>408.19885900570495</v>
      </c>
    </row>
    <row r="154" spans="2:13">
      <c r="B154" s="134" t="s">
        <v>46</v>
      </c>
      <c r="C154" s="135">
        <v>180426</v>
      </c>
      <c r="D154" s="136">
        <f>+C154*$J92</f>
        <v>2940.9290953545228</v>
      </c>
    </row>
    <row r="155" spans="2:13">
      <c r="B155" s="240" t="s">
        <v>44</v>
      </c>
      <c r="C155" s="241">
        <f>+SUM(C149:C154)</f>
        <v>297266</v>
      </c>
      <c r="D155" s="241">
        <f>+SUM(D149:D154)</f>
        <v>4845.4115729421346</v>
      </c>
      <c r="M155" s="139"/>
    </row>
    <row r="156" spans="2:13">
      <c r="C156" s="143"/>
    </row>
    <row r="157" spans="2:13">
      <c r="G157" s="143"/>
    </row>
    <row r="158" spans="2:13">
      <c r="G158" s="143"/>
    </row>
    <row r="181" spans="1:14">
      <c r="A181" s="103" t="s">
        <v>53</v>
      </c>
      <c r="I181" s="104" t="s">
        <v>1</v>
      </c>
      <c r="J181" s="237">
        <f>1/Model!$M$202</f>
        <v>1.6299918500407497E-2</v>
      </c>
    </row>
    <row r="182" spans="1:14">
      <c r="I182" s="105" t="s">
        <v>2</v>
      </c>
      <c r="J182" s="237">
        <f>1/Model!$M$201</f>
        <v>1.6968133844639768E-2</v>
      </c>
    </row>
    <row r="183" spans="1:14" ht="15.75" thickBot="1">
      <c r="M183" s="105"/>
      <c r="N183" s="106"/>
    </row>
    <row r="184" spans="1:14">
      <c r="B184" s="271" t="s">
        <v>54</v>
      </c>
      <c r="C184" s="272" t="s">
        <v>55</v>
      </c>
      <c r="D184" s="272" t="s">
        <v>56</v>
      </c>
      <c r="E184" s="272" t="s">
        <v>6</v>
      </c>
      <c r="F184" s="272" t="s">
        <v>7</v>
      </c>
      <c r="I184" s="270" t="s">
        <v>8</v>
      </c>
      <c r="J184" s="236"/>
    </row>
    <row r="185" spans="1:14">
      <c r="B185" s="179" t="s">
        <v>9</v>
      </c>
      <c r="C185" s="180"/>
      <c r="I185" s="165" t="s">
        <v>10</v>
      </c>
      <c r="J185" s="169">
        <v>284700</v>
      </c>
    </row>
    <row r="186" spans="1:14" ht="15.75" thickBot="1">
      <c r="B186" s="181" t="s">
        <v>11</v>
      </c>
      <c r="C186" s="183">
        <v>278868</v>
      </c>
      <c r="D186" s="190">
        <f>C186*$J181</f>
        <v>4545.5256723716375</v>
      </c>
      <c r="I186" s="166" t="s">
        <v>12</v>
      </c>
      <c r="J186" s="242" t="s">
        <v>57</v>
      </c>
    </row>
    <row r="187" spans="1:14">
      <c r="B187" s="181" t="s">
        <v>14</v>
      </c>
      <c r="C187" s="183">
        <v>16180</v>
      </c>
      <c r="D187" s="190">
        <f>C187*$J181</f>
        <v>263.73268133659332</v>
      </c>
      <c r="M187" s="105"/>
      <c r="N187" s="106"/>
    </row>
    <row r="188" spans="1:14">
      <c r="B188" s="180"/>
      <c r="C188" s="183"/>
      <c r="D188" s="180"/>
      <c r="M188" s="105"/>
      <c r="N188" s="106"/>
    </row>
    <row r="189" spans="1:14">
      <c r="B189" s="180" t="s">
        <v>15</v>
      </c>
      <c r="C189" s="183"/>
      <c r="D189" s="180"/>
      <c r="M189" s="105"/>
      <c r="N189" s="106"/>
    </row>
    <row r="190" spans="1:14">
      <c r="B190" s="181" t="s">
        <v>11</v>
      </c>
      <c r="C190" s="183">
        <v>55276</v>
      </c>
      <c r="D190" s="190">
        <f>C190*$J181</f>
        <v>900.99429502852479</v>
      </c>
      <c r="M190" s="105"/>
      <c r="N190" s="106"/>
    </row>
    <row r="191" spans="1:14">
      <c r="B191" s="181" t="s">
        <v>16</v>
      </c>
      <c r="C191" s="183">
        <v>8897</v>
      </c>
      <c r="D191" s="190">
        <f>C191*$J181</f>
        <v>145.02037489812551</v>
      </c>
      <c r="M191" s="105"/>
      <c r="N191" s="106"/>
    </row>
    <row r="192" spans="1:14">
      <c r="B192" s="181"/>
      <c r="C192" s="184"/>
      <c r="D192" s="180"/>
      <c r="H192" s="192"/>
      <c r="M192" s="105"/>
      <c r="N192" s="106"/>
    </row>
    <row r="193" spans="2:14">
      <c r="B193" s="123" t="s">
        <v>17</v>
      </c>
      <c r="C193" s="186">
        <f>SUM(C186,C187,C190,C191)</f>
        <v>359221</v>
      </c>
      <c r="D193" s="186">
        <f>SUM(D186,D187,D190,D191)</f>
        <v>5855.2730236348816</v>
      </c>
      <c r="E193" s="125">
        <f>C193/C198</f>
        <v>3.2295043647903912</v>
      </c>
      <c r="F193" s="125">
        <f>D193/D198</f>
        <v>3.1023245352006015</v>
      </c>
      <c r="M193" s="105"/>
      <c r="N193" s="106"/>
    </row>
    <row r="194" spans="2:14">
      <c r="B194" s="178" t="s">
        <v>18</v>
      </c>
      <c r="C194" s="185">
        <f>Model!AT$119</f>
        <v>11876</v>
      </c>
      <c r="D194" s="190">
        <f>C194*$J181</f>
        <v>193.57783211083944</v>
      </c>
      <c r="I194" s="192"/>
      <c r="M194" s="105"/>
      <c r="N194" s="106"/>
    </row>
    <row r="195" spans="2:14">
      <c r="B195" s="123" t="s">
        <v>19</v>
      </c>
      <c r="C195" s="186">
        <f>C193-C194</f>
        <v>347345</v>
      </c>
      <c r="D195" s="186">
        <f t="shared" ref="D195" si="2">D193-D194</f>
        <v>5661.6951915240425</v>
      </c>
      <c r="E195" s="125">
        <f>C195/C198</f>
        <v>3.1227355683217808</v>
      </c>
      <c r="F195" s="125">
        <f>D195/D198</f>
        <v>2.9997603583288641</v>
      </c>
      <c r="H195" s="192"/>
      <c r="M195" s="105"/>
      <c r="N195" s="106"/>
    </row>
    <row r="196" spans="2:14">
      <c r="B196" s="104" t="s">
        <v>20</v>
      </c>
      <c r="C196" s="187">
        <f>Model!AT$126</f>
        <v>128083</v>
      </c>
      <c r="D196" s="188">
        <f>C196*$J181</f>
        <v>2087.7424612876935</v>
      </c>
      <c r="M196" s="105"/>
      <c r="N196" s="106"/>
    </row>
    <row r="197" spans="2:14">
      <c r="B197" s="182" t="s">
        <v>21</v>
      </c>
      <c r="C197" s="266">
        <f>C195+C196</f>
        <v>475428</v>
      </c>
      <c r="D197" s="266">
        <f>D195+D196</f>
        <v>7749.4376528117355</v>
      </c>
      <c r="M197" s="267"/>
      <c r="N197" s="268"/>
    </row>
    <row r="198" spans="2:14">
      <c r="B198" s="182" t="s">
        <v>22</v>
      </c>
      <c r="C198" s="189">
        <f>Model!AT$84</f>
        <v>111231</v>
      </c>
      <c r="D198" s="190">
        <f>C198*$J182</f>
        <v>1887.382495673126</v>
      </c>
      <c r="M198" s="105"/>
      <c r="N198" s="106"/>
    </row>
    <row r="199" spans="2:14">
      <c r="B199" s="131" t="s">
        <v>23</v>
      </c>
      <c r="C199" s="265">
        <f>C193-Model!AT$123</f>
        <v>0</v>
      </c>
      <c r="M199" s="105"/>
      <c r="N199" s="106"/>
    </row>
    <row r="200" spans="2:14">
      <c r="M200" s="105"/>
      <c r="N200" s="106"/>
    </row>
    <row r="201" spans="2:14">
      <c r="B201" s="107"/>
      <c r="C201" s="106"/>
    </row>
    <row r="202" spans="2:14" ht="25.5">
      <c r="B202" s="207" t="str">
        <f>B184</f>
        <v>Debt Breakdown as on 31-Dec-2025</v>
      </c>
      <c r="C202" s="208" t="str">
        <f>C184</f>
        <v>PHP (MM)</v>
      </c>
      <c r="D202" s="208" t="str">
        <f>D184</f>
        <v>USD (MM)</v>
      </c>
      <c r="E202" s="208" t="str">
        <f>E184</f>
        <v>Leverage (PHP)</v>
      </c>
      <c r="F202" s="208" t="str">
        <f>F184</f>
        <v>Leverage (USD)</v>
      </c>
    </row>
    <row r="203" spans="2:14">
      <c r="B203" s="219" t="s">
        <v>24</v>
      </c>
      <c r="C203" s="210"/>
      <c r="D203" s="211"/>
      <c r="E203" s="212"/>
      <c r="F203" s="212"/>
    </row>
    <row r="204" spans="2:14">
      <c r="B204" s="229" t="s">
        <v>25</v>
      </c>
      <c r="C204" s="210"/>
      <c r="D204" s="211"/>
      <c r="E204" s="212"/>
      <c r="F204" s="212"/>
    </row>
    <row r="205" spans="2:14">
      <c r="B205" s="214" t="s">
        <v>58</v>
      </c>
      <c r="C205" s="210">
        <v>34779</v>
      </c>
      <c r="D205" s="211">
        <f>C205*$J181</f>
        <v>566.89486552567234</v>
      </c>
      <c r="E205" s="212"/>
      <c r="F205" s="212"/>
    </row>
    <row r="206" spans="2:14">
      <c r="B206" s="229" t="s">
        <v>30</v>
      </c>
      <c r="C206" s="210"/>
      <c r="D206" s="211"/>
      <c r="E206" s="212"/>
      <c r="F206" s="212"/>
    </row>
    <row r="207" spans="2:14">
      <c r="B207" s="230" t="s">
        <v>59</v>
      </c>
      <c r="C207" s="210">
        <v>4100</v>
      </c>
      <c r="D207" s="211">
        <f>C207*$J181</f>
        <v>66.82966585167074</v>
      </c>
      <c r="E207" s="212"/>
      <c r="F207" s="212"/>
    </row>
    <row r="208" spans="2:14">
      <c r="B208" s="230"/>
      <c r="C208" s="210"/>
      <c r="D208" s="211"/>
      <c r="E208" s="212"/>
      <c r="F208" s="212"/>
    </row>
    <row r="209" spans="2:8">
      <c r="B209" s="219" t="s">
        <v>29</v>
      </c>
      <c r="C209" s="210"/>
      <c r="D209" s="211"/>
      <c r="E209" s="212"/>
      <c r="F209" s="212"/>
    </row>
    <row r="210" spans="2:8">
      <c r="B210" s="229" t="s">
        <v>30</v>
      </c>
      <c r="C210" s="210"/>
      <c r="D210" s="211"/>
      <c r="E210" s="212"/>
      <c r="F210" s="212"/>
    </row>
    <row r="211" spans="2:8">
      <c r="B211" s="269" t="s">
        <v>60</v>
      </c>
      <c r="C211" s="210">
        <v>255869</v>
      </c>
      <c r="D211" s="211">
        <f>C211*$J181</f>
        <v>4170.6438467807657</v>
      </c>
      <c r="E211" s="212"/>
      <c r="F211" s="212"/>
    </row>
    <row r="212" spans="2:8" s="204" customFormat="1">
      <c r="B212" s="219" t="s">
        <v>32</v>
      </c>
      <c r="C212" s="216">
        <f>SUM(C205,C207,C211)</f>
        <v>294748</v>
      </c>
      <c r="D212" s="216">
        <f>SUM(D205,D207,D211)</f>
        <v>4804.3683781581085</v>
      </c>
      <c r="E212" s="217"/>
      <c r="F212" s="217"/>
      <c r="G212"/>
    </row>
    <row r="213" spans="2:8">
      <c r="B213" s="213" t="s">
        <v>33</v>
      </c>
      <c r="C213" s="210">
        <v>15880</v>
      </c>
      <c r="D213" s="211">
        <f>C213*$J181</f>
        <v>258.84270578647107</v>
      </c>
      <c r="E213" s="212"/>
      <c r="F213" s="212"/>
    </row>
    <row r="214" spans="2:8" s="204" customFormat="1">
      <c r="B214" s="219" t="s">
        <v>34</v>
      </c>
      <c r="C214" s="216">
        <f>+C212-C213</f>
        <v>278868</v>
      </c>
      <c r="D214" s="216">
        <f>+D212-D213</f>
        <v>4545.5256723716375</v>
      </c>
      <c r="E214" s="217"/>
      <c r="F214" s="217"/>
      <c r="G214"/>
    </row>
    <row r="215" spans="2:8">
      <c r="B215" s="209"/>
      <c r="C215" s="211"/>
      <c r="D215" s="211"/>
      <c r="E215" s="212"/>
      <c r="F215" s="212"/>
    </row>
    <row r="216" spans="2:8">
      <c r="B216" s="104" t="s">
        <v>35</v>
      </c>
      <c r="C216" s="216">
        <f>C213</f>
        <v>15880</v>
      </c>
      <c r="D216" s="216">
        <f>D213</f>
        <v>258.84270578647107</v>
      </c>
      <c r="E216" s="212"/>
      <c r="F216" s="215"/>
    </row>
    <row r="217" spans="2:8">
      <c r="B217" s="104" t="s">
        <v>36</v>
      </c>
      <c r="C217" s="210">
        <v>300</v>
      </c>
      <c r="D217" s="211">
        <f>C217*$J181</f>
        <v>4.8899755501222488</v>
      </c>
      <c r="E217" s="212"/>
      <c r="F217" s="215"/>
    </row>
    <row r="218" spans="2:8">
      <c r="B218" s="104" t="s">
        <v>37</v>
      </c>
      <c r="C218" s="216">
        <f>+C214+C216+C217</f>
        <v>295048</v>
      </c>
      <c r="D218" s="216">
        <f>+D214+D216+D217</f>
        <v>4809.258353708231</v>
      </c>
      <c r="E218" s="217"/>
      <c r="F218" s="218"/>
    </row>
    <row r="219" spans="2:8">
      <c r="B219" s="104"/>
      <c r="C219" s="216"/>
      <c r="D219" s="216"/>
      <c r="E219" s="217"/>
      <c r="F219" s="218"/>
    </row>
    <row r="220" spans="2:8">
      <c r="B220" s="182" t="s">
        <v>38</v>
      </c>
      <c r="C220" s="211">
        <f>C191</f>
        <v>8897</v>
      </c>
      <c r="D220" s="211">
        <f>C220*$J181</f>
        <v>145.02037489812551</v>
      </c>
      <c r="E220" s="217"/>
      <c r="F220" s="218"/>
    </row>
    <row r="221" spans="2:8">
      <c r="B221" s="182" t="s">
        <v>39</v>
      </c>
      <c r="C221" s="211">
        <f>C190</f>
        <v>55276</v>
      </c>
      <c r="D221" s="211">
        <f>C221*$J181</f>
        <v>900.99429502852479</v>
      </c>
      <c r="E221" s="217"/>
      <c r="F221" s="218"/>
    </row>
    <row r="222" spans="2:8">
      <c r="B222" s="123" t="s">
        <v>40</v>
      </c>
      <c r="C222" s="124">
        <f>C218+C220+C221</f>
        <v>359221</v>
      </c>
      <c r="D222" s="124">
        <f>D218+D220+D221</f>
        <v>5855.2730236348816</v>
      </c>
      <c r="E222" s="125">
        <f>C222/C227</f>
        <v>3.2295043647903912</v>
      </c>
      <c r="F222" s="125">
        <f>D222/D227</f>
        <v>3.1023245352006015</v>
      </c>
      <c r="H222" s="143"/>
    </row>
    <row r="223" spans="2:8">
      <c r="B223" s="182" t="s">
        <v>41</v>
      </c>
      <c r="C223" s="211">
        <f>Model!AT$119</f>
        <v>11876</v>
      </c>
      <c r="D223" s="211">
        <f>C223*$J181</f>
        <v>193.57783211083944</v>
      </c>
      <c r="E223" s="223"/>
      <c r="F223" s="223"/>
    </row>
    <row r="224" spans="2:8">
      <c r="B224" s="123" t="s">
        <v>19</v>
      </c>
      <c r="C224" s="124">
        <f>C222-C223</f>
        <v>347345</v>
      </c>
      <c r="D224" s="124">
        <f>D222-D223</f>
        <v>5661.6951915240425</v>
      </c>
      <c r="E224" s="125">
        <f>C224/C227</f>
        <v>3.1227355683217808</v>
      </c>
      <c r="F224" s="125">
        <f>D224/D227</f>
        <v>2.9997603583288641</v>
      </c>
    </row>
    <row r="225" spans="2:6">
      <c r="B225" s="104" t="s">
        <v>20</v>
      </c>
      <c r="C225" s="224">
        <f>Model!AT$126</f>
        <v>128083</v>
      </c>
      <c r="D225" s="211">
        <f>C225*$J181</f>
        <v>2087.7424612876935</v>
      </c>
      <c r="E225" s="226"/>
      <c r="F225" s="182"/>
    </row>
    <row r="226" spans="2:6">
      <c r="B226" s="104" t="s">
        <v>21</v>
      </c>
      <c r="C226" s="227">
        <f>C224+C225</f>
        <v>475428</v>
      </c>
      <c r="D226" s="227">
        <f>D224+D225</f>
        <v>7749.4376528117355</v>
      </c>
      <c r="E226" s="226"/>
      <c r="F226" s="182"/>
    </row>
    <row r="227" spans="2:6">
      <c r="B227" s="182" t="s">
        <v>22</v>
      </c>
      <c r="C227" s="228">
        <f>Model!AT$84</f>
        <v>111231</v>
      </c>
      <c r="D227" s="228">
        <f>C227*J182</f>
        <v>1887.382495673126</v>
      </c>
      <c r="E227" s="182"/>
      <c r="F227" s="182"/>
    </row>
    <row r="228" spans="2:6">
      <c r="B228" s="131" t="s">
        <v>23</v>
      </c>
      <c r="C228" s="159">
        <f>C222-Model!AT$123</f>
        <v>0</v>
      </c>
    </row>
    <row r="229" spans="2:6">
      <c r="B229" s="131"/>
      <c r="C229" s="159"/>
    </row>
    <row r="230" spans="2:6">
      <c r="B230" s="232" t="s">
        <v>61</v>
      </c>
      <c r="C230" s="208" t="str">
        <f>C184</f>
        <v>PHP (MM)</v>
      </c>
      <c r="D230" s="208" t="str">
        <f>D184</f>
        <v>USD (MM)</v>
      </c>
    </row>
    <row r="231" spans="2:6">
      <c r="B231" s="134" t="str">
        <f>+B223</f>
        <v>Cash &amp; Cash  Equivalents</v>
      </c>
      <c r="C231" s="136">
        <f>Model!$AT$120</f>
        <v>11866</v>
      </c>
      <c r="D231" s="136">
        <f>+C231*$J181</f>
        <v>193.41483292583536</v>
      </c>
    </row>
    <row r="232" spans="2:6">
      <c r="B232" s="134" t="s">
        <v>43</v>
      </c>
      <c r="C232" s="136">
        <f>Model!$AT$121</f>
        <v>10</v>
      </c>
      <c r="D232" s="136">
        <f>+C232*$J181</f>
        <v>0.16299918500407495</v>
      </c>
    </row>
    <row r="233" spans="2:6">
      <c r="B233" s="240" t="s">
        <v>44</v>
      </c>
      <c r="C233" s="241">
        <f>+SUM(C231:C232)</f>
        <v>11876</v>
      </c>
      <c r="D233" s="241">
        <f>+SUM(D231:D232)</f>
        <v>193.57783211083944</v>
      </c>
    </row>
    <row r="235" spans="2:6" ht="25.5">
      <c r="B235" s="233" t="s">
        <v>45</v>
      </c>
      <c r="C235" s="234" t="str">
        <f>C230</f>
        <v>PHP (MM)</v>
      </c>
      <c r="D235" s="234" t="str">
        <f>D230</f>
        <v>USD (MM)</v>
      </c>
    </row>
    <row r="236" spans="2:6">
      <c r="B236" s="134">
        <v>2026</v>
      </c>
      <c r="C236" s="135">
        <v>16559</v>
      </c>
      <c r="D236" s="136">
        <f>+C236*$J181</f>
        <v>269.91035044824775</v>
      </c>
    </row>
    <row r="237" spans="2:6">
      <c r="B237" s="134">
        <v>2027</v>
      </c>
      <c r="C237" s="135">
        <v>27879</v>
      </c>
      <c r="D237" s="136">
        <f>+C237*$J181</f>
        <v>454.42542787286061</v>
      </c>
    </row>
    <row r="238" spans="2:6">
      <c r="B238" s="134">
        <v>2028</v>
      </c>
      <c r="C238" s="135">
        <v>21673</v>
      </c>
      <c r="D238" s="136">
        <f>+C238*$J181</f>
        <v>353.26813365933168</v>
      </c>
    </row>
    <row r="239" spans="2:6">
      <c r="B239" s="134">
        <v>2029</v>
      </c>
      <c r="C239" s="135">
        <v>26662</v>
      </c>
      <c r="D239" s="136">
        <f>+C239*$J181</f>
        <v>434.58842705786469</v>
      </c>
    </row>
    <row r="240" spans="2:6">
      <c r="B240" s="134">
        <v>2030</v>
      </c>
      <c r="C240" s="135">
        <v>25015</v>
      </c>
      <c r="D240" s="136">
        <f>+C240*$J181</f>
        <v>407.74246128769352</v>
      </c>
    </row>
    <row r="241" spans="2:13">
      <c r="B241" s="134" t="s">
        <v>46</v>
      </c>
      <c r="C241" s="135">
        <v>179151</v>
      </c>
      <c r="D241" s="136">
        <f>+C241*$J181</f>
        <v>2920.1466992665037</v>
      </c>
    </row>
    <row r="242" spans="2:13">
      <c r="B242" s="240" t="s">
        <v>44</v>
      </c>
      <c r="C242" s="241">
        <f>+SUM(C236:C241)</f>
        <v>296939</v>
      </c>
      <c r="D242" s="241">
        <f>+SUM(D236:D241)</f>
        <v>4840.081499592502</v>
      </c>
      <c r="M242" s="139"/>
    </row>
    <row r="243" spans="2:13">
      <c r="C243" s="143"/>
    </row>
    <row r="244" spans="2:13">
      <c r="G244" s="143"/>
    </row>
    <row r="245" spans="2:13">
      <c r="G245" s="143"/>
    </row>
    <row r="270" spans="1:14">
      <c r="A270" s="103" t="s">
        <v>62</v>
      </c>
      <c r="I270" s="104" t="s">
        <v>63</v>
      </c>
      <c r="J270" s="237">
        <f>1/Model!AS$202</f>
        <v>1.7196904557179708E-2</v>
      </c>
    </row>
    <row r="271" spans="1:14">
      <c r="I271" s="105" t="s">
        <v>64</v>
      </c>
      <c r="J271" s="237">
        <f>1/AVERAGE(Model!AP$201:AS$201)</f>
        <v>1.7364502615528209E-2</v>
      </c>
    </row>
    <row r="272" spans="1:14" ht="15.75" thickBot="1">
      <c r="M272" s="105"/>
      <c r="N272" s="106"/>
    </row>
    <row r="273" spans="2:14" ht="25.5">
      <c r="B273" s="207" t="s">
        <v>65</v>
      </c>
      <c r="C273" s="208" t="s">
        <v>55</v>
      </c>
      <c r="D273" s="208" t="s">
        <v>56</v>
      </c>
      <c r="E273" s="208" t="s">
        <v>6</v>
      </c>
      <c r="F273" s="208" t="s">
        <v>7</v>
      </c>
      <c r="I273" s="235" t="s">
        <v>8</v>
      </c>
      <c r="J273" s="236"/>
    </row>
    <row r="274" spans="2:14">
      <c r="B274" s="179" t="s">
        <v>9</v>
      </c>
      <c r="C274" s="180"/>
      <c r="I274" s="165" t="s">
        <v>10</v>
      </c>
      <c r="J274" s="169">
        <v>289000</v>
      </c>
    </row>
    <row r="275" spans="2:14" ht="15.75" thickBot="1">
      <c r="B275" s="181" t="s">
        <v>11</v>
      </c>
      <c r="C275" s="183">
        <v>280130</v>
      </c>
      <c r="D275" s="190">
        <f>C275*$J270</f>
        <v>4817.3688736027516</v>
      </c>
      <c r="I275" s="166" t="s">
        <v>12</v>
      </c>
      <c r="J275" s="242">
        <v>2.61</v>
      </c>
    </row>
    <row r="276" spans="2:14">
      <c r="B276" s="181" t="s">
        <v>16</v>
      </c>
      <c r="C276" s="183">
        <v>17406</v>
      </c>
      <c r="D276" s="190">
        <f>C276*$J270</f>
        <v>299.32932072226998</v>
      </c>
      <c r="M276" s="105"/>
      <c r="N276" s="106"/>
    </row>
    <row r="277" spans="2:14">
      <c r="B277" s="180"/>
      <c r="C277" s="183"/>
      <c r="D277" s="180"/>
      <c r="M277" s="105"/>
      <c r="N277" s="106"/>
    </row>
    <row r="278" spans="2:14">
      <c r="B278" s="180" t="s">
        <v>15</v>
      </c>
      <c r="C278" s="183"/>
      <c r="D278" s="180"/>
      <c r="M278" s="105"/>
      <c r="N278" s="106"/>
    </row>
    <row r="279" spans="2:14">
      <c r="B279" s="181" t="s">
        <v>11</v>
      </c>
      <c r="C279" s="183">
        <v>52088</v>
      </c>
      <c r="D279" s="190">
        <f>C279*$J270</f>
        <v>895.75236457437666</v>
      </c>
      <c r="M279" s="105"/>
      <c r="N279" s="106"/>
    </row>
    <row r="280" spans="2:14">
      <c r="B280" s="181" t="s">
        <v>16</v>
      </c>
      <c r="C280" s="183">
        <v>8667</v>
      </c>
      <c r="D280" s="190">
        <f>C280*$J270</f>
        <v>149.04557179707652</v>
      </c>
      <c r="M280" s="105"/>
      <c r="N280" s="106"/>
    </row>
    <row r="281" spans="2:14">
      <c r="B281" s="181"/>
      <c r="C281" s="184"/>
      <c r="D281" s="180"/>
      <c r="H281" s="192"/>
      <c r="M281" s="105"/>
      <c r="N281" s="106"/>
    </row>
    <row r="282" spans="2:14">
      <c r="B282" s="123" t="s">
        <v>17</v>
      </c>
      <c r="C282" s="186">
        <f>SUM(C275,C276,C279,C280)</f>
        <v>358291</v>
      </c>
      <c r="D282" s="186">
        <f>SUM(D275,D276,D279,D280)</f>
        <v>6161.4961306964742</v>
      </c>
      <c r="E282" s="125">
        <f>C282/C287</f>
        <v>3.2382910648759062</v>
      </c>
      <c r="F282" s="125">
        <f>D282/D287</f>
        <v>3.2070358480201602</v>
      </c>
      <c r="M282" s="105"/>
      <c r="N282" s="106"/>
    </row>
    <row r="283" spans="2:14">
      <c r="B283" s="178" t="s">
        <v>18</v>
      </c>
      <c r="C283" s="185">
        <f>Model!AS$119</f>
        <v>10102</v>
      </c>
      <c r="D283" s="190">
        <f>C283*$J270</f>
        <v>173.7231298366294</v>
      </c>
      <c r="I283" s="192"/>
      <c r="M283" s="105"/>
      <c r="N283" s="106"/>
    </row>
    <row r="284" spans="2:14">
      <c r="B284" s="123" t="s">
        <v>19</v>
      </c>
      <c r="C284" s="186">
        <f>C282-C283</f>
        <v>348189</v>
      </c>
      <c r="D284" s="186">
        <f t="shared" ref="D284" si="3">D282-D283</f>
        <v>5987.7730008598446</v>
      </c>
      <c r="E284" s="125">
        <f>C284/C287</f>
        <v>3.1469875815693857</v>
      </c>
      <c r="F284" s="125">
        <f>D284/D287</f>
        <v>3.1166136042666199</v>
      </c>
      <c r="H284" s="192"/>
      <c r="M284" s="105"/>
      <c r="N284" s="106"/>
    </row>
    <row r="285" spans="2:14">
      <c r="B285" s="104" t="s">
        <v>20</v>
      </c>
      <c r="C285" s="187">
        <f>Model!AS$126</f>
        <v>121492</v>
      </c>
      <c r="D285" s="188">
        <f>C285*$J270</f>
        <v>2089.286328460877</v>
      </c>
      <c r="M285" s="105"/>
      <c r="N285" s="106"/>
    </row>
    <row r="286" spans="2:14">
      <c r="B286" s="104" t="s">
        <v>21</v>
      </c>
      <c r="C286" s="188">
        <f>C284+C285</f>
        <v>469681</v>
      </c>
      <c r="D286" s="188">
        <f>D284+D285</f>
        <v>8077.0593293207221</v>
      </c>
      <c r="M286" s="105"/>
      <c r="N286" s="106"/>
    </row>
    <row r="287" spans="2:14">
      <c r="B287" s="182" t="s">
        <v>22</v>
      </c>
      <c r="C287" s="189">
        <f>Model!AS$84</f>
        <v>110642</v>
      </c>
      <c r="D287" s="190">
        <f>C287*$J271</f>
        <v>1921.243298387272</v>
      </c>
      <c r="M287" s="105"/>
      <c r="N287" s="106"/>
    </row>
    <row r="288" spans="2:14">
      <c r="B288" s="131" t="s">
        <v>23</v>
      </c>
      <c r="C288" s="159">
        <f>C282-Model!AS$123</f>
        <v>0</v>
      </c>
      <c r="M288" s="105"/>
      <c r="N288" s="106"/>
    </row>
    <row r="289" spans="2:14">
      <c r="M289" s="105"/>
      <c r="N289" s="106"/>
    </row>
    <row r="290" spans="2:14">
      <c r="B290" s="107"/>
      <c r="C290" s="106"/>
    </row>
    <row r="291" spans="2:14" ht="25.5">
      <c r="B291" s="207" t="str">
        <f>B273</f>
        <v>Debt Breakdown as on 30-Sep-2025</v>
      </c>
      <c r="C291" s="208" t="str">
        <f>C273</f>
        <v>PHP (MM)</v>
      </c>
      <c r="D291" s="208" t="str">
        <f>D273</f>
        <v>USD (MM)</v>
      </c>
      <c r="E291" s="208" t="str">
        <f>E273</f>
        <v>Leverage (PHP)</v>
      </c>
      <c r="F291" s="208" t="str">
        <f>F273</f>
        <v>Leverage (USD)</v>
      </c>
    </row>
    <row r="292" spans="2:14">
      <c r="B292" s="219" t="s">
        <v>24</v>
      </c>
      <c r="C292" s="210"/>
      <c r="D292" s="211"/>
      <c r="E292" s="212"/>
      <c r="F292" s="212"/>
    </row>
    <row r="293" spans="2:14">
      <c r="B293" s="229" t="s">
        <v>25</v>
      </c>
      <c r="C293" s="210"/>
      <c r="D293" s="211"/>
      <c r="E293" s="212"/>
      <c r="F293" s="212"/>
    </row>
    <row r="294" spans="2:14">
      <c r="B294" s="214" t="s">
        <v>66</v>
      </c>
      <c r="C294" s="210">
        <v>34386</v>
      </c>
      <c r="D294" s="211">
        <f>C294*$J270</f>
        <v>591.33276010318139</v>
      </c>
      <c r="E294" s="212"/>
      <c r="F294" s="212"/>
    </row>
    <row r="295" spans="2:14">
      <c r="B295" s="229" t="s">
        <v>30</v>
      </c>
      <c r="C295" s="210"/>
      <c r="D295" s="211"/>
      <c r="E295" s="212"/>
      <c r="F295" s="212"/>
    </row>
    <row r="296" spans="2:14" ht="26.25">
      <c r="B296" s="230" t="s">
        <v>67</v>
      </c>
      <c r="C296" s="210">
        <v>4258</v>
      </c>
      <c r="D296" s="211">
        <f>C296*$J270</f>
        <v>73.224419604471194</v>
      </c>
      <c r="E296" s="212"/>
      <c r="F296" s="212"/>
    </row>
    <row r="297" spans="2:14">
      <c r="B297" s="230"/>
      <c r="C297" s="210"/>
      <c r="D297" s="211"/>
      <c r="E297" s="212"/>
      <c r="F297" s="212"/>
    </row>
    <row r="298" spans="2:14">
      <c r="B298" s="219" t="s">
        <v>29</v>
      </c>
      <c r="C298" s="210"/>
      <c r="D298" s="211"/>
      <c r="E298" s="212"/>
      <c r="F298" s="212"/>
    </row>
    <row r="299" spans="2:14">
      <c r="B299" s="229" t="s">
        <v>30</v>
      </c>
      <c r="C299" s="210"/>
      <c r="D299" s="211">
        <f>C299*$J270</f>
        <v>0</v>
      </c>
      <c r="E299" s="212"/>
      <c r="F299" s="212"/>
    </row>
    <row r="300" spans="2:14">
      <c r="B300" s="231" t="s">
        <v>68</v>
      </c>
      <c r="C300" s="210">
        <v>258792</v>
      </c>
      <c r="D300" s="211">
        <f>C300*$J270</f>
        <v>4450.4213241616508</v>
      </c>
      <c r="E300" s="212"/>
      <c r="F300" s="212"/>
    </row>
    <row r="301" spans="2:14" s="204" customFormat="1">
      <c r="B301" s="219" t="s">
        <v>32</v>
      </c>
      <c r="C301" s="216">
        <f>SUM(C294,C296,C300)</f>
        <v>297436</v>
      </c>
      <c r="D301" s="216">
        <f>SUM(D294,D296,D300)</f>
        <v>5114.9785038693035</v>
      </c>
      <c r="E301" s="217"/>
      <c r="F301" s="217"/>
      <c r="G301"/>
    </row>
    <row r="302" spans="2:14">
      <c r="B302" s="213" t="s">
        <v>33</v>
      </c>
      <c r="C302" s="210">
        <v>17306</v>
      </c>
      <c r="D302" s="211">
        <f>C302*$J270</f>
        <v>297.60963026655202</v>
      </c>
      <c r="E302" s="212"/>
      <c r="F302" s="212"/>
    </row>
    <row r="303" spans="2:14" s="204" customFormat="1">
      <c r="B303" s="219" t="s">
        <v>34</v>
      </c>
      <c r="C303" s="216">
        <f>+C301-C302</f>
        <v>280130</v>
      </c>
      <c r="D303" s="216">
        <f>+D301-D302</f>
        <v>4817.3688736027516</v>
      </c>
      <c r="E303" s="217"/>
      <c r="F303" s="217"/>
      <c r="G303"/>
    </row>
    <row r="304" spans="2:14">
      <c r="B304" s="209"/>
      <c r="C304" s="211"/>
      <c r="D304" s="211"/>
      <c r="E304" s="212"/>
      <c r="F304" s="212"/>
    </row>
    <row r="305" spans="2:8">
      <c r="B305" s="104" t="s">
        <v>35</v>
      </c>
      <c r="C305" s="216">
        <f>C302</f>
        <v>17306</v>
      </c>
      <c r="D305" s="216">
        <f>D302</f>
        <v>297.60963026655202</v>
      </c>
      <c r="E305" s="212"/>
      <c r="F305" s="215"/>
    </row>
    <row r="306" spans="2:8">
      <c r="B306" s="104" t="s">
        <v>36</v>
      </c>
      <c r="C306" s="210">
        <v>100</v>
      </c>
      <c r="D306" s="211">
        <f>C306*$J270</f>
        <v>1.7196904557179709</v>
      </c>
      <c r="E306" s="212"/>
      <c r="F306" s="215"/>
    </row>
    <row r="307" spans="2:8">
      <c r="B307" s="104" t="s">
        <v>37</v>
      </c>
      <c r="C307" s="216">
        <f>+C303+C305+C306</f>
        <v>297536</v>
      </c>
      <c r="D307" s="216">
        <f>+D303+D305+D306</f>
        <v>5116.6981943250212</v>
      </c>
      <c r="E307" s="217"/>
      <c r="F307" s="218"/>
    </row>
    <row r="308" spans="2:8">
      <c r="B308" s="104"/>
      <c r="C308" s="216"/>
      <c r="D308" s="216"/>
      <c r="E308" s="217"/>
      <c r="F308" s="218"/>
    </row>
    <row r="309" spans="2:8">
      <c r="B309" s="182" t="s">
        <v>38</v>
      </c>
      <c r="C309" s="211">
        <f>C280</f>
        <v>8667</v>
      </c>
      <c r="D309" s="211">
        <f>C309*$J270</f>
        <v>149.04557179707652</v>
      </c>
      <c r="E309" s="217"/>
      <c r="F309" s="218"/>
    </row>
    <row r="310" spans="2:8">
      <c r="B310" s="182" t="s">
        <v>39</v>
      </c>
      <c r="C310" s="211">
        <f>C279</f>
        <v>52088</v>
      </c>
      <c r="D310" s="211">
        <f>C310*$J270</f>
        <v>895.75236457437666</v>
      </c>
      <c r="E310" s="217"/>
      <c r="F310" s="218"/>
    </row>
    <row r="311" spans="2:8">
      <c r="B311" s="220" t="s">
        <v>40</v>
      </c>
      <c r="C311" s="221">
        <f>C307+C309+C310</f>
        <v>358291</v>
      </c>
      <c r="D311" s="221">
        <f>D307+D309+D310</f>
        <v>6161.4961306964742</v>
      </c>
      <c r="E311" s="222">
        <f>C311/C316</f>
        <v>3.2382910648759062</v>
      </c>
      <c r="F311" s="222">
        <f>D311/D316</f>
        <v>3.2070358480201602</v>
      </c>
      <c r="H311" s="143"/>
    </row>
    <row r="312" spans="2:8">
      <c r="B312" s="182" t="s">
        <v>41</v>
      </c>
      <c r="C312" s="211">
        <f>Model!AS$119</f>
        <v>10102</v>
      </c>
      <c r="D312" s="211">
        <f>C312*$J270</f>
        <v>173.7231298366294</v>
      </c>
      <c r="E312" s="223"/>
      <c r="F312" s="223"/>
    </row>
    <row r="313" spans="2:8">
      <c r="B313" s="220" t="s">
        <v>19</v>
      </c>
      <c r="C313" s="221">
        <f>C311-C312</f>
        <v>348189</v>
      </c>
      <c r="D313" s="221">
        <f>D311-D312</f>
        <v>5987.7730008598446</v>
      </c>
      <c r="E313" s="222">
        <f>C313/C316</f>
        <v>3.1469875815693857</v>
      </c>
      <c r="F313" s="222">
        <f>D313/D316</f>
        <v>3.1166136042666199</v>
      </c>
    </row>
    <row r="314" spans="2:8">
      <c r="B314" s="104" t="s">
        <v>20</v>
      </c>
      <c r="C314" s="224">
        <f>Model!AS$126</f>
        <v>121492</v>
      </c>
      <c r="D314" s="211">
        <f>C314*$J270</f>
        <v>2089.286328460877</v>
      </c>
      <c r="E314" s="226"/>
      <c r="F314" s="182"/>
    </row>
    <row r="315" spans="2:8">
      <c r="B315" s="104" t="s">
        <v>21</v>
      </c>
      <c r="C315" s="227">
        <f>C313+C314</f>
        <v>469681</v>
      </c>
      <c r="D315" s="227">
        <f>D313+D314</f>
        <v>8077.0593293207221</v>
      </c>
      <c r="E315" s="226"/>
      <c r="F315" s="182"/>
    </row>
    <row r="316" spans="2:8">
      <c r="B316" s="182" t="s">
        <v>22</v>
      </c>
      <c r="C316" s="228">
        <f>Model!AS$84</f>
        <v>110642</v>
      </c>
      <c r="D316" s="228">
        <f>C316*J271</f>
        <v>1921.243298387272</v>
      </c>
      <c r="E316" s="182"/>
      <c r="F316" s="182"/>
    </row>
    <row r="317" spans="2:8">
      <c r="B317" s="131" t="s">
        <v>23</v>
      </c>
      <c r="C317" s="159">
        <f>C311-Model!AS$123</f>
        <v>0</v>
      </c>
    </row>
    <row r="318" spans="2:8">
      <c r="B318" s="131"/>
      <c r="C318" s="159"/>
    </row>
    <row r="319" spans="2:8">
      <c r="B319" s="232" t="s">
        <v>69</v>
      </c>
      <c r="C319" s="208" t="str">
        <f>C273</f>
        <v>PHP (MM)</v>
      </c>
      <c r="D319" s="208" t="str">
        <f>D273</f>
        <v>USD (MM)</v>
      </c>
    </row>
    <row r="320" spans="2:8">
      <c r="B320" s="134" t="str">
        <f>+B312</f>
        <v>Cash &amp; Cash  Equivalents</v>
      </c>
      <c r="C320" s="136">
        <f>Model!$AS$120</f>
        <v>10092</v>
      </c>
      <c r="D320" s="136">
        <f>+C320*$J270</f>
        <v>173.55116079105761</v>
      </c>
    </row>
    <row r="321" spans="2:13">
      <c r="B321" s="134" t="s">
        <v>43</v>
      </c>
      <c r="C321" s="136">
        <f>Model!$AS$121</f>
        <v>10</v>
      </c>
      <c r="D321" s="136">
        <f>+C321*$J270</f>
        <v>0.17196904557179707</v>
      </c>
    </row>
    <row r="322" spans="2:13">
      <c r="B322" s="240" t="s">
        <v>44</v>
      </c>
      <c r="C322" s="241">
        <f>+SUM(C320:C321)</f>
        <v>10102</v>
      </c>
      <c r="D322" s="241">
        <f>+SUM(D320:D321)</f>
        <v>173.7231298366294</v>
      </c>
    </row>
    <row r="324" spans="2:13">
      <c r="B324" s="233" t="s">
        <v>70</v>
      </c>
      <c r="C324" s="234" t="str">
        <f>C319</f>
        <v>PHP (MM)</v>
      </c>
      <c r="D324" s="234" t="str">
        <f>D319</f>
        <v>USD (MM)</v>
      </c>
    </row>
    <row r="325" spans="2:13">
      <c r="B325" s="134">
        <v>2025</v>
      </c>
      <c r="C325" s="135">
        <v>6186</v>
      </c>
      <c r="D325" s="136">
        <f>+C325*$J270</f>
        <v>106.38005159071368</v>
      </c>
    </row>
    <row r="326" spans="2:13">
      <c r="B326" s="134">
        <v>2026</v>
      </c>
      <c r="C326" s="135">
        <v>16220</v>
      </c>
      <c r="D326" s="136">
        <f>+C326*$J270</f>
        <v>278.93379191745487</v>
      </c>
    </row>
    <row r="327" spans="2:13">
      <c r="B327" s="134">
        <v>2027</v>
      </c>
      <c r="C327" s="135">
        <v>27840</v>
      </c>
      <c r="D327" s="136">
        <f>+C327*$J270</f>
        <v>478.76182287188306</v>
      </c>
    </row>
    <row r="328" spans="2:13">
      <c r="B328" s="134">
        <v>2028</v>
      </c>
      <c r="C328" s="135">
        <v>21625</v>
      </c>
      <c r="D328" s="136">
        <f>+C328*$J270</f>
        <v>371.88306104901119</v>
      </c>
    </row>
    <row r="329" spans="2:13">
      <c r="B329" s="134">
        <v>2029</v>
      </c>
      <c r="C329" s="135">
        <v>26632</v>
      </c>
      <c r="D329" s="136">
        <f>+C329*$J270</f>
        <v>457.98796216680995</v>
      </c>
    </row>
    <row r="330" spans="2:13">
      <c r="B330" s="134" t="s">
        <v>71</v>
      </c>
      <c r="C330" s="135">
        <v>200892</v>
      </c>
      <c r="D330" s="136">
        <f>+C330*$J270</f>
        <v>3454.7205503009459</v>
      </c>
    </row>
    <row r="331" spans="2:13">
      <c r="B331" s="240" t="s">
        <v>44</v>
      </c>
      <c r="C331" s="241">
        <f>+SUM(C325:C330)</f>
        <v>299395</v>
      </c>
      <c r="D331" s="241">
        <f>+SUM(D325:D330)</f>
        <v>5148.6672398968185</v>
      </c>
      <c r="M331" s="139"/>
    </row>
    <row r="332" spans="2:13">
      <c r="C332" s="143"/>
    </row>
    <row r="333" spans="2:13">
      <c r="G333" s="143"/>
    </row>
    <row r="334" spans="2:13">
      <c r="G334" s="143"/>
    </row>
    <row r="337" spans="1:14">
      <c r="A337" s="103" t="s">
        <v>72</v>
      </c>
      <c r="I337" s="104" t="s">
        <v>73</v>
      </c>
      <c r="J337" s="237">
        <f>1/Model!AR$202</f>
        <v>1.7736786094359702E-2</v>
      </c>
    </row>
    <row r="338" spans="1:14">
      <c r="I338" s="105" t="s">
        <v>74</v>
      </c>
      <c r="J338" s="237">
        <f>1/AVERAGE(Model!AO$201:AR$201)</f>
        <v>1.7372798540684922E-2</v>
      </c>
    </row>
    <row r="339" spans="1:14" ht="15.75" thickBot="1">
      <c r="M339" s="105"/>
      <c r="N339" s="106"/>
    </row>
    <row r="340" spans="1:14" ht="25.5">
      <c r="B340" s="207" t="s">
        <v>75</v>
      </c>
      <c r="C340" s="208" t="s">
        <v>55</v>
      </c>
      <c r="D340" s="208" t="s">
        <v>56</v>
      </c>
      <c r="E340" s="208" t="s">
        <v>6</v>
      </c>
      <c r="F340" s="208" t="s">
        <v>7</v>
      </c>
      <c r="I340" s="235" t="s">
        <v>8</v>
      </c>
      <c r="J340" s="236"/>
    </row>
    <row r="341" spans="1:14">
      <c r="B341" s="179" t="s">
        <v>9</v>
      </c>
      <c r="C341" s="180"/>
      <c r="I341" s="165" t="s">
        <v>10</v>
      </c>
      <c r="J341" s="169">
        <v>282600</v>
      </c>
    </row>
    <row r="342" spans="1:14" ht="15.75" thickBot="1">
      <c r="B342" s="181" t="s">
        <v>11</v>
      </c>
      <c r="C342" s="183">
        <v>269284</v>
      </c>
      <c r="D342" s="190">
        <f>C342*$J337</f>
        <v>4776.2327066335574</v>
      </c>
      <c r="I342" s="166" t="s">
        <v>12</v>
      </c>
      <c r="J342" s="170" t="s">
        <v>76</v>
      </c>
    </row>
    <row r="343" spans="1:14">
      <c r="B343" s="181" t="s">
        <v>16</v>
      </c>
      <c r="C343" s="183">
        <v>22529</v>
      </c>
      <c r="D343" s="190">
        <f>C343*$J337</f>
        <v>399.59205391982971</v>
      </c>
      <c r="M343" s="105"/>
      <c r="N343" s="106"/>
    </row>
    <row r="344" spans="1:14">
      <c r="B344" s="180"/>
      <c r="C344" s="183"/>
      <c r="D344" s="180"/>
      <c r="M344" s="105"/>
      <c r="N344" s="106"/>
    </row>
    <row r="345" spans="1:14">
      <c r="B345" s="180" t="s">
        <v>15</v>
      </c>
      <c r="C345" s="183"/>
      <c r="D345" s="180"/>
      <c r="M345" s="105"/>
      <c r="N345" s="106"/>
    </row>
    <row r="346" spans="1:14">
      <c r="B346" s="181" t="s">
        <v>11</v>
      </c>
      <c r="C346" s="183">
        <v>47896</v>
      </c>
      <c r="D346" s="190">
        <f>C346*$J337</f>
        <v>849.52110677545227</v>
      </c>
      <c r="M346" s="105"/>
      <c r="N346" s="106"/>
    </row>
    <row r="347" spans="1:14">
      <c r="B347" s="181" t="s">
        <v>16</v>
      </c>
      <c r="C347" s="183">
        <v>7869</v>
      </c>
      <c r="D347" s="190">
        <f>C347*$J337</f>
        <v>139.5707697765165</v>
      </c>
      <c r="M347" s="105"/>
      <c r="N347" s="106"/>
    </row>
    <row r="348" spans="1:14">
      <c r="B348" s="181"/>
      <c r="C348" s="184"/>
      <c r="D348" s="180"/>
      <c r="H348" s="192"/>
      <c r="M348" s="105"/>
      <c r="N348" s="106"/>
    </row>
    <row r="349" spans="1:14">
      <c r="B349" s="123" t="s">
        <v>17</v>
      </c>
      <c r="C349" s="186">
        <f>SUM(C342,C343,C346,C347)</f>
        <v>347578</v>
      </c>
      <c r="D349" s="186">
        <f>SUM(D342,D343,D346,D347)</f>
        <v>6164.9166371053561</v>
      </c>
      <c r="E349" s="125">
        <f>C349/C354</f>
        <v>3.156614688814015</v>
      </c>
      <c r="F349" s="125">
        <f>D349/D354</f>
        <v>3.2227507494944256</v>
      </c>
      <c r="M349" s="105"/>
      <c r="N349" s="106"/>
    </row>
    <row r="350" spans="1:14">
      <c r="B350" s="178" t="s">
        <v>18</v>
      </c>
      <c r="C350" s="185">
        <f>Model!AR$119</f>
        <v>10847</v>
      </c>
      <c r="D350" s="190">
        <f>C350*$J337</f>
        <v>192.39091876551967</v>
      </c>
      <c r="I350" s="192"/>
      <c r="M350" s="105"/>
      <c r="N350" s="106"/>
    </row>
    <row r="351" spans="1:14">
      <c r="B351" s="123" t="s">
        <v>19</v>
      </c>
      <c r="C351" s="186">
        <f>C349-C350</f>
        <v>336731</v>
      </c>
      <c r="D351" s="186">
        <f t="shared" ref="D351" si="4">D349-D350</f>
        <v>5972.5257183398362</v>
      </c>
      <c r="E351" s="125">
        <f>C351/C354</f>
        <v>3.058105003133202</v>
      </c>
      <c r="F351" s="125">
        <f>D351/D354</f>
        <v>3.1221771303937746</v>
      </c>
      <c r="H351" s="192"/>
      <c r="M351" s="105"/>
      <c r="N351" s="106"/>
    </row>
    <row r="352" spans="1:14">
      <c r="B352" s="104" t="s">
        <v>20</v>
      </c>
      <c r="C352" s="187">
        <f>Model!AR$126</f>
        <v>114267</v>
      </c>
      <c r="D352" s="188">
        <f>C352*$J337</f>
        <v>2026.7293366442</v>
      </c>
      <c r="M352" s="105"/>
      <c r="N352" s="106"/>
    </row>
    <row r="353" spans="2:14">
      <c r="B353" s="104" t="s">
        <v>21</v>
      </c>
      <c r="C353" s="188">
        <f>C351+C352</f>
        <v>450998</v>
      </c>
      <c r="D353" s="188">
        <f>D351+D352</f>
        <v>7999.2550549840362</v>
      </c>
      <c r="M353" s="105"/>
      <c r="N353" s="106"/>
    </row>
    <row r="354" spans="2:14">
      <c r="B354" s="182" t="s">
        <v>22</v>
      </c>
      <c r="C354" s="189">
        <f>Model!AR$84</f>
        <v>110111</v>
      </c>
      <c r="D354" s="190">
        <f>C354*$J338</f>
        <v>1912.9362201133574</v>
      </c>
      <c r="M354" s="105"/>
      <c r="N354" s="106"/>
    </row>
    <row r="355" spans="2:14">
      <c r="B355" s="131" t="s">
        <v>23</v>
      </c>
      <c r="C355" s="159">
        <f>C349-Model!AR$123</f>
        <v>0</v>
      </c>
      <c r="M355" s="105"/>
      <c r="N355" s="106"/>
    </row>
    <row r="356" spans="2:14">
      <c r="M356" s="105"/>
      <c r="N356" s="106"/>
    </row>
    <row r="357" spans="2:14">
      <c r="B357" s="107"/>
      <c r="C357" s="106"/>
    </row>
    <row r="358" spans="2:14" ht="25.5">
      <c r="B358" s="207" t="str">
        <f>B340</f>
        <v>Debt Breakdown as on 30-Jun-2025</v>
      </c>
      <c r="C358" s="208" t="str">
        <f>C340</f>
        <v>PHP (MM)</v>
      </c>
      <c r="D358" s="208" t="str">
        <f>D340</f>
        <v>USD (MM)</v>
      </c>
      <c r="E358" s="208" t="str">
        <f>E340</f>
        <v>Leverage (PHP)</v>
      </c>
      <c r="F358" s="208" t="str">
        <f>F340</f>
        <v>Leverage (USD)</v>
      </c>
    </row>
    <row r="359" spans="2:14">
      <c r="B359" s="219" t="s">
        <v>24</v>
      </c>
      <c r="C359" s="210"/>
      <c r="D359" s="211"/>
      <c r="E359" s="212"/>
      <c r="F359" s="212"/>
    </row>
    <row r="360" spans="2:14">
      <c r="B360" s="229" t="s">
        <v>25</v>
      </c>
      <c r="C360" s="210"/>
      <c r="D360" s="211"/>
      <c r="E360" s="212"/>
      <c r="F360" s="212"/>
    </row>
    <row r="361" spans="2:14">
      <c r="B361" s="214" t="s">
        <v>58</v>
      </c>
      <c r="C361" s="210">
        <v>33320</v>
      </c>
      <c r="D361" s="211">
        <f>C361*$J337</f>
        <v>590.98971266406522</v>
      </c>
      <c r="E361" s="212"/>
      <c r="F361" s="212"/>
    </row>
    <row r="362" spans="2:14">
      <c r="B362" s="229" t="s">
        <v>30</v>
      </c>
      <c r="C362" s="210"/>
      <c r="D362" s="211"/>
      <c r="E362" s="212"/>
      <c r="F362" s="212"/>
    </row>
    <row r="363" spans="2:14" ht="26.25">
      <c r="B363" s="230" t="s">
        <v>77</v>
      </c>
      <c r="C363" s="210">
        <v>4323</v>
      </c>
      <c r="D363" s="211">
        <f>C363*$J337</f>
        <v>76.676126285916993</v>
      </c>
      <c r="E363" s="212"/>
      <c r="F363" s="212"/>
    </row>
    <row r="364" spans="2:14">
      <c r="B364" s="230"/>
      <c r="C364" s="210"/>
      <c r="D364" s="211"/>
      <c r="E364" s="212"/>
      <c r="F364" s="212"/>
    </row>
    <row r="365" spans="2:14">
      <c r="B365" s="219" t="s">
        <v>29</v>
      </c>
      <c r="C365" s="210"/>
      <c r="D365" s="211"/>
      <c r="E365" s="212"/>
      <c r="F365" s="212"/>
    </row>
    <row r="366" spans="2:14">
      <c r="B366" s="229" t="s">
        <v>30</v>
      </c>
      <c r="C366" s="210"/>
      <c r="D366" s="211">
        <f>C366*$J337</f>
        <v>0</v>
      </c>
      <c r="E366" s="212"/>
      <c r="F366" s="212"/>
    </row>
    <row r="367" spans="2:14">
      <c r="B367" s="231" t="s">
        <v>68</v>
      </c>
      <c r="C367" s="210">
        <v>254170</v>
      </c>
      <c r="D367" s="211">
        <f>C367*$J337</f>
        <v>4508.1589216034054</v>
      </c>
      <c r="E367" s="212"/>
      <c r="F367" s="212"/>
    </row>
    <row r="368" spans="2:14" s="204" customFormat="1">
      <c r="B368" s="219" t="s">
        <v>32</v>
      </c>
      <c r="C368" s="216">
        <f>SUM(C361,C363,C367)</f>
        <v>291813</v>
      </c>
      <c r="D368" s="216">
        <f>SUM(D361,D363,D367)</f>
        <v>5175.8247605533879</v>
      </c>
      <c r="E368" s="217"/>
      <c r="F368" s="217"/>
      <c r="G368"/>
    </row>
    <row r="369" spans="2:8">
      <c r="B369" s="213" t="s">
        <v>33</v>
      </c>
      <c r="C369" s="210">
        <v>22529</v>
      </c>
      <c r="D369" s="211">
        <f>C369*$J337</f>
        <v>399.59205391982971</v>
      </c>
      <c r="E369" s="212"/>
      <c r="F369" s="212"/>
    </row>
    <row r="370" spans="2:8" s="204" customFormat="1">
      <c r="B370" s="219" t="s">
        <v>34</v>
      </c>
      <c r="C370" s="216">
        <f>+C368-C369</f>
        <v>269284</v>
      </c>
      <c r="D370" s="216">
        <f>+D368-D369</f>
        <v>4776.2327066335583</v>
      </c>
      <c r="E370" s="217"/>
      <c r="F370" s="217"/>
      <c r="G370"/>
    </row>
    <row r="371" spans="2:8">
      <c r="B371" s="209"/>
      <c r="C371" s="211"/>
      <c r="D371" s="211"/>
      <c r="E371" s="212"/>
      <c r="F371" s="212"/>
    </row>
    <row r="372" spans="2:8">
      <c r="B372" s="104" t="s">
        <v>35</v>
      </c>
      <c r="C372" s="216">
        <f>C369</f>
        <v>22529</v>
      </c>
      <c r="D372" s="216">
        <f>D369</f>
        <v>399.59205391982971</v>
      </c>
      <c r="E372" s="212"/>
      <c r="F372" s="215"/>
    </row>
    <row r="373" spans="2:8">
      <c r="B373" s="182"/>
      <c r="C373" s="210"/>
      <c r="D373" s="211"/>
      <c r="E373" s="212"/>
      <c r="F373" s="215"/>
    </row>
    <row r="374" spans="2:8">
      <c r="B374" s="104" t="s">
        <v>37</v>
      </c>
      <c r="C374" s="216">
        <f>+C370+C372+C373</f>
        <v>291813</v>
      </c>
      <c r="D374" s="216">
        <f>+D370+D372+D373</f>
        <v>5175.8247605533879</v>
      </c>
      <c r="E374" s="217"/>
      <c r="F374" s="218"/>
    </row>
    <row r="375" spans="2:8">
      <c r="B375" s="104"/>
      <c r="C375" s="216"/>
      <c r="D375" s="216"/>
      <c r="E375" s="217"/>
      <c r="F375" s="218"/>
    </row>
    <row r="376" spans="2:8">
      <c r="B376" s="182" t="s">
        <v>38</v>
      </c>
      <c r="C376" s="210">
        <f>C347</f>
        <v>7869</v>
      </c>
      <c r="D376" s="211">
        <f>C376*$J337</f>
        <v>139.5707697765165</v>
      </c>
      <c r="E376" s="217"/>
      <c r="F376" s="218"/>
    </row>
    <row r="377" spans="2:8">
      <c r="B377" s="182" t="s">
        <v>39</v>
      </c>
      <c r="C377" s="210">
        <f>C346</f>
        <v>47896</v>
      </c>
      <c r="D377" s="211">
        <f>C377*$J337</f>
        <v>849.52110677545227</v>
      </c>
      <c r="E377" s="217"/>
      <c r="F377" s="218"/>
    </row>
    <row r="378" spans="2:8">
      <c r="B378" s="220" t="s">
        <v>40</v>
      </c>
      <c r="C378" s="221">
        <f>C374+C376+C377</f>
        <v>347578</v>
      </c>
      <c r="D378" s="221">
        <f>D374+D376+D377</f>
        <v>6164.916637105357</v>
      </c>
      <c r="E378" s="222">
        <f>C378/C383</f>
        <v>3.156614688814015</v>
      </c>
      <c r="F378" s="222">
        <f>D378/D383</f>
        <v>3.2227507494944261</v>
      </c>
      <c r="H378" s="143"/>
    </row>
    <row r="379" spans="2:8">
      <c r="B379" s="182" t="s">
        <v>41</v>
      </c>
      <c r="C379" s="211">
        <f>Model!AR$119</f>
        <v>10847</v>
      </c>
      <c r="D379" s="211">
        <f>C379*$J337</f>
        <v>192.39091876551967</v>
      </c>
      <c r="E379" s="223"/>
      <c r="F379" s="223"/>
    </row>
    <row r="380" spans="2:8">
      <c r="B380" s="220" t="s">
        <v>19</v>
      </c>
      <c r="C380" s="221">
        <f>C378-C379</f>
        <v>336731</v>
      </c>
      <c r="D380" s="221">
        <f>D378-D379</f>
        <v>5972.5257183398371</v>
      </c>
      <c r="E380" s="222">
        <f>C380/C383</f>
        <v>3.058105003133202</v>
      </c>
      <c r="F380" s="222">
        <f>D380/D383</f>
        <v>3.1221771303937751</v>
      </c>
    </row>
    <row r="381" spans="2:8">
      <c r="B381" s="104" t="s">
        <v>20</v>
      </c>
      <c r="C381" s="224">
        <f>Model!AR$126</f>
        <v>114267</v>
      </c>
      <c r="D381" s="225"/>
      <c r="E381" s="226"/>
      <c r="F381" s="182"/>
    </row>
    <row r="382" spans="2:8">
      <c r="B382" s="104" t="s">
        <v>21</v>
      </c>
      <c r="C382" s="227">
        <f>C380+C381</f>
        <v>450998</v>
      </c>
      <c r="D382" s="227"/>
      <c r="E382" s="226"/>
      <c r="F382" s="182"/>
    </row>
    <row r="383" spans="2:8">
      <c r="B383" s="182" t="s">
        <v>22</v>
      </c>
      <c r="C383" s="228">
        <f>Model!AR$84</f>
        <v>110111</v>
      </c>
      <c r="D383" s="228">
        <f>C383*J338</f>
        <v>1912.9362201133574</v>
      </c>
      <c r="E383" s="182"/>
      <c r="F383" s="182"/>
    </row>
    <row r="384" spans="2:8">
      <c r="B384" s="131" t="s">
        <v>23</v>
      </c>
      <c r="C384" s="159">
        <f>C378-Model!AR$123</f>
        <v>0</v>
      </c>
    </row>
    <row r="385" spans="2:13">
      <c r="B385" s="131"/>
      <c r="C385" s="159"/>
    </row>
    <row r="386" spans="2:13">
      <c r="B386" s="232" t="s">
        <v>78</v>
      </c>
      <c r="C386" s="208" t="str">
        <f>C340</f>
        <v>PHP (MM)</v>
      </c>
      <c r="D386" s="208" t="str">
        <f>D340</f>
        <v>USD (MM)</v>
      </c>
    </row>
    <row r="387" spans="2:13">
      <c r="B387" s="134" t="str">
        <f>+B379</f>
        <v>Cash &amp; Cash  Equivalents</v>
      </c>
      <c r="C387" s="136">
        <f>Model!$AR$120</f>
        <v>10837</v>
      </c>
      <c r="D387" s="136">
        <f>+C387*$J337</f>
        <v>192.2135509045761</v>
      </c>
    </row>
    <row r="388" spans="2:13">
      <c r="B388" s="134" t="s">
        <v>43</v>
      </c>
      <c r="C388" s="136">
        <f>Model!$AR$121</f>
        <v>10</v>
      </c>
      <c r="D388" s="136">
        <f>+C388*$J337</f>
        <v>0.17736786094359702</v>
      </c>
    </row>
    <row r="389" spans="2:13">
      <c r="B389" s="137" t="s">
        <v>44</v>
      </c>
      <c r="C389" s="138">
        <f>+SUM(C387:C388)</f>
        <v>10847</v>
      </c>
      <c r="D389" s="138">
        <f>+SUM(D387:D388)</f>
        <v>192.3909187655197</v>
      </c>
    </row>
    <row r="391" spans="2:13">
      <c r="B391" s="233" t="s">
        <v>79</v>
      </c>
      <c r="C391" s="234" t="str">
        <f>C386</f>
        <v>PHP (MM)</v>
      </c>
      <c r="D391" s="234" t="str">
        <f>D386</f>
        <v>USD (MM)</v>
      </c>
    </row>
    <row r="392" spans="2:13">
      <c r="B392" s="134">
        <v>2025</v>
      </c>
      <c r="C392" s="135">
        <v>16000</v>
      </c>
      <c r="D392" s="136">
        <f>+C392*$J337</f>
        <v>283.78857750975521</v>
      </c>
    </row>
    <row r="393" spans="2:13">
      <c r="B393" s="134">
        <v>2026</v>
      </c>
      <c r="C393" s="135">
        <v>16100.000000000002</v>
      </c>
      <c r="D393" s="136">
        <f>+C393*$J337</f>
        <v>285.5622561191912</v>
      </c>
    </row>
    <row r="394" spans="2:13">
      <c r="B394" s="134">
        <v>2027</v>
      </c>
      <c r="C394" s="135">
        <v>27700</v>
      </c>
      <c r="D394" s="136">
        <f>+C394*$J337</f>
        <v>491.30897481376371</v>
      </c>
    </row>
    <row r="395" spans="2:13">
      <c r="B395" s="134">
        <v>2028</v>
      </c>
      <c r="C395" s="135">
        <v>21400</v>
      </c>
      <c r="D395" s="136">
        <f>+C395*$J337</f>
        <v>379.56722241929759</v>
      </c>
    </row>
    <row r="396" spans="2:13">
      <c r="B396" s="134">
        <v>2029</v>
      </c>
      <c r="C396" s="135">
        <v>26500</v>
      </c>
      <c r="D396" s="136">
        <f>+C396*$J337</f>
        <v>470.02483150053212</v>
      </c>
    </row>
    <row r="397" spans="2:13">
      <c r="B397" s="134">
        <v>2030</v>
      </c>
      <c r="C397" s="135">
        <v>24800</v>
      </c>
      <c r="D397" s="136">
        <f>+C397*$J337</f>
        <v>439.87229514012057</v>
      </c>
    </row>
    <row r="398" spans="2:13">
      <c r="B398" s="134" t="s">
        <v>80</v>
      </c>
      <c r="C398" s="135">
        <v>161300</v>
      </c>
      <c r="D398" s="136">
        <f>+C398*$J338</f>
        <v>2802.2324046124781</v>
      </c>
    </row>
    <row r="399" spans="2:13">
      <c r="B399" s="137" t="s">
        <v>44</v>
      </c>
      <c r="C399" s="138">
        <f>+SUM(C392:C398)</f>
        <v>293800</v>
      </c>
      <c r="D399" s="138">
        <f t="shared" ref="D399" si="5">+SUM(D392:D397)</f>
        <v>2350.1241575026606</v>
      </c>
      <c r="M399" s="139"/>
    </row>
    <row r="400" spans="2:13">
      <c r="C400" s="143"/>
    </row>
    <row r="401" spans="1:14">
      <c r="G401" s="143"/>
    </row>
    <row r="402" spans="1:14">
      <c r="G402" s="143"/>
    </row>
    <row r="403" spans="1:14">
      <c r="G403" s="143"/>
    </row>
    <row r="404" spans="1:14">
      <c r="A404" s="103" t="s">
        <v>81</v>
      </c>
      <c r="M404" s="104" t="s">
        <v>82</v>
      </c>
      <c r="N404" s="191">
        <f>1/Model!AQ$202</f>
        <v>1.7467E-2</v>
      </c>
    </row>
    <row r="405" spans="1:14">
      <c r="M405" s="105" t="s">
        <v>83</v>
      </c>
      <c r="N405" s="191">
        <f>1/AVERAGE(Model!AN$201:AQ$201)</f>
        <v>1.7390926284211215E-2</v>
      </c>
    </row>
    <row r="406" spans="1:14" ht="15.75" thickBot="1">
      <c r="M406" s="105"/>
      <c r="N406" s="106"/>
    </row>
    <row r="407" spans="1:14" ht="25.5">
      <c r="B407" s="108" t="s">
        <v>84</v>
      </c>
      <c r="C407" s="109" t="s">
        <v>85</v>
      </c>
      <c r="D407" s="109" t="s">
        <v>86</v>
      </c>
      <c r="E407" s="109" t="s">
        <v>56</v>
      </c>
      <c r="F407" s="109" t="s">
        <v>7</v>
      </c>
      <c r="M407" s="167" t="s">
        <v>8</v>
      </c>
      <c r="N407" s="168"/>
    </row>
    <row r="408" spans="1:14">
      <c r="B408" s="179" t="s">
        <v>9</v>
      </c>
      <c r="C408" s="180"/>
      <c r="M408" s="165" t="s">
        <v>10</v>
      </c>
      <c r="N408" s="169">
        <v>270700</v>
      </c>
    </row>
    <row r="409" spans="1:14" ht="15.75" thickBot="1">
      <c r="B409" s="181" t="s">
        <v>11</v>
      </c>
      <c r="C409" s="183">
        <v>262901</v>
      </c>
      <c r="E409" s="190">
        <f>C409*$N404</f>
        <v>4592.0917669999999</v>
      </c>
      <c r="M409" s="166" t="s">
        <v>12</v>
      </c>
      <c r="N409" s="170" t="s">
        <v>87</v>
      </c>
    </row>
    <row r="410" spans="1:14">
      <c r="B410" s="181" t="s">
        <v>16</v>
      </c>
      <c r="C410" s="183">
        <v>20165</v>
      </c>
      <c r="E410" s="190">
        <f>C410*$N404</f>
        <v>352.22205500000001</v>
      </c>
      <c r="M410" s="105"/>
      <c r="N410" s="106"/>
    </row>
    <row r="411" spans="1:14">
      <c r="B411" s="180"/>
      <c r="C411" s="183"/>
      <c r="E411" s="180"/>
      <c r="M411" s="105"/>
      <c r="N411" s="106"/>
    </row>
    <row r="412" spans="1:14">
      <c r="B412" s="180" t="s">
        <v>15</v>
      </c>
      <c r="C412" s="183"/>
      <c r="E412" s="180"/>
      <c r="M412" s="105"/>
      <c r="N412" s="106"/>
    </row>
    <row r="413" spans="1:14">
      <c r="B413" s="181" t="s">
        <v>11</v>
      </c>
      <c r="C413" s="183">
        <v>46231</v>
      </c>
      <c r="E413" s="190">
        <f>C413*$N404</f>
        <v>807.51687700000002</v>
      </c>
      <c r="M413" s="105"/>
      <c r="N413" s="106"/>
    </row>
    <row r="414" spans="1:14">
      <c r="B414" s="181" t="s">
        <v>16</v>
      </c>
      <c r="C414" s="183">
        <v>7584</v>
      </c>
      <c r="E414" s="190">
        <f>C414*$N404</f>
        <v>132.469728</v>
      </c>
      <c r="M414" s="105"/>
      <c r="N414" s="106"/>
    </row>
    <row r="415" spans="1:14">
      <c r="B415" s="181"/>
      <c r="C415" s="184"/>
      <c r="E415" s="180"/>
      <c r="H415" s="192"/>
      <c r="M415" s="105"/>
      <c r="N415" s="106"/>
    </row>
    <row r="416" spans="1:14">
      <c r="B416" s="123" t="s">
        <v>17</v>
      </c>
      <c r="C416" s="186">
        <f>SUM(C409,C410,C413,C414)</f>
        <v>336881</v>
      </c>
      <c r="D416" s="125">
        <f>C416/C421</f>
        <v>3.0888094255719065</v>
      </c>
      <c r="E416" s="186">
        <f>SUM(E409,E410,E413,E414)</f>
        <v>5884.3004270000001</v>
      </c>
      <c r="F416" s="125">
        <f>E416/E421</f>
        <v>3.1023209088895038</v>
      </c>
      <c r="M416" s="105"/>
      <c r="N416" s="106"/>
    </row>
    <row r="417" spans="2:14">
      <c r="B417" s="178" t="s">
        <v>18</v>
      </c>
      <c r="C417" s="185">
        <f>Model!AQ$119</f>
        <v>13859</v>
      </c>
      <c r="E417" s="190">
        <f>C417*$N404</f>
        <v>242.075153</v>
      </c>
      <c r="M417" s="105"/>
      <c r="N417" s="106"/>
    </row>
    <row r="418" spans="2:14">
      <c r="B418" s="123" t="s">
        <v>19</v>
      </c>
      <c r="C418" s="186">
        <f>C416-C417</f>
        <v>323022</v>
      </c>
      <c r="D418" s="125">
        <f>C418/C421</f>
        <v>2.9617384128730575</v>
      </c>
      <c r="E418" s="186">
        <f t="shared" ref="E418" si="6">E416-E417</f>
        <v>5642.2252740000004</v>
      </c>
      <c r="F418" s="125">
        <f>E418/E421</f>
        <v>2.9746940451711592</v>
      </c>
      <c r="H418" s="192"/>
      <c r="M418" s="105"/>
      <c r="N418" s="106"/>
    </row>
    <row r="419" spans="2:14">
      <c r="B419" s="104" t="s">
        <v>20</v>
      </c>
      <c r="C419" s="187">
        <f>Model!AQ$126</f>
        <v>116796</v>
      </c>
      <c r="E419" s="188">
        <f>C419*$N404</f>
        <v>2040.075732</v>
      </c>
      <c r="M419" s="105"/>
      <c r="N419" s="106"/>
    </row>
    <row r="420" spans="2:14">
      <c r="B420" s="104" t="s">
        <v>21</v>
      </c>
      <c r="C420" s="188">
        <f>C418+C419</f>
        <v>439818</v>
      </c>
      <c r="E420" s="188">
        <f>E418+E419</f>
        <v>7682.3010060000006</v>
      </c>
      <c r="M420" s="105"/>
      <c r="N420" s="106"/>
    </row>
    <row r="421" spans="2:14">
      <c r="B421" s="182" t="s">
        <v>22</v>
      </c>
      <c r="C421" s="189">
        <f>Model!AQ$84</f>
        <v>109065</v>
      </c>
      <c r="E421" s="190">
        <f>C421*$N405</f>
        <v>1896.741375187496</v>
      </c>
      <c r="M421" s="105"/>
      <c r="N421" s="106"/>
    </row>
    <row r="422" spans="2:14">
      <c r="B422" s="131" t="s">
        <v>23</v>
      </c>
      <c r="C422" s="159">
        <f>C416-Model!AQ$123</f>
        <v>0</v>
      </c>
      <c r="M422" s="105"/>
      <c r="N422" s="106"/>
    </row>
    <row r="423" spans="2:14">
      <c r="M423" s="105"/>
      <c r="N423" s="106"/>
    </row>
    <row r="424" spans="2:14">
      <c r="B424" s="107"/>
      <c r="C424" s="106"/>
    </row>
    <row r="425" spans="2:14" ht="26.25">
      <c r="B425" s="108" t="s">
        <v>84</v>
      </c>
      <c r="C425" s="109" t="s">
        <v>85</v>
      </c>
      <c r="D425" s="109" t="s">
        <v>88</v>
      </c>
      <c r="E425" s="110" t="s">
        <v>89</v>
      </c>
      <c r="F425" s="110" t="s">
        <v>7</v>
      </c>
    </row>
    <row r="426" spans="2:14">
      <c r="B426" s="111" t="s">
        <v>24</v>
      </c>
      <c r="C426" s="112"/>
      <c r="D426" s="113"/>
      <c r="E426" s="114"/>
      <c r="F426" s="114"/>
    </row>
    <row r="427" spans="2:14">
      <c r="B427" s="116" t="s">
        <v>90</v>
      </c>
      <c r="C427" s="112">
        <v>33848</v>
      </c>
      <c r="D427" s="113">
        <f>C427*$N404</f>
        <v>591.22301600000003</v>
      </c>
      <c r="E427" s="114"/>
      <c r="F427" s="114"/>
    </row>
    <row r="428" spans="2:14">
      <c r="B428" s="115" t="s">
        <v>91</v>
      </c>
      <c r="C428" s="112">
        <v>0</v>
      </c>
      <c r="D428" s="113">
        <f>C428*$N404</f>
        <v>0</v>
      </c>
      <c r="E428" s="114"/>
      <c r="F428" s="114"/>
      <c r="N428" s="143"/>
    </row>
    <row r="429" spans="2:14">
      <c r="B429" s="116" t="s">
        <v>30</v>
      </c>
      <c r="C429" s="112"/>
      <c r="D429" s="113"/>
      <c r="E429" s="114"/>
      <c r="F429" s="114"/>
    </row>
    <row r="430" spans="2:14">
      <c r="B430" s="115" t="s">
        <v>92</v>
      </c>
      <c r="C430" s="112">
        <v>4592</v>
      </c>
      <c r="D430" s="113">
        <f>C430*$N404</f>
        <v>80.208464000000006</v>
      </c>
      <c r="E430" s="114"/>
      <c r="F430" s="114"/>
    </row>
    <row r="431" spans="2:14">
      <c r="B431" s="111" t="s">
        <v>93</v>
      </c>
      <c r="C431" s="112"/>
      <c r="D431" s="113"/>
      <c r="E431" s="114"/>
      <c r="F431" s="114"/>
    </row>
    <row r="432" spans="2:14">
      <c r="B432" s="115" t="s">
        <v>94</v>
      </c>
      <c r="C432" s="112">
        <v>0</v>
      </c>
      <c r="D432" s="113">
        <f>C432*$N404</f>
        <v>0</v>
      </c>
      <c r="E432" s="114"/>
      <c r="F432" s="114"/>
    </row>
    <row r="433" spans="2:8">
      <c r="B433" s="115" t="s">
        <v>95</v>
      </c>
      <c r="C433" s="112">
        <v>0</v>
      </c>
      <c r="D433" s="113">
        <f>C433*$N404</f>
        <v>0</v>
      </c>
      <c r="E433" s="114"/>
      <c r="F433" s="114"/>
    </row>
    <row r="434" spans="2:8">
      <c r="B434" s="111" t="s">
        <v>96</v>
      </c>
      <c r="C434" s="112"/>
      <c r="D434" s="113">
        <f>C434*$N404</f>
        <v>0</v>
      </c>
      <c r="E434" s="114"/>
      <c r="F434" s="114"/>
    </row>
    <row r="435" spans="2:8">
      <c r="B435" s="115" t="s">
        <v>68</v>
      </c>
      <c r="C435" s="112">
        <v>244626</v>
      </c>
      <c r="D435" s="113">
        <f>C435*$N404</f>
        <v>4272.8823419999999</v>
      </c>
      <c r="E435" s="114"/>
      <c r="F435" s="114"/>
    </row>
    <row r="436" spans="2:8">
      <c r="B436" s="115" t="s">
        <v>97</v>
      </c>
      <c r="C436" s="112">
        <v>0</v>
      </c>
      <c r="D436" s="113">
        <f>C436*$N404</f>
        <v>0</v>
      </c>
      <c r="E436" s="114"/>
      <c r="F436" s="114"/>
    </row>
    <row r="437" spans="2:8">
      <c r="B437" s="111" t="s">
        <v>32</v>
      </c>
      <c r="C437" s="113">
        <f>+C428+C430+C432+C433+C435+C427</f>
        <v>283066</v>
      </c>
      <c r="D437" s="113">
        <f>C437*$N404</f>
        <v>4944.3138220000001</v>
      </c>
      <c r="E437" s="114"/>
      <c r="F437" s="114"/>
    </row>
    <row r="438" spans="2:8">
      <c r="B438" s="111" t="s">
        <v>33</v>
      </c>
      <c r="C438" s="112">
        <v>20165</v>
      </c>
      <c r="D438" s="113">
        <f>C438*$N404</f>
        <v>352.22205500000001</v>
      </c>
      <c r="E438" s="114"/>
      <c r="F438" s="114"/>
    </row>
    <row r="439" spans="2:8">
      <c r="B439" s="111" t="s">
        <v>98</v>
      </c>
      <c r="C439" s="113">
        <f>+C437-C438</f>
        <v>262901</v>
      </c>
      <c r="D439" s="113">
        <f>C439*$N404</f>
        <v>4592.0917669999999</v>
      </c>
      <c r="E439" s="114"/>
      <c r="F439" s="114"/>
    </row>
    <row r="440" spans="2:8">
      <c r="B440" s="117" t="s">
        <v>35</v>
      </c>
      <c r="C440" s="113">
        <f>C438</f>
        <v>20165</v>
      </c>
      <c r="D440" s="113">
        <f>C440*$N404</f>
        <v>352.22205500000001</v>
      </c>
      <c r="E440" s="114"/>
      <c r="F440" s="118"/>
    </row>
    <row r="441" spans="2:8">
      <c r="B441" s="117" t="s">
        <v>36</v>
      </c>
      <c r="C441" s="112">
        <v>0</v>
      </c>
      <c r="D441" s="113">
        <f>C441*$N404</f>
        <v>0</v>
      </c>
      <c r="E441" s="114"/>
      <c r="F441" s="118"/>
    </row>
    <row r="442" spans="2:8">
      <c r="B442" s="119" t="s">
        <v>37</v>
      </c>
      <c r="C442" s="120">
        <f>+C439+C440+C441</f>
        <v>283066</v>
      </c>
      <c r="D442" s="120">
        <f>+D439+D440+D441</f>
        <v>4944.3138220000001</v>
      </c>
      <c r="E442" s="121"/>
      <c r="F442" s="122"/>
    </row>
    <row r="443" spans="2:8">
      <c r="B443" s="111" t="s">
        <v>99</v>
      </c>
      <c r="C443" s="112">
        <v>1906</v>
      </c>
      <c r="D443" s="113">
        <f>C443*$N404</f>
        <v>33.292102</v>
      </c>
      <c r="E443" s="121"/>
      <c r="F443" s="122"/>
    </row>
    <row r="444" spans="2:8">
      <c r="B444" s="142" t="s">
        <v>100</v>
      </c>
      <c r="C444" s="120">
        <f>C442+C443</f>
        <v>284972</v>
      </c>
      <c r="D444" s="120">
        <f>D442+D443</f>
        <v>4977.6059240000004</v>
      </c>
      <c r="E444" s="121"/>
      <c r="F444" s="122"/>
      <c r="G444" s="143"/>
    </row>
    <row r="445" spans="2:8">
      <c r="B445" s="117" t="s">
        <v>38</v>
      </c>
      <c r="C445" s="112">
        <v>7584</v>
      </c>
      <c r="D445" s="113">
        <f>C445*$N404</f>
        <v>132.469728</v>
      </c>
      <c r="E445" s="121"/>
      <c r="F445" s="122"/>
    </row>
    <row r="446" spans="2:8">
      <c r="B446" s="117" t="s">
        <v>39</v>
      </c>
      <c r="C446" s="112">
        <v>46231</v>
      </c>
      <c r="D446" s="113">
        <f>C446*$N404</f>
        <v>807.51687700000002</v>
      </c>
      <c r="E446" s="121"/>
      <c r="F446" s="122"/>
    </row>
    <row r="447" spans="2:8">
      <c r="B447" s="123" t="s">
        <v>40</v>
      </c>
      <c r="C447" s="124">
        <f>C442+C445+C446</f>
        <v>336881</v>
      </c>
      <c r="D447" s="124">
        <f>D442+D445+D446</f>
        <v>5884.3004270000001</v>
      </c>
      <c r="E447" s="125">
        <f>C447/C452</f>
        <v>3.0888094255719065</v>
      </c>
      <c r="F447" s="125">
        <f>D447/D452</f>
        <v>3.1023209088895038</v>
      </c>
      <c r="H447" s="143"/>
    </row>
    <row r="448" spans="2:8">
      <c r="B448" s="117" t="s">
        <v>41</v>
      </c>
      <c r="C448" s="113">
        <f>Model!AQ$119</f>
        <v>13859</v>
      </c>
      <c r="D448" s="113">
        <f>C448*$N404</f>
        <v>242.075153</v>
      </c>
      <c r="E448" s="126"/>
      <c r="F448" s="126"/>
    </row>
    <row r="449" spans="2:8">
      <c r="B449" s="123" t="s">
        <v>19</v>
      </c>
      <c r="C449" s="124">
        <f>C447-C448</f>
        <v>323022</v>
      </c>
      <c r="D449" s="124">
        <f>D447-D448</f>
        <v>5642.2252740000004</v>
      </c>
      <c r="E449" s="125">
        <f>C449/C452</f>
        <v>2.9617384128730575</v>
      </c>
      <c r="F449" s="125">
        <f>D449/D452</f>
        <v>2.9746940451711592</v>
      </c>
    </row>
    <row r="450" spans="2:8">
      <c r="B450" s="119" t="s">
        <v>20</v>
      </c>
      <c r="C450" s="141">
        <f>Model!AQ$126</f>
        <v>116796</v>
      </c>
      <c r="D450" s="127"/>
      <c r="E450" s="128"/>
      <c r="F450" s="117"/>
    </row>
    <row r="451" spans="2:8">
      <c r="B451" s="119" t="s">
        <v>21</v>
      </c>
      <c r="C451" s="129">
        <f>C449+C450</f>
        <v>439818</v>
      </c>
      <c r="D451" s="129"/>
      <c r="E451" s="128"/>
      <c r="F451" s="117"/>
    </row>
    <row r="452" spans="2:8">
      <c r="B452" s="117" t="s">
        <v>22</v>
      </c>
      <c r="C452" s="130">
        <f>Model!AQ$84</f>
        <v>109065</v>
      </c>
      <c r="D452" s="130">
        <f>C452*N405</f>
        <v>1896.741375187496</v>
      </c>
      <c r="E452" s="117"/>
      <c r="F452" s="117"/>
    </row>
    <row r="453" spans="2:8">
      <c r="B453" s="131" t="s">
        <v>23</v>
      </c>
      <c r="C453" s="159">
        <f>C447-Model!AQ$123</f>
        <v>0</v>
      </c>
    </row>
    <row r="454" spans="2:8">
      <c r="B454" s="131"/>
      <c r="C454" s="159"/>
    </row>
    <row r="455" spans="2:8">
      <c r="B455" s="346" t="s">
        <v>101</v>
      </c>
      <c r="C455" s="177"/>
      <c r="D455" s="177"/>
    </row>
    <row r="456" spans="2:8">
      <c r="B456" s="347"/>
      <c r="C456" s="133" t="s">
        <v>102</v>
      </c>
      <c r="D456" s="144" t="s">
        <v>103</v>
      </c>
    </row>
    <row r="457" spans="2:8">
      <c r="B457" s="134" t="str">
        <f>+B448</f>
        <v>Cash &amp; Cash  Equivalents</v>
      </c>
      <c r="C457" s="136">
        <f>Model!$AQ$120</f>
        <v>13759</v>
      </c>
      <c r="D457" s="136">
        <f>+C457*$N404</f>
        <v>240.328453</v>
      </c>
    </row>
    <row r="458" spans="2:8">
      <c r="B458" s="134" t="s">
        <v>43</v>
      </c>
      <c r="C458" s="136">
        <f>Model!$AQ$121</f>
        <v>100</v>
      </c>
      <c r="D458" s="136">
        <f>+C458*$N405</f>
        <v>1.7390926284211214</v>
      </c>
    </row>
    <row r="459" spans="2:8">
      <c r="B459" s="137" t="s">
        <v>44</v>
      </c>
      <c r="C459" s="138">
        <f>+SUM(C457:C458)</f>
        <v>13859</v>
      </c>
      <c r="D459" s="138">
        <f>+SUM(D457:D458)</f>
        <v>242.06754562842113</v>
      </c>
    </row>
    <row r="461" spans="2:8">
      <c r="B461" s="346" t="s">
        <v>79</v>
      </c>
      <c r="C461" s="343" t="s">
        <v>104</v>
      </c>
      <c r="D461" s="343"/>
      <c r="E461" s="132"/>
      <c r="F461" s="132"/>
      <c r="G461" s="343"/>
      <c r="H461" s="343"/>
    </row>
    <row r="462" spans="2:8">
      <c r="B462" s="347"/>
      <c r="C462" s="133" t="s">
        <v>102</v>
      </c>
      <c r="D462" s="144" t="s">
        <v>103</v>
      </c>
      <c r="E462" s="144"/>
      <c r="F462" s="144"/>
      <c r="G462" s="144"/>
      <c r="H462" s="144"/>
    </row>
    <row r="463" spans="2:8">
      <c r="B463" s="134">
        <v>2025</v>
      </c>
      <c r="C463" s="135">
        <v>19700</v>
      </c>
      <c r="D463" s="136">
        <f>+C463*$N404</f>
        <v>344.09989999999999</v>
      </c>
      <c r="E463" s="135"/>
      <c r="F463" s="136"/>
      <c r="G463" s="136"/>
      <c r="H463" s="136"/>
    </row>
    <row r="464" spans="2:8">
      <c r="B464" s="134">
        <v>2026</v>
      </c>
      <c r="C464" s="135">
        <v>15900</v>
      </c>
      <c r="D464" s="136">
        <f>+C464*$N404</f>
        <v>277.7253</v>
      </c>
      <c r="E464" s="135"/>
      <c r="F464" s="136"/>
      <c r="G464" s="136"/>
      <c r="H464" s="136"/>
    </row>
    <row r="465" spans="1:14">
      <c r="B465" s="134">
        <v>2027</v>
      </c>
      <c r="C465" s="135">
        <v>27600</v>
      </c>
      <c r="D465" s="136">
        <f>+C465*$N404</f>
        <v>482.08920000000001</v>
      </c>
      <c r="E465" s="135"/>
      <c r="F465" s="136"/>
      <c r="G465" s="136"/>
      <c r="H465" s="136"/>
    </row>
    <row r="466" spans="1:14">
      <c r="B466" s="134">
        <v>2028</v>
      </c>
      <c r="C466" s="135">
        <v>21300</v>
      </c>
      <c r="D466" s="136">
        <f>+C466*$N404</f>
        <v>372.0471</v>
      </c>
      <c r="E466" s="135"/>
      <c r="F466" s="136"/>
      <c r="G466" s="136"/>
      <c r="H466" s="136"/>
    </row>
    <row r="467" spans="1:14">
      <c r="B467" s="134">
        <v>2029</v>
      </c>
      <c r="C467" s="135">
        <v>26400</v>
      </c>
      <c r="D467" s="136">
        <f>+C467*$N404</f>
        <v>461.12880000000001</v>
      </c>
      <c r="E467" s="135"/>
      <c r="F467" s="136"/>
      <c r="G467" s="136"/>
      <c r="H467" s="136"/>
    </row>
    <row r="468" spans="1:14">
      <c r="B468" s="134">
        <v>2030</v>
      </c>
      <c r="C468" s="135">
        <v>24700</v>
      </c>
      <c r="D468" s="136">
        <f>+C468*$N404</f>
        <v>431.43489999999997</v>
      </c>
      <c r="E468" s="135"/>
      <c r="F468" s="136"/>
      <c r="G468" s="136"/>
      <c r="H468" s="136"/>
    </row>
    <row r="469" spans="1:14">
      <c r="B469" s="134" t="s">
        <v>80</v>
      </c>
      <c r="C469" s="135">
        <v>149400</v>
      </c>
      <c r="D469" s="136">
        <f>+C469*$N405</f>
        <v>2598.2043868611554</v>
      </c>
      <c r="E469" s="135"/>
      <c r="F469" s="136"/>
      <c r="G469" s="136"/>
      <c r="H469" s="136"/>
    </row>
    <row r="470" spans="1:14">
      <c r="B470" s="137" t="s">
        <v>44</v>
      </c>
      <c r="C470" s="138">
        <f>+SUM(C463:C469)</f>
        <v>285000</v>
      </c>
      <c r="D470" s="138">
        <f t="shared" ref="D470" si="7">+SUM(D463:D468)</f>
        <v>2368.5252</v>
      </c>
      <c r="E470" s="138"/>
      <c r="F470" s="138"/>
      <c r="G470" s="138"/>
      <c r="H470" s="138"/>
      <c r="M470" s="139"/>
    </row>
    <row r="471" spans="1:14">
      <c r="G471" s="143">
        <f>C470-C444</f>
        <v>28</v>
      </c>
    </row>
    <row r="472" spans="1:14">
      <c r="A472" s="103" t="s">
        <v>105</v>
      </c>
      <c r="M472" s="104" t="s">
        <v>106</v>
      </c>
      <c r="N472" s="191">
        <f>1/Model!AP$202</f>
        <v>1.7218816722914802E-2</v>
      </c>
    </row>
    <row r="473" spans="1:14">
      <c r="M473" s="105" t="s">
        <v>107</v>
      </c>
      <c r="N473" s="191">
        <f>1/AVERAGE(Model!AM$201:AP$201)</f>
        <v>1.7542166983887521E-2</v>
      </c>
    </row>
    <row r="474" spans="1:14" ht="15.75" thickBot="1">
      <c r="M474" s="105"/>
      <c r="N474" s="106"/>
    </row>
    <row r="475" spans="1:14" ht="25.5">
      <c r="B475" s="108" t="s">
        <v>108</v>
      </c>
      <c r="C475" s="109" t="s">
        <v>85</v>
      </c>
      <c r="D475" s="109" t="s">
        <v>86</v>
      </c>
      <c r="E475" s="109" t="s">
        <v>56</v>
      </c>
      <c r="F475" s="109" t="s">
        <v>7</v>
      </c>
      <c r="M475" s="167" t="s">
        <v>8</v>
      </c>
      <c r="N475" s="168"/>
    </row>
    <row r="476" spans="1:14">
      <c r="B476" s="179" t="s">
        <v>9</v>
      </c>
      <c r="C476" s="180"/>
      <c r="M476" s="165" t="s">
        <v>10</v>
      </c>
      <c r="N476" s="169">
        <v>273000</v>
      </c>
    </row>
    <row r="477" spans="1:14" ht="15.75" thickBot="1">
      <c r="B477" s="181" t="s">
        <v>11</v>
      </c>
      <c r="C477" s="183">
        <v>258246</v>
      </c>
      <c r="E477" s="190">
        <f>C477*$N$472</f>
        <v>4446.690543425856</v>
      </c>
      <c r="M477" s="166" t="s">
        <v>12</v>
      </c>
      <c r="N477" s="170" t="s">
        <v>109</v>
      </c>
    </row>
    <row r="478" spans="1:14">
      <c r="B478" s="181" t="s">
        <v>16</v>
      </c>
      <c r="C478" s="183">
        <v>23340</v>
      </c>
      <c r="E478" s="190">
        <f>C478*$N$472</f>
        <v>401.8871823128315</v>
      </c>
      <c r="M478" s="105"/>
      <c r="N478" s="106"/>
    </row>
    <row r="479" spans="1:14">
      <c r="B479" s="180"/>
      <c r="C479" s="183"/>
      <c r="E479" s="180"/>
      <c r="M479" s="105"/>
      <c r="N479" s="106"/>
    </row>
    <row r="480" spans="1:14">
      <c r="B480" s="180" t="s">
        <v>15</v>
      </c>
      <c r="C480" s="183"/>
      <c r="E480" s="180"/>
      <c r="M480" s="105"/>
      <c r="N480" s="106"/>
    </row>
    <row r="481" spans="2:14">
      <c r="B481" s="181" t="s">
        <v>11</v>
      </c>
      <c r="C481" s="183">
        <v>46703</v>
      </c>
      <c r="E481" s="190">
        <f t="shared" ref="E481:E482" si="8">C481*$N$472</f>
        <v>804.17039741028998</v>
      </c>
      <c r="M481" s="105"/>
      <c r="N481" s="106"/>
    </row>
    <row r="482" spans="2:14">
      <c r="B482" s="181" t="s">
        <v>16</v>
      </c>
      <c r="C482" s="183">
        <v>7335</v>
      </c>
      <c r="E482" s="190">
        <f t="shared" si="8"/>
        <v>126.30002066258008</v>
      </c>
      <c r="M482" s="105"/>
      <c r="N482" s="106"/>
    </row>
    <row r="483" spans="2:14">
      <c r="B483" s="181"/>
      <c r="C483" s="184"/>
      <c r="E483" s="180"/>
      <c r="M483" s="105"/>
      <c r="N483" s="106"/>
    </row>
    <row r="484" spans="2:14">
      <c r="B484" s="123" t="s">
        <v>17</v>
      </c>
      <c r="C484" s="186">
        <f>SUM(C477,C478,C481,C482)</f>
        <v>335624</v>
      </c>
      <c r="D484" s="125">
        <f>C484/C489</f>
        <v>3.0928811685020503</v>
      </c>
      <c r="E484" s="186">
        <f>SUM(E477,E478,E481,E482)</f>
        <v>5779.0481438115576</v>
      </c>
      <c r="F484" s="125">
        <f>E484/E489</f>
        <v>3.0358708838598325</v>
      </c>
      <c r="M484" s="105"/>
      <c r="N484" s="106"/>
    </row>
    <row r="485" spans="2:14">
      <c r="B485" s="178" t="s">
        <v>18</v>
      </c>
      <c r="C485" s="185">
        <f>Model!K$119</f>
        <v>10147</v>
      </c>
      <c r="E485" s="190">
        <f>C485*$N$472</f>
        <v>174.7193332874165</v>
      </c>
      <c r="M485" s="105"/>
      <c r="N485" s="106"/>
    </row>
    <row r="486" spans="2:14">
      <c r="B486" s="123" t="s">
        <v>19</v>
      </c>
      <c r="C486" s="186">
        <f>C484-C485</f>
        <v>325477</v>
      </c>
      <c r="D486" s="125">
        <f>C486/C489</f>
        <v>2.9993733585218632</v>
      </c>
      <c r="E486" s="186">
        <f t="shared" ref="E486" si="9">E484-E485</f>
        <v>5604.3288105241409</v>
      </c>
      <c r="F486" s="125">
        <f>E486/E489</f>
        <v>2.9440866793377309</v>
      </c>
      <c r="H486" s="192"/>
      <c r="M486" s="105"/>
      <c r="N486" s="106"/>
    </row>
    <row r="487" spans="2:14">
      <c r="B487" s="104" t="s">
        <v>20</v>
      </c>
      <c r="C487" s="187">
        <f>Model!AP$126</f>
        <v>116735</v>
      </c>
      <c r="E487" s="188">
        <f>C487*$N$472</f>
        <v>2010.0385701494595</v>
      </c>
      <c r="M487" s="105"/>
      <c r="N487" s="106"/>
    </row>
    <row r="488" spans="2:14">
      <c r="B488" s="104" t="s">
        <v>21</v>
      </c>
      <c r="C488" s="188">
        <f>C486+C487</f>
        <v>442212</v>
      </c>
      <c r="E488" s="188">
        <f>E486+E487</f>
        <v>7614.3673806736006</v>
      </c>
      <c r="M488" s="105"/>
      <c r="N488" s="106"/>
    </row>
    <row r="489" spans="2:14">
      <c r="B489" s="182" t="s">
        <v>22</v>
      </c>
      <c r="C489" s="189">
        <f>Model!AP$84</f>
        <v>108515</v>
      </c>
      <c r="E489" s="190">
        <f>C489*$N$473</f>
        <v>1903.5882502565544</v>
      </c>
      <c r="M489" s="105"/>
      <c r="N489" s="106"/>
    </row>
    <row r="490" spans="2:14">
      <c r="B490" s="131" t="s">
        <v>23</v>
      </c>
      <c r="C490" s="159">
        <f>C484-Model!AP$123</f>
        <v>0</v>
      </c>
      <c r="M490" s="105"/>
      <c r="N490" s="106"/>
    </row>
    <row r="491" spans="2:14">
      <c r="M491" s="105"/>
      <c r="N491" s="106"/>
    </row>
    <row r="492" spans="2:14">
      <c r="B492" s="107"/>
      <c r="C492" s="106"/>
    </row>
    <row r="493" spans="2:14" ht="26.25">
      <c r="B493" s="108" t="s">
        <v>108</v>
      </c>
      <c r="C493" s="109" t="s">
        <v>85</v>
      </c>
      <c r="D493" s="109" t="s">
        <v>88</v>
      </c>
      <c r="E493" s="110" t="s">
        <v>89</v>
      </c>
      <c r="F493" s="110" t="s">
        <v>7</v>
      </c>
    </row>
    <row r="494" spans="2:14">
      <c r="B494" s="111" t="s">
        <v>24</v>
      </c>
      <c r="C494" s="112"/>
      <c r="D494" s="113"/>
      <c r="E494" s="114"/>
      <c r="F494" s="114"/>
    </row>
    <row r="495" spans="2:14">
      <c r="B495" s="116" t="s">
        <v>90</v>
      </c>
      <c r="C495" s="112">
        <v>34177</v>
      </c>
      <c r="D495" s="113">
        <f>C495*$N472</f>
        <v>588.4874991390592</v>
      </c>
      <c r="E495" s="114"/>
      <c r="F495" s="114"/>
    </row>
    <row r="496" spans="2:14">
      <c r="B496" s="115" t="s">
        <v>91</v>
      </c>
      <c r="C496" s="112">
        <v>0</v>
      </c>
      <c r="D496" s="113">
        <f>C496*$N472</f>
        <v>0</v>
      </c>
      <c r="E496" s="114"/>
      <c r="F496" s="114"/>
      <c r="N496" s="143"/>
    </row>
    <row r="497" spans="2:7">
      <c r="B497" s="116" t="s">
        <v>30</v>
      </c>
      <c r="C497" s="112"/>
      <c r="D497" s="113"/>
      <c r="E497" s="114"/>
      <c r="F497" s="114"/>
    </row>
    <row r="498" spans="2:7">
      <c r="B498" s="115" t="s">
        <v>92</v>
      </c>
      <c r="C498" s="112">
        <v>4838</v>
      </c>
      <c r="D498" s="113">
        <f>C498*$N472</f>
        <v>83.304635305461815</v>
      </c>
      <c r="E498" s="114"/>
      <c r="F498" s="114"/>
    </row>
    <row r="499" spans="2:7">
      <c r="B499" s="111" t="s">
        <v>93</v>
      </c>
      <c r="C499" s="112"/>
      <c r="D499" s="113"/>
      <c r="E499" s="114"/>
      <c r="F499" s="114"/>
    </row>
    <row r="500" spans="2:7">
      <c r="B500" s="115" t="s">
        <v>94</v>
      </c>
      <c r="C500" s="112">
        <v>0</v>
      </c>
      <c r="D500" s="113">
        <f>C500*$N472</f>
        <v>0</v>
      </c>
      <c r="E500" s="114"/>
      <c r="F500" s="114"/>
    </row>
    <row r="501" spans="2:7">
      <c r="B501" s="115" t="s">
        <v>95</v>
      </c>
      <c r="C501" s="112">
        <v>0</v>
      </c>
      <c r="D501" s="113">
        <f>C501*$N472</f>
        <v>0</v>
      </c>
      <c r="E501" s="114"/>
      <c r="F501" s="114"/>
    </row>
    <row r="502" spans="2:7">
      <c r="B502" s="111" t="s">
        <v>96</v>
      </c>
      <c r="C502" s="112"/>
      <c r="D502" s="113">
        <f>C502*$N472</f>
        <v>0</v>
      </c>
      <c r="E502" s="114"/>
      <c r="F502" s="114"/>
    </row>
    <row r="503" spans="2:7">
      <c r="B503" s="115" t="s">
        <v>68</v>
      </c>
      <c r="C503" s="112">
        <v>242571</v>
      </c>
      <c r="D503" s="113">
        <f>C503*$N472</f>
        <v>4176.7855912941668</v>
      </c>
      <c r="E503" s="114"/>
      <c r="F503" s="114"/>
    </row>
    <row r="504" spans="2:7">
      <c r="B504" s="115" t="s">
        <v>97</v>
      </c>
      <c r="C504" s="112">
        <v>0</v>
      </c>
      <c r="D504" s="113">
        <f>C504*$N472</f>
        <v>0</v>
      </c>
      <c r="E504" s="114"/>
      <c r="F504" s="114"/>
    </row>
    <row r="505" spans="2:7">
      <c r="B505" s="111" t="s">
        <v>32</v>
      </c>
      <c r="C505" s="113">
        <f>+C496+C498+C500+C501+C503+C495</f>
        <v>281586</v>
      </c>
      <c r="D505" s="113">
        <f>C505*$N472</f>
        <v>4848.5777257386871</v>
      </c>
      <c r="E505" s="114"/>
      <c r="F505" s="114"/>
    </row>
    <row r="506" spans="2:7">
      <c r="B506" s="111" t="s">
        <v>33</v>
      </c>
      <c r="C506" s="112">
        <v>23340</v>
      </c>
      <c r="D506" s="113">
        <f>C506*$N472</f>
        <v>401.8871823128315</v>
      </c>
      <c r="E506" s="114"/>
      <c r="F506" s="114"/>
    </row>
    <row r="507" spans="2:7">
      <c r="B507" s="111" t="s">
        <v>98</v>
      </c>
      <c r="C507" s="113">
        <f>+C505-C506</f>
        <v>258246</v>
      </c>
      <c r="D507" s="113">
        <f>C507*$N472</f>
        <v>4446.690543425856</v>
      </c>
      <c r="E507" s="114"/>
      <c r="F507" s="114"/>
    </row>
    <row r="508" spans="2:7">
      <c r="B508" s="117" t="s">
        <v>35</v>
      </c>
      <c r="C508" s="113">
        <f>C506</f>
        <v>23340</v>
      </c>
      <c r="D508" s="113">
        <f>C508*$N472</f>
        <v>401.8871823128315</v>
      </c>
      <c r="E508" s="114"/>
      <c r="F508" s="118"/>
    </row>
    <row r="509" spans="2:7">
      <c r="B509" s="117" t="s">
        <v>36</v>
      </c>
      <c r="C509" s="112">
        <v>0</v>
      </c>
      <c r="D509" s="113">
        <f>C509*$N472</f>
        <v>0</v>
      </c>
      <c r="E509" s="114"/>
      <c r="F509" s="118"/>
    </row>
    <row r="510" spans="2:7">
      <c r="B510" s="119" t="s">
        <v>37</v>
      </c>
      <c r="C510" s="120">
        <f>+C507+C508+C509</f>
        <v>281586</v>
      </c>
      <c r="D510" s="120">
        <f>+D507+D508+D509</f>
        <v>4848.5777257386871</v>
      </c>
      <c r="E510" s="121"/>
      <c r="F510" s="122"/>
    </row>
    <row r="511" spans="2:7">
      <c r="B511" s="111" t="s">
        <v>99</v>
      </c>
      <c r="C511" s="112">
        <v>1989</v>
      </c>
      <c r="D511" s="113">
        <f>C511*$N472</f>
        <v>34.248226461877543</v>
      </c>
      <c r="E511" s="121"/>
      <c r="F511" s="122"/>
    </row>
    <row r="512" spans="2:7">
      <c r="B512" s="142" t="s">
        <v>100</v>
      </c>
      <c r="C512" s="120">
        <f>C510+C511</f>
        <v>283575</v>
      </c>
      <c r="D512" s="120">
        <f>D510+D511</f>
        <v>4882.8259522005646</v>
      </c>
      <c r="E512" s="121"/>
      <c r="F512" s="122"/>
      <c r="G512" s="143"/>
    </row>
    <row r="513" spans="2:8">
      <c r="B513" s="117" t="s">
        <v>38</v>
      </c>
      <c r="C513" s="112">
        <v>7335</v>
      </c>
      <c r="D513" s="113">
        <f>C513*$N472</f>
        <v>126.30002066258008</v>
      </c>
      <c r="E513" s="121"/>
      <c r="F513" s="122"/>
    </row>
    <row r="514" spans="2:8">
      <c r="B514" s="117" t="s">
        <v>39</v>
      </c>
      <c r="C514" s="112">
        <v>46703</v>
      </c>
      <c r="D514" s="113">
        <f>C514*$N472</f>
        <v>804.17039741028998</v>
      </c>
      <c r="E514" s="121"/>
      <c r="F514" s="122"/>
    </row>
    <row r="515" spans="2:8">
      <c r="B515" s="123" t="s">
        <v>40</v>
      </c>
      <c r="C515" s="124">
        <f>C510+C513+C514</f>
        <v>335624</v>
      </c>
      <c r="D515" s="124">
        <f>D510+D513+D514</f>
        <v>5779.0481438115576</v>
      </c>
      <c r="E515" s="125">
        <f>C515/C520</f>
        <v>3.0928811685020503</v>
      </c>
      <c r="F515" s="125">
        <f>D515/D520</f>
        <v>3.0358708838598325</v>
      </c>
      <c r="H515" s="143"/>
    </row>
    <row r="516" spans="2:8">
      <c r="B516" s="117" t="s">
        <v>41</v>
      </c>
      <c r="C516" s="113">
        <f>Model!AP$119</f>
        <v>10147</v>
      </c>
      <c r="D516" s="113">
        <f>C516*$N472</f>
        <v>174.7193332874165</v>
      </c>
      <c r="E516" s="126"/>
      <c r="F516" s="126"/>
    </row>
    <row r="517" spans="2:8">
      <c r="B517" s="123" t="s">
        <v>19</v>
      </c>
      <c r="C517" s="124">
        <f>C515-C516</f>
        <v>325477</v>
      </c>
      <c r="D517" s="124">
        <f>D515-D516</f>
        <v>5604.3288105241409</v>
      </c>
      <c r="E517" s="125">
        <f>C517/C520</f>
        <v>2.9993733585218632</v>
      </c>
      <c r="F517" s="125">
        <f>D517/D520</f>
        <v>2.9440866793377309</v>
      </c>
    </row>
    <row r="518" spans="2:8">
      <c r="B518" s="119" t="s">
        <v>20</v>
      </c>
      <c r="C518" s="141">
        <f>Model!AP$126</f>
        <v>116735</v>
      </c>
      <c r="D518" s="127"/>
      <c r="E518" s="128"/>
      <c r="F518" s="117"/>
    </row>
    <row r="519" spans="2:8">
      <c r="B519" s="119" t="s">
        <v>21</v>
      </c>
      <c r="C519" s="129">
        <f>C517+C518</f>
        <v>442212</v>
      </c>
      <c r="D519" s="129"/>
      <c r="E519" s="128"/>
      <c r="F519" s="117"/>
    </row>
    <row r="520" spans="2:8">
      <c r="B520" s="117" t="s">
        <v>22</v>
      </c>
      <c r="C520" s="130">
        <f>Model!AP$84</f>
        <v>108515</v>
      </c>
      <c r="D520" s="130">
        <f>C520*N473</f>
        <v>1903.5882502565544</v>
      </c>
      <c r="E520" s="117"/>
      <c r="F520" s="117"/>
    </row>
    <row r="521" spans="2:8">
      <c r="B521" s="131" t="s">
        <v>23</v>
      </c>
      <c r="C521" s="159">
        <f>C515-Model!AP$123</f>
        <v>0</v>
      </c>
    </row>
    <row r="522" spans="2:8">
      <c r="B522" s="131"/>
      <c r="C522" s="159"/>
    </row>
    <row r="523" spans="2:8">
      <c r="B523" s="346" t="s">
        <v>110</v>
      </c>
      <c r="C523" s="177"/>
      <c r="D523" s="177"/>
    </row>
    <row r="524" spans="2:8">
      <c r="B524" s="347"/>
      <c r="C524" s="133" t="s">
        <v>102</v>
      </c>
      <c r="D524" s="144" t="s">
        <v>103</v>
      </c>
    </row>
    <row r="525" spans="2:8">
      <c r="B525" s="134" t="str">
        <f>+B516</f>
        <v>Cash &amp; Cash  Equivalents</v>
      </c>
      <c r="C525" s="136">
        <f>Model!$K$120</f>
        <v>10011</v>
      </c>
      <c r="D525" s="136">
        <f>+C525*$N472</f>
        <v>172.37757421310008</v>
      </c>
    </row>
    <row r="526" spans="2:8">
      <c r="B526" s="134" t="s">
        <v>43</v>
      </c>
      <c r="C526" s="136">
        <f>Model!$K$121</f>
        <v>136</v>
      </c>
      <c r="D526" s="136">
        <f>+C526*$N473</f>
        <v>2.3857347098087027</v>
      </c>
    </row>
    <row r="527" spans="2:8">
      <c r="B527" s="137" t="s">
        <v>44</v>
      </c>
      <c r="C527" s="138">
        <f>+SUM(C525:C526)</f>
        <v>10147</v>
      </c>
      <c r="D527" s="138">
        <f>+SUM(D525:D526)</f>
        <v>174.76330892290878</v>
      </c>
    </row>
    <row r="529" spans="1:14">
      <c r="B529" s="346" t="s">
        <v>79</v>
      </c>
      <c r="C529" s="343" t="s">
        <v>104</v>
      </c>
      <c r="D529" s="343"/>
      <c r="E529" s="132"/>
      <c r="F529" s="132"/>
      <c r="G529" s="343"/>
      <c r="H529" s="343"/>
    </row>
    <row r="530" spans="1:14">
      <c r="B530" s="347"/>
      <c r="C530" s="133" t="s">
        <v>102</v>
      </c>
      <c r="D530" s="144" t="s">
        <v>103</v>
      </c>
      <c r="E530" s="144"/>
      <c r="F530" s="144"/>
      <c r="G530" s="144"/>
      <c r="H530" s="144"/>
    </row>
    <row r="531" spans="1:14">
      <c r="B531" s="134">
        <v>2025</v>
      </c>
      <c r="C531" s="135">
        <v>23700</v>
      </c>
      <c r="D531" s="136">
        <f>+C531*$N472</f>
        <v>408.08595633308079</v>
      </c>
      <c r="E531" s="135"/>
      <c r="F531" s="136"/>
      <c r="G531" s="136"/>
      <c r="H531" s="136"/>
    </row>
    <row r="532" spans="1:14">
      <c r="B532" s="134">
        <v>2026</v>
      </c>
      <c r="C532" s="135">
        <v>15900</v>
      </c>
      <c r="D532" s="136">
        <f>+C532*$N472</f>
        <v>273.77918589434535</v>
      </c>
      <c r="E532" s="135"/>
      <c r="F532" s="136"/>
      <c r="G532" s="136"/>
      <c r="H532" s="136"/>
    </row>
    <row r="533" spans="1:14">
      <c r="B533" s="134">
        <v>2027</v>
      </c>
      <c r="C533" s="135">
        <v>27500</v>
      </c>
      <c r="D533" s="136">
        <f>+C533*$N472</f>
        <v>473.51745988015705</v>
      </c>
      <c r="E533" s="135"/>
      <c r="F533" s="136"/>
      <c r="G533" s="136"/>
      <c r="H533" s="136"/>
    </row>
    <row r="534" spans="1:14">
      <c r="B534" s="134">
        <v>2028</v>
      </c>
      <c r="C534" s="135">
        <v>21300</v>
      </c>
      <c r="D534" s="136">
        <f>+C534*$N472</f>
        <v>366.7607961980853</v>
      </c>
      <c r="E534" s="135"/>
      <c r="F534" s="136"/>
      <c r="G534" s="136"/>
      <c r="H534" s="136"/>
    </row>
    <row r="535" spans="1:14">
      <c r="B535" s="134">
        <v>2029</v>
      </c>
      <c r="C535" s="135">
        <v>26300</v>
      </c>
      <c r="D535" s="136">
        <f>+C535*$N472</f>
        <v>452.85487981265931</v>
      </c>
      <c r="E535" s="135"/>
      <c r="F535" s="136"/>
      <c r="G535" s="136"/>
      <c r="H535" s="136"/>
    </row>
    <row r="536" spans="1:14">
      <c r="B536" s="134">
        <v>2030</v>
      </c>
      <c r="C536" s="135">
        <v>24600</v>
      </c>
      <c r="D536" s="136">
        <f>+C536*$N472</f>
        <v>423.58289138370412</v>
      </c>
      <c r="E536" s="135"/>
      <c r="F536" s="136"/>
      <c r="G536" s="136"/>
      <c r="H536" s="136"/>
    </row>
    <row r="537" spans="1:14">
      <c r="B537" s="134" t="s">
        <v>80</v>
      </c>
      <c r="C537" s="135">
        <v>144300</v>
      </c>
      <c r="D537" s="136">
        <f>+C537*$N473</f>
        <v>2531.3346957749695</v>
      </c>
      <c r="E537" s="135"/>
      <c r="F537" s="136"/>
      <c r="G537" s="136"/>
      <c r="H537" s="136"/>
    </row>
    <row r="538" spans="1:14">
      <c r="B538" s="137" t="s">
        <v>44</v>
      </c>
      <c r="C538" s="138">
        <f>+SUM(C531:C537)</f>
        <v>283600</v>
      </c>
      <c r="D538" s="138">
        <f t="shared" ref="D538" si="10">+SUM(D531:D536)</f>
        <v>2398.5811695020316</v>
      </c>
      <c r="E538" s="138"/>
      <c r="F538" s="138"/>
      <c r="G538" s="138"/>
      <c r="H538" s="138"/>
      <c r="M538" s="139"/>
    </row>
    <row r="539" spans="1:14">
      <c r="G539" s="143">
        <f>G538-C512</f>
        <v>-283575</v>
      </c>
    </row>
    <row r="540" spans="1:14">
      <c r="A540" s="103" t="s">
        <v>111</v>
      </c>
      <c r="M540" s="104" t="s">
        <v>112</v>
      </c>
      <c r="N540" s="106">
        <f>1/Model!AO202</f>
        <v>1.7850767583006067E-2</v>
      </c>
    </row>
    <row r="541" spans="1:14">
      <c r="M541" s="105" t="s">
        <v>113</v>
      </c>
      <c r="N541" s="106">
        <f>1/AVERAGE(Model!AL201:AO201)</f>
        <v>1.7676823474821576E-2</v>
      </c>
    </row>
    <row r="542" spans="1:14">
      <c r="M542" s="105"/>
      <c r="N542" s="106"/>
    </row>
    <row r="543" spans="1:14" ht="15.75" thickBot="1">
      <c r="B543" s="107"/>
      <c r="C543" s="106"/>
    </row>
    <row r="544" spans="1:14" ht="26.25">
      <c r="B544" s="108" t="s">
        <v>114</v>
      </c>
      <c r="C544" s="109" t="s">
        <v>85</v>
      </c>
      <c r="D544" s="109" t="s">
        <v>88</v>
      </c>
      <c r="E544" s="110" t="s">
        <v>89</v>
      </c>
      <c r="F544" s="110" t="s">
        <v>7</v>
      </c>
      <c r="M544" s="167" t="s">
        <v>8</v>
      </c>
      <c r="N544" s="168"/>
    </row>
    <row r="545" spans="2:14">
      <c r="B545" s="111" t="s">
        <v>24</v>
      </c>
      <c r="C545" s="112"/>
      <c r="D545" s="113"/>
      <c r="E545" s="114"/>
      <c r="F545" s="114"/>
      <c r="M545" s="165" t="s">
        <v>10</v>
      </c>
      <c r="N545" s="169">
        <v>259786</v>
      </c>
    </row>
    <row r="546" spans="2:14" ht="15.75" thickBot="1">
      <c r="B546" s="116" t="s">
        <v>90</v>
      </c>
      <c r="C546" s="112">
        <v>33076</v>
      </c>
      <c r="D546" s="113">
        <f>C546*$N540</f>
        <v>590.43198857550863</v>
      </c>
      <c r="E546" s="114"/>
      <c r="F546" s="114"/>
      <c r="M546" s="166" t="s">
        <v>12</v>
      </c>
      <c r="N546" s="170" t="s">
        <v>115</v>
      </c>
    </row>
    <row r="547" spans="2:14">
      <c r="B547" s="115" t="s">
        <v>91</v>
      </c>
      <c r="C547" s="112">
        <v>0</v>
      </c>
      <c r="D547" s="113">
        <f>C547*$N540</f>
        <v>0</v>
      </c>
      <c r="E547" s="114"/>
      <c r="F547" s="114"/>
      <c r="N547" s="143"/>
    </row>
    <row r="548" spans="2:14">
      <c r="B548" s="116" t="s">
        <v>30</v>
      </c>
      <c r="C548" s="112"/>
      <c r="D548" s="113"/>
      <c r="E548" s="114"/>
      <c r="F548" s="114"/>
    </row>
    <row r="549" spans="2:14">
      <c r="B549" s="115" t="s">
        <v>92</v>
      </c>
      <c r="C549" s="112">
        <v>4879</v>
      </c>
      <c r="D549" s="113">
        <f>C549*$N540</f>
        <v>87.093895037486604</v>
      </c>
      <c r="E549" s="114"/>
      <c r="F549" s="114"/>
    </row>
    <row r="550" spans="2:14">
      <c r="B550" s="111" t="s">
        <v>93</v>
      </c>
      <c r="C550" s="112"/>
      <c r="D550" s="113"/>
      <c r="E550" s="114"/>
      <c r="F550" s="114"/>
    </row>
    <row r="551" spans="2:14">
      <c r="B551" s="115" t="s">
        <v>94</v>
      </c>
      <c r="C551" s="112">
        <v>0</v>
      </c>
      <c r="D551" s="113">
        <f>C551*$N540</f>
        <v>0</v>
      </c>
      <c r="E551" s="114"/>
      <c r="F551" s="114"/>
    </row>
    <row r="552" spans="2:14">
      <c r="B552" s="115" t="s">
        <v>95</v>
      </c>
      <c r="C552" s="112">
        <v>0</v>
      </c>
      <c r="D552" s="113">
        <f>C552*$N540</f>
        <v>0</v>
      </c>
      <c r="E552" s="114"/>
      <c r="F552" s="114"/>
    </row>
    <row r="553" spans="2:14">
      <c r="B553" s="111" t="s">
        <v>96</v>
      </c>
      <c r="C553" s="112"/>
      <c r="D553" s="113">
        <f>C553*$N540</f>
        <v>0</v>
      </c>
      <c r="E553" s="114"/>
      <c r="F553" s="114"/>
    </row>
    <row r="554" spans="2:14">
      <c r="B554" s="115" t="s">
        <v>68</v>
      </c>
      <c r="C554" s="112">
        <v>232628</v>
      </c>
      <c r="D554" s="113">
        <f>C554*$N540</f>
        <v>4152.5883612995358</v>
      </c>
      <c r="E554" s="114"/>
      <c r="F554" s="114"/>
    </row>
    <row r="555" spans="2:14">
      <c r="B555" s="115" t="s">
        <v>97</v>
      </c>
      <c r="C555" s="112">
        <v>0</v>
      </c>
      <c r="D555" s="113">
        <f>C555*$N540</f>
        <v>0</v>
      </c>
      <c r="E555" s="114"/>
      <c r="F555" s="114"/>
    </row>
    <row r="556" spans="2:14">
      <c r="B556" s="111" t="s">
        <v>32</v>
      </c>
      <c r="C556" s="113">
        <f>+C547+C549+C551+C552+C554+C546</f>
        <v>270583</v>
      </c>
      <c r="D556" s="113">
        <f>C556*$N540</f>
        <v>4830.1142449125309</v>
      </c>
      <c r="E556" s="114"/>
      <c r="F556" s="114"/>
    </row>
    <row r="557" spans="2:14">
      <c r="B557" s="111" t="s">
        <v>33</v>
      </c>
      <c r="C557" s="112">
        <v>19107</v>
      </c>
      <c r="D557" s="113">
        <f>C557*$N540</f>
        <v>341.07461620849693</v>
      </c>
      <c r="E557" s="114"/>
      <c r="F557" s="114"/>
    </row>
    <row r="558" spans="2:14">
      <c r="B558" s="111" t="s">
        <v>98</v>
      </c>
      <c r="C558" s="113">
        <f>+C556-C557</f>
        <v>251476</v>
      </c>
      <c r="D558" s="113">
        <f>C558*$N540</f>
        <v>4489.0396287040339</v>
      </c>
      <c r="E558" s="114"/>
      <c r="F558" s="114"/>
    </row>
    <row r="559" spans="2:14">
      <c r="B559" s="117" t="s">
        <v>35</v>
      </c>
      <c r="C559" s="113">
        <f>C557</f>
        <v>19107</v>
      </c>
      <c r="D559" s="113">
        <f>C559*$N540</f>
        <v>341.07461620849693</v>
      </c>
      <c r="E559" s="114"/>
      <c r="F559" s="118"/>
    </row>
    <row r="560" spans="2:14">
      <c r="B560" s="117" t="s">
        <v>36</v>
      </c>
      <c r="C560" s="112">
        <v>0</v>
      </c>
      <c r="D560" s="113">
        <f>C560*$N540</f>
        <v>0</v>
      </c>
      <c r="E560" s="114"/>
      <c r="F560" s="118"/>
    </row>
    <row r="561" spans="2:8">
      <c r="B561" s="119" t="s">
        <v>37</v>
      </c>
      <c r="C561" s="120">
        <f>+C558+C559+C560</f>
        <v>270583</v>
      </c>
      <c r="D561" s="120">
        <f>+D558+D559+D560</f>
        <v>4830.1142449125309</v>
      </c>
      <c r="E561" s="121"/>
      <c r="F561" s="122"/>
    </row>
    <row r="562" spans="2:8">
      <c r="B562" s="111" t="s">
        <v>99</v>
      </c>
      <c r="C562" s="112">
        <v>2006</v>
      </c>
      <c r="D562" s="113">
        <f>C562*$N540</f>
        <v>35.808639771510173</v>
      </c>
      <c r="E562" s="121"/>
      <c r="F562" s="122"/>
    </row>
    <row r="563" spans="2:8">
      <c r="B563" s="142" t="s">
        <v>100</v>
      </c>
      <c r="C563" s="120">
        <f>C561+C562</f>
        <v>272589</v>
      </c>
      <c r="D563" s="120">
        <f>D561+D562</f>
        <v>4865.9228846840415</v>
      </c>
      <c r="E563" s="121"/>
      <c r="F563" s="122"/>
      <c r="G563" s="143"/>
    </row>
    <row r="564" spans="2:8">
      <c r="B564" s="117" t="s">
        <v>38</v>
      </c>
      <c r="C564" s="112">
        <v>7098</v>
      </c>
      <c r="D564" s="113">
        <f>C564*$N540</f>
        <v>126.70474830417706</v>
      </c>
      <c r="E564" s="121"/>
      <c r="F564" s="122"/>
    </row>
    <row r="565" spans="2:8">
      <c r="B565" s="117" t="s">
        <v>39</v>
      </c>
      <c r="C565" s="112">
        <v>45477</v>
      </c>
      <c r="D565" s="113">
        <f>C565*$N540</f>
        <v>811.7993573723669</v>
      </c>
      <c r="E565" s="121"/>
      <c r="F565" s="122"/>
    </row>
    <row r="566" spans="2:8">
      <c r="B566" s="123" t="s">
        <v>40</v>
      </c>
      <c r="C566" s="124">
        <f>C561+C564+C565</f>
        <v>323158</v>
      </c>
      <c r="D566" s="124">
        <f>D561+D564+D565</f>
        <v>5768.6183505890749</v>
      </c>
      <c r="E566" s="125">
        <f>C566/C571</f>
        <v>3.03005128878304</v>
      </c>
      <c r="F566" s="125">
        <f>D566/D571</f>
        <v>3.0598677074360499</v>
      </c>
      <c r="H566" s="143"/>
    </row>
    <row r="567" spans="2:8">
      <c r="B567" s="117" t="s">
        <v>41</v>
      </c>
      <c r="C567" s="113">
        <f>Model!AO$119</f>
        <v>12306</v>
      </c>
      <c r="D567" s="113">
        <f>C567*$N540</f>
        <v>219.67154587647266</v>
      </c>
      <c r="E567" s="126"/>
      <c r="F567" s="126"/>
    </row>
    <row r="568" spans="2:8">
      <c r="B568" s="123" t="s">
        <v>19</v>
      </c>
      <c r="C568" s="124">
        <f>C566-C567</f>
        <v>310852</v>
      </c>
      <c r="D568" s="124">
        <f>D566-D567</f>
        <v>5548.946804712602</v>
      </c>
      <c r="E568" s="125">
        <f>C568/C571</f>
        <v>2.9146655915087529</v>
      </c>
      <c r="F568" s="125">
        <f>D568/D571</f>
        <v>2.9433465877122367</v>
      </c>
    </row>
    <row r="569" spans="2:8">
      <c r="B569" s="119" t="s">
        <v>20</v>
      </c>
      <c r="C569" s="141">
        <f>Model!AO$126</f>
        <v>112931</v>
      </c>
      <c r="D569" s="127"/>
      <c r="E569" s="128"/>
      <c r="F569" s="117"/>
    </row>
    <row r="570" spans="2:8">
      <c r="B570" s="119" t="s">
        <v>21</v>
      </c>
      <c r="C570" s="129">
        <f>C568+C569</f>
        <v>423783</v>
      </c>
      <c r="D570" s="129"/>
      <c r="E570" s="128"/>
      <c r="F570" s="117"/>
    </row>
    <row r="571" spans="2:8">
      <c r="B571" s="117" t="s">
        <v>22</v>
      </c>
      <c r="C571" s="130">
        <f>Model!AO$84</f>
        <v>106651</v>
      </c>
      <c r="D571" s="130">
        <f>C571*N541</f>
        <v>1885.250900413196</v>
      </c>
      <c r="E571" s="117"/>
      <c r="F571" s="117"/>
    </row>
    <row r="572" spans="2:8">
      <c r="B572" s="131" t="s">
        <v>23</v>
      </c>
      <c r="C572" s="159">
        <f>C566-Model!AO$123</f>
        <v>0</v>
      </c>
    </row>
    <row r="573" spans="2:8">
      <c r="B573" s="131"/>
      <c r="C573" s="159"/>
    </row>
    <row r="574" spans="2:8">
      <c r="B574" s="343" t="s">
        <v>116</v>
      </c>
      <c r="C574" s="343"/>
      <c r="D574" s="343"/>
    </row>
    <row r="575" spans="2:8">
      <c r="B575" s="344"/>
      <c r="C575" s="133" t="s">
        <v>102</v>
      </c>
      <c r="D575" s="144" t="s">
        <v>103</v>
      </c>
    </row>
    <row r="576" spans="2:8">
      <c r="B576" s="134" t="str">
        <f>+B567</f>
        <v>Cash &amp; Cash  Equivalents</v>
      </c>
      <c r="C576" s="136">
        <f>+C567</f>
        <v>12306</v>
      </c>
      <c r="D576" s="136">
        <f>+C576*$N540</f>
        <v>219.67154587647266</v>
      </c>
    </row>
    <row r="577" spans="1:14">
      <c r="B577" s="134" t="s">
        <v>117</v>
      </c>
      <c r="C577" s="136">
        <v>0</v>
      </c>
      <c r="D577" s="136">
        <f>+C577*$N540</f>
        <v>0</v>
      </c>
    </row>
    <row r="578" spans="1:14">
      <c r="B578" s="137" t="s">
        <v>44</v>
      </c>
      <c r="C578" s="138">
        <f>+SUM(C576:C577)</f>
        <v>12306</v>
      </c>
      <c r="D578" s="138">
        <f>+SUM(D576:D577)</f>
        <v>219.67154587647266</v>
      </c>
    </row>
    <row r="580" spans="1:14">
      <c r="B580" s="343" t="s">
        <v>79</v>
      </c>
      <c r="C580" s="343" t="s">
        <v>104</v>
      </c>
      <c r="D580" s="343"/>
      <c r="E580" s="132" t="s">
        <v>118</v>
      </c>
      <c r="F580" s="132"/>
      <c r="G580" s="343" t="s">
        <v>119</v>
      </c>
      <c r="H580" s="343"/>
    </row>
    <row r="581" spans="1:14">
      <c r="B581" s="344"/>
      <c r="C581" s="133" t="s">
        <v>102</v>
      </c>
      <c r="D581" s="144" t="s">
        <v>103</v>
      </c>
      <c r="E581" s="144" t="s">
        <v>120</v>
      </c>
      <c r="F581" s="144" t="s">
        <v>103</v>
      </c>
      <c r="G581" s="144" t="s">
        <v>120</v>
      </c>
      <c r="H581" s="144" t="s">
        <v>103</v>
      </c>
    </row>
    <row r="582" spans="1:14">
      <c r="B582" s="134">
        <v>2024</v>
      </c>
      <c r="C582" s="135">
        <v>1770</v>
      </c>
      <c r="D582" s="136">
        <f>+C582*$N540</f>
        <v>31.59585862192074</v>
      </c>
      <c r="E582" s="135">
        <v>196</v>
      </c>
      <c r="F582" s="136">
        <f>+E582*$N540</f>
        <v>3.498750446269189</v>
      </c>
      <c r="G582" s="136">
        <f t="shared" ref="G582:G587" si="11">+C582+E582</f>
        <v>1966</v>
      </c>
      <c r="H582" s="136">
        <f t="shared" ref="H582:H587" si="12">+D582+F582</f>
        <v>35.094609068189932</v>
      </c>
    </row>
    <row r="583" spans="1:14">
      <c r="B583" s="134">
        <v>2025</v>
      </c>
      <c r="C583" s="135">
        <v>22693</v>
      </c>
      <c r="D583" s="136">
        <f>+C583*$N540</f>
        <v>405.08746876115669</v>
      </c>
      <c r="E583" s="135">
        <v>784</v>
      </c>
      <c r="F583" s="136">
        <f>+E583*$N540</f>
        <v>13.995001785076756</v>
      </c>
      <c r="G583" s="136">
        <f t="shared" si="11"/>
        <v>23477</v>
      </c>
      <c r="H583" s="136">
        <f t="shared" si="12"/>
        <v>419.08247054623342</v>
      </c>
    </row>
    <row r="584" spans="1:14">
      <c r="B584" s="134">
        <v>2026</v>
      </c>
      <c r="C584" s="135">
        <v>14878</v>
      </c>
      <c r="D584" s="136">
        <f>+C584*$N540</f>
        <v>265.58372009996424</v>
      </c>
      <c r="E584" s="135">
        <v>784</v>
      </c>
      <c r="F584" s="136">
        <f>+E584*$N540</f>
        <v>13.995001785076756</v>
      </c>
      <c r="G584" s="136">
        <f t="shared" si="11"/>
        <v>15662</v>
      </c>
      <c r="H584" s="136">
        <f t="shared" si="12"/>
        <v>279.57872188504098</v>
      </c>
    </row>
    <row r="585" spans="1:14">
      <c r="B585" s="134">
        <v>2027</v>
      </c>
      <c r="C585" s="135">
        <v>26498</v>
      </c>
      <c r="D585" s="136">
        <f>+C585*$N540</f>
        <v>473.00963941449476</v>
      </c>
      <c r="E585" s="135">
        <v>784</v>
      </c>
      <c r="F585" s="136">
        <f>+E585*$N540</f>
        <v>13.995001785076756</v>
      </c>
      <c r="G585" s="136">
        <f t="shared" si="11"/>
        <v>27282</v>
      </c>
      <c r="H585" s="136">
        <f t="shared" si="12"/>
        <v>487.00464119957149</v>
      </c>
    </row>
    <row r="586" spans="1:14">
      <c r="B586" s="134">
        <v>2028</v>
      </c>
      <c r="C586" s="135">
        <v>19408</v>
      </c>
      <c r="D586" s="136">
        <f>+C586*$N540</f>
        <v>346.44769725098178</v>
      </c>
      <c r="E586" s="135">
        <v>1569</v>
      </c>
      <c r="F586" s="136">
        <f>+E586*$N540</f>
        <v>28.007854337736518</v>
      </c>
      <c r="G586" s="136">
        <f t="shared" si="11"/>
        <v>20977</v>
      </c>
      <c r="H586" s="136">
        <f t="shared" si="12"/>
        <v>374.45555158871832</v>
      </c>
    </row>
    <row r="587" spans="1:14">
      <c r="B587" s="134" t="s">
        <v>121</v>
      </c>
      <c r="C587" s="135">
        <v>148830</v>
      </c>
      <c r="D587" s="136">
        <f>+C587*$N540</f>
        <v>2656.7297393787931</v>
      </c>
      <c r="E587" s="135">
        <v>34395</v>
      </c>
      <c r="F587" s="136">
        <f>+E587*$N540</f>
        <v>613.97715101749372</v>
      </c>
      <c r="G587" s="136">
        <f t="shared" si="11"/>
        <v>183225</v>
      </c>
      <c r="H587" s="136">
        <f t="shared" si="12"/>
        <v>3270.7068903962868</v>
      </c>
    </row>
    <row r="588" spans="1:14">
      <c r="B588" s="137" t="s">
        <v>44</v>
      </c>
      <c r="C588" s="138">
        <f t="shared" ref="C588:H588" si="13">+SUM(C582:C587)</f>
        <v>234077</v>
      </c>
      <c r="D588" s="138">
        <f t="shared" si="13"/>
        <v>4178.4541235273109</v>
      </c>
      <c r="E588" s="138">
        <f t="shared" si="13"/>
        <v>38512</v>
      </c>
      <c r="F588" s="138">
        <f t="shared" si="13"/>
        <v>687.46876115672967</v>
      </c>
      <c r="G588" s="138">
        <f t="shared" si="13"/>
        <v>272589</v>
      </c>
      <c r="H588" s="138">
        <f t="shared" si="13"/>
        <v>4865.9228846840415</v>
      </c>
      <c r="M588" s="139"/>
    </row>
    <row r="589" spans="1:14">
      <c r="G589" s="143">
        <f>G588-C563</f>
        <v>0</v>
      </c>
    </row>
    <row r="590" spans="1:14">
      <c r="A590" s="103" t="s">
        <v>122</v>
      </c>
      <c r="M590" s="104" t="s">
        <v>123</v>
      </c>
      <c r="N590" s="106">
        <f>1/Model!AN202</f>
        <v>1.7047391749062394E-2</v>
      </c>
    </row>
    <row r="591" spans="1:14">
      <c r="M591" s="105" t="s">
        <v>124</v>
      </c>
      <c r="N591" s="106">
        <f>1/AVERAGE(Model!AK201:AN201)</f>
        <v>1.7757337109727028E-2</v>
      </c>
    </row>
    <row r="592" spans="1:14">
      <c r="M592" s="105"/>
      <c r="N592" s="106"/>
    </row>
    <row r="593" spans="2:14" ht="15.75" thickBot="1">
      <c r="B593" s="107"/>
      <c r="C593" s="106"/>
    </row>
    <row r="594" spans="2:14" ht="26.25">
      <c r="B594" s="108" t="s">
        <v>125</v>
      </c>
      <c r="C594" s="109" t="s">
        <v>85</v>
      </c>
      <c r="D594" s="109" t="s">
        <v>88</v>
      </c>
      <c r="E594" s="110" t="s">
        <v>89</v>
      </c>
      <c r="F594" s="110" t="s">
        <v>7</v>
      </c>
      <c r="M594" s="167" t="s">
        <v>8</v>
      </c>
      <c r="N594" s="168"/>
    </row>
    <row r="595" spans="2:14">
      <c r="B595" s="111" t="s">
        <v>24</v>
      </c>
      <c r="C595" s="112"/>
      <c r="D595" s="113"/>
      <c r="E595" s="114"/>
      <c r="F595" s="114"/>
      <c r="M595" s="165" t="s">
        <v>10</v>
      </c>
      <c r="N595" s="169">
        <v>252682</v>
      </c>
    </row>
    <row r="596" spans="2:14" ht="15.75" thickBot="1">
      <c r="B596" s="116" t="s">
        <v>90</v>
      </c>
      <c r="C596" s="112">
        <v>34642</v>
      </c>
      <c r="D596" s="113">
        <f>C596*$N590</f>
        <v>590.55574497101941</v>
      </c>
      <c r="E596" s="114"/>
      <c r="F596" s="114"/>
      <c r="M596" s="166" t="s">
        <v>12</v>
      </c>
      <c r="N596" s="170" t="s">
        <v>126</v>
      </c>
    </row>
    <row r="597" spans="2:14">
      <c r="B597" s="115" t="s">
        <v>91</v>
      </c>
      <c r="C597" s="112">
        <v>0</v>
      </c>
      <c r="D597" s="113">
        <f>C597*$N590</f>
        <v>0</v>
      </c>
      <c r="E597" s="114"/>
      <c r="F597" s="114"/>
      <c r="N597" s="143"/>
    </row>
    <row r="598" spans="2:14">
      <c r="B598" s="116" t="s">
        <v>30</v>
      </c>
      <c r="C598" s="112"/>
      <c r="D598" s="113"/>
      <c r="E598" s="114"/>
      <c r="F598" s="114"/>
    </row>
    <row r="599" spans="2:14">
      <c r="B599" s="115" t="s">
        <v>92</v>
      </c>
      <c r="C599" s="112">
        <v>5312</v>
      </c>
      <c r="D599" s="113">
        <f>C599*$N590</f>
        <v>90.555744971019436</v>
      </c>
      <c r="E599" s="114"/>
      <c r="F599" s="114"/>
    </row>
    <row r="600" spans="2:14">
      <c r="B600" s="111" t="s">
        <v>93</v>
      </c>
      <c r="C600" s="112"/>
      <c r="D600" s="113"/>
      <c r="E600" s="114"/>
      <c r="F600" s="114"/>
    </row>
    <row r="601" spans="2:14">
      <c r="B601" s="115" t="s">
        <v>94</v>
      </c>
      <c r="C601" s="112">
        <v>0</v>
      </c>
      <c r="D601" s="113">
        <f>C601*$N590</f>
        <v>0</v>
      </c>
      <c r="E601" s="114"/>
      <c r="F601" s="114"/>
    </row>
    <row r="602" spans="2:14">
      <c r="B602" s="115" t="s">
        <v>95</v>
      </c>
      <c r="C602" s="112">
        <v>0</v>
      </c>
      <c r="D602" s="113">
        <f>C602*$N590</f>
        <v>0</v>
      </c>
      <c r="E602" s="114"/>
      <c r="F602" s="114"/>
    </row>
    <row r="603" spans="2:14">
      <c r="B603" s="111" t="s">
        <v>96</v>
      </c>
      <c r="C603" s="112"/>
      <c r="D603" s="113">
        <f>C603*$N590</f>
        <v>0</v>
      </c>
      <c r="E603" s="114"/>
      <c r="F603" s="114"/>
    </row>
    <row r="604" spans="2:14">
      <c r="B604" s="115" t="s">
        <v>68</v>
      </c>
      <c r="C604" s="112">
        <v>223420</v>
      </c>
      <c r="D604" s="113">
        <f>C604*$N590</f>
        <v>3808.7282645755199</v>
      </c>
      <c r="E604" s="114"/>
      <c r="F604" s="114"/>
    </row>
    <row r="605" spans="2:14">
      <c r="B605" s="115" t="s">
        <v>97</v>
      </c>
      <c r="C605" s="112">
        <v>0</v>
      </c>
      <c r="D605" s="113">
        <f>C605*$N590</f>
        <v>0</v>
      </c>
      <c r="E605" s="114"/>
      <c r="F605" s="114"/>
    </row>
    <row r="606" spans="2:14">
      <c r="B606" s="111" t="s">
        <v>32</v>
      </c>
      <c r="C606" s="113">
        <f>+C597+C599+C601+C602+C604+C596</f>
        <v>263374</v>
      </c>
      <c r="D606" s="113">
        <f>C606*$N590</f>
        <v>4489.8397545175585</v>
      </c>
      <c r="E606" s="114"/>
      <c r="F606" s="114"/>
    </row>
    <row r="607" spans="2:14">
      <c r="B607" s="111" t="s">
        <v>33</v>
      </c>
      <c r="C607" s="112">
        <v>11424</v>
      </c>
      <c r="D607" s="113">
        <f>C607*$N590</f>
        <v>194.7494033412888</v>
      </c>
      <c r="E607" s="114"/>
      <c r="F607" s="114"/>
    </row>
    <row r="608" spans="2:14">
      <c r="B608" s="111" t="s">
        <v>98</v>
      </c>
      <c r="C608" s="113">
        <f>+C606-C607</f>
        <v>251950</v>
      </c>
      <c r="D608" s="113">
        <f>C608*$N590</f>
        <v>4295.0903511762699</v>
      </c>
      <c r="E608" s="114"/>
      <c r="F608" s="114"/>
    </row>
    <row r="609" spans="2:8">
      <c r="B609" s="117" t="s">
        <v>35</v>
      </c>
      <c r="C609" s="113">
        <f>C607</f>
        <v>11424</v>
      </c>
      <c r="D609" s="113">
        <f>C609*$N590</f>
        <v>194.7494033412888</v>
      </c>
      <c r="E609" s="114"/>
      <c r="F609" s="118"/>
    </row>
    <row r="610" spans="2:8">
      <c r="B610" s="117" t="s">
        <v>36</v>
      </c>
      <c r="C610" s="112">
        <v>0</v>
      </c>
      <c r="D610" s="113">
        <f>C610*$N590</f>
        <v>0</v>
      </c>
      <c r="E610" s="114"/>
      <c r="F610" s="118"/>
    </row>
    <row r="611" spans="2:8">
      <c r="B611" s="119" t="s">
        <v>37</v>
      </c>
      <c r="C611" s="120">
        <f>+C608+C609+C610</f>
        <v>263374</v>
      </c>
      <c r="D611" s="120">
        <f>+D608+D609+D610</f>
        <v>4489.8397545175585</v>
      </c>
      <c r="E611" s="121"/>
      <c r="F611" s="122"/>
    </row>
    <row r="612" spans="2:8">
      <c r="B612" s="111" t="s">
        <v>99</v>
      </c>
      <c r="C612" s="112">
        <v>2058</v>
      </c>
      <c r="D612" s="113">
        <f>C612*$N590</f>
        <v>35.083532219570408</v>
      </c>
      <c r="E612" s="121"/>
      <c r="F612" s="122"/>
    </row>
    <row r="613" spans="2:8">
      <c r="B613" s="142" t="s">
        <v>100</v>
      </c>
      <c r="C613" s="120">
        <f>C611+C612</f>
        <v>265432</v>
      </c>
      <c r="D613" s="120">
        <f>D611+D612</f>
        <v>4524.9232867371293</v>
      </c>
      <c r="E613" s="121"/>
      <c r="F613" s="122"/>
      <c r="G613" s="143"/>
    </row>
    <row r="614" spans="2:8">
      <c r="B614" s="117" t="s">
        <v>38</v>
      </c>
      <c r="C614" s="112">
        <v>6958</v>
      </c>
      <c r="D614" s="113">
        <f>C614*$N590</f>
        <v>118.61575178997614</v>
      </c>
      <c r="E614" s="121"/>
      <c r="F614" s="122"/>
    </row>
    <row r="615" spans="2:8">
      <c r="B615" s="117" t="s">
        <v>39</v>
      </c>
      <c r="C615" s="112">
        <v>44917</v>
      </c>
      <c r="D615" s="113">
        <f>C615*$N590</f>
        <v>765.71769519263557</v>
      </c>
      <c r="E615" s="121"/>
      <c r="F615" s="122"/>
    </row>
    <row r="616" spans="2:8">
      <c r="B616" s="123" t="s">
        <v>40</v>
      </c>
      <c r="C616" s="124">
        <f>C611+C614+C615</f>
        <v>315249</v>
      </c>
      <c r="D616" s="124">
        <f>D611+D614+D615</f>
        <v>5374.1732015001708</v>
      </c>
      <c r="E616" s="125">
        <f>C616/C621</f>
        <v>2.9711040950002356</v>
      </c>
      <c r="F616" s="125">
        <f>D616/D621</f>
        <v>2.8523181782119762</v>
      </c>
      <c r="H616" s="143"/>
    </row>
    <row r="617" spans="2:8">
      <c r="B617" s="117" t="s">
        <v>41</v>
      </c>
      <c r="C617" s="113">
        <f>Model!AN$119</f>
        <v>11966</v>
      </c>
      <c r="D617" s="113">
        <f>C617*$N590</f>
        <v>203.98908966928062</v>
      </c>
      <c r="E617" s="126"/>
      <c r="F617" s="126"/>
    </row>
    <row r="618" spans="2:8">
      <c r="B618" s="123" t="s">
        <v>19</v>
      </c>
      <c r="C618" s="124">
        <f>C616-C617</f>
        <v>303283</v>
      </c>
      <c r="D618" s="124">
        <f>D616-D617</f>
        <v>5170.1841118308903</v>
      </c>
      <c r="E618" s="125">
        <f>C618/C621</f>
        <v>2.8583290137128317</v>
      </c>
      <c r="F618" s="125">
        <f>D618/D621</f>
        <v>2.7440518892769297</v>
      </c>
    </row>
    <row r="619" spans="2:8">
      <c r="B619" s="119" t="s">
        <v>20</v>
      </c>
      <c r="C619" s="141">
        <f>Model!AN$126</f>
        <v>114267</v>
      </c>
      <c r="D619" s="127"/>
      <c r="E619" s="128"/>
      <c r="F619" s="117"/>
    </row>
    <row r="620" spans="2:8">
      <c r="B620" s="119" t="s">
        <v>21</v>
      </c>
      <c r="C620" s="129">
        <f>C618+C619</f>
        <v>417550</v>
      </c>
      <c r="D620" s="129"/>
      <c r="E620" s="128"/>
      <c r="F620" s="117"/>
    </row>
    <row r="621" spans="2:8">
      <c r="B621" s="117" t="s">
        <v>22</v>
      </c>
      <c r="C621" s="130">
        <f>Model!AN$84</f>
        <v>106105</v>
      </c>
      <c r="D621" s="130">
        <f>C621*N591</f>
        <v>1884.1422540275862</v>
      </c>
      <c r="E621" s="117"/>
      <c r="F621" s="117"/>
    </row>
    <row r="622" spans="2:8">
      <c r="B622" s="131" t="s">
        <v>23</v>
      </c>
      <c r="C622" s="159">
        <f>C616-Model!AN$123</f>
        <v>0</v>
      </c>
    </row>
    <row r="623" spans="2:8">
      <c r="B623" s="131"/>
      <c r="C623" s="159"/>
    </row>
    <row r="624" spans="2:8">
      <c r="B624" s="343" t="s">
        <v>127</v>
      </c>
      <c r="C624" s="343"/>
      <c r="D624" s="343"/>
    </row>
    <row r="625" spans="2:13">
      <c r="B625" s="344"/>
      <c r="C625" s="133" t="s">
        <v>102</v>
      </c>
      <c r="D625" s="144" t="s">
        <v>103</v>
      </c>
    </row>
    <row r="626" spans="2:13">
      <c r="B626" s="134" t="str">
        <f>+B617</f>
        <v>Cash &amp; Cash  Equivalents</v>
      </c>
      <c r="C626" s="136">
        <f>+C617</f>
        <v>11966</v>
      </c>
      <c r="D626" s="136">
        <f>+C626*$N590</f>
        <v>203.98908966928062</v>
      </c>
    </row>
    <row r="627" spans="2:13">
      <c r="B627" s="134" t="s">
        <v>117</v>
      </c>
      <c r="C627" s="136">
        <v>0</v>
      </c>
      <c r="D627" s="136">
        <f>+C627*$N590</f>
        <v>0</v>
      </c>
    </row>
    <row r="628" spans="2:13">
      <c r="B628" s="137" t="s">
        <v>44</v>
      </c>
      <c r="C628" s="138">
        <f>+SUM(C626:C627)</f>
        <v>11966</v>
      </c>
      <c r="D628" s="138">
        <f>+SUM(D626:D627)</f>
        <v>203.98908966928062</v>
      </c>
    </row>
    <row r="630" spans="2:13">
      <c r="B630" s="343" t="s">
        <v>79</v>
      </c>
      <c r="C630" s="343" t="s">
        <v>104</v>
      </c>
      <c r="D630" s="343"/>
      <c r="E630" s="132" t="s">
        <v>118</v>
      </c>
      <c r="F630" s="132"/>
      <c r="G630" s="343" t="s">
        <v>119</v>
      </c>
      <c r="H630" s="343"/>
    </row>
    <row r="631" spans="2:13">
      <c r="B631" s="344"/>
      <c r="C631" s="133" t="s">
        <v>102</v>
      </c>
      <c r="D631" s="144" t="s">
        <v>103</v>
      </c>
      <c r="E631" s="144" t="s">
        <v>120</v>
      </c>
      <c r="F631" s="144" t="s">
        <v>103</v>
      </c>
      <c r="G631" s="144" t="s">
        <v>120</v>
      </c>
      <c r="H631" s="144" t="s">
        <v>103</v>
      </c>
    </row>
    <row r="632" spans="2:13">
      <c r="B632" s="134">
        <v>2024</v>
      </c>
      <c r="C632" s="135">
        <v>3692</v>
      </c>
      <c r="D632" s="136">
        <f>+C632*$N590</f>
        <v>62.938970337538358</v>
      </c>
      <c r="E632" s="135">
        <v>412</v>
      </c>
      <c r="F632" s="136">
        <f>+E632*$N590</f>
        <v>7.023525400613706</v>
      </c>
      <c r="G632" s="136">
        <f t="shared" ref="G632:G637" si="14">+C632+E632</f>
        <v>4104</v>
      </c>
      <c r="H632" s="136">
        <f t="shared" ref="H632:H637" si="15">+D632+F632</f>
        <v>69.962495738152057</v>
      </c>
    </row>
    <row r="633" spans="2:13">
      <c r="B633" s="134">
        <v>2025</v>
      </c>
      <c r="C633" s="135">
        <v>22582</v>
      </c>
      <c r="D633" s="136">
        <f>+C633*$N590</f>
        <v>384.96420047732698</v>
      </c>
      <c r="E633" s="135">
        <v>821</v>
      </c>
      <c r="F633" s="136">
        <f>+E633*$N590</f>
        <v>13.995908625980226</v>
      </c>
      <c r="G633" s="136">
        <f t="shared" si="14"/>
        <v>23403</v>
      </c>
      <c r="H633" s="136">
        <f t="shared" si="15"/>
        <v>398.96010910330722</v>
      </c>
    </row>
    <row r="634" spans="2:13">
      <c r="B634" s="134">
        <v>2026</v>
      </c>
      <c r="C634" s="135">
        <v>14767</v>
      </c>
      <c r="D634" s="136">
        <f>+C634*$N590</f>
        <v>251.73883395840437</v>
      </c>
      <c r="E634" s="135">
        <v>821</v>
      </c>
      <c r="F634" s="136">
        <f>+E634*$N590</f>
        <v>13.995908625980226</v>
      </c>
      <c r="G634" s="136">
        <f t="shared" si="14"/>
        <v>15588</v>
      </c>
      <c r="H634" s="136">
        <f t="shared" si="15"/>
        <v>265.73474258438461</v>
      </c>
    </row>
    <row r="635" spans="2:13">
      <c r="B635" s="134">
        <v>2027</v>
      </c>
      <c r="C635" s="135">
        <v>26387</v>
      </c>
      <c r="D635" s="136">
        <f>+C635*$N590</f>
        <v>449.8295260825094</v>
      </c>
      <c r="E635" s="135">
        <v>821</v>
      </c>
      <c r="F635" s="136">
        <f>+E635*$N590</f>
        <v>13.995908625980226</v>
      </c>
      <c r="G635" s="136">
        <f t="shared" si="14"/>
        <v>27208</v>
      </c>
      <c r="H635" s="136">
        <f t="shared" si="15"/>
        <v>463.82543470848964</v>
      </c>
    </row>
    <row r="636" spans="2:13">
      <c r="B636" s="134">
        <v>2028</v>
      </c>
      <c r="C636" s="135">
        <v>19297</v>
      </c>
      <c r="D636" s="136">
        <f>+C636*$N590</f>
        <v>328.96351858165701</v>
      </c>
      <c r="E636" s="135">
        <v>1642</v>
      </c>
      <c r="F636" s="136">
        <f>+E636*$N590</f>
        <v>27.991817251960452</v>
      </c>
      <c r="G636" s="136">
        <f t="shared" si="14"/>
        <v>20939</v>
      </c>
      <c r="H636" s="136">
        <f t="shared" si="15"/>
        <v>356.95533583361748</v>
      </c>
    </row>
    <row r="637" spans="2:13">
      <c r="B637" s="134" t="s">
        <v>121</v>
      </c>
      <c r="C637" s="135">
        <v>138174</v>
      </c>
      <c r="D637" s="136">
        <f>+C637*$N590</f>
        <v>2355.5063075349472</v>
      </c>
      <c r="E637" s="135">
        <v>36016</v>
      </c>
      <c r="F637" s="136">
        <f>+E637*$N590</f>
        <v>613.9788612342312</v>
      </c>
      <c r="G637" s="136">
        <f t="shared" si="14"/>
        <v>174190</v>
      </c>
      <c r="H637" s="136">
        <f t="shared" si="15"/>
        <v>2969.4851687691785</v>
      </c>
    </row>
    <row r="638" spans="2:13">
      <c r="B638" s="137" t="s">
        <v>44</v>
      </c>
      <c r="C638" s="138">
        <f t="shared" ref="C638:H638" si="16">+SUM(C632:C637)</f>
        <v>224899</v>
      </c>
      <c r="D638" s="138">
        <f t="shared" si="16"/>
        <v>3833.9413569723833</v>
      </c>
      <c r="E638" s="138">
        <f t="shared" si="16"/>
        <v>40533</v>
      </c>
      <c r="F638" s="138">
        <f t="shared" si="16"/>
        <v>690.98192976474604</v>
      </c>
      <c r="G638" s="138">
        <f t="shared" si="16"/>
        <v>265432</v>
      </c>
      <c r="H638" s="138">
        <f t="shared" si="16"/>
        <v>4524.9232867371293</v>
      </c>
      <c r="M638" s="139"/>
    </row>
    <row r="639" spans="2:13">
      <c r="G639" s="143">
        <f>G638-C613</f>
        <v>0</v>
      </c>
    </row>
    <row r="642" spans="1:14">
      <c r="A642" s="103" t="s">
        <v>128</v>
      </c>
      <c r="M642" s="104" t="s">
        <v>129</v>
      </c>
      <c r="N642" s="106">
        <f>1/Model!AM202</f>
        <v>1.7806267806267807E-2</v>
      </c>
    </row>
    <row r="643" spans="1:14">
      <c r="M643" s="105" t="s">
        <v>130</v>
      </c>
      <c r="N643" s="106">
        <f>1/AVERAGE(Model!AJ201:AM201)</f>
        <v>1.7888367641731774E-2</v>
      </c>
    </row>
    <row r="644" spans="1:14">
      <c r="M644" s="105"/>
      <c r="N644" s="106"/>
    </row>
    <row r="645" spans="1:14" ht="15.75" thickBot="1">
      <c r="B645" s="107"/>
      <c r="C645" s="106"/>
    </row>
    <row r="646" spans="1:14" ht="26.25">
      <c r="B646" s="108" t="s">
        <v>131</v>
      </c>
      <c r="C646" s="109" t="s">
        <v>85</v>
      </c>
      <c r="D646" s="109" t="s">
        <v>88</v>
      </c>
      <c r="E646" s="110" t="s">
        <v>89</v>
      </c>
      <c r="F646" s="110" t="s">
        <v>7</v>
      </c>
      <c r="M646" s="167" t="s">
        <v>8</v>
      </c>
      <c r="N646" s="168"/>
    </row>
    <row r="647" spans="1:14">
      <c r="B647" s="111" t="s">
        <v>24</v>
      </c>
      <c r="C647" s="112"/>
      <c r="D647" s="113"/>
      <c r="E647" s="114"/>
      <c r="F647" s="114"/>
      <c r="M647" s="165" t="s">
        <v>10</v>
      </c>
      <c r="N647" s="169">
        <v>242184</v>
      </c>
    </row>
    <row r="648" spans="1:14" ht="15.75" thickBot="1">
      <c r="B648" s="116" t="s">
        <v>90</v>
      </c>
      <c r="C648" s="112">
        <v>33202</v>
      </c>
      <c r="D648" s="113">
        <f>C648*$N642</f>
        <v>591.2037037037037</v>
      </c>
      <c r="E648" s="114"/>
      <c r="F648" s="114"/>
      <c r="M648" s="166" t="s">
        <v>12</v>
      </c>
      <c r="N648" s="170" t="s">
        <v>132</v>
      </c>
    </row>
    <row r="649" spans="1:14">
      <c r="B649" s="115" t="s">
        <v>91</v>
      </c>
      <c r="C649" s="112">
        <v>0</v>
      </c>
      <c r="D649" s="113">
        <f>C649*$N642</f>
        <v>0</v>
      </c>
      <c r="E649" s="114"/>
      <c r="F649" s="114"/>
      <c r="N649" s="143"/>
    </row>
    <row r="650" spans="1:14">
      <c r="B650" s="116" t="s">
        <v>30</v>
      </c>
      <c r="C650" s="112"/>
      <c r="D650" s="113"/>
      <c r="E650" s="114"/>
      <c r="F650" s="114"/>
    </row>
    <row r="651" spans="1:14">
      <c r="B651" s="115" t="s">
        <v>92</v>
      </c>
      <c r="C651" s="112">
        <v>5290</v>
      </c>
      <c r="D651" s="113">
        <f>C651*$N642</f>
        <v>94.195156695156697</v>
      </c>
      <c r="E651" s="114"/>
      <c r="F651" s="114"/>
    </row>
    <row r="652" spans="1:14">
      <c r="B652" s="111" t="s">
        <v>93</v>
      </c>
      <c r="C652" s="112"/>
      <c r="D652" s="113"/>
      <c r="E652" s="114"/>
      <c r="F652" s="114"/>
    </row>
    <row r="653" spans="1:14">
      <c r="B653" s="115" t="s">
        <v>94</v>
      </c>
      <c r="C653" s="112">
        <v>0</v>
      </c>
      <c r="D653" s="113">
        <f>C653*$N642</f>
        <v>0</v>
      </c>
      <c r="E653" s="114"/>
      <c r="F653" s="114"/>
    </row>
    <row r="654" spans="1:14">
      <c r="B654" s="115" t="s">
        <v>95</v>
      </c>
      <c r="C654" s="112">
        <v>0</v>
      </c>
      <c r="D654" s="113">
        <f>C654*$N642</f>
        <v>0</v>
      </c>
      <c r="E654" s="114"/>
      <c r="F654" s="114"/>
    </row>
    <row r="655" spans="1:14">
      <c r="B655" s="111" t="s">
        <v>96</v>
      </c>
      <c r="C655" s="112"/>
      <c r="D655" s="113">
        <f>C655*$N642</f>
        <v>0</v>
      </c>
      <c r="E655" s="114"/>
      <c r="F655" s="114"/>
    </row>
    <row r="656" spans="1:14">
      <c r="B656" s="115" t="s">
        <v>68</v>
      </c>
      <c r="C656" s="112">
        <v>216447</v>
      </c>
      <c r="D656" s="113">
        <f>C656*$N642</f>
        <v>3854.113247863248</v>
      </c>
      <c r="E656" s="114"/>
      <c r="F656" s="114"/>
    </row>
    <row r="657" spans="2:8">
      <c r="B657" s="115" t="s">
        <v>97</v>
      </c>
      <c r="C657" s="112">
        <v>0</v>
      </c>
      <c r="D657" s="113">
        <f>C657*$N642</f>
        <v>0</v>
      </c>
      <c r="E657" s="114"/>
      <c r="F657" s="114"/>
    </row>
    <row r="658" spans="2:8">
      <c r="B658" s="111" t="s">
        <v>32</v>
      </c>
      <c r="C658" s="113">
        <f>+C649+C651+C653+C654+C656+C648</f>
        <v>254939</v>
      </c>
      <c r="D658" s="113">
        <f>C658*$N642</f>
        <v>4539.5121082621081</v>
      </c>
      <c r="E658" s="114"/>
      <c r="F658" s="114"/>
    </row>
    <row r="659" spans="2:8">
      <c r="B659" s="111" t="s">
        <v>33</v>
      </c>
      <c r="C659" s="112">
        <v>10908</v>
      </c>
      <c r="D659" s="113">
        <f>C659*$N642</f>
        <v>194.23076923076923</v>
      </c>
      <c r="E659" s="114"/>
      <c r="F659" s="114"/>
    </row>
    <row r="660" spans="2:8">
      <c r="B660" s="111" t="s">
        <v>98</v>
      </c>
      <c r="C660" s="113">
        <f>+C658-C659</f>
        <v>244031</v>
      </c>
      <c r="D660" s="113">
        <f>C660*$N642</f>
        <v>4345.2813390313395</v>
      </c>
      <c r="E660" s="114"/>
      <c r="F660" s="114"/>
    </row>
    <row r="661" spans="2:8">
      <c r="B661" s="117" t="s">
        <v>35</v>
      </c>
      <c r="C661" s="113">
        <f>C659</f>
        <v>10908</v>
      </c>
      <c r="D661" s="113">
        <f>C661*$N642</f>
        <v>194.23076923076923</v>
      </c>
      <c r="E661" s="114"/>
      <c r="F661" s="118"/>
    </row>
    <row r="662" spans="2:8">
      <c r="B662" s="117" t="s">
        <v>36</v>
      </c>
      <c r="C662" s="112">
        <v>0</v>
      </c>
      <c r="D662" s="113">
        <f>C662*$N642</f>
        <v>0</v>
      </c>
      <c r="E662" s="114"/>
      <c r="F662" s="118"/>
    </row>
    <row r="663" spans="2:8">
      <c r="B663" s="119" t="s">
        <v>37</v>
      </c>
      <c r="C663" s="120">
        <f>+C660+C661+C662</f>
        <v>254939</v>
      </c>
      <c r="D663" s="120">
        <f>+D660+D661+D662</f>
        <v>4539.512108262109</v>
      </c>
      <c r="E663" s="121"/>
      <c r="F663" s="122"/>
    </row>
    <row r="664" spans="2:8">
      <c r="B664" s="111" t="s">
        <v>99</v>
      </c>
      <c r="C664" s="112">
        <v>2073</v>
      </c>
      <c r="D664" s="113">
        <f>C664*$N642</f>
        <v>36.912393162393165</v>
      </c>
      <c r="E664" s="121"/>
      <c r="F664" s="122"/>
    </row>
    <row r="665" spans="2:8">
      <c r="B665" s="142" t="s">
        <v>100</v>
      </c>
      <c r="C665" s="120">
        <f>C663+C664</f>
        <v>257012</v>
      </c>
      <c r="D665" s="120">
        <f>D663+D664</f>
        <v>4576.4245014245025</v>
      </c>
      <c r="E665" s="121"/>
      <c r="F665" s="122"/>
      <c r="G665" s="143"/>
    </row>
    <row r="666" spans="2:8">
      <c r="B666" s="117" t="s">
        <v>38</v>
      </c>
      <c r="C666" s="112">
        <v>6389</v>
      </c>
      <c r="D666" s="113">
        <f>C666*$N642</f>
        <v>113.76424501424502</v>
      </c>
      <c r="E666" s="121"/>
      <c r="F666" s="122"/>
    </row>
    <row r="667" spans="2:8">
      <c r="B667" s="117" t="s">
        <v>39</v>
      </c>
      <c r="C667" s="112">
        <v>43152</v>
      </c>
      <c r="D667" s="113">
        <f>C667*$N642</f>
        <v>768.37606837606836</v>
      </c>
      <c r="E667" s="121"/>
      <c r="F667" s="122"/>
    </row>
    <row r="668" spans="2:8">
      <c r="B668" s="123" t="s">
        <v>40</v>
      </c>
      <c r="C668" s="124">
        <f>C663+C666+C667</f>
        <v>304480</v>
      </c>
      <c r="D668" s="124">
        <f>D663+D666+D667</f>
        <v>5421.6524216524222</v>
      </c>
      <c r="E668" s="125">
        <f>C668/C673</f>
        <v>2.8835790929151157</v>
      </c>
      <c r="F668" s="125">
        <f>D668/D673</f>
        <v>2.8703447177157058</v>
      </c>
      <c r="H668" s="143"/>
    </row>
    <row r="669" spans="2:8">
      <c r="B669" s="117" t="s">
        <v>41</v>
      </c>
      <c r="C669" s="113">
        <f>Model!AM$119</f>
        <v>14057</v>
      </c>
      <c r="D669" s="113">
        <f>C669*$N642</f>
        <v>250.30270655270655</v>
      </c>
      <c r="E669" s="126"/>
      <c r="F669" s="126"/>
    </row>
    <row r="670" spans="2:8">
      <c r="B670" s="123" t="s">
        <v>19</v>
      </c>
      <c r="C670" s="124">
        <f>C668-C669</f>
        <v>290423</v>
      </c>
      <c r="D670" s="124">
        <f>D668-D669</f>
        <v>5171.3497150997155</v>
      </c>
      <c r="E670" s="125">
        <f>C670/C673</f>
        <v>2.750452216571488</v>
      </c>
      <c r="F670" s="125">
        <f>D670/D673</f>
        <v>2.7378288358944709</v>
      </c>
    </row>
    <row r="671" spans="2:8">
      <c r="B671" s="119" t="s">
        <v>20</v>
      </c>
      <c r="C671" s="141">
        <f>Model!AM$126</f>
        <v>106240</v>
      </c>
      <c r="D671" s="127"/>
      <c r="E671" s="128"/>
      <c r="F671" s="117"/>
    </row>
    <row r="672" spans="2:8">
      <c r="B672" s="119" t="s">
        <v>21</v>
      </c>
      <c r="C672" s="129">
        <f>C670+C671</f>
        <v>396663</v>
      </c>
      <c r="D672" s="129"/>
      <c r="E672" s="128"/>
      <c r="F672" s="117"/>
    </row>
    <row r="673" spans="2:8">
      <c r="B673" s="117" t="s">
        <v>22</v>
      </c>
      <c r="C673" s="130">
        <f>Model!AM$84</f>
        <v>105591</v>
      </c>
      <c r="D673" s="130">
        <f>C673*N643</f>
        <v>1888.8506276580997</v>
      </c>
      <c r="E673" s="117"/>
      <c r="F673" s="117"/>
    </row>
    <row r="674" spans="2:8">
      <c r="B674" s="131" t="s">
        <v>23</v>
      </c>
      <c r="C674" s="159">
        <f>C668-Model!AM$123</f>
        <v>0</v>
      </c>
    </row>
    <row r="675" spans="2:8">
      <c r="B675" s="131"/>
      <c r="C675" s="159"/>
    </row>
    <row r="676" spans="2:8">
      <c r="B676" s="343" t="s">
        <v>133</v>
      </c>
      <c r="C676" s="343"/>
      <c r="D676" s="343"/>
    </row>
    <row r="677" spans="2:8">
      <c r="B677" s="344"/>
      <c r="C677" s="133" t="s">
        <v>102</v>
      </c>
      <c r="D677" s="144" t="s">
        <v>103</v>
      </c>
    </row>
    <row r="678" spans="2:8">
      <c r="B678" s="134" t="str">
        <f>+B669</f>
        <v>Cash &amp; Cash  Equivalents</v>
      </c>
      <c r="C678" s="136">
        <f>+C669</f>
        <v>14057</v>
      </c>
      <c r="D678" s="136">
        <f>+C678*$N642</f>
        <v>250.30270655270655</v>
      </c>
    </row>
    <row r="679" spans="2:8">
      <c r="B679" s="134" t="s">
        <v>117</v>
      </c>
      <c r="C679" s="136">
        <v>0</v>
      </c>
      <c r="D679" s="136">
        <f>+C679*$N642</f>
        <v>0</v>
      </c>
    </row>
    <row r="680" spans="2:8">
      <c r="B680" s="137" t="s">
        <v>44</v>
      </c>
      <c r="C680" s="138">
        <f>+SUM(C678:C679)</f>
        <v>14057</v>
      </c>
      <c r="D680" s="138">
        <f>+SUM(D678:D679)</f>
        <v>250.30270655270655</v>
      </c>
    </row>
    <row r="682" spans="2:8">
      <c r="B682" s="343" t="s">
        <v>79</v>
      </c>
      <c r="C682" s="343" t="s">
        <v>104</v>
      </c>
      <c r="D682" s="343"/>
      <c r="E682" s="132" t="s">
        <v>118</v>
      </c>
      <c r="F682" s="132"/>
      <c r="G682" s="343" t="s">
        <v>119</v>
      </c>
      <c r="H682" s="343"/>
    </row>
    <row r="683" spans="2:8">
      <c r="B683" s="344"/>
      <c r="C683" s="133" t="s">
        <v>102</v>
      </c>
      <c r="D683" s="144" t="s">
        <v>103</v>
      </c>
      <c r="E683" s="144" t="s">
        <v>120</v>
      </c>
      <c r="F683" s="144" t="s">
        <v>103</v>
      </c>
      <c r="G683" s="144" t="s">
        <v>120</v>
      </c>
      <c r="H683" s="144" t="s">
        <v>103</v>
      </c>
    </row>
    <row r="684" spans="2:8">
      <c r="B684" s="134">
        <v>2024</v>
      </c>
      <c r="C684" s="135">
        <v>6725</v>
      </c>
      <c r="D684" s="136">
        <f>+C684*$N642</f>
        <v>119.747150997151</v>
      </c>
      <c r="E684" s="135">
        <v>591</v>
      </c>
      <c r="F684" s="136">
        <f>+E684*$N642</f>
        <v>10.523504273504274</v>
      </c>
      <c r="G684" s="136">
        <f t="shared" ref="G684:G689" si="17">+C684+E684</f>
        <v>7316</v>
      </c>
      <c r="H684" s="136">
        <f t="shared" ref="H684:H689" si="18">+D684+F684</f>
        <v>130.27065527065528</v>
      </c>
    </row>
    <row r="685" spans="2:8">
      <c r="B685" s="134">
        <v>2025</v>
      </c>
      <c r="C685" s="135">
        <v>22442</v>
      </c>
      <c r="D685" s="136">
        <f>+C685*$N642</f>
        <v>399.60826210826212</v>
      </c>
      <c r="E685" s="135">
        <v>788</v>
      </c>
      <c r="F685" s="136">
        <f>+E685*$N642</f>
        <v>14.031339031339032</v>
      </c>
      <c r="G685" s="136">
        <f t="shared" si="17"/>
        <v>23230</v>
      </c>
      <c r="H685" s="136">
        <f t="shared" si="18"/>
        <v>413.63960113960115</v>
      </c>
    </row>
    <row r="686" spans="2:8">
      <c r="B686" s="134">
        <v>2026</v>
      </c>
      <c r="C686" s="135">
        <v>14627</v>
      </c>
      <c r="D686" s="136">
        <f>+C686*$N642</f>
        <v>260.45227920227921</v>
      </c>
      <c r="E686" s="135">
        <v>788</v>
      </c>
      <c r="F686" s="136">
        <f>+E686*$N642</f>
        <v>14.031339031339032</v>
      </c>
      <c r="G686" s="136">
        <f t="shared" si="17"/>
        <v>15415</v>
      </c>
      <c r="H686" s="136">
        <f t="shared" si="18"/>
        <v>274.48361823361824</v>
      </c>
    </row>
    <row r="687" spans="2:8">
      <c r="B687" s="134">
        <v>2027</v>
      </c>
      <c r="C687" s="135">
        <v>26247</v>
      </c>
      <c r="D687" s="136">
        <f>+C687*$N642</f>
        <v>467.36111111111114</v>
      </c>
      <c r="E687" s="135">
        <v>787</v>
      </c>
      <c r="F687" s="136">
        <f>+E687*$N642</f>
        <v>14.013532763532764</v>
      </c>
      <c r="G687" s="136">
        <f t="shared" si="17"/>
        <v>27034</v>
      </c>
      <c r="H687" s="136">
        <f t="shared" si="18"/>
        <v>481.37464387464388</v>
      </c>
    </row>
    <row r="688" spans="2:8">
      <c r="B688" s="134">
        <v>2028</v>
      </c>
      <c r="C688" s="135">
        <v>19157</v>
      </c>
      <c r="D688" s="136">
        <f>+C688*$N642</f>
        <v>341.11467236467234</v>
      </c>
      <c r="E688" s="135">
        <v>1575</v>
      </c>
      <c r="F688" s="136">
        <f>+E688*$N642</f>
        <v>28.044871794871796</v>
      </c>
      <c r="G688" s="136">
        <f t="shared" si="17"/>
        <v>20732</v>
      </c>
      <c r="H688" s="136">
        <f t="shared" si="18"/>
        <v>369.15954415954411</v>
      </c>
    </row>
    <row r="689" spans="1:14">
      <c r="B689" s="134" t="s">
        <v>121</v>
      </c>
      <c r="C689" s="135">
        <v>128742</v>
      </c>
      <c r="D689" s="136">
        <f>+C689*$N642</f>
        <v>2292.4145299145298</v>
      </c>
      <c r="E689" s="135">
        <v>34543</v>
      </c>
      <c r="F689" s="136">
        <f>+E689*$N642</f>
        <v>615.08190883190889</v>
      </c>
      <c r="G689" s="136">
        <f t="shared" si="17"/>
        <v>163285</v>
      </c>
      <c r="H689" s="136">
        <f t="shared" si="18"/>
        <v>2907.4964387464388</v>
      </c>
    </row>
    <row r="690" spans="1:14">
      <c r="B690" s="137" t="s">
        <v>44</v>
      </c>
      <c r="C690" s="138">
        <f t="shared" ref="C690:H690" si="19">+SUM(C684:C689)</f>
        <v>217940</v>
      </c>
      <c r="D690" s="138">
        <f t="shared" si="19"/>
        <v>3880.6980056980055</v>
      </c>
      <c r="E690" s="138">
        <f t="shared" si="19"/>
        <v>39072</v>
      </c>
      <c r="F690" s="138">
        <f t="shared" si="19"/>
        <v>695.72649572649584</v>
      </c>
      <c r="G690" s="138">
        <f t="shared" si="19"/>
        <v>257012</v>
      </c>
      <c r="H690" s="138">
        <f t="shared" si="19"/>
        <v>4576.4245014245016</v>
      </c>
      <c r="M690" s="139"/>
    </row>
    <row r="691" spans="1:14">
      <c r="G691" s="143">
        <f>G690-C665</f>
        <v>0</v>
      </c>
    </row>
    <row r="694" spans="1:14">
      <c r="A694" s="103" t="s">
        <v>134</v>
      </c>
      <c r="M694" s="104" t="s">
        <v>135</v>
      </c>
      <c r="N694" s="106">
        <f>1/Model!AL202</f>
        <v>1.8054452227919404E-2</v>
      </c>
    </row>
    <row r="695" spans="1:14">
      <c r="M695" s="105" t="s">
        <v>136</v>
      </c>
      <c r="N695" s="106">
        <f>1/AVERAGE(Model!AI201:AL201)</f>
        <v>1.7979144192736426E-2</v>
      </c>
    </row>
    <row r="696" spans="1:14">
      <c r="M696" s="105"/>
      <c r="N696" s="106"/>
    </row>
    <row r="697" spans="1:14" ht="15.75" thickBot="1">
      <c r="B697" s="107"/>
      <c r="C697" s="106"/>
    </row>
    <row r="698" spans="1:14" ht="26.25">
      <c r="B698" s="108" t="s">
        <v>137</v>
      </c>
      <c r="C698" s="109" t="s">
        <v>85</v>
      </c>
      <c r="D698" s="109" t="s">
        <v>88</v>
      </c>
      <c r="E698" s="110" t="s">
        <v>89</v>
      </c>
      <c r="F698" s="110" t="s">
        <v>7</v>
      </c>
      <c r="M698" s="167" t="s">
        <v>8</v>
      </c>
      <c r="N698" s="168"/>
    </row>
    <row r="699" spans="1:14">
      <c r="B699" s="111" t="s">
        <v>24</v>
      </c>
      <c r="C699" s="112"/>
      <c r="D699" s="113"/>
      <c r="E699" s="114"/>
      <c r="F699" s="114"/>
      <c r="M699" s="165" t="s">
        <v>10</v>
      </c>
      <c r="N699" s="169">
        <v>239764</v>
      </c>
    </row>
    <row r="700" spans="1:14" ht="15.75" thickBot="1">
      <c r="B700" s="116" t="s">
        <v>90</v>
      </c>
      <c r="C700" s="112">
        <v>32691</v>
      </c>
      <c r="D700" s="113">
        <f>C700*$N694</f>
        <v>590.21809778291322</v>
      </c>
      <c r="E700" s="114"/>
      <c r="F700" s="114"/>
      <c r="M700" s="166" t="s">
        <v>12</v>
      </c>
      <c r="N700" s="170" t="s">
        <v>138</v>
      </c>
    </row>
    <row r="701" spans="1:14">
      <c r="B701" s="115" t="s">
        <v>91</v>
      </c>
      <c r="C701" s="112">
        <v>0</v>
      </c>
      <c r="D701" s="113">
        <f>C701*$N694</f>
        <v>0</v>
      </c>
      <c r="E701" s="114"/>
      <c r="F701" s="114"/>
      <c r="N701" s="143"/>
    </row>
    <row r="702" spans="1:14">
      <c r="B702" s="116" t="s">
        <v>30</v>
      </c>
      <c r="C702" s="112"/>
      <c r="D702" s="113"/>
      <c r="E702" s="114"/>
      <c r="F702" s="114"/>
    </row>
    <row r="703" spans="1:14">
      <c r="B703" s="115" t="s">
        <v>92</v>
      </c>
      <c r="C703" s="112">
        <v>6788</v>
      </c>
      <c r="D703" s="113">
        <f>C703*$N694</f>
        <v>122.55362172311692</v>
      </c>
      <c r="E703" s="114"/>
      <c r="F703" s="114"/>
    </row>
    <row r="704" spans="1:14">
      <c r="B704" s="111" t="s">
        <v>93</v>
      </c>
      <c r="C704" s="112"/>
      <c r="D704" s="113"/>
      <c r="E704" s="114"/>
      <c r="F704" s="114"/>
    </row>
    <row r="705" spans="2:8">
      <c r="B705" s="115" t="s">
        <v>94</v>
      </c>
      <c r="C705" s="112">
        <v>0</v>
      </c>
      <c r="D705" s="113">
        <f>C705*$N694</f>
        <v>0</v>
      </c>
      <c r="E705" s="114"/>
      <c r="F705" s="114"/>
    </row>
    <row r="706" spans="2:8">
      <c r="B706" s="115" t="s">
        <v>95</v>
      </c>
      <c r="C706" s="112">
        <v>2599</v>
      </c>
      <c r="D706" s="113">
        <f>C706*$N694</f>
        <v>46.923521340362534</v>
      </c>
      <c r="E706" s="114"/>
      <c r="F706" s="114"/>
    </row>
    <row r="707" spans="2:8">
      <c r="B707" s="111" t="s">
        <v>96</v>
      </c>
      <c r="C707" s="112"/>
      <c r="D707" s="113">
        <f>C707*$N694</f>
        <v>0</v>
      </c>
      <c r="E707" s="114"/>
      <c r="F707" s="114"/>
    </row>
    <row r="708" spans="2:8">
      <c r="B708" s="115" t="s">
        <v>68</v>
      </c>
      <c r="C708" s="112">
        <v>212720</v>
      </c>
      <c r="D708" s="113">
        <f>C708*$N694</f>
        <v>3840.5430779230155</v>
      </c>
      <c r="E708" s="114"/>
      <c r="F708" s="114"/>
    </row>
    <row r="709" spans="2:8">
      <c r="B709" s="115" t="s">
        <v>97</v>
      </c>
      <c r="C709" s="112">
        <v>0</v>
      </c>
      <c r="D709" s="113">
        <f>C709*$N694</f>
        <v>0</v>
      </c>
      <c r="E709" s="114"/>
      <c r="F709" s="114"/>
    </row>
    <row r="710" spans="2:8">
      <c r="B710" s="111" t="s">
        <v>32</v>
      </c>
      <c r="C710" s="113">
        <f>+C701+C703+C705+C706+C708+C700</f>
        <v>254798</v>
      </c>
      <c r="D710" s="113">
        <f>C710*$N694</f>
        <v>4600.2383187694086</v>
      </c>
      <c r="E710" s="114"/>
      <c r="F710" s="114"/>
    </row>
    <row r="711" spans="2:8">
      <c r="B711" s="111" t="s">
        <v>33</v>
      </c>
      <c r="C711" s="112">
        <v>11646</v>
      </c>
      <c r="D711" s="113">
        <f>C711*$N694</f>
        <v>210.26215064634937</v>
      </c>
      <c r="E711" s="114"/>
      <c r="F711" s="114"/>
    </row>
    <row r="712" spans="2:8">
      <c r="B712" s="111" t="s">
        <v>98</v>
      </c>
      <c r="C712" s="113">
        <f>+C710-C711</f>
        <v>243152</v>
      </c>
      <c r="D712" s="113">
        <f>C712*$N694</f>
        <v>4389.9761681230593</v>
      </c>
      <c r="E712" s="114"/>
      <c r="F712" s="114"/>
    </row>
    <row r="713" spans="2:8">
      <c r="B713" s="117" t="s">
        <v>35</v>
      </c>
      <c r="C713" s="112">
        <v>11646</v>
      </c>
      <c r="D713" s="113">
        <f>C713*$N694</f>
        <v>210.26215064634937</v>
      </c>
      <c r="E713" s="114"/>
      <c r="F713" s="118"/>
    </row>
    <row r="714" spans="2:8">
      <c r="B714" s="117" t="s">
        <v>36</v>
      </c>
      <c r="C714" s="112">
        <v>0</v>
      </c>
      <c r="D714" s="113">
        <f>C714*$N694</f>
        <v>0</v>
      </c>
      <c r="E714" s="114"/>
      <c r="F714" s="118"/>
    </row>
    <row r="715" spans="2:8">
      <c r="B715" s="119" t="s">
        <v>37</v>
      </c>
      <c r="C715" s="120">
        <f>+C712+C713+C714</f>
        <v>254798</v>
      </c>
      <c r="D715" s="120">
        <f>+D712+D713+D714</f>
        <v>4600.2383187694086</v>
      </c>
      <c r="E715" s="121"/>
      <c r="F715" s="122"/>
    </row>
    <row r="716" spans="2:8">
      <c r="B716" s="111" t="s">
        <v>99</v>
      </c>
      <c r="C716" s="112">
        <v>2129</v>
      </c>
      <c r="D716" s="113">
        <f>C716*$N694</f>
        <v>38.43792879324041</v>
      </c>
      <c r="E716" s="121"/>
      <c r="F716" s="122"/>
    </row>
    <row r="717" spans="2:8">
      <c r="B717" s="142" t="s">
        <v>100</v>
      </c>
      <c r="C717" s="120">
        <f>C715+C716</f>
        <v>256927</v>
      </c>
      <c r="D717" s="120">
        <f>D715+D716</f>
        <v>4638.6762475626492</v>
      </c>
      <c r="E717" s="121"/>
      <c r="F717" s="122"/>
      <c r="G717" s="143"/>
    </row>
    <row r="718" spans="2:8">
      <c r="B718" s="117" t="s">
        <v>38</v>
      </c>
      <c r="C718" s="112">
        <v>5921</v>
      </c>
      <c r="D718" s="113">
        <f>C718*$N694</f>
        <v>106.90041164151079</v>
      </c>
      <c r="E718" s="121"/>
      <c r="F718" s="122"/>
    </row>
    <row r="719" spans="2:8">
      <c r="B719" s="117" t="s">
        <v>39</v>
      </c>
      <c r="C719" s="112">
        <v>41625</v>
      </c>
      <c r="D719" s="113">
        <f>C719*$N694</f>
        <v>751.51657398714519</v>
      </c>
      <c r="E719" s="121"/>
      <c r="F719" s="122"/>
    </row>
    <row r="720" spans="2:8">
      <c r="B720" s="123" t="s">
        <v>40</v>
      </c>
      <c r="C720" s="124">
        <f>C715+C718+C719</f>
        <v>302344</v>
      </c>
      <c r="D720" s="124">
        <f>D715+D718+D719</f>
        <v>5458.6553043980648</v>
      </c>
      <c r="E720" s="125">
        <f>C720/C725</f>
        <v>2.8988753271906189</v>
      </c>
      <c r="F720" s="125">
        <f>D720/D725</f>
        <v>2.9110176518080131</v>
      </c>
      <c r="H720" s="143"/>
    </row>
    <row r="721" spans="2:8">
      <c r="B721" s="117" t="s">
        <v>41</v>
      </c>
      <c r="C721" s="113">
        <f>Model!AL$119</f>
        <v>16568</v>
      </c>
      <c r="D721" s="113">
        <f>C721*$N694</f>
        <v>299.12616451216871</v>
      </c>
      <c r="E721" s="126"/>
      <c r="F721" s="126"/>
    </row>
    <row r="722" spans="2:8">
      <c r="B722" s="123" t="s">
        <v>19</v>
      </c>
      <c r="C722" s="124">
        <f>C720-C721</f>
        <v>285776</v>
      </c>
      <c r="D722" s="124">
        <f>D720-D721</f>
        <v>5159.5291398858963</v>
      </c>
      <c r="E722" s="125">
        <f>C722/C725</f>
        <v>2.7400212853677477</v>
      </c>
      <c r="F722" s="125">
        <f>D722/D725</f>
        <v>2.7514982287165837</v>
      </c>
    </row>
    <row r="723" spans="2:8">
      <c r="B723" s="119" t="s">
        <v>20</v>
      </c>
      <c r="C723" s="141">
        <f>Model!AL$126</f>
        <v>110386</v>
      </c>
      <c r="D723" s="127"/>
      <c r="E723" s="128"/>
      <c r="F723" s="117"/>
    </row>
    <row r="724" spans="2:8">
      <c r="B724" s="119" t="s">
        <v>21</v>
      </c>
      <c r="C724" s="129">
        <f>C722+C723</f>
        <v>396162</v>
      </c>
      <c r="D724" s="129"/>
      <c r="E724" s="128"/>
      <c r="F724" s="117"/>
    </row>
    <row r="725" spans="2:8">
      <c r="B725" s="117" t="s">
        <v>22</v>
      </c>
      <c r="C725" s="130">
        <f>Model!AL$84</f>
        <v>104297</v>
      </c>
      <c r="D725" s="130">
        <f>C725*N695</f>
        <v>1875.1708018698312</v>
      </c>
      <c r="E725" s="117"/>
      <c r="F725" s="117"/>
    </row>
    <row r="726" spans="2:8">
      <c r="B726" s="131" t="s">
        <v>23</v>
      </c>
      <c r="C726" s="159">
        <f>C720-Model!AL$123</f>
        <v>0</v>
      </c>
    </row>
    <row r="727" spans="2:8">
      <c r="B727" s="131"/>
      <c r="C727" s="159"/>
    </row>
    <row r="728" spans="2:8">
      <c r="B728" s="343" t="s">
        <v>139</v>
      </c>
      <c r="C728" s="343"/>
      <c r="D728" s="343"/>
    </row>
    <row r="729" spans="2:8">
      <c r="B729" s="344"/>
      <c r="C729" s="133" t="s">
        <v>102</v>
      </c>
      <c r="D729" s="144" t="s">
        <v>103</v>
      </c>
    </row>
    <row r="730" spans="2:8">
      <c r="B730" s="134" t="str">
        <f>+B721</f>
        <v>Cash &amp; Cash  Equivalents</v>
      </c>
      <c r="C730" s="136">
        <f>+C721</f>
        <v>16568</v>
      </c>
      <c r="D730" s="136">
        <f>+C730*$N694</f>
        <v>299.12616451216871</v>
      </c>
    </row>
    <row r="731" spans="2:8">
      <c r="B731" s="134" t="s">
        <v>117</v>
      </c>
      <c r="C731" s="136">
        <v>0</v>
      </c>
      <c r="D731" s="136">
        <f>+C731*$N694</f>
        <v>0</v>
      </c>
    </row>
    <row r="732" spans="2:8">
      <c r="B732" s="137" t="s">
        <v>44</v>
      </c>
      <c r="C732" s="138">
        <f>+SUM(C730:C731)</f>
        <v>16568</v>
      </c>
      <c r="D732" s="138">
        <f>+SUM(D730:D731)</f>
        <v>299.12616451216871</v>
      </c>
    </row>
    <row r="734" spans="2:8">
      <c r="B734" s="343" t="s">
        <v>79</v>
      </c>
      <c r="C734" s="343" t="s">
        <v>104</v>
      </c>
      <c r="D734" s="343"/>
      <c r="E734" s="132" t="s">
        <v>118</v>
      </c>
      <c r="F734" s="132"/>
      <c r="G734" s="343" t="s">
        <v>119</v>
      </c>
      <c r="H734" s="343"/>
    </row>
    <row r="735" spans="2:8">
      <c r="B735" s="344"/>
      <c r="C735" s="133" t="s">
        <v>102</v>
      </c>
      <c r="D735" s="144" t="s">
        <v>103</v>
      </c>
      <c r="E735" s="144" t="s">
        <v>120</v>
      </c>
      <c r="F735" s="144" t="s">
        <v>103</v>
      </c>
      <c r="G735" s="144" t="s">
        <v>120</v>
      </c>
      <c r="H735" s="144" t="s">
        <v>103</v>
      </c>
    </row>
    <row r="736" spans="2:8">
      <c r="B736" s="134">
        <v>2024</v>
      </c>
      <c r="C736" s="135">
        <v>9845</v>
      </c>
      <c r="D736" s="136">
        <f>+C736*$N694</f>
        <v>177.74608218386655</v>
      </c>
      <c r="E736" s="135">
        <v>2161</v>
      </c>
      <c r="F736" s="136">
        <f>+E736*$N694</f>
        <v>39.015671264533836</v>
      </c>
      <c r="G736" s="136">
        <f t="shared" ref="G736:G741" si="20">+C736+E736</f>
        <v>12006</v>
      </c>
      <c r="H736" s="136">
        <f t="shared" ref="H736:H741" si="21">+D736+F736</f>
        <v>216.76175344840038</v>
      </c>
    </row>
    <row r="737" spans="1:14">
      <c r="B737" s="134">
        <v>2025</v>
      </c>
      <c r="C737" s="135">
        <v>22400</v>
      </c>
      <c r="D737" s="136">
        <f>+C737*$N694</f>
        <v>404.41972990539466</v>
      </c>
      <c r="E737" s="135">
        <v>776</v>
      </c>
      <c r="F737" s="136">
        <f>+E737*$N694</f>
        <v>14.010254928865457</v>
      </c>
      <c r="G737" s="136">
        <f t="shared" si="20"/>
        <v>23176</v>
      </c>
      <c r="H737" s="136">
        <f t="shared" si="21"/>
        <v>418.4299848342601</v>
      </c>
    </row>
    <row r="738" spans="1:14">
      <c r="B738" s="134">
        <v>2026</v>
      </c>
      <c r="C738" s="135">
        <v>14585</v>
      </c>
      <c r="D738" s="136">
        <f>+C738*$N694</f>
        <v>263.3241857442045</v>
      </c>
      <c r="E738" s="135">
        <v>776</v>
      </c>
      <c r="F738" s="136">
        <f>+E738*$N694</f>
        <v>14.010254928865457</v>
      </c>
      <c r="G738" s="136">
        <f t="shared" si="20"/>
        <v>15361</v>
      </c>
      <c r="H738" s="136">
        <f t="shared" si="21"/>
        <v>277.33444067306993</v>
      </c>
    </row>
    <row r="739" spans="1:14">
      <c r="B739" s="134">
        <v>2027</v>
      </c>
      <c r="C739" s="135">
        <v>26205</v>
      </c>
      <c r="D739" s="136">
        <f>+C739*$N694</f>
        <v>473.11692063262797</v>
      </c>
      <c r="E739" s="135">
        <v>776</v>
      </c>
      <c r="F739" s="136">
        <f>+E739*$N694</f>
        <v>14.010254928865457</v>
      </c>
      <c r="G739" s="136">
        <f t="shared" si="20"/>
        <v>26981</v>
      </c>
      <c r="H739" s="136">
        <f t="shared" si="21"/>
        <v>487.1271755614934</v>
      </c>
    </row>
    <row r="740" spans="1:14">
      <c r="B740" s="134">
        <v>2028</v>
      </c>
      <c r="C740" s="135">
        <v>19115</v>
      </c>
      <c r="D740" s="136">
        <f>+C740*$N694</f>
        <v>345.11085433667944</v>
      </c>
      <c r="E740" s="135">
        <v>1552</v>
      </c>
      <c r="F740" s="136">
        <f>+E740*$N694</f>
        <v>28.020509857730914</v>
      </c>
      <c r="G740" s="136">
        <f t="shared" si="20"/>
        <v>20667</v>
      </c>
      <c r="H740" s="136">
        <f t="shared" si="21"/>
        <v>373.13136419441037</v>
      </c>
    </row>
    <row r="741" spans="1:14">
      <c r="B741" s="134" t="s">
        <v>121</v>
      </c>
      <c r="C741" s="135">
        <v>124710</v>
      </c>
      <c r="D741" s="136">
        <f>+C741*$N694</f>
        <v>2251.570737343829</v>
      </c>
      <c r="E741" s="135">
        <v>34026</v>
      </c>
      <c r="F741" s="136">
        <f>+E741*$N694</f>
        <v>614.32079150718562</v>
      </c>
      <c r="G741" s="136">
        <f t="shared" si="20"/>
        <v>158736</v>
      </c>
      <c r="H741" s="136">
        <f t="shared" si="21"/>
        <v>2865.8915288510148</v>
      </c>
    </row>
    <row r="742" spans="1:14">
      <c r="B742" s="137" t="s">
        <v>44</v>
      </c>
      <c r="C742" s="138">
        <f t="shared" ref="C742:H742" si="22">+SUM(C736:C741)</f>
        <v>216860</v>
      </c>
      <c r="D742" s="138">
        <f t="shared" si="22"/>
        <v>3915.2885101466022</v>
      </c>
      <c r="E742" s="138">
        <f t="shared" si="22"/>
        <v>40067</v>
      </c>
      <c r="F742" s="138">
        <f t="shared" si="22"/>
        <v>723.38773741604678</v>
      </c>
      <c r="G742" s="138">
        <f t="shared" si="22"/>
        <v>256927</v>
      </c>
      <c r="H742" s="138">
        <f t="shared" si="22"/>
        <v>4638.6762475626492</v>
      </c>
      <c r="M742" s="139"/>
    </row>
    <row r="743" spans="1:14">
      <c r="G743" s="143">
        <f>G742-C717</f>
        <v>0</v>
      </c>
    </row>
    <row r="745" spans="1:14">
      <c r="A745" s="103" t="s">
        <v>140</v>
      </c>
      <c r="M745" s="104" t="s">
        <v>141</v>
      </c>
      <c r="N745" s="106">
        <f>1/Model!AK202</f>
        <v>1.763979537837361E-2</v>
      </c>
    </row>
    <row r="746" spans="1:14">
      <c r="M746" s="105" t="s">
        <v>142</v>
      </c>
      <c r="N746" s="106">
        <f>1/AVERAGE(Model!AH201:AK201)</f>
        <v>1.7644619714333603E-2</v>
      </c>
    </row>
    <row r="747" spans="1:14">
      <c r="M747" s="105"/>
      <c r="N747" s="106"/>
    </row>
    <row r="748" spans="1:14" ht="15.75" thickBot="1">
      <c r="B748" s="107"/>
      <c r="C748" s="106"/>
    </row>
    <row r="749" spans="1:14" ht="26.25">
      <c r="B749" s="108" t="s">
        <v>143</v>
      </c>
      <c r="C749" s="109" t="s">
        <v>85</v>
      </c>
      <c r="D749" s="109" t="s">
        <v>88</v>
      </c>
      <c r="E749" s="110" t="s">
        <v>89</v>
      </c>
      <c r="F749" s="110" t="s">
        <v>7</v>
      </c>
      <c r="M749" s="167" t="s">
        <v>8</v>
      </c>
      <c r="N749" s="168"/>
    </row>
    <row r="750" spans="1:14">
      <c r="B750" s="111" t="s">
        <v>24</v>
      </c>
      <c r="C750" s="112"/>
      <c r="D750" s="113"/>
      <c r="E750" s="114"/>
      <c r="F750" s="114"/>
      <c r="M750" s="165" t="s">
        <v>10</v>
      </c>
      <c r="N750" s="169">
        <v>252125</v>
      </c>
    </row>
    <row r="751" spans="1:14" ht="15.75" thickBot="1">
      <c r="B751" s="116" t="s">
        <v>90</v>
      </c>
      <c r="C751" s="112">
        <v>33423</v>
      </c>
      <c r="D751" s="113">
        <f>C751*$N745</f>
        <v>589.57488093138113</v>
      </c>
      <c r="E751" s="114"/>
      <c r="F751" s="114"/>
      <c r="M751" s="166" t="s">
        <v>12</v>
      </c>
      <c r="N751" s="170" t="s">
        <v>144</v>
      </c>
    </row>
    <row r="752" spans="1:14">
      <c r="B752" s="115" t="s">
        <v>91</v>
      </c>
      <c r="C752" s="112">
        <v>0</v>
      </c>
      <c r="D752" s="113">
        <f>C752*$N745</f>
        <v>0</v>
      </c>
      <c r="E752" s="114"/>
      <c r="F752" s="114"/>
      <c r="N752" s="143"/>
    </row>
    <row r="753" spans="2:7">
      <c r="B753" s="116" t="s">
        <v>30</v>
      </c>
      <c r="C753" s="112"/>
      <c r="D753" s="113"/>
      <c r="E753" s="114"/>
      <c r="F753" s="114"/>
    </row>
    <row r="754" spans="2:7">
      <c r="B754" s="115" t="s">
        <v>92</v>
      </c>
      <c r="C754" s="112">
        <v>7135</v>
      </c>
      <c r="D754" s="113">
        <f>C754*$N745</f>
        <v>125.8599400246957</v>
      </c>
      <c r="E754" s="114"/>
      <c r="F754" s="114"/>
    </row>
    <row r="755" spans="2:7">
      <c r="B755" s="111" t="s">
        <v>93</v>
      </c>
      <c r="C755" s="112"/>
      <c r="D755" s="113"/>
      <c r="E755" s="114"/>
      <c r="F755" s="114"/>
    </row>
    <row r="756" spans="2:7">
      <c r="B756" s="115" t="s">
        <v>94</v>
      </c>
      <c r="C756" s="112">
        <v>0</v>
      </c>
      <c r="D756" s="113">
        <f>C756*$N745</f>
        <v>0</v>
      </c>
      <c r="E756" s="114"/>
      <c r="F756" s="114"/>
    </row>
    <row r="757" spans="2:7">
      <c r="B757" s="115" t="s">
        <v>95</v>
      </c>
      <c r="C757" s="112">
        <v>2599</v>
      </c>
      <c r="D757" s="113">
        <f>C757*$N745</f>
        <v>45.845828188393014</v>
      </c>
      <c r="E757" s="114"/>
      <c r="F757" s="114"/>
    </row>
    <row r="758" spans="2:7">
      <c r="B758" s="111" t="s">
        <v>96</v>
      </c>
      <c r="C758" s="112"/>
      <c r="D758" s="113">
        <f>C758*$N745</f>
        <v>0</v>
      </c>
      <c r="E758" s="114"/>
      <c r="F758" s="114"/>
    </row>
    <row r="759" spans="2:7">
      <c r="B759" s="115" t="s">
        <v>68</v>
      </c>
      <c r="C759" s="112">
        <v>223097</v>
      </c>
      <c r="D759" s="113">
        <f>C759*$N745</f>
        <v>3935.3854295290171</v>
      </c>
      <c r="E759" s="114"/>
      <c r="F759" s="114"/>
    </row>
    <row r="760" spans="2:7">
      <c r="B760" s="115" t="s">
        <v>97</v>
      </c>
      <c r="C760" s="112">
        <v>0</v>
      </c>
      <c r="D760" s="113">
        <f>C760*$N745</f>
        <v>0</v>
      </c>
      <c r="E760" s="114"/>
      <c r="F760" s="114"/>
    </row>
    <row r="761" spans="2:7">
      <c r="B761" s="111" t="s">
        <v>32</v>
      </c>
      <c r="C761" s="113">
        <f>+C752+C754+C756+C757+C759+C751</f>
        <v>266254</v>
      </c>
      <c r="D761" s="113">
        <f>C761*$N745</f>
        <v>4696.6660786734874</v>
      </c>
      <c r="E761" s="114"/>
      <c r="F761" s="114"/>
    </row>
    <row r="762" spans="2:7">
      <c r="B762" s="111" t="s">
        <v>33</v>
      </c>
      <c r="C762" s="112">
        <v>23344</v>
      </c>
      <c r="D762" s="113">
        <f>C762*$N745</f>
        <v>411.78338331275353</v>
      </c>
      <c r="E762" s="114"/>
      <c r="F762" s="114"/>
    </row>
    <row r="763" spans="2:7">
      <c r="B763" s="111" t="s">
        <v>98</v>
      </c>
      <c r="C763" s="113">
        <f>+C761-C762</f>
        <v>242910</v>
      </c>
      <c r="D763" s="113">
        <f>C763*$N745</f>
        <v>4284.882695360734</v>
      </c>
      <c r="E763" s="114"/>
      <c r="F763" s="114"/>
    </row>
    <row r="764" spans="2:7">
      <c r="B764" s="117" t="s">
        <v>35</v>
      </c>
      <c r="C764" s="112">
        <v>23344</v>
      </c>
      <c r="D764" s="113">
        <f>C764*$N745</f>
        <v>411.78338331275353</v>
      </c>
      <c r="E764" s="114"/>
      <c r="F764" s="118"/>
    </row>
    <row r="765" spans="2:7">
      <c r="B765" s="117" t="s">
        <v>36</v>
      </c>
      <c r="C765" s="112">
        <f>29344-C764</f>
        <v>6000</v>
      </c>
      <c r="D765" s="113">
        <f>C765*$N745</f>
        <v>105.83877227024166</v>
      </c>
      <c r="E765" s="114"/>
      <c r="F765" s="118"/>
    </row>
    <row r="766" spans="2:7">
      <c r="B766" s="119" t="s">
        <v>37</v>
      </c>
      <c r="C766" s="120">
        <f>+C763+C764+C765</f>
        <v>272254</v>
      </c>
      <c r="D766" s="120">
        <f>+D763+D764+D765</f>
        <v>4802.5048509437293</v>
      </c>
      <c r="E766" s="121"/>
      <c r="F766" s="122"/>
    </row>
    <row r="767" spans="2:7">
      <c r="B767" s="111" t="s">
        <v>99</v>
      </c>
      <c r="C767" s="112">
        <v>2210</v>
      </c>
      <c r="D767" s="113">
        <f>C767*$N745</f>
        <v>38.983947786205675</v>
      </c>
      <c r="E767" s="121"/>
      <c r="F767" s="122"/>
    </row>
    <row r="768" spans="2:7">
      <c r="B768" s="142" t="s">
        <v>100</v>
      </c>
      <c r="C768" s="120">
        <f>C766+C767</f>
        <v>274464</v>
      </c>
      <c r="D768" s="120">
        <f>D766+D767</f>
        <v>4841.4887987299353</v>
      </c>
      <c r="E768" s="121"/>
      <c r="F768" s="122"/>
      <c r="G768" s="143"/>
    </row>
    <row r="769" spans="2:8">
      <c r="B769" s="117" t="s">
        <v>38</v>
      </c>
      <c r="C769" s="112">
        <v>11121</v>
      </c>
      <c r="D769" s="113">
        <f>C769*$N745</f>
        <v>196.17216440289292</v>
      </c>
      <c r="E769" s="121"/>
      <c r="F769" s="122"/>
    </row>
    <row r="770" spans="2:8">
      <c r="B770" s="117" t="s">
        <v>39</v>
      </c>
      <c r="C770" s="112">
        <v>32839</v>
      </c>
      <c r="D770" s="113">
        <f>C770*$N745</f>
        <v>579.27324043041097</v>
      </c>
      <c r="E770" s="121"/>
      <c r="F770" s="122"/>
    </row>
    <row r="771" spans="2:8">
      <c r="B771" s="123" t="s">
        <v>40</v>
      </c>
      <c r="C771" s="124">
        <f>C766+C769+C770</f>
        <v>316214</v>
      </c>
      <c r="D771" s="124">
        <f>D766+D769+D770</f>
        <v>5577.9502557770329</v>
      </c>
      <c r="E771" s="125">
        <f>C771/C776</f>
        <v>2.8935068262508694</v>
      </c>
      <c r="F771" s="125">
        <f>D771/D776</f>
        <v>2.8927156927915845</v>
      </c>
      <c r="H771" s="143"/>
    </row>
    <row r="772" spans="2:8">
      <c r="B772" s="117" t="s">
        <v>41</v>
      </c>
      <c r="C772" s="113">
        <f>Model!AK$119</f>
        <v>21472</v>
      </c>
      <c r="D772" s="113">
        <f>C772*$N745</f>
        <v>378.76168636443816</v>
      </c>
      <c r="E772" s="126"/>
      <c r="F772" s="126"/>
    </row>
    <row r="773" spans="2:8">
      <c r="B773" s="123" t="s">
        <v>19</v>
      </c>
      <c r="C773" s="124">
        <f>C771-C772</f>
        <v>294742</v>
      </c>
      <c r="D773" s="124">
        <f>D771-D772</f>
        <v>5199.1885694125949</v>
      </c>
      <c r="E773" s="125">
        <f>C773/C776</f>
        <v>2.6970279272354598</v>
      </c>
      <c r="F773" s="125">
        <f>D773/D776</f>
        <v>2.6962905144135845</v>
      </c>
    </row>
    <row r="774" spans="2:8">
      <c r="B774" s="119" t="s">
        <v>20</v>
      </c>
      <c r="C774" s="141">
        <f>Model!AK$126</f>
        <v>117289</v>
      </c>
      <c r="D774" s="127"/>
      <c r="E774" s="128"/>
      <c r="F774" s="117"/>
    </row>
    <row r="775" spans="2:8">
      <c r="B775" s="119" t="s">
        <v>21</v>
      </c>
      <c r="C775" s="129">
        <f>C773+C774</f>
        <v>412031</v>
      </c>
      <c r="D775" s="129"/>
      <c r="E775" s="128"/>
      <c r="F775" s="117"/>
    </row>
    <row r="776" spans="2:8">
      <c r="B776" s="117" t="s">
        <v>22</v>
      </c>
      <c r="C776" s="130">
        <f>Model!AK$84</f>
        <v>109284</v>
      </c>
      <c r="D776" s="130">
        <f>C776*N746</f>
        <v>1928.2746208612334</v>
      </c>
      <c r="E776" s="117"/>
      <c r="F776" s="117"/>
    </row>
    <row r="777" spans="2:8">
      <c r="B777" s="131" t="s">
        <v>23</v>
      </c>
      <c r="C777" s="159">
        <f>C771-Model!AK$123</f>
        <v>0</v>
      </c>
    </row>
    <row r="778" spans="2:8">
      <c r="B778" s="131"/>
      <c r="C778" s="159"/>
    </row>
    <row r="779" spans="2:8">
      <c r="B779" s="343" t="s">
        <v>145</v>
      </c>
      <c r="C779" s="343"/>
      <c r="D779" s="343"/>
    </row>
    <row r="780" spans="2:8">
      <c r="B780" s="344"/>
      <c r="C780" s="133" t="s">
        <v>102</v>
      </c>
      <c r="D780" s="144" t="s">
        <v>103</v>
      </c>
    </row>
    <row r="781" spans="2:8">
      <c r="B781" s="134" t="str">
        <f>+B772</f>
        <v>Cash &amp; Cash  Equivalents</v>
      </c>
      <c r="C781" s="136">
        <f>+C772</f>
        <v>21472</v>
      </c>
      <c r="D781" s="136">
        <f>+C781*$N745</f>
        <v>378.76168636443816</v>
      </c>
    </row>
    <row r="782" spans="2:8">
      <c r="B782" s="134" t="s">
        <v>117</v>
      </c>
      <c r="C782" s="136">
        <v>0</v>
      </c>
      <c r="D782" s="136">
        <f>+C782*$N745</f>
        <v>0</v>
      </c>
    </row>
    <row r="783" spans="2:8">
      <c r="B783" s="137" t="s">
        <v>44</v>
      </c>
      <c r="C783" s="138">
        <f>+SUM(C781:C782)</f>
        <v>21472</v>
      </c>
      <c r="D783" s="138">
        <f>+SUM(D781:D782)</f>
        <v>378.76168636443816</v>
      </c>
    </row>
    <row r="785" spans="1:14">
      <c r="B785" s="343" t="s">
        <v>79</v>
      </c>
      <c r="C785" s="343" t="s">
        <v>104</v>
      </c>
      <c r="D785" s="343"/>
      <c r="E785" s="132" t="s">
        <v>118</v>
      </c>
      <c r="F785" s="132"/>
      <c r="G785" s="343" t="s">
        <v>119</v>
      </c>
      <c r="H785" s="343"/>
    </row>
    <row r="786" spans="1:14">
      <c r="B786" s="344"/>
      <c r="C786" s="133" t="s">
        <v>102</v>
      </c>
      <c r="D786" s="144" t="s">
        <v>103</v>
      </c>
      <c r="E786" s="144" t="s">
        <v>120</v>
      </c>
      <c r="F786" s="144" t="s">
        <v>103</v>
      </c>
      <c r="G786" s="144" t="s">
        <v>120</v>
      </c>
      <c r="H786" s="144" t="s">
        <v>103</v>
      </c>
    </row>
    <row r="787" spans="1:14">
      <c r="B787" s="134">
        <v>2023</v>
      </c>
      <c r="C787" s="135">
        <v>19441</v>
      </c>
      <c r="D787" s="136">
        <f>+C787*$N745</f>
        <v>342.93526195096138</v>
      </c>
      <c r="E787" s="135">
        <v>198</v>
      </c>
      <c r="F787" s="136">
        <f>+E787*$N745</f>
        <v>3.492679484917975</v>
      </c>
      <c r="G787" s="136">
        <f t="shared" ref="G787:G792" si="23">+C787+E787</f>
        <v>19639</v>
      </c>
      <c r="H787" s="136">
        <f t="shared" ref="H787:H792" si="24">+D787+F787</f>
        <v>346.42794143587935</v>
      </c>
    </row>
    <row r="788" spans="1:14">
      <c r="B788" s="134">
        <v>2024</v>
      </c>
      <c r="C788" s="135">
        <v>9815</v>
      </c>
      <c r="D788" s="136">
        <f>+C788*$N745</f>
        <v>173.13459163873699</v>
      </c>
      <c r="E788" s="135">
        <v>2210</v>
      </c>
      <c r="F788" s="136">
        <f>+E788*$N745</f>
        <v>38.983947786205675</v>
      </c>
      <c r="G788" s="136">
        <f t="shared" si="23"/>
        <v>12025</v>
      </c>
      <c r="H788" s="136">
        <f t="shared" si="24"/>
        <v>212.11853942494267</v>
      </c>
    </row>
    <row r="789" spans="1:14">
      <c r="B789" s="134">
        <v>2025</v>
      </c>
      <c r="C789" s="135">
        <v>22370</v>
      </c>
      <c r="D789" s="136">
        <f>+C789*$N745</f>
        <v>394.60222261421768</v>
      </c>
      <c r="E789" s="135">
        <v>793</v>
      </c>
      <c r="F789" s="136">
        <f>+E789*$N745</f>
        <v>13.988357735050272</v>
      </c>
      <c r="G789" s="136">
        <f t="shared" si="23"/>
        <v>23163</v>
      </c>
      <c r="H789" s="136">
        <f t="shared" si="24"/>
        <v>408.59058034926795</v>
      </c>
    </row>
    <row r="790" spans="1:14">
      <c r="B790" s="134">
        <v>2026</v>
      </c>
      <c r="C790" s="135">
        <v>14555</v>
      </c>
      <c r="D790" s="136">
        <f>+C790*$N745</f>
        <v>256.7472217322279</v>
      </c>
      <c r="E790" s="135">
        <v>793</v>
      </c>
      <c r="F790" s="136">
        <f>+E790*$N745</f>
        <v>13.988357735050272</v>
      </c>
      <c r="G790" s="136">
        <f t="shared" si="23"/>
        <v>15348</v>
      </c>
      <c r="H790" s="136">
        <f t="shared" si="24"/>
        <v>270.73557946727817</v>
      </c>
    </row>
    <row r="791" spans="1:14">
      <c r="B791" s="134">
        <v>2027</v>
      </c>
      <c r="C791" s="135">
        <v>26175</v>
      </c>
      <c r="D791" s="136">
        <f>+C791*$N745</f>
        <v>461.72164402892923</v>
      </c>
      <c r="E791" s="135">
        <v>793</v>
      </c>
      <c r="F791" s="136">
        <f>+E791*$N745</f>
        <v>13.988357735050272</v>
      </c>
      <c r="G791" s="136">
        <f t="shared" si="23"/>
        <v>26968</v>
      </c>
      <c r="H791" s="136">
        <f t="shared" si="24"/>
        <v>475.71000176397951</v>
      </c>
    </row>
    <row r="792" spans="1:14">
      <c r="B792" s="134" t="s">
        <v>146</v>
      </c>
      <c r="C792" s="135">
        <v>140945</v>
      </c>
      <c r="D792" s="136">
        <f>+C792*$N745</f>
        <v>2486.2409596048683</v>
      </c>
      <c r="E792" s="135">
        <v>36376</v>
      </c>
      <c r="F792" s="136">
        <f>+E792*$N745</f>
        <v>641.66519668371848</v>
      </c>
      <c r="G792" s="136">
        <f t="shared" si="23"/>
        <v>177321</v>
      </c>
      <c r="H792" s="136">
        <f t="shared" si="24"/>
        <v>3127.9061562885868</v>
      </c>
    </row>
    <row r="793" spans="1:14">
      <c r="B793" s="137" t="s">
        <v>44</v>
      </c>
      <c r="C793" s="138">
        <f t="shared" ref="C793:H793" si="25">+SUM(C787:C792)</f>
        <v>233301</v>
      </c>
      <c r="D793" s="138">
        <f t="shared" si="25"/>
        <v>4115.381901569941</v>
      </c>
      <c r="E793" s="138">
        <f t="shared" si="25"/>
        <v>41163</v>
      </c>
      <c r="F793" s="138">
        <f t="shared" si="25"/>
        <v>726.10689715999297</v>
      </c>
      <c r="G793" s="138">
        <f t="shared" si="25"/>
        <v>274464</v>
      </c>
      <c r="H793" s="138">
        <f t="shared" si="25"/>
        <v>4841.4887987299344</v>
      </c>
      <c r="M793" s="139"/>
    </row>
    <row r="794" spans="1:14">
      <c r="G794" s="143">
        <f>G793-C768</f>
        <v>0</v>
      </c>
    </row>
    <row r="796" spans="1:14">
      <c r="A796" s="103" t="s">
        <v>147</v>
      </c>
      <c r="M796" s="104" t="s">
        <v>148</v>
      </c>
      <c r="N796" s="106">
        <f>1/Model!AJ202</f>
        <v>1.8060321473722232E-2</v>
      </c>
    </row>
    <row r="797" spans="1:14">
      <c r="M797" s="105" t="s">
        <v>149</v>
      </c>
      <c r="N797" s="106">
        <f>1/Model!AJ201</f>
        <v>1.8102824040550324E-2</v>
      </c>
    </row>
    <row r="798" spans="1:14">
      <c r="M798" s="105"/>
      <c r="N798" s="106"/>
    </row>
    <row r="799" spans="1:14" ht="15.75" thickBot="1">
      <c r="B799" s="107"/>
      <c r="C799" s="106"/>
    </row>
    <row r="800" spans="1:14" ht="26.25">
      <c r="B800" s="108" t="s">
        <v>150</v>
      </c>
      <c r="C800" s="109" t="s">
        <v>85</v>
      </c>
      <c r="D800" s="109" t="s">
        <v>88</v>
      </c>
      <c r="E800" s="110" t="s">
        <v>89</v>
      </c>
      <c r="F800" s="110" t="s">
        <v>7</v>
      </c>
      <c r="M800" s="167" t="s">
        <v>8</v>
      </c>
      <c r="N800" s="168"/>
    </row>
    <row r="801" spans="2:14">
      <c r="B801" s="111" t="s">
        <v>24</v>
      </c>
      <c r="C801" s="112"/>
      <c r="D801" s="113"/>
      <c r="E801" s="114"/>
      <c r="F801" s="114"/>
      <c r="M801" s="165" t="s">
        <v>10</v>
      </c>
      <c r="N801" s="169">
        <v>253262</v>
      </c>
    </row>
    <row r="802" spans="2:14" ht="15.75" thickBot="1">
      <c r="B802" s="116" t="s">
        <v>90</v>
      </c>
      <c r="C802" s="112">
        <v>32643</v>
      </c>
      <c r="D802" s="113">
        <f>C802*$N796</f>
        <v>589.54307386671485</v>
      </c>
      <c r="E802" s="114"/>
      <c r="F802" s="114"/>
      <c r="M802" s="166" t="s">
        <v>12</v>
      </c>
      <c r="N802" s="170" t="s">
        <v>151</v>
      </c>
    </row>
    <row r="803" spans="2:14">
      <c r="B803" s="115" t="s">
        <v>91</v>
      </c>
      <c r="C803" s="112">
        <v>0</v>
      </c>
      <c r="D803" s="113">
        <f>C803*$N796</f>
        <v>0</v>
      </c>
      <c r="E803" s="114"/>
      <c r="F803" s="114"/>
      <c r="N803" s="143"/>
    </row>
    <row r="804" spans="2:14">
      <c r="B804" s="116" t="s">
        <v>30</v>
      </c>
      <c r="C804" s="112"/>
      <c r="D804" s="113"/>
      <c r="E804" s="114"/>
      <c r="F804" s="114"/>
    </row>
    <row r="805" spans="2:14">
      <c r="B805" s="115" t="s">
        <v>92</v>
      </c>
      <c r="C805" s="112">
        <v>7164</v>
      </c>
      <c r="D805" s="113">
        <f>C805*$N796</f>
        <v>129.38414303774607</v>
      </c>
      <c r="E805" s="114"/>
      <c r="F805" s="114"/>
    </row>
    <row r="806" spans="2:14">
      <c r="B806" s="111" t="s">
        <v>93</v>
      </c>
      <c r="C806" s="112"/>
      <c r="D806" s="113"/>
      <c r="E806" s="114"/>
      <c r="F806" s="114"/>
    </row>
    <row r="807" spans="2:14">
      <c r="B807" s="115" t="s">
        <v>94</v>
      </c>
      <c r="C807" s="112">
        <v>0</v>
      </c>
      <c r="D807" s="113">
        <f>C807*$N796</f>
        <v>0</v>
      </c>
      <c r="E807" s="114"/>
      <c r="F807" s="114"/>
    </row>
    <row r="808" spans="2:14">
      <c r="B808" s="115" t="s">
        <v>95</v>
      </c>
      <c r="C808" s="112">
        <v>2598</v>
      </c>
      <c r="D808" s="113">
        <f>C808*$N796</f>
        <v>46.920715188730362</v>
      </c>
      <c r="E808" s="114"/>
      <c r="F808" s="114"/>
    </row>
    <row r="809" spans="2:14">
      <c r="B809" s="111" t="s">
        <v>96</v>
      </c>
      <c r="C809" s="112"/>
      <c r="D809" s="113">
        <f>C809*$N796</f>
        <v>0</v>
      </c>
      <c r="E809" s="114"/>
      <c r="F809" s="114"/>
    </row>
    <row r="810" spans="2:14">
      <c r="B810" s="115" t="s">
        <v>68</v>
      </c>
      <c r="C810" s="112">
        <v>219664</v>
      </c>
      <c r="D810" s="113">
        <f>C810*$N796</f>
        <v>3967.2024562037204</v>
      </c>
      <c r="E810" s="114"/>
      <c r="F810" s="114"/>
    </row>
    <row r="811" spans="2:14">
      <c r="B811" s="115" t="s">
        <v>97</v>
      </c>
      <c r="C811" s="112">
        <v>0</v>
      </c>
      <c r="D811" s="113">
        <f>C811*$N796</f>
        <v>0</v>
      </c>
      <c r="E811" s="114"/>
      <c r="F811" s="114"/>
    </row>
    <row r="812" spans="2:14">
      <c r="B812" s="111" t="s">
        <v>32</v>
      </c>
      <c r="C812" s="113">
        <f>+C803+C805+C807+C808+C810+C802</f>
        <v>262069</v>
      </c>
      <c r="D812" s="113">
        <f>C812*$N796</f>
        <v>4733.0503882969115</v>
      </c>
      <c r="E812" s="114"/>
      <c r="F812" s="114"/>
    </row>
    <row r="813" spans="2:14">
      <c r="B813" s="111" t="s">
        <v>33</v>
      </c>
      <c r="C813" s="112">
        <v>27446</v>
      </c>
      <c r="D813" s="113">
        <f>C813*$N796</f>
        <v>495.6835831677804</v>
      </c>
      <c r="E813" s="114"/>
      <c r="F813" s="114"/>
    </row>
    <row r="814" spans="2:14">
      <c r="B814" s="111" t="s">
        <v>98</v>
      </c>
      <c r="C814" s="113">
        <f>+C812-C813</f>
        <v>234623</v>
      </c>
      <c r="D814" s="113">
        <f>C814*$N796</f>
        <v>4237.3668051291315</v>
      </c>
      <c r="E814" s="114"/>
      <c r="F814" s="114"/>
    </row>
    <row r="815" spans="2:14">
      <c r="B815" s="117" t="s">
        <v>35</v>
      </c>
      <c r="C815" s="112">
        <v>27446</v>
      </c>
      <c r="D815" s="113">
        <f>C815*$N796</f>
        <v>495.6835831677804</v>
      </c>
      <c r="E815" s="114"/>
      <c r="F815" s="118"/>
    </row>
    <row r="816" spans="2:14">
      <c r="B816" s="117" t="s">
        <v>36</v>
      </c>
      <c r="C816" s="112">
        <v>6000</v>
      </c>
      <c r="D816" s="113">
        <f>C816*$N796</f>
        <v>108.3619288423334</v>
      </c>
      <c r="E816" s="114"/>
      <c r="F816" s="118"/>
    </row>
    <row r="817" spans="2:6">
      <c r="B817" s="119" t="s">
        <v>37</v>
      </c>
      <c r="C817" s="120">
        <f>+C814+C815+C816</f>
        <v>268069</v>
      </c>
      <c r="D817" s="120">
        <f>+D814+D815+D816</f>
        <v>4841.4123171392448</v>
      </c>
      <c r="E817" s="121"/>
      <c r="F817" s="122"/>
    </row>
    <row r="818" spans="2:6">
      <c r="B818" s="111" t="s">
        <v>99</v>
      </c>
      <c r="C818" s="112">
        <v>2240</v>
      </c>
      <c r="D818" s="113">
        <f>C818*$N796</f>
        <v>40.455120101137801</v>
      </c>
      <c r="E818" s="121"/>
      <c r="F818" s="122"/>
    </row>
    <row r="819" spans="2:6">
      <c r="B819" s="142" t="s">
        <v>100</v>
      </c>
      <c r="C819" s="120">
        <f>C817+C818</f>
        <v>270309</v>
      </c>
      <c r="D819" s="120">
        <f>D817+D818</f>
        <v>4881.867437240383</v>
      </c>
      <c r="E819" s="121"/>
      <c r="F819" s="122"/>
    </row>
    <row r="820" spans="2:6">
      <c r="B820" s="117" t="s">
        <v>38</v>
      </c>
      <c r="C820" s="112">
        <v>10250</v>
      </c>
      <c r="D820" s="113">
        <f>C820*$N796</f>
        <v>185.11829510565289</v>
      </c>
      <c r="E820" s="121"/>
      <c r="F820" s="122"/>
    </row>
    <row r="821" spans="2:6">
      <c r="B821" s="117" t="s">
        <v>39</v>
      </c>
      <c r="C821" s="112">
        <v>32269</v>
      </c>
      <c r="D821" s="113">
        <f>C821*$N796</f>
        <v>582.7885136355427</v>
      </c>
      <c r="E821" s="121"/>
      <c r="F821" s="122"/>
    </row>
    <row r="822" spans="2:6">
      <c r="B822" s="123" t="s">
        <v>40</v>
      </c>
      <c r="C822" s="124">
        <f>C817+C820+C821</f>
        <v>310588</v>
      </c>
      <c r="D822" s="124">
        <f>D817+D820+D821</f>
        <v>5609.31912588044</v>
      </c>
      <c r="E822" s="125">
        <f>C822/C827</f>
        <v>2.8850576848050236</v>
      </c>
      <c r="F822" s="125">
        <f>D822/D827</f>
        <v>2.8782840258015079</v>
      </c>
    </row>
    <row r="823" spans="2:6">
      <c r="B823" s="117" t="s">
        <v>41</v>
      </c>
      <c r="C823" s="113">
        <f>Model!AJ$119</f>
        <v>16185</v>
      </c>
      <c r="D823" s="113">
        <f>C823*$N796</f>
        <v>292.30630305219432</v>
      </c>
      <c r="E823" s="126"/>
      <c r="F823" s="126"/>
    </row>
    <row r="824" spans="2:6">
      <c r="B824" s="123" t="s">
        <v>19</v>
      </c>
      <c r="C824" s="124">
        <f>C822-C823</f>
        <v>294403</v>
      </c>
      <c r="D824" s="124">
        <f>D822-D823</f>
        <v>5317.0128228282456</v>
      </c>
      <c r="E824" s="125">
        <f>C824/C827</f>
        <v>2.7347149200215504</v>
      </c>
      <c r="F824" s="125">
        <f>D824/D827</f>
        <v>2.7282942420442557</v>
      </c>
    </row>
    <row r="825" spans="2:6">
      <c r="B825" s="119" t="s">
        <v>20</v>
      </c>
      <c r="C825" s="141">
        <f>Model!AJ$126</f>
        <v>119011</v>
      </c>
      <c r="D825" s="127"/>
      <c r="E825" s="128"/>
      <c r="F825" s="117"/>
    </row>
    <row r="826" spans="2:6">
      <c r="B826" s="119" t="s">
        <v>21</v>
      </c>
      <c r="C826" s="129">
        <f>C824+C825</f>
        <v>413414</v>
      </c>
      <c r="D826" s="129"/>
      <c r="E826" s="128"/>
      <c r="F826" s="117"/>
    </row>
    <row r="827" spans="2:6">
      <c r="B827" s="117" t="s">
        <v>22</v>
      </c>
      <c r="C827" s="130">
        <f>Model!AJ$84</f>
        <v>107654</v>
      </c>
      <c r="D827" s="130">
        <f>C827*N797</f>
        <v>1948.8414192614046</v>
      </c>
      <c r="E827" s="117"/>
      <c r="F827" s="117"/>
    </row>
    <row r="828" spans="2:6">
      <c r="B828" s="131" t="s">
        <v>23</v>
      </c>
      <c r="C828" s="159">
        <f>C822-Model!AJ$123</f>
        <v>0</v>
      </c>
    </row>
    <row r="829" spans="2:6">
      <c r="B829" s="131"/>
      <c r="C829" s="159"/>
    </row>
    <row r="830" spans="2:6">
      <c r="B830" s="343" t="s">
        <v>152</v>
      </c>
      <c r="C830" s="343"/>
      <c r="D830" s="343"/>
    </row>
    <row r="831" spans="2:6">
      <c r="B831" s="344"/>
      <c r="C831" s="133" t="s">
        <v>102</v>
      </c>
      <c r="D831" s="144" t="s">
        <v>103</v>
      </c>
    </row>
    <row r="832" spans="2:6">
      <c r="B832" s="134" t="str">
        <f>+B823</f>
        <v>Cash &amp; Cash  Equivalents</v>
      </c>
      <c r="C832" s="136">
        <f>+C823</f>
        <v>16185</v>
      </c>
      <c r="D832" s="136">
        <f>+C832*$N796</f>
        <v>292.30630305219432</v>
      </c>
    </row>
    <row r="833" spans="1:14">
      <c r="B833" s="134" t="s">
        <v>117</v>
      </c>
      <c r="C833" s="136">
        <v>0</v>
      </c>
      <c r="D833" s="136">
        <f>+C833*$N796</f>
        <v>0</v>
      </c>
    </row>
    <row r="834" spans="1:14">
      <c r="B834" s="137" t="s">
        <v>44</v>
      </c>
      <c r="C834" s="138">
        <f>+SUM(C832:C833)</f>
        <v>16185</v>
      </c>
      <c r="D834" s="138">
        <f>+SUM(D832:D833)</f>
        <v>292.30630305219432</v>
      </c>
    </row>
    <row r="836" spans="1:14">
      <c r="B836" s="343" t="s">
        <v>79</v>
      </c>
      <c r="C836" s="343" t="s">
        <v>104</v>
      </c>
      <c r="D836" s="343"/>
      <c r="E836" s="132" t="s">
        <v>118</v>
      </c>
      <c r="F836" s="132"/>
      <c r="G836" s="343" t="s">
        <v>119</v>
      </c>
      <c r="H836" s="343"/>
    </row>
    <row r="837" spans="1:14">
      <c r="B837" s="344"/>
      <c r="C837" s="133" t="s">
        <v>102</v>
      </c>
      <c r="D837" s="144" t="s">
        <v>103</v>
      </c>
      <c r="E837" s="144" t="s">
        <v>120</v>
      </c>
      <c r="F837" s="144" t="s">
        <v>103</v>
      </c>
      <c r="G837" s="144" t="s">
        <v>120</v>
      </c>
      <c r="H837" s="144" t="s">
        <v>103</v>
      </c>
    </row>
    <row r="838" spans="1:14">
      <c r="B838" s="134">
        <v>2023</v>
      </c>
      <c r="C838" s="135">
        <v>25531</v>
      </c>
      <c r="D838" s="136">
        <f>+C838*$N796</f>
        <v>461.09806754560231</v>
      </c>
      <c r="E838" s="135">
        <v>388</v>
      </c>
      <c r="F838" s="136">
        <f>+E838*$N796</f>
        <v>7.0074047318042263</v>
      </c>
      <c r="G838" s="136">
        <f t="shared" ref="G838:G843" si="26">+C838+E838</f>
        <v>25919</v>
      </c>
      <c r="H838" s="136">
        <f t="shared" ref="H838:H843" si="27">+D838+F838</f>
        <v>468.10547227740653</v>
      </c>
    </row>
    <row r="839" spans="1:14">
      <c r="B839" s="134">
        <v>2024</v>
      </c>
      <c r="C839" s="135">
        <v>9720</v>
      </c>
      <c r="D839" s="136">
        <f>+C839*$N796</f>
        <v>175.5463247245801</v>
      </c>
      <c r="E839" s="135">
        <v>2159</v>
      </c>
      <c r="F839" s="136">
        <f>+E839*$N796</f>
        <v>38.992234061766297</v>
      </c>
      <c r="G839" s="136">
        <f t="shared" si="26"/>
        <v>11879</v>
      </c>
      <c r="H839" s="136">
        <f t="shared" si="27"/>
        <v>214.53855878634641</v>
      </c>
    </row>
    <row r="840" spans="1:14">
      <c r="B840" s="134">
        <v>2025</v>
      </c>
      <c r="C840" s="135">
        <v>22275</v>
      </c>
      <c r="D840" s="136">
        <f>+C840*$N796</f>
        <v>402.29366082716274</v>
      </c>
      <c r="E840" s="135">
        <v>775</v>
      </c>
      <c r="F840" s="136">
        <f>+E840*$N796</f>
        <v>13.99674914213473</v>
      </c>
      <c r="G840" s="136">
        <f t="shared" si="26"/>
        <v>23050</v>
      </c>
      <c r="H840" s="136">
        <f t="shared" si="27"/>
        <v>416.29040996929746</v>
      </c>
    </row>
    <row r="841" spans="1:14">
      <c r="B841" s="134">
        <v>2026</v>
      </c>
      <c r="C841" s="135">
        <v>14460</v>
      </c>
      <c r="D841" s="136">
        <f>+C841*$N796</f>
        <v>261.15224851002347</v>
      </c>
      <c r="E841" s="135">
        <v>775</v>
      </c>
      <c r="F841" s="136">
        <f>+E841*$N796</f>
        <v>13.99674914213473</v>
      </c>
      <c r="G841" s="136">
        <f t="shared" si="26"/>
        <v>15235</v>
      </c>
      <c r="H841" s="136">
        <f t="shared" si="27"/>
        <v>275.14899765215819</v>
      </c>
    </row>
    <row r="842" spans="1:14">
      <c r="B842" s="134">
        <v>2027</v>
      </c>
      <c r="C842" s="135">
        <v>26080</v>
      </c>
      <c r="D842" s="136">
        <f>+C842*$N796</f>
        <v>471.01318403467582</v>
      </c>
      <c r="E842" s="135">
        <v>775</v>
      </c>
      <c r="F842" s="136">
        <f>+E842*$N796</f>
        <v>13.99674914213473</v>
      </c>
      <c r="G842" s="136">
        <f t="shared" si="26"/>
        <v>26855</v>
      </c>
      <c r="H842" s="136">
        <f t="shared" si="27"/>
        <v>485.00993317681053</v>
      </c>
    </row>
    <row r="843" spans="1:14">
      <c r="B843" s="134" t="s">
        <v>146</v>
      </c>
      <c r="C843" s="135">
        <v>131825</v>
      </c>
      <c r="D843" s="136">
        <f>+C843*$N796</f>
        <v>2380.8018782734334</v>
      </c>
      <c r="E843" s="135">
        <v>35546</v>
      </c>
      <c r="F843" s="136">
        <f>+E843*$N796</f>
        <v>641.97218710493041</v>
      </c>
      <c r="G843" s="136">
        <f t="shared" si="26"/>
        <v>167371</v>
      </c>
      <c r="H843" s="136">
        <f t="shared" si="27"/>
        <v>3022.774065378364</v>
      </c>
    </row>
    <row r="844" spans="1:14">
      <c r="B844" s="137" t="s">
        <v>44</v>
      </c>
      <c r="C844" s="138">
        <f t="shared" ref="C844:H844" si="28">+SUM(C838:C843)</f>
        <v>229891</v>
      </c>
      <c r="D844" s="138">
        <f t="shared" si="28"/>
        <v>4151.9053639154772</v>
      </c>
      <c r="E844" s="138">
        <f t="shared" si="28"/>
        <v>40418</v>
      </c>
      <c r="F844" s="138">
        <f t="shared" si="28"/>
        <v>729.96207332490508</v>
      </c>
      <c r="G844" s="138">
        <f t="shared" si="28"/>
        <v>270309</v>
      </c>
      <c r="H844" s="138">
        <f t="shared" si="28"/>
        <v>4881.867437240383</v>
      </c>
      <c r="M844" s="139"/>
    </row>
    <row r="847" spans="1:14">
      <c r="A847" s="103" t="s">
        <v>153</v>
      </c>
      <c r="M847" s="104" t="s">
        <v>154</v>
      </c>
      <c r="N847" s="106">
        <f>1/Model!AI202</f>
        <v>1.8380663541953866E-2</v>
      </c>
    </row>
    <row r="848" spans="1:14">
      <c r="M848" s="105" t="s">
        <v>155</v>
      </c>
      <c r="N848" s="106">
        <f>1/Model!AI201</f>
        <v>1.8238856058947983E-2</v>
      </c>
    </row>
    <row r="849" spans="2:14">
      <c r="M849" s="105"/>
      <c r="N849" s="106"/>
    </row>
    <row r="850" spans="2:14" ht="15.75" thickBot="1">
      <c r="B850" s="107"/>
      <c r="C850" s="106"/>
    </row>
    <row r="851" spans="2:14" ht="26.25">
      <c r="B851" s="108" t="s">
        <v>156</v>
      </c>
      <c r="C851" s="109" t="s">
        <v>85</v>
      </c>
      <c r="D851" s="109" t="s">
        <v>88</v>
      </c>
      <c r="E851" s="110" t="s">
        <v>89</v>
      </c>
      <c r="F851" s="110" t="s">
        <v>7</v>
      </c>
      <c r="M851" s="167" t="s">
        <v>8</v>
      </c>
      <c r="N851" s="168"/>
    </row>
    <row r="852" spans="2:14">
      <c r="B852" s="111" t="s">
        <v>24</v>
      </c>
      <c r="C852" s="112"/>
      <c r="D852" s="113"/>
      <c r="E852" s="114"/>
      <c r="F852" s="114"/>
      <c r="M852" s="165" t="s">
        <v>10</v>
      </c>
      <c r="N852" s="169">
        <v>220732</v>
      </c>
    </row>
    <row r="853" spans="2:14" ht="15.75" thickBot="1">
      <c r="B853" s="116" t="s">
        <v>90</v>
      </c>
      <c r="C853" s="112">
        <v>32008</v>
      </c>
      <c r="D853" s="113">
        <f>C853*$N847</f>
        <v>588.32827865085937</v>
      </c>
      <c r="E853" s="114"/>
      <c r="F853" s="114"/>
      <c r="M853" s="166" t="s">
        <v>12</v>
      </c>
      <c r="N853" s="170" t="s">
        <v>157</v>
      </c>
    </row>
    <row r="854" spans="2:14">
      <c r="B854" s="115" t="s">
        <v>91</v>
      </c>
      <c r="C854" s="112">
        <v>0</v>
      </c>
      <c r="D854" s="113">
        <f>C854*$N847</f>
        <v>0</v>
      </c>
      <c r="E854" s="114"/>
      <c r="F854" s="114"/>
      <c r="N854" s="143"/>
    </row>
    <row r="855" spans="2:14">
      <c r="B855" s="116" t="s">
        <v>30</v>
      </c>
      <c r="C855" s="112"/>
      <c r="D855" s="113"/>
      <c r="E855" s="114"/>
      <c r="F855" s="114"/>
    </row>
    <row r="856" spans="2:14">
      <c r="B856" s="115" t="s">
        <v>92</v>
      </c>
      <c r="C856" s="112">
        <v>7216</v>
      </c>
      <c r="D856" s="113">
        <f>C856*$N847</f>
        <v>132.63486811873909</v>
      </c>
      <c r="E856" s="114"/>
      <c r="F856" s="114"/>
    </row>
    <row r="857" spans="2:14">
      <c r="B857" s="111" t="s">
        <v>93</v>
      </c>
      <c r="C857" s="112"/>
      <c r="D857" s="113"/>
      <c r="E857" s="114"/>
      <c r="F857" s="114"/>
    </row>
    <row r="858" spans="2:14">
      <c r="B858" s="115" t="s">
        <v>94</v>
      </c>
      <c r="C858" s="112">
        <v>0</v>
      </c>
      <c r="D858" s="113">
        <f>C858*$N847</f>
        <v>0</v>
      </c>
      <c r="E858" s="114"/>
      <c r="F858" s="114"/>
    </row>
    <row r="859" spans="2:14">
      <c r="B859" s="115" t="s">
        <v>95</v>
      </c>
      <c r="C859" s="112">
        <v>2597</v>
      </c>
      <c r="D859" s="113">
        <f>C859*$N847</f>
        <v>47.734583218454191</v>
      </c>
      <c r="E859" s="114"/>
      <c r="F859" s="114"/>
    </row>
    <row r="860" spans="2:14">
      <c r="B860" s="111" t="s">
        <v>96</v>
      </c>
      <c r="C860" s="112"/>
      <c r="D860" s="113">
        <f>C860*$N847</f>
        <v>0</v>
      </c>
      <c r="E860" s="114"/>
      <c r="F860" s="114"/>
    </row>
    <row r="861" spans="2:14">
      <c r="B861" s="115" t="s">
        <v>68</v>
      </c>
      <c r="C861" s="112">
        <v>197648</v>
      </c>
      <c r="D861" s="113">
        <f>C861*$N847</f>
        <v>3632.9013877400976</v>
      </c>
      <c r="E861" s="114"/>
      <c r="F861" s="114"/>
    </row>
    <row r="862" spans="2:14">
      <c r="B862" s="115" t="s">
        <v>97</v>
      </c>
      <c r="C862" s="112">
        <v>0</v>
      </c>
      <c r="D862" s="113">
        <f>C862*$N847</f>
        <v>0</v>
      </c>
      <c r="E862" s="114"/>
      <c r="F862" s="114"/>
    </row>
    <row r="863" spans="2:14">
      <c r="B863" s="111" t="s">
        <v>32</v>
      </c>
      <c r="C863" s="113">
        <f>+C854+C856+C858+C859+C861+C853</f>
        <v>239469</v>
      </c>
      <c r="D863" s="113">
        <f>C863*$N847</f>
        <v>4401.5991177281503</v>
      </c>
      <c r="E863" s="114"/>
      <c r="F863" s="114"/>
    </row>
    <row r="864" spans="2:14">
      <c r="B864" s="111" t="s">
        <v>33</v>
      </c>
      <c r="C864" s="112">
        <v>24850</v>
      </c>
      <c r="D864" s="113">
        <f>C864*$N847</f>
        <v>456.75948901755356</v>
      </c>
      <c r="E864" s="114"/>
      <c r="F864" s="114"/>
    </row>
    <row r="865" spans="2:6">
      <c r="B865" s="111" t="s">
        <v>98</v>
      </c>
      <c r="C865" s="113">
        <f>+C863-C864</f>
        <v>214619</v>
      </c>
      <c r="D865" s="113">
        <f>C865*$N847</f>
        <v>3944.8396287105966</v>
      </c>
      <c r="E865" s="114"/>
      <c r="F865" s="114"/>
    </row>
    <row r="866" spans="2:6">
      <c r="B866" s="117" t="s">
        <v>35</v>
      </c>
      <c r="C866" s="112">
        <v>24850</v>
      </c>
      <c r="D866" s="113">
        <f>C866*$N847</f>
        <v>456.75948901755356</v>
      </c>
      <c r="E866" s="114"/>
      <c r="F866" s="118"/>
    </row>
    <row r="867" spans="2:6">
      <c r="B867" s="117" t="s">
        <v>36</v>
      </c>
      <c r="C867" s="112">
        <v>6000</v>
      </c>
      <c r="D867" s="113">
        <f>C867*$N847</f>
        <v>110.28398125172319</v>
      </c>
      <c r="E867" s="114"/>
      <c r="F867" s="118"/>
    </row>
    <row r="868" spans="2:6">
      <c r="B868" s="119" t="s">
        <v>37</v>
      </c>
      <c r="C868" s="120">
        <f>+C865+C866+C867</f>
        <v>245469</v>
      </c>
      <c r="D868" s="120">
        <f>+D865+D866+D867</f>
        <v>4511.8830989798735</v>
      </c>
      <c r="E868" s="121"/>
      <c r="F868" s="122"/>
    </row>
    <row r="869" spans="2:6">
      <c r="B869" s="111" t="s">
        <v>99</v>
      </c>
      <c r="C869" s="112">
        <v>2206</v>
      </c>
      <c r="D869" s="113">
        <f>C869*$N847</f>
        <v>40.547743773550231</v>
      </c>
      <c r="E869" s="121"/>
      <c r="F869" s="122"/>
    </row>
    <row r="870" spans="2:6">
      <c r="B870" s="142" t="s">
        <v>100</v>
      </c>
      <c r="C870" s="120">
        <f>C868+C869</f>
        <v>247675</v>
      </c>
      <c r="D870" s="120">
        <f>D868+D869</f>
        <v>4552.4308427534233</v>
      </c>
      <c r="E870" s="121"/>
      <c r="F870" s="122"/>
    </row>
    <row r="871" spans="2:6">
      <c r="B871" s="117" t="s">
        <v>38</v>
      </c>
      <c r="C871" s="112">
        <v>12462</v>
      </c>
      <c r="D871" s="113">
        <f>C871*$N847</f>
        <v>229.05982905982907</v>
      </c>
      <c r="E871" s="121"/>
      <c r="F871" s="122"/>
    </row>
    <row r="872" spans="2:6">
      <c r="B872" s="117" t="s">
        <v>39</v>
      </c>
      <c r="C872" s="112">
        <v>28285</v>
      </c>
      <c r="D872" s="113">
        <f>C872*$N847</f>
        <v>519.89706828416513</v>
      </c>
      <c r="E872" s="121"/>
      <c r="F872" s="122"/>
    </row>
    <row r="873" spans="2:6">
      <c r="B873" s="123" t="s">
        <v>40</v>
      </c>
      <c r="C873" s="124">
        <f>C868+C871+C872</f>
        <v>286216</v>
      </c>
      <c r="D873" s="124">
        <f>D868+D871+D872</f>
        <v>5260.839996323868</v>
      </c>
      <c r="E873" s="125">
        <f>C873/C878</f>
        <v>2.7161402976009716</v>
      </c>
      <c r="F873" s="125">
        <f>D873/D878</f>
        <v>2.7372583445798382</v>
      </c>
    </row>
    <row r="874" spans="2:6">
      <c r="B874" s="117" t="s">
        <v>41</v>
      </c>
      <c r="C874" s="113">
        <f>Model!AI$119</f>
        <v>26086</v>
      </c>
      <c r="D874" s="113">
        <f>C874*$N847</f>
        <v>479.47798915540852</v>
      </c>
      <c r="E874" s="126"/>
      <c r="F874" s="126"/>
    </row>
    <row r="875" spans="2:6">
      <c r="B875" s="123" t="s">
        <v>19</v>
      </c>
      <c r="C875" s="124">
        <f>C873-C874</f>
        <v>260130</v>
      </c>
      <c r="D875" s="124">
        <f>D873-D874</f>
        <v>4781.36200716846</v>
      </c>
      <c r="E875" s="125">
        <f>C875/C878</f>
        <v>2.4685886729426056</v>
      </c>
      <c r="F875" s="125">
        <f>D875/D878</f>
        <v>2.48778200092082</v>
      </c>
    </row>
    <row r="876" spans="2:6">
      <c r="B876" s="119" t="s">
        <v>20</v>
      </c>
      <c r="C876" s="141">
        <f>Model!AI$126</f>
        <v>109977</v>
      </c>
      <c r="D876" s="127"/>
      <c r="E876" s="128"/>
      <c r="F876" s="117"/>
    </row>
    <row r="877" spans="2:6">
      <c r="B877" s="119" t="s">
        <v>21</v>
      </c>
      <c r="C877" s="129">
        <f>C875+C876</f>
        <v>370107</v>
      </c>
      <c r="D877" s="129"/>
      <c r="E877" s="128"/>
      <c r="F877" s="117"/>
    </row>
    <row r="878" spans="2:6">
      <c r="B878" s="117" t="s">
        <v>22</v>
      </c>
      <c r="C878" s="130">
        <f>Model!AI$84</f>
        <v>105376</v>
      </c>
      <c r="D878" s="130">
        <f>C878*N848</f>
        <v>1921.9376960677027</v>
      </c>
      <c r="E878" s="117"/>
      <c r="F878" s="117"/>
    </row>
    <row r="879" spans="2:6">
      <c r="B879" s="131" t="s">
        <v>23</v>
      </c>
      <c r="C879" s="159">
        <f>C873-Model!AI$123</f>
        <v>0</v>
      </c>
    </row>
    <row r="880" spans="2:6">
      <c r="B880" s="131"/>
      <c r="C880" s="159"/>
    </row>
    <row r="881" spans="2:13">
      <c r="B881" s="343" t="s">
        <v>158</v>
      </c>
      <c r="C881" s="343"/>
      <c r="D881" s="343"/>
    </row>
    <row r="882" spans="2:13">
      <c r="B882" s="344"/>
      <c r="C882" s="133" t="s">
        <v>102</v>
      </c>
      <c r="D882" s="144" t="s">
        <v>103</v>
      </c>
    </row>
    <row r="883" spans="2:13">
      <c r="B883" s="134" t="str">
        <f>+B874</f>
        <v>Cash &amp; Cash  Equivalents</v>
      </c>
      <c r="C883" s="136">
        <f>+C874</f>
        <v>26086</v>
      </c>
      <c r="D883" s="136">
        <f>+C883*$N847</f>
        <v>479.47798915540852</v>
      </c>
    </row>
    <row r="884" spans="2:13">
      <c r="B884" s="134" t="s">
        <v>117</v>
      </c>
      <c r="C884" s="136">
        <v>0</v>
      </c>
      <c r="D884" s="136">
        <f>+C884*$N847</f>
        <v>0</v>
      </c>
    </row>
    <row r="885" spans="2:13">
      <c r="B885" s="137" t="s">
        <v>44</v>
      </c>
      <c r="C885" s="138">
        <f>+SUM(C883:C884)</f>
        <v>26086</v>
      </c>
      <c r="D885" s="138">
        <f>+SUM(D883:D884)</f>
        <v>479.47798915540852</v>
      </c>
    </row>
    <row r="887" spans="2:13">
      <c r="B887" s="343" t="s">
        <v>79</v>
      </c>
      <c r="C887" s="343" t="s">
        <v>104</v>
      </c>
      <c r="D887" s="343"/>
      <c r="E887" s="132" t="s">
        <v>118</v>
      </c>
      <c r="F887" s="132"/>
      <c r="G887" s="343" t="s">
        <v>119</v>
      </c>
      <c r="H887" s="343"/>
    </row>
    <row r="888" spans="2:13">
      <c r="B888" s="344"/>
      <c r="C888" s="133" t="s">
        <v>102</v>
      </c>
      <c r="D888" s="144" t="s">
        <v>103</v>
      </c>
      <c r="E888" s="144" t="s">
        <v>120</v>
      </c>
      <c r="F888" s="144" t="s">
        <v>103</v>
      </c>
      <c r="G888" s="144" t="s">
        <v>120</v>
      </c>
      <c r="H888" s="144" t="s">
        <v>103</v>
      </c>
    </row>
    <row r="889" spans="2:13">
      <c r="B889" s="134">
        <v>2023</v>
      </c>
      <c r="C889" s="135">
        <v>25973</v>
      </c>
      <c r="D889" s="136">
        <f>+C889*$N847</f>
        <v>477.40097417516773</v>
      </c>
      <c r="E889" s="135">
        <v>570</v>
      </c>
      <c r="F889" s="136">
        <f>+E889*$N847</f>
        <v>10.476978218913704</v>
      </c>
      <c r="G889" s="136">
        <f t="shared" ref="G889:G894" si="29">+C889+E889</f>
        <v>26543</v>
      </c>
      <c r="H889" s="136">
        <f t="shared" ref="H889:H894" si="30">+D889+F889</f>
        <v>487.87795239408143</v>
      </c>
    </row>
    <row r="890" spans="2:13">
      <c r="B890" s="134">
        <v>2024</v>
      </c>
      <c r="C890" s="135">
        <v>9495</v>
      </c>
      <c r="D890" s="136">
        <f>+C890*$N847</f>
        <v>174.52440033085196</v>
      </c>
      <c r="E890" s="135">
        <v>2118</v>
      </c>
      <c r="F890" s="136">
        <f>+E890*$N847</f>
        <v>38.930245381858285</v>
      </c>
      <c r="G890" s="136">
        <f t="shared" si="29"/>
        <v>11613</v>
      </c>
      <c r="H890" s="136">
        <f t="shared" si="30"/>
        <v>213.45464571271026</v>
      </c>
    </row>
    <row r="891" spans="2:13">
      <c r="B891" s="134">
        <v>2025</v>
      </c>
      <c r="C891" s="135">
        <v>22050</v>
      </c>
      <c r="D891" s="136">
        <f>+C891*$N847</f>
        <v>405.29363110008273</v>
      </c>
      <c r="E891" s="135">
        <v>761</v>
      </c>
      <c r="F891" s="136">
        <f>+E891*$N847</f>
        <v>13.987684955426891</v>
      </c>
      <c r="G891" s="136">
        <f t="shared" si="29"/>
        <v>22811</v>
      </c>
      <c r="H891" s="136">
        <f t="shared" si="30"/>
        <v>419.28131605550965</v>
      </c>
    </row>
    <row r="892" spans="2:13">
      <c r="B892" s="134">
        <v>2026</v>
      </c>
      <c r="C892" s="135">
        <v>14235</v>
      </c>
      <c r="D892" s="136">
        <f>+C892*$N847</f>
        <v>261.64874551971326</v>
      </c>
      <c r="E892" s="135">
        <v>761</v>
      </c>
      <c r="F892" s="136">
        <f>+E892*$N847</f>
        <v>13.987684955426891</v>
      </c>
      <c r="G892" s="136">
        <f t="shared" si="29"/>
        <v>14996</v>
      </c>
      <c r="H892" s="136">
        <f t="shared" si="30"/>
        <v>275.63643047514017</v>
      </c>
    </row>
    <row r="893" spans="2:13">
      <c r="B893" s="134">
        <v>2027</v>
      </c>
      <c r="C893" s="135">
        <v>25855</v>
      </c>
      <c r="D893" s="136">
        <f>+C893*$N847</f>
        <v>475.23205587721719</v>
      </c>
      <c r="E893" s="135">
        <v>760</v>
      </c>
      <c r="F893" s="136">
        <f>+E893*$N847</f>
        <v>13.969304291884939</v>
      </c>
      <c r="G893" s="136">
        <f t="shared" si="29"/>
        <v>26615</v>
      </c>
      <c r="H893" s="136">
        <f t="shared" si="30"/>
        <v>489.20136016910214</v>
      </c>
    </row>
    <row r="894" spans="2:13">
      <c r="B894" s="134" t="s">
        <v>146</v>
      </c>
      <c r="C894" s="135">
        <v>110225</v>
      </c>
      <c r="D894" s="136">
        <f>+C894*$N847</f>
        <v>2026.0086389118649</v>
      </c>
      <c r="E894" s="135">
        <v>34872</v>
      </c>
      <c r="F894" s="136">
        <f>+E894*$N847</f>
        <v>640.97049903501522</v>
      </c>
      <c r="G894" s="136">
        <f t="shared" si="29"/>
        <v>145097</v>
      </c>
      <c r="H894" s="136">
        <f t="shared" si="30"/>
        <v>2666.9791379468802</v>
      </c>
    </row>
    <row r="895" spans="2:13">
      <c r="B895" s="137" t="s">
        <v>44</v>
      </c>
      <c r="C895" s="138">
        <f t="shared" ref="C895:H895" si="31">+SUM(C889:C894)</f>
        <v>207833</v>
      </c>
      <c r="D895" s="138">
        <f t="shared" si="31"/>
        <v>3820.1084459148979</v>
      </c>
      <c r="E895" s="138">
        <f t="shared" si="31"/>
        <v>39842</v>
      </c>
      <c r="F895" s="138">
        <f t="shared" si="31"/>
        <v>732.32239683852595</v>
      </c>
      <c r="G895" s="138">
        <f t="shared" si="31"/>
        <v>247675</v>
      </c>
      <c r="H895" s="138">
        <f t="shared" si="31"/>
        <v>4552.4308427534243</v>
      </c>
      <c r="M895" s="139"/>
    </row>
    <row r="898" spans="1:14">
      <c r="A898" s="103" t="s">
        <v>159</v>
      </c>
      <c r="M898" s="104" t="s">
        <v>160</v>
      </c>
      <c r="N898" s="106">
        <f>1/Model!AH202</f>
        <v>1.796299622777079E-2</v>
      </c>
    </row>
    <row r="899" spans="1:14">
      <c r="M899" s="105" t="s">
        <v>161</v>
      </c>
      <c r="N899" s="106">
        <f>1/Model!AH201</f>
        <v>1.6489133660917452E-2</v>
      </c>
    </row>
    <row r="900" spans="1:14">
      <c r="M900" s="105"/>
      <c r="N900" s="106"/>
    </row>
    <row r="901" spans="1:14">
      <c r="B901" s="107" t="s">
        <v>162</v>
      </c>
      <c r="C901" s="106"/>
    </row>
    <row r="902" spans="1:14" ht="26.25">
      <c r="B902" s="108" t="s">
        <v>163</v>
      </c>
      <c r="C902" s="109" t="s">
        <v>85</v>
      </c>
      <c r="D902" s="109" t="s">
        <v>88</v>
      </c>
      <c r="E902" s="110" t="s">
        <v>89</v>
      </c>
      <c r="F902" s="110" t="s">
        <v>7</v>
      </c>
    </row>
    <row r="903" spans="1:14">
      <c r="B903" s="111" t="s">
        <v>24</v>
      </c>
      <c r="C903" s="112"/>
      <c r="D903" s="113"/>
      <c r="E903" s="114"/>
      <c r="F903" s="114"/>
    </row>
    <row r="904" spans="1:14">
      <c r="B904" s="116" t="s">
        <v>90</v>
      </c>
      <c r="C904" s="112">
        <v>32892</v>
      </c>
      <c r="D904" s="113">
        <f>C904*$N898</f>
        <v>590.83887192383679</v>
      </c>
      <c r="E904" s="114"/>
      <c r="F904" s="114"/>
    </row>
    <row r="905" spans="1:14">
      <c r="B905" s="115" t="s">
        <v>91</v>
      </c>
      <c r="C905" s="112">
        <v>0</v>
      </c>
      <c r="D905" s="113">
        <f>C905*$N898</f>
        <v>0</v>
      </c>
      <c r="E905" s="114"/>
      <c r="F905" s="114"/>
    </row>
    <row r="906" spans="1:14">
      <c r="B906" s="116" t="s">
        <v>30</v>
      </c>
      <c r="C906" s="112"/>
      <c r="D906" s="113"/>
      <c r="E906" s="114"/>
      <c r="F906" s="114"/>
    </row>
    <row r="907" spans="1:14">
      <c r="B907" s="115" t="s">
        <v>92</v>
      </c>
      <c r="C907" s="112">
        <v>9002</v>
      </c>
      <c r="D907" s="113">
        <f>C907*$N898</f>
        <v>161.70289204239265</v>
      </c>
      <c r="E907" s="114"/>
      <c r="F907" s="114"/>
    </row>
    <row r="908" spans="1:14">
      <c r="B908" s="111" t="s">
        <v>93</v>
      </c>
      <c r="C908" s="112"/>
      <c r="D908" s="113"/>
      <c r="E908" s="114"/>
      <c r="F908" s="114"/>
    </row>
    <row r="909" spans="1:14">
      <c r="B909" s="115" t="s">
        <v>94</v>
      </c>
      <c r="C909" s="112">
        <v>0</v>
      </c>
      <c r="D909" s="113">
        <f>C909*$N898</f>
        <v>0</v>
      </c>
      <c r="E909" s="114"/>
      <c r="F909" s="114"/>
    </row>
    <row r="910" spans="1:14">
      <c r="B910" s="115" t="s">
        <v>95</v>
      </c>
      <c r="C910" s="112">
        <v>2596</v>
      </c>
      <c r="D910" s="113">
        <f>C910*$N898</f>
        <v>46.631938207292968</v>
      </c>
      <c r="E910" s="114"/>
      <c r="F910" s="114"/>
    </row>
    <row r="911" spans="1:14">
      <c r="B911" s="111" t="s">
        <v>96</v>
      </c>
      <c r="C911" s="112"/>
      <c r="D911" s="113">
        <f>C911*$N898</f>
        <v>0</v>
      </c>
      <c r="E911" s="114"/>
      <c r="F911" s="114"/>
    </row>
    <row r="912" spans="1:14">
      <c r="B912" s="115" t="s">
        <v>68</v>
      </c>
      <c r="C912" s="112">
        <v>195090</v>
      </c>
      <c r="D912" s="113">
        <f>C912*$N898</f>
        <v>3504.4009340758034</v>
      </c>
      <c r="E912" s="114"/>
      <c r="F912" s="114"/>
    </row>
    <row r="913" spans="2:6">
      <c r="B913" s="115" t="s">
        <v>97</v>
      </c>
      <c r="C913" s="112">
        <v>0</v>
      </c>
      <c r="D913" s="113">
        <f>C913*$N898</f>
        <v>0</v>
      </c>
      <c r="E913" s="114"/>
      <c r="F913" s="114"/>
    </row>
    <row r="914" spans="2:6">
      <c r="B914" s="111" t="s">
        <v>32</v>
      </c>
      <c r="C914" s="113">
        <f>+C905+C907+C909+C910+C912+C904</f>
        <v>239580</v>
      </c>
      <c r="D914" s="113">
        <f>C914*$N898</f>
        <v>4303.5746362493255</v>
      </c>
      <c r="E914" s="114"/>
      <c r="F914" s="114"/>
    </row>
    <row r="915" spans="2:6">
      <c r="B915" s="111" t="s">
        <v>33</v>
      </c>
      <c r="C915" s="112">
        <v>22292</v>
      </c>
      <c r="D915" s="113">
        <f>C915*$N898</f>
        <v>400.43111190946644</v>
      </c>
      <c r="E915" s="114"/>
      <c r="F915" s="114"/>
    </row>
    <row r="916" spans="2:6">
      <c r="B916" s="111" t="s">
        <v>98</v>
      </c>
      <c r="C916" s="113">
        <f>+C914-C915</f>
        <v>217288</v>
      </c>
      <c r="D916" s="113">
        <f>C916*$N898</f>
        <v>3903.1435243398596</v>
      </c>
      <c r="E916" s="114"/>
      <c r="F916" s="114"/>
    </row>
    <row r="917" spans="2:6">
      <c r="B917" s="117" t="s">
        <v>35</v>
      </c>
      <c r="C917" s="112">
        <v>22292</v>
      </c>
      <c r="D917" s="113">
        <f>C917*$N898</f>
        <v>400.43111190946644</v>
      </c>
      <c r="E917" s="114"/>
      <c r="F917" s="118"/>
    </row>
    <row r="918" spans="2:6">
      <c r="B918" s="117" t="s">
        <v>36</v>
      </c>
      <c r="C918" s="112">
        <v>10000</v>
      </c>
      <c r="D918" s="113">
        <f>C918*$N898</f>
        <v>179.6299622777079</v>
      </c>
      <c r="E918" s="114"/>
      <c r="F918" s="118"/>
    </row>
    <row r="919" spans="2:6">
      <c r="B919" s="119" t="s">
        <v>37</v>
      </c>
      <c r="C919" s="120">
        <f>+C916+C917+C918</f>
        <v>249580</v>
      </c>
      <c r="D919" s="120">
        <f>+D916+D917+D918</f>
        <v>4483.2045985270342</v>
      </c>
      <c r="E919" s="121"/>
      <c r="F919" s="122"/>
    </row>
    <row r="920" spans="2:6">
      <c r="B920" s="111" t="s">
        <v>99</v>
      </c>
      <c r="C920" s="112">
        <v>2279</v>
      </c>
      <c r="D920" s="113">
        <f>C920*$N898</f>
        <v>40.937668403089631</v>
      </c>
      <c r="E920" s="121"/>
      <c r="F920" s="122"/>
    </row>
    <row r="921" spans="2:6">
      <c r="B921" s="142" t="s">
        <v>100</v>
      </c>
      <c r="C921" s="120">
        <f>C919+C920</f>
        <v>251859</v>
      </c>
      <c r="D921" s="120">
        <f>D919+D920</f>
        <v>4524.1422669301237</v>
      </c>
      <c r="E921" s="121"/>
      <c r="F921" s="122"/>
    </row>
    <row r="922" spans="2:6">
      <c r="B922" s="117" t="s">
        <v>38</v>
      </c>
      <c r="C922" s="112">
        <v>10477</v>
      </c>
      <c r="D922" s="113">
        <f>C922*$N898</f>
        <v>188.19831147835458</v>
      </c>
      <c r="E922" s="121"/>
      <c r="F922" s="122"/>
    </row>
    <row r="923" spans="2:6">
      <c r="B923" s="117" t="s">
        <v>39</v>
      </c>
      <c r="C923" s="112">
        <v>31958</v>
      </c>
      <c r="D923" s="113">
        <f>C923*$N898</f>
        <v>574.06143344709892</v>
      </c>
      <c r="E923" s="121"/>
      <c r="F923" s="122"/>
    </row>
    <row r="924" spans="2:6">
      <c r="B924" s="123" t="s">
        <v>40</v>
      </c>
      <c r="C924" s="124">
        <f>C919+C922+C923</f>
        <v>292015</v>
      </c>
      <c r="D924" s="124">
        <f>D919+D922+D923</f>
        <v>5245.4643434524878</v>
      </c>
      <c r="E924" s="125">
        <f>C924/C929</f>
        <v>2.9125191996967943</v>
      </c>
      <c r="F924" s="125">
        <f>D924/D929</f>
        <v>3.1728514349705739</v>
      </c>
    </row>
    <row r="925" spans="2:6">
      <c r="B925" s="117" t="s">
        <v>164</v>
      </c>
      <c r="C925" s="113">
        <f>Model!AH$119</f>
        <v>25594</v>
      </c>
      <c r="D925" s="113">
        <f>C925*$N898</f>
        <v>459.7449254535656</v>
      </c>
      <c r="E925" s="126"/>
      <c r="F925" s="126"/>
    </row>
    <row r="926" spans="2:6">
      <c r="B926" s="123" t="s">
        <v>19</v>
      </c>
      <c r="C926" s="124">
        <f>C924-C925</f>
        <v>266421</v>
      </c>
      <c r="D926" s="124">
        <f>D924-D925</f>
        <v>4785.7194179989219</v>
      </c>
      <c r="E926" s="125">
        <f>C926/C929</f>
        <v>2.6572480102132414</v>
      </c>
      <c r="F926" s="125">
        <f>D926/D929</f>
        <v>2.8947631188681924</v>
      </c>
    </row>
    <row r="927" spans="2:6">
      <c r="B927" s="119" t="s">
        <v>20</v>
      </c>
      <c r="C927" s="141">
        <f>Model!AH$126</f>
        <v>113961</v>
      </c>
      <c r="D927" s="127"/>
      <c r="E927" s="128"/>
      <c r="F927" s="117"/>
    </row>
    <row r="928" spans="2:6">
      <c r="B928" s="119" t="s">
        <v>21</v>
      </c>
      <c r="C928" s="129">
        <f>C926+C927</f>
        <v>380382</v>
      </c>
      <c r="D928" s="129"/>
      <c r="E928" s="128"/>
      <c r="F928" s="117"/>
    </row>
    <row r="929" spans="2:8">
      <c r="B929" s="117" t="s">
        <v>22</v>
      </c>
      <c r="C929" s="130">
        <f>Model!AH$84</f>
        <v>100262</v>
      </c>
      <c r="D929" s="130">
        <f>C929*N899</f>
        <v>1653.2335191109055</v>
      </c>
      <c r="E929" s="117"/>
      <c r="F929" s="117"/>
    </row>
    <row r="930" spans="2:8">
      <c r="B930" s="131" t="s">
        <v>23</v>
      </c>
      <c r="C930" s="159">
        <f>C924-Model!AH$123</f>
        <v>0</v>
      </c>
    </row>
    <row r="931" spans="2:8">
      <c r="B931" s="131"/>
      <c r="C931" s="159"/>
    </row>
    <row r="932" spans="2:8">
      <c r="B932" s="343" t="s">
        <v>165</v>
      </c>
      <c r="C932" s="343"/>
      <c r="D932" s="343"/>
    </row>
    <row r="933" spans="2:8">
      <c r="B933" s="344"/>
      <c r="C933" s="133" t="s">
        <v>102</v>
      </c>
      <c r="D933" s="144" t="s">
        <v>103</v>
      </c>
    </row>
    <row r="934" spans="2:8">
      <c r="B934" s="134" t="str">
        <f>+B925</f>
        <v>Cash and Short-Term Investments</v>
      </c>
      <c r="C934" s="136">
        <f>+C925</f>
        <v>25594</v>
      </c>
      <c r="D934" s="136">
        <f>+C934*$N898</f>
        <v>459.7449254535656</v>
      </c>
    </row>
    <row r="935" spans="2:8">
      <c r="B935" s="134" t="s">
        <v>117</v>
      </c>
      <c r="C935" s="136">
        <v>0</v>
      </c>
      <c r="D935" s="136">
        <f>+C935*$N898</f>
        <v>0</v>
      </c>
    </row>
    <row r="936" spans="2:8">
      <c r="B936" s="137" t="s">
        <v>44</v>
      </c>
      <c r="C936" s="138">
        <f>+SUM(C934:C935)</f>
        <v>25594</v>
      </c>
      <c r="D936" s="138">
        <f>+SUM(D934:D935)</f>
        <v>459.7449254535656</v>
      </c>
    </row>
    <row r="938" spans="2:8">
      <c r="B938" s="343" t="s">
        <v>79</v>
      </c>
      <c r="C938" s="343" t="s">
        <v>104</v>
      </c>
      <c r="D938" s="343"/>
      <c r="E938" s="132" t="s">
        <v>118</v>
      </c>
      <c r="F938" s="132"/>
      <c r="G938" s="343" t="s">
        <v>119</v>
      </c>
      <c r="H938" s="343"/>
    </row>
    <row r="939" spans="2:8">
      <c r="B939" s="344"/>
      <c r="C939" s="133" t="s">
        <v>102</v>
      </c>
      <c r="D939" s="144" t="s">
        <v>103</v>
      </c>
      <c r="E939" s="144" t="s">
        <v>120</v>
      </c>
      <c r="F939" s="144" t="s">
        <v>103</v>
      </c>
      <c r="G939" s="144" t="s">
        <v>120</v>
      </c>
      <c r="H939" s="144" t="s">
        <v>103</v>
      </c>
    </row>
    <row r="940" spans="2:8">
      <c r="B940" s="134">
        <v>2023</v>
      </c>
      <c r="C940" s="135">
        <v>30468</v>
      </c>
      <c r="D940" s="136">
        <f>+C940*$N898</f>
        <v>547.29656906772038</v>
      </c>
      <c r="E940" s="135">
        <v>2177</v>
      </c>
      <c r="F940" s="136">
        <f>+E940*$N898</f>
        <v>39.105442787857008</v>
      </c>
      <c r="G940" s="136">
        <f t="shared" ref="G940:G945" si="32">+C940+E940</f>
        <v>32645</v>
      </c>
      <c r="H940" s="136">
        <f t="shared" ref="H940:H945" si="33">+D940+F940</f>
        <v>586.40201185557737</v>
      </c>
    </row>
    <row r="941" spans="2:8">
      <c r="B941" s="134">
        <v>2024</v>
      </c>
      <c r="C941" s="135">
        <v>9465</v>
      </c>
      <c r="D941" s="136">
        <f>+C941*$N898</f>
        <v>170.01975929585052</v>
      </c>
      <c r="E941" s="135">
        <v>2177</v>
      </c>
      <c r="F941" s="136">
        <f>+E941*$N898</f>
        <v>39.105442787857008</v>
      </c>
      <c r="G941" s="136">
        <f t="shared" si="32"/>
        <v>11642</v>
      </c>
      <c r="H941" s="136">
        <f t="shared" si="33"/>
        <v>209.12520208370753</v>
      </c>
    </row>
    <row r="942" spans="2:8">
      <c r="B942" s="134">
        <v>2025</v>
      </c>
      <c r="C942" s="135">
        <v>22020</v>
      </c>
      <c r="D942" s="136">
        <f>+C942*$N898</f>
        <v>395.54517693551281</v>
      </c>
      <c r="E942" s="135">
        <v>781</v>
      </c>
      <c r="F942" s="136">
        <f>+E942*$N898</f>
        <v>14.029100053888987</v>
      </c>
      <c r="G942" s="136">
        <f t="shared" si="32"/>
        <v>22801</v>
      </c>
      <c r="H942" s="136">
        <f t="shared" si="33"/>
        <v>409.57427698940182</v>
      </c>
    </row>
    <row r="943" spans="2:8">
      <c r="B943" s="134">
        <v>2026</v>
      </c>
      <c r="C943" s="135">
        <v>14205</v>
      </c>
      <c r="D943" s="136">
        <f>+C943*$N898</f>
        <v>255.16436141548408</v>
      </c>
      <c r="E943" s="135">
        <v>781</v>
      </c>
      <c r="F943" s="136">
        <f>+E943*$N898</f>
        <v>14.029100053888987</v>
      </c>
      <c r="G943" s="136">
        <f t="shared" si="32"/>
        <v>14986</v>
      </c>
      <c r="H943" s="136">
        <f t="shared" si="33"/>
        <v>269.19346146937306</v>
      </c>
    </row>
    <row r="944" spans="2:8">
      <c r="B944" s="134">
        <v>2027</v>
      </c>
      <c r="C944" s="135">
        <v>25825</v>
      </c>
      <c r="D944" s="136">
        <f>+C944*$N898</f>
        <v>463.89437758218065</v>
      </c>
      <c r="E944" s="135">
        <v>782</v>
      </c>
      <c r="F944" s="136">
        <f>+E944*$N898</f>
        <v>14.047063050116758</v>
      </c>
      <c r="G944" s="136">
        <f t="shared" si="32"/>
        <v>26607</v>
      </c>
      <c r="H944" s="136">
        <f t="shared" si="33"/>
        <v>477.94144063229743</v>
      </c>
    </row>
    <row r="945" spans="1:14">
      <c r="B945" s="134" t="s">
        <v>146</v>
      </c>
      <c r="C945" s="135">
        <v>107345</v>
      </c>
      <c r="D945" s="136">
        <f>+C945*$N898</f>
        <v>1928.2378300700555</v>
      </c>
      <c r="E945" s="135">
        <v>35833</v>
      </c>
      <c r="F945" s="136">
        <f>+E945*$N898</f>
        <v>643.66804382971077</v>
      </c>
      <c r="G945" s="136">
        <f t="shared" si="32"/>
        <v>143178</v>
      </c>
      <c r="H945" s="136">
        <f t="shared" si="33"/>
        <v>2571.9058738997664</v>
      </c>
    </row>
    <row r="946" spans="1:14">
      <c r="B946" s="137" t="s">
        <v>44</v>
      </c>
      <c r="C946" s="138">
        <f t="shared" ref="C946:H946" si="34">+SUM(C940:C945)</f>
        <v>209328</v>
      </c>
      <c r="D946" s="138">
        <f t="shared" si="34"/>
        <v>3760.1580743668037</v>
      </c>
      <c r="E946" s="138">
        <f t="shared" si="34"/>
        <v>42531</v>
      </c>
      <c r="F946" s="138">
        <f t="shared" si="34"/>
        <v>763.98419256331954</v>
      </c>
      <c r="G946" s="138">
        <f t="shared" si="34"/>
        <v>251859</v>
      </c>
      <c r="H946" s="138">
        <f t="shared" si="34"/>
        <v>4524.1422669301237</v>
      </c>
      <c r="M946" s="139"/>
    </row>
    <row r="949" spans="1:14">
      <c r="A949" s="103" t="s">
        <v>166</v>
      </c>
      <c r="M949" s="104" t="s">
        <v>167</v>
      </c>
      <c r="N949" s="106">
        <f>1/Model!AG202</f>
        <v>1.7050298380221655E-2</v>
      </c>
    </row>
    <row r="950" spans="1:14">
      <c r="M950" s="105" t="s">
        <v>168</v>
      </c>
      <c r="N950" s="106">
        <f>1/Model!AG201</f>
        <v>1.8646280067126608E-2</v>
      </c>
    </row>
    <row r="951" spans="1:14">
      <c r="M951" s="105"/>
      <c r="N951" s="106"/>
    </row>
    <row r="952" spans="1:14">
      <c r="B952" s="107" t="s">
        <v>162</v>
      </c>
      <c r="C952" s="106"/>
    </row>
    <row r="953" spans="1:14" ht="26.25">
      <c r="B953" s="108" t="s">
        <v>169</v>
      </c>
      <c r="C953" s="109" t="s">
        <v>85</v>
      </c>
      <c r="D953" s="109" t="s">
        <v>88</v>
      </c>
      <c r="E953" s="110" t="s">
        <v>89</v>
      </c>
      <c r="F953" s="110" t="s">
        <v>7</v>
      </c>
    </row>
    <row r="954" spans="1:14">
      <c r="B954" s="111" t="s">
        <v>24</v>
      </c>
      <c r="C954" s="112"/>
      <c r="D954" s="113"/>
      <c r="E954" s="114"/>
      <c r="F954" s="114"/>
    </row>
    <row r="955" spans="1:14">
      <c r="B955" s="116" t="s">
        <v>90</v>
      </c>
      <c r="C955" s="112">
        <v>34570</v>
      </c>
      <c r="D955" s="113">
        <f>C955*$N$949</f>
        <v>589.42881500426256</v>
      </c>
      <c r="E955" s="114"/>
      <c r="F955" s="114"/>
    </row>
    <row r="956" spans="1:14">
      <c r="B956" s="115" t="s">
        <v>91</v>
      </c>
      <c r="C956" s="112">
        <v>0</v>
      </c>
      <c r="D956" s="113">
        <f>C956*$N$949</f>
        <v>0</v>
      </c>
      <c r="E956" s="114"/>
      <c r="F956" s="114"/>
    </row>
    <row r="957" spans="1:14">
      <c r="B957" s="116" t="s">
        <v>30</v>
      </c>
      <c r="C957" s="112"/>
      <c r="D957" s="113"/>
      <c r="E957" s="114"/>
      <c r="F957" s="114"/>
    </row>
    <row r="958" spans="1:14">
      <c r="B958" s="115" t="s">
        <v>92</v>
      </c>
      <c r="C958" s="112">
        <v>10111</v>
      </c>
      <c r="D958" s="113">
        <f>C958*$N$949</f>
        <v>172.39556692242115</v>
      </c>
      <c r="E958" s="114"/>
      <c r="F958" s="114"/>
    </row>
    <row r="959" spans="1:14">
      <c r="B959" s="111" t="s">
        <v>93</v>
      </c>
      <c r="C959" s="112"/>
      <c r="D959" s="113"/>
      <c r="E959" s="114"/>
      <c r="F959" s="114"/>
    </row>
    <row r="960" spans="1:14">
      <c r="B960" s="115" t="s">
        <v>94</v>
      </c>
      <c r="C960" s="112">
        <v>0</v>
      </c>
      <c r="D960" s="113">
        <f t="shared" ref="D960:D969" si="35">C960*$N$949</f>
        <v>0</v>
      </c>
      <c r="E960" s="114"/>
      <c r="F960" s="114"/>
    </row>
    <row r="961" spans="2:6">
      <c r="B961" s="115" t="s">
        <v>95</v>
      </c>
      <c r="C961" s="112">
        <v>2596</v>
      </c>
      <c r="D961" s="113">
        <f t="shared" si="35"/>
        <v>44.262574595055419</v>
      </c>
      <c r="E961" s="114"/>
      <c r="F961" s="114"/>
    </row>
    <row r="962" spans="2:6">
      <c r="B962" s="111" t="s">
        <v>96</v>
      </c>
      <c r="C962" s="112"/>
      <c r="D962" s="113">
        <f t="shared" si="35"/>
        <v>0</v>
      </c>
      <c r="E962" s="114"/>
      <c r="F962" s="114"/>
    </row>
    <row r="963" spans="2:6">
      <c r="B963" s="115" t="s">
        <v>68</v>
      </c>
      <c r="C963" s="112">
        <v>201197</v>
      </c>
      <c r="D963" s="113">
        <f t="shared" si="35"/>
        <v>3430.4688832054562</v>
      </c>
      <c r="E963" s="114"/>
      <c r="F963" s="114"/>
    </row>
    <row r="964" spans="2:6">
      <c r="B964" s="115" t="s">
        <v>97</v>
      </c>
      <c r="C964" s="112">
        <v>0</v>
      </c>
      <c r="D964" s="113">
        <f t="shared" si="35"/>
        <v>0</v>
      </c>
      <c r="E964" s="114"/>
      <c r="F964" s="114"/>
    </row>
    <row r="965" spans="2:6">
      <c r="B965" s="111" t="s">
        <v>32</v>
      </c>
      <c r="C965" s="113">
        <f>+C956+C958+C960+C961+C963+C955</f>
        <v>248474</v>
      </c>
      <c r="D965" s="113">
        <f t="shared" si="35"/>
        <v>4236.5558397271952</v>
      </c>
      <c r="E965" s="114"/>
      <c r="F965" s="114"/>
    </row>
    <row r="966" spans="2:6">
      <c r="B966" s="111" t="s">
        <v>33</v>
      </c>
      <c r="C966" s="112">
        <v>11592</v>
      </c>
      <c r="D966" s="113">
        <f t="shared" si="35"/>
        <v>197.64705882352942</v>
      </c>
      <c r="E966" s="114"/>
      <c r="F966" s="114"/>
    </row>
    <row r="967" spans="2:6">
      <c r="B967" s="111" t="s">
        <v>98</v>
      </c>
      <c r="C967" s="113">
        <f>+C965-C966</f>
        <v>236882</v>
      </c>
      <c r="D967" s="113">
        <f t="shared" si="35"/>
        <v>4038.908780903666</v>
      </c>
      <c r="E967" s="114"/>
      <c r="F967" s="114"/>
    </row>
    <row r="968" spans="2:6">
      <c r="B968" s="117" t="s">
        <v>35</v>
      </c>
      <c r="C968" s="112">
        <v>11592</v>
      </c>
      <c r="D968" s="113">
        <f t="shared" si="35"/>
        <v>197.64705882352942</v>
      </c>
      <c r="E968" s="114"/>
      <c r="F968" s="118"/>
    </row>
    <row r="969" spans="2:6">
      <c r="B969" s="117" t="s">
        <v>36</v>
      </c>
      <c r="C969" s="112">
        <v>8000</v>
      </c>
      <c r="D969" s="113">
        <f t="shared" si="35"/>
        <v>136.40238704177324</v>
      </c>
      <c r="E969" s="114"/>
      <c r="F969" s="118"/>
    </row>
    <row r="970" spans="2:6">
      <c r="B970" s="119" t="s">
        <v>37</v>
      </c>
      <c r="C970" s="120">
        <f>+C967+C968+C969</f>
        <v>256474</v>
      </c>
      <c r="D970" s="120">
        <f>+D967+D968+D969</f>
        <v>4372.9582267689684</v>
      </c>
      <c r="E970" s="121"/>
      <c r="F970" s="122"/>
    </row>
    <row r="971" spans="2:6">
      <c r="B971" s="111" t="s">
        <v>99</v>
      </c>
      <c r="C971" s="112">
        <v>2381</v>
      </c>
      <c r="D971" s="113">
        <f>C971*$N$949</f>
        <v>40.596760443307758</v>
      </c>
      <c r="E971" s="121"/>
      <c r="F971" s="122"/>
    </row>
    <row r="972" spans="2:6">
      <c r="B972" s="142" t="s">
        <v>100</v>
      </c>
      <c r="C972" s="120">
        <f>C970+C971</f>
        <v>258855</v>
      </c>
      <c r="D972" s="120">
        <f>D970+D971</f>
        <v>4413.5549872122765</v>
      </c>
      <c r="E972" s="121"/>
      <c r="F972" s="122"/>
    </row>
    <row r="973" spans="2:6">
      <c r="B973" s="117" t="s">
        <v>38</v>
      </c>
      <c r="C973" s="112">
        <v>13521</v>
      </c>
      <c r="D973" s="113">
        <f>C973*$N$949</f>
        <v>230.53708439897699</v>
      </c>
      <c r="E973" s="121"/>
      <c r="F973" s="122"/>
    </row>
    <row r="974" spans="2:6">
      <c r="B974" s="117" t="s">
        <v>39</v>
      </c>
      <c r="C974" s="112">
        <v>24001</v>
      </c>
      <c r="D974" s="113">
        <f>C974*$N$949</f>
        <v>409.22421142369996</v>
      </c>
      <c r="E974" s="121"/>
      <c r="F974" s="122"/>
    </row>
    <row r="975" spans="2:6">
      <c r="B975" s="123" t="s">
        <v>40</v>
      </c>
      <c r="C975" s="124">
        <f>C970+C973+C974</f>
        <v>293996</v>
      </c>
      <c r="D975" s="124">
        <f>D970+D973+D974</f>
        <v>5012.7195225916448</v>
      </c>
      <c r="E975" s="125">
        <f>C975/C980</f>
        <v>3.1046623369766091</v>
      </c>
      <c r="F975" s="125">
        <f>D975/D980</f>
        <v>2.8389265325158659</v>
      </c>
    </row>
    <row r="976" spans="2:6">
      <c r="B976" s="117" t="s">
        <v>164</v>
      </c>
      <c r="C976" s="113">
        <f>Model!AG119</f>
        <v>19736</v>
      </c>
      <c r="D976" s="113">
        <f>C976*$N$949</f>
        <v>336.50468883205457</v>
      </c>
      <c r="E976" s="126"/>
      <c r="F976" s="126"/>
    </row>
    <row r="977" spans="2:1015 1027:2042 2054:3069 3081:4096 4108:5110 5122:6137 6149:7164 7176:8191 8203:9205 9217:10232 10244:11259 11271:12286 12298:14327 14339:15354 15366:16381">
      <c r="B977" s="123" t="s">
        <v>19</v>
      </c>
      <c r="C977" s="124">
        <f>C975-C976</f>
        <v>274260</v>
      </c>
      <c r="D977" s="124">
        <f>D975-D976</f>
        <v>4676.21483375959</v>
      </c>
      <c r="E977" s="125">
        <f>C977/C980</f>
        <v>2.8962458419135118</v>
      </c>
      <c r="F977" s="125">
        <f>D977/D980</f>
        <v>2.648348925862261</v>
      </c>
    </row>
    <row r="978" spans="2:1015 1027:2042 2054:3069 3081:4096 4108:5110 5122:6137 6149:7164 7176:8191 8203:9205 9217:10232 10244:11259 11271:12286 12298:14327 14339:15354 15366:16381">
      <c r="B978" s="119" t="s">
        <v>20</v>
      </c>
      <c r="C978" s="141">
        <f>Model!AG126</f>
        <v>127632</v>
      </c>
      <c r="D978" s="127"/>
      <c r="E978" s="128"/>
      <c r="F978" s="117"/>
    </row>
    <row r="979" spans="2:1015 1027:2042 2054:3069 3081:4096 4108:5110 5122:6137 6149:7164 7176:8191 8203:9205 9217:10232 10244:11259 11271:12286 12298:14327 14339:15354 15366:16381">
      <c r="B979" s="119" t="s">
        <v>21</v>
      </c>
      <c r="C979" s="129">
        <f>C977+C978</f>
        <v>401892</v>
      </c>
      <c r="D979" s="129"/>
      <c r="E979" s="128"/>
      <c r="F979" s="117"/>
    </row>
    <row r="980" spans="2:1015 1027:2042 2054:3069 3081:4096 4108:5110 5122:6137 6149:7164 7176:8191 8203:9205 9217:10232 10244:11259 11271:12286 12298:14327 14339:15354 15366:16381">
      <c r="B980" s="117" t="s">
        <v>22</v>
      </c>
      <c r="C980" s="130">
        <f>Model!AG84</f>
        <v>94695</v>
      </c>
      <c r="D980" s="130">
        <f>C980*N950</f>
        <v>1765.7094909565542</v>
      </c>
      <c r="E980" s="117"/>
      <c r="F980" s="117"/>
    </row>
    <row r="981" spans="2:1015 1027:2042 2054:3069 3081:4096 4108:5110 5122:6137 6149:7164 7176:8191 8203:9205 9217:10232 10244:11259 11271:12286 12298:14327 14339:15354 15366:16381">
      <c r="B981" s="131" t="s">
        <v>23</v>
      </c>
      <c r="C981" s="159">
        <f>C975-Model!AG123</f>
        <v>0</v>
      </c>
    </row>
    <row r="982" spans="2:1015 1027:2042 2054:3069 3081:4096 4108:5110 5122:6137 6149:7164 7176:8191 8203:9205 9217:10232 10244:11259 11271:12286 12298:14327 14339:15354 15366:16381">
      <c r="B982" s="131"/>
      <c r="C982" s="159"/>
    </row>
    <row r="983" spans="2:1015 1027:2042 2054:3069 3081:4096 4108:5110 5122:6137 6149:7164 7176:8191 8203:9205 9217:10232 10244:11259 11271:12286 12298:14327 14339:15354 15366:16381">
      <c r="B983" s="343" t="s">
        <v>170</v>
      </c>
      <c r="C983" s="343"/>
      <c r="D983" s="343"/>
    </row>
    <row r="984" spans="2:1015 1027:2042 2054:3069 3081:4096 4108:5110 5122:6137 6149:7164 7176:8191 8203:9205 9217:10232 10244:11259 11271:12286 12298:14327 14339:15354 15366:16381">
      <c r="B984" s="344"/>
      <c r="C984" s="133" t="s">
        <v>102</v>
      </c>
      <c r="D984" s="144" t="s">
        <v>103</v>
      </c>
    </row>
    <row r="985" spans="2:1015 1027:2042 2054:3069 3081:4096 4108:5110 5122:6137 6149:7164 7176:8191 8203:9205 9217:10232 10244:11259 11271:12286 12298:14327 14339:15354 15366:16381">
      <c r="B985" s="134" t="str">
        <f>+B976</f>
        <v>Cash and Short-Term Investments</v>
      </c>
      <c r="C985" s="136">
        <f>+C976</f>
        <v>19736</v>
      </c>
      <c r="D985" s="136">
        <f>+C985*$N$949</f>
        <v>336.50468883205457</v>
      </c>
    </row>
    <row r="986" spans="2:1015 1027:2042 2054:3069 3081:4096 4108:5110 5122:6137 6149:7164 7176:8191 8203:9205 9217:10232 10244:11259 11271:12286 12298:14327 14339:15354 15366:16381">
      <c r="B986" s="134" t="s">
        <v>117</v>
      </c>
      <c r="C986" s="136">
        <v>0</v>
      </c>
      <c r="D986" s="136">
        <f>+C986*$N$949</f>
        <v>0</v>
      </c>
    </row>
    <row r="987" spans="2:1015 1027:2042 2054:3069 3081:4096 4108:5110 5122:6137 6149:7164 7176:8191 8203:9205 9217:10232 10244:11259 11271:12286 12298:14327 14339:15354 15366:16381">
      <c r="B987" s="137" t="s">
        <v>44</v>
      </c>
      <c r="C987" s="138">
        <f>+SUM(C985:C986)</f>
        <v>19736</v>
      </c>
      <c r="D987" s="138">
        <f>+SUM(D985:D986)</f>
        <v>336.50468883205457</v>
      </c>
    </row>
    <row r="989" spans="2:1015 1027:2042 2054:3069 3081:4096 4108:5110 5122:6137 6149:7164 7176:8191 8203:9205 9217:10232 10244:11259 11271:12286 12298:14327 14339:15354 15366:16381">
      <c r="B989" s="343" t="s">
        <v>79</v>
      </c>
      <c r="C989" s="343" t="s">
        <v>104</v>
      </c>
      <c r="D989" s="343"/>
      <c r="E989" s="132" t="s">
        <v>118</v>
      </c>
      <c r="F989" s="132"/>
      <c r="G989" s="343" t="s">
        <v>119</v>
      </c>
      <c r="H989" s="343"/>
    </row>
    <row r="990" spans="2:1015 1027:2042 2054:3069 3081:4096 4108:5110 5122:6137 6149:7164 7176:8191 8203:9205 9217:10232 10244:11259 11271:12286 12298:14327 14339:15354 15366:16381">
      <c r="B990" s="344"/>
      <c r="C990" s="133" t="s">
        <v>102</v>
      </c>
      <c r="D990" s="144" t="s">
        <v>103</v>
      </c>
      <c r="E990" s="144" t="s">
        <v>120</v>
      </c>
      <c r="F990" s="144" t="s">
        <v>103</v>
      </c>
      <c r="G990" s="144" t="s">
        <v>120</v>
      </c>
      <c r="H990" s="144" t="s">
        <v>103</v>
      </c>
    </row>
    <row r="991" spans="2:1015 1027:2042 2054:3069 3081:4096 4108:5110 5122:6137 6149:7164 7176:8191 8203:9205 9217:10232 10244:11259 11271:12286 12298:14327 14339:15354 15366:16381">
      <c r="B991" s="134">
        <v>2022</v>
      </c>
      <c r="C991" s="135">
        <v>6182</v>
      </c>
      <c r="D991" s="136">
        <f>+C991*$N$949</f>
        <v>105.40494458653026</v>
      </c>
      <c r="E991" s="135">
        <v>657</v>
      </c>
      <c r="F991" s="136">
        <f>+E991*$N$949</f>
        <v>11.202046035805628</v>
      </c>
      <c r="G991" s="136">
        <f t="shared" ref="G991:G996" si="36">+C991+E991</f>
        <v>6839</v>
      </c>
      <c r="H991" s="136">
        <f t="shared" ref="H991:H996" si="37">+D991+F991</f>
        <v>116.60699062233589</v>
      </c>
      <c r="AM991" s="104"/>
      <c r="AN991" s="103"/>
      <c r="AZ991" s="104"/>
      <c r="BA991" s="103"/>
      <c r="BM991" s="104"/>
      <c r="BN991" s="103"/>
      <c r="BZ991" s="104"/>
      <c r="CA991" s="103"/>
      <c r="CM991" s="104"/>
      <c r="CN991" s="103"/>
      <c r="CZ991" s="104"/>
      <c r="DA991" s="103"/>
      <c r="DM991" s="104"/>
      <c r="DN991" s="103"/>
      <c r="DZ991" s="104"/>
      <c r="EA991" s="103"/>
      <c r="EM991" s="104"/>
      <c r="EN991" s="103"/>
      <c r="EZ991" s="104"/>
      <c r="FA991" s="103"/>
      <c r="FM991" s="104"/>
      <c r="FN991" s="103"/>
      <c r="FZ991" s="104"/>
      <c r="GA991" s="103"/>
      <c r="GM991" s="104"/>
      <c r="GN991" s="103"/>
      <c r="GZ991" s="104"/>
      <c r="HA991" s="103"/>
      <c r="HM991" s="104"/>
      <c r="HN991" s="103"/>
      <c r="HZ991" s="104"/>
      <c r="IA991" s="103"/>
      <c r="IM991" s="104"/>
      <c r="IN991" s="103"/>
      <c r="IZ991" s="104"/>
      <c r="JA991" s="103"/>
      <c r="JM991" s="104"/>
      <c r="JN991" s="103"/>
      <c r="JZ991" s="104"/>
      <c r="KA991" s="103"/>
      <c r="KM991" s="104"/>
      <c r="KN991" s="103"/>
      <c r="KZ991" s="104"/>
      <c r="LA991" s="103"/>
      <c r="LM991" s="104"/>
      <c r="LN991" s="103"/>
      <c r="LZ991" s="104"/>
      <c r="MA991" s="103"/>
      <c r="MM991" s="104"/>
      <c r="MN991" s="103"/>
      <c r="MZ991" s="104"/>
      <c r="NA991" s="103"/>
      <c r="NM991" s="104"/>
      <c r="NN991" s="103"/>
      <c r="NZ991" s="104"/>
      <c r="OA991" s="103"/>
      <c r="OM991" s="104"/>
      <c r="ON991" s="103"/>
      <c r="OZ991" s="104"/>
      <c r="PA991" s="103"/>
      <c r="PM991" s="104"/>
      <c r="PN991" s="103"/>
      <c r="PZ991" s="104"/>
      <c r="QA991" s="103"/>
      <c r="QM991" s="104"/>
      <c r="QN991" s="103"/>
      <c r="QZ991" s="104"/>
      <c r="RA991" s="103"/>
      <c r="RM991" s="104"/>
      <c r="RN991" s="103"/>
      <c r="RZ991" s="104"/>
      <c r="SA991" s="103"/>
      <c r="SM991" s="104"/>
      <c r="SN991" s="103"/>
      <c r="SZ991" s="104"/>
      <c r="TA991" s="103"/>
      <c r="TM991" s="104"/>
      <c r="TN991" s="103"/>
      <c r="TZ991" s="104"/>
      <c r="UA991" s="103"/>
      <c r="UM991" s="104"/>
      <c r="UN991" s="103"/>
      <c r="UZ991" s="104"/>
      <c r="VA991" s="103"/>
      <c r="VM991" s="104"/>
      <c r="VN991" s="103"/>
      <c r="VZ991" s="104"/>
      <c r="WA991" s="103"/>
      <c r="WM991" s="104"/>
      <c r="WN991" s="103"/>
      <c r="WZ991" s="104"/>
      <c r="XA991" s="103"/>
      <c r="XM991" s="104"/>
      <c r="XN991" s="103"/>
      <c r="XZ991" s="104"/>
      <c r="YA991" s="103"/>
      <c r="YM991" s="104"/>
      <c r="YN991" s="103"/>
      <c r="YZ991" s="104"/>
      <c r="ZA991" s="103"/>
      <c r="ZM991" s="104"/>
      <c r="ZN991" s="103"/>
      <c r="ZZ991" s="104"/>
      <c r="AAA991" s="103"/>
      <c r="AAM991" s="104"/>
      <c r="AAN991" s="103"/>
      <c r="AAZ991" s="104"/>
      <c r="ABA991" s="103"/>
      <c r="ABM991" s="104"/>
      <c r="ABN991" s="103"/>
      <c r="ABZ991" s="104"/>
      <c r="ACA991" s="103"/>
      <c r="ACM991" s="104"/>
      <c r="ACN991" s="103"/>
      <c r="ACZ991" s="104"/>
      <c r="ADA991" s="103"/>
      <c r="ADM991" s="104"/>
      <c r="ADN991" s="103"/>
      <c r="ADZ991" s="104"/>
      <c r="AEA991" s="103"/>
      <c r="AEM991" s="104"/>
      <c r="AEN991" s="103"/>
      <c r="AEZ991" s="104"/>
      <c r="AFA991" s="103"/>
      <c r="AFM991" s="104"/>
      <c r="AFN991" s="103"/>
      <c r="AFZ991" s="104"/>
      <c r="AGA991" s="103"/>
      <c r="AGM991" s="104"/>
      <c r="AGN991" s="103"/>
      <c r="AGZ991" s="104"/>
      <c r="AHA991" s="103"/>
      <c r="AHM991" s="104"/>
      <c r="AHN991" s="103"/>
      <c r="AHZ991" s="104"/>
      <c r="AIA991" s="103"/>
      <c r="AIM991" s="104"/>
      <c r="AIN991" s="103"/>
      <c r="AIZ991" s="104"/>
      <c r="AJA991" s="103"/>
      <c r="AJM991" s="104"/>
      <c r="AJN991" s="103"/>
      <c r="AJZ991" s="104"/>
      <c r="AKA991" s="103"/>
      <c r="AKM991" s="104"/>
      <c r="AKN991" s="103"/>
      <c r="AKZ991" s="104"/>
      <c r="ALA991" s="103"/>
      <c r="ALM991" s="104"/>
      <c r="ALN991" s="103"/>
      <c r="ALZ991" s="104"/>
      <c r="AMA991" s="103"/>
      <c r="AMM991" s="104"/>
      <c r="AMN991" s="103"/>
      <c r="AMZ991" s="104"/>
      <c r="ANA991" s="103"/>
      <c r="ANM991" s="104"/>
      <c r="ANN991" s="103"/>
      <c r="ANZ991" s="104"/>
      <c r="AOA991" s="103"/>
      <c r="AOM991" s="104"/>
      <c r="AON991" s="103"/>
      <c r="AOZ991" s="104"/>
      <c r="APA991" s="103"/>
      <c r="APM991" s="104"/>
      <c r="APN991" s="103"/>
      <c r="APZ991" s="104"/>
      <c r="AQA991" s="103"/>
      <c r="AQM991" s="104"/>
      <c r="AQN991" s="103"/>
      <c r="AQZ991" s="104"/>
      <c r="ARA991" s="103"/>
      <c r="ARM991" s="104"/>
      <c r="ARN991" s="103"/>
      <c r="ARZ991" s="104"/>
      <c r="ASA991" s="103"/>
      <c r="ASM991" s="104"/>
      <c r="ASN991" s="103"/>
      <c r="ASZ991" s="104"/>
      <c r="ATA991" s="103"/>
      <c r="ATM991" s="104"/>
      <c r="ATN991" s="103"/>
      <c r="ATZ991" s="104"/>
      <c r="AUA991" s="103"/>
      <c r="AUM991" s="104"/>
      <c r="AUN991" s="103"/>
      <c r="AUZ991" s="104"/>
      <c r="AVA991" s="103"/>
      <c r="AVM991" s="104"/>
      <c r="AVN991" s="103"/>
      <c r="AVZ991" s="104"/>
      <c r="AWA991" s="103"/>
      <c r="AWM991" s="104"/>
      <c r="AWN991" s="103"/>
      <c r="AWZ991" s="104"/>
      <c r="AXA991" s="103"/>
      <c r="AXM991" s="104"/>
      <c r="AXN991" s="103"/>
      <c r="AXZ991" s="104"/>
      <c r="AYA991" s="103"/>
      <c r="AYM991" s="104"/>
      <c r="AYN991" s="103"/>
      <c r="AYZ991" s="104"/>
      <c r="AZA991" s="103"/>
      <c r="AZM991" s="104"/>
      <c r="AZN991" s="103"/>
      <c r="AZZ991" s="104"/>
      <c r="BAA991" s="103"/>
      <c r="BAM991" s="104"/>
      <c r="BAN991" s="103"/>
      <c r="BAZ991" s="104"/>
      <c r="BBA991" s="103"/>
      <c r="BBM991" s="104"/>
      <c r="BBN991" s="103"/>
      <c r="BBZ991" s="104"/>
      <c r="BCA991" s="103"/>
      <c r="BCM991" s="104"/>
      <c r="BCN991" s="103"/>
      <c r="BCZ991" s="104"/>
      <c r="BDA991" s="103"/>
      <c r="BDM991" s="104"/>
      <c r="BDN991" s="103"/>
      <c r="BDZ991" s="104"/>
      <c r="BEA991" s="103"/>
      <c r="BEM991" s="104"/>
      <c r="BEN991" s="103"/>
      <c r="BEZ991" s="104"/>
      <c r="BFA991" s="103"/>
      <c r="BFM991" s="104"/>
      <c r="BFN991" s="103"/>
      <c r="BFZ991" s="104"/>
      <c r="BGA991" s="103"/>
      <c r="BGM991" s="104"/>
      <c r="BGN991" s="103"/>
      <c r="BGZ991" s="104"/>
      <c r="BHA991" s="103"/>
      <c r="BHM991" s="104"/>
      <c r="BHN991" s="103"/>
      <c r="BHZ991" s="104"/>
      <c r="BIA991" s="103"/>
      <c r="BIM991" s="104"/>
      <c r="BIN991" s="103"/>
      <c r="BIZ991" s="104"/>
      <c r="BJA991" s="103"/>
      <c r="BJM991" s="104"/>
      <c r="BJN991" s="103"/>
      <c r="BJZ991" s="104"/>
      <c r="BKA991" s="103"/>
      <c r="BKM991" s="104"/>
      <c r="BKN991" s="103"/>
      <c r="BKZ991" s="104"/>
      <c r="BLA991" s="103"/>
      <c r="BLM991" s="104"/>
      <c r="BLN991" s="103"/>
      <c r="BLZ991" s="104"/>
      <c r="BMA991" s="103"/>
      <c r="BMM991" s="104"/>
      <c r="BMN991" s="103"/>
      <c r="BMZ991" s="104"/>
      <c r="BNA991" s="103"/>
      <c r="BNM991" s="104"/>
      <c r="BNN991" s="103"/>
      <c r="BNZ991" s="104"/>
      <c r="BOA991" s="103"/>
      <c r="BOM991" s="104"/>
      <c r="BON991" s="103"/>
      <c r="BOZ991" s="104"/>
      <c r="BPA991" s="103"/>
      <c r="BPM991" s="104"/>
      <c r="BPN991" s="103"/>
      <c r="BPZ991" s="104"/>
      <c r="BQA991" s="103"/>
      <c r="BQM991" s="104"/>
      <c r="BQN991" s="103"/>
      <c r="BQZ991" s="104"/>
      <c r="BRA991" s="103"/>
      <c r="BRM991" s="104"/>
      <c r="BRN991" s="103"/>
      <c r="BRZ991" s="104"/>
      <c r="BSA991" s="103"/>
      <c r="BSM991" s="104"/>
      <c r="BSN991" s="103"/>
      <c r="BSZ991" s="104"/>
      <c r="BTA991" s="103"/>
      <c r="BTM991" s="104"/>
      <c r="BTN991" s="103"/>
      <c r="BTZ991" s="104"/>
      <c r="BUA991" s="103"/>
      <c r="BUM991" s="104"/>
      <c r="BUN991" s="103"/>
      <c r="BUZ991" s="104"/>
      <c r="BVA991" s="103"/>
      <c r="BVM991" s="104"/>
      <c r="BVN991" s="103"/>
      <c r="BVZ991" s="104"/>
      <c r="BWA991" s="103"/>
      <c r="BWM991" s="104"/>
      <c r="BWN991" s="103"/>
      <c r="BWZ991" s="104"/>
      <c r="BXA991" s="103"/>
      <c r="BXM991" s="104"/>
      <c r="BXN991" s="103"/>
      <c r="BXZ991" s="104"/>
      <c r="BYA991" s="103"/>
      <c r="BYM991" s="104"/>
      <c r="BYN991" s="103"/>
      <c r="BYZ991" s="104"/>
      <c r="BZA991" s="103"/>
      <c r="BZM991" s="104"/>
      <c r="BZN991" s="103"/>
      <c r="BZZ991" s="104"/>
      <c r="CAA991" s="103"/>
      <c r="CAM991" s="104"/>
      <c r="CAN991" s="103"/>
      <c r="CAZ991" s="104"/>
      <c r="CBA991" s="103"/>
      <c r="CBM991" s="104"/>
      <c r="CBN991" s="103"/>
      <c r="CBZ991" s="104"/>
      <c r="CCA991" s="103"/>
      <c r="CCM991" s="104"/>
      <c r="CCN991" s="103"/>
      <c r="CCZ991" s="104"/>
      <c r="CDA991" s="103"/>
      <c r="CDM991" s="104"/>
      <c r="CDN991" s="103"/>
      <c r="CDZ991" s="104"/>
      <c r="CEA991" s="103"/>
      <c r="CEM991" s="104"/>
      <c r="CEN991" s="103"/>
      <c r="CEZ991" s="104"/>
      <c r="CFA991" s="103"/>
      <c r="CFM991" s="104"/>
      <c r="CFN991" s="103"/>
      <c r="CFZ991" s="104"/>
      <c r="CGA991" s="103"/>
      <c r="CGM991" s="104"/>
      <c r="CGN991" s="103"/>
      <c r="CGZ991" s="104"/>
      <c r="CHA991" s="103"/>
      <c r="CHM991" s="104"/>
      <c r="CHN991" s="103"/>
      <c r="CHZ991" s="104"/>
      <c r="CIA991" s="103"/>
      <c r="CIM991" s="104"/>
      <c r="CIN991" s="103"/>
      <c r="CIZ991" s="104"/>
      <c r="CJA991" s="103"/>
      <c r="CJM991" s="104"/>
      <c r="CJN991" s="103"/>
      <c r="CJZ991" s="104"/>
      <c r="CKA991" s="103"/>
      <c r="CKM991" s="104"/>
      <c r="CKN991" s="103"/>
      <c r="CKZ991" s="104"/>
      <c r="CLA991" s="103"/>
      <c r="CLM991" s="104"/>
      <c r="CLN991" s="103"/>
      <c r="CLZ991" s="104"/>
      <c r="CMA991" s="103"/>
      <c r="CMM991" s="104"/>
      <c r="CMN991" s="103"/>
      <c r="CMZ991" s="104"/>
      <c r="CNA991" s="103"/>
      <c r="CNM991" s="104"/>
      <c r="CNN991" s="103"/>
      <c r="CNZ991" s="104"/>
      <c r="COA991" s="103"/>
      <c r="COM991" s="104"/>
      <c r="CON991" s="103"/>
      <c r="COZ991" s="104"/>
      <c r="CPA991" s="103"/>
      <c r="CPM991" s="104"/>
      <c r="CPN991" s="103"/>
      <c r="CPZ991" s="104"/>
      <c r="CQA991" s="103"/>
      <c r="CQM991" s="104"/>
      <c r="CQN991" s="103"/>
      <c r="CQZ991" s="104"/>
      <c r="CRA991" s="103"/>
      <c r="CRM991" s="104"/>
      <c r="CRN991" s="103"/>
      <c r="CRZ991" s="104"/>
      <c r="CSA991" s="103"/>
      <c r="CSM991" s="104"/>
      <c r="CSN991" s="103"/>
      <c r="CSZ991" s="104"/>
      <c r="CTA991" s="103"/>
      <c r="CTM991" s="104"/>
      <c r="CTN991" s="103"/>
      <c r="CTZ991" s="104"/>
      <c r="CUA991" s="103"/>
      <c r="CUM991" s="104"/>
      <c r="CUN991" s="103"/>
      <c r="CUZ991" s="104"/>
      <c r="CVA991" s="103"/>
      <c r="CVM991" s="104"/>
      <c r="CVN991" s="103"/>
      <c r="CVZ991" s="104"/>
      <c r="CWA991" s="103"/>
      <c r="CWM991" s="104"/>
      <c r="CWN991" s="103"/>
      <c r="CWZ991" s="104"/>
      <c r="CXA991" s="103"/>
      <c r="CXM991" s="104"/>
      <c r="CXN991" s="103"/>
      <c r="CXZ991" s="104"/>
      <c r="CYA991" s="103"/>
      <c r="CYM991" s="104"/>
      <c r="CYN991" s="103"/>
      <c r="CYZ991" s="104"/>
      <c r="CZA991" s="103"/>
      <c r="CZM991" s="104"/>
      <c r="CZN991" s="103"/>
      <c r="CZZ991" s="104"/>
      <c r="DAA991" s="103"/>
      <c r="DAM991" s="104"/>
      <c r="DAN991" s="103"/>
      <c r="DAZ991" s="104"/>
      <c r="DBA991" s="103"/>
      <c r="DBM991" s="104"/>
      <c r="DBN991" s="103"/>
      <c r="DBZ991" s="104"/>
      <c r="DCA991" s="103"/>
      <c r="DCM991" s="104"/>
      <c r="DCN991" s="103"/>
      <c r="DCZ991" s="104"/>
      <c r="DDA991" s="103"/>
      <c r="DDM991" s="104"/>
      <c r="DDN991" s="103"/>
      <c r="DDZ991" s="104"/>
      <c r="DEA991" s="103"/>
      <c r="DEM991" s="104"/>
      <c r="DEN991" s="103"/>
      <c r="DEZ991" s="104"/>
      <c r="DFA991" s="103"/>
      <c r="DFM991" s="104"/>
      <c r="DFN991" s="103"/>
      <c r="DFZ991" s="104"/>
      <c r="DGA991" s="103"/>
      <c r="DGM991" s="104"/>
      <c r="DGN991" s="103"/>
      <c r="DGZ991" s="104"/>
      <c r="DHA991" s="103"/>
      <c r="DHM991" s="104"/>
      <c r="DHN991" s="103"/>
      <c r="DHZ991" s="104"/>
      <c r="DIA991" s="103"/>
      <c r="DIM991" s="104"/>
      <c r="DIN991" s="103"/>
      <c r="DIZ991" s="104"/>
      <c r="DJA991" s="103"/>
      <c r="DJM991" s="104"/>
      <c r="DJN991" s="103"/>
      <c r="DJZ991" s="104"/>
      <c r="DKA991" s="103"/>
      <c r="DKM991" s="104"/>
      <c r="DKN991" s="103"/>
      <c r="DKZ991" s="104"/>
      <c r="DLA991" s="103"/>
      <c r="DLM991" s="104"/>
      <c r="DLN991" s="103"/>
      <c r="DLZ991" s="104"/>
      <c r="DMA991" s="103"/>
      <c r="DMM991" s="104"/>
      <c r="DMN991" s="103"/>
      <c r="DMZ991" s="104"/>
      <c r="DNA991" s="103"/>
      <c r="DNM991" s="104"/>
      <c r="DNN991" s="103"/>
      <c r="DNZ991" s="104"/>
      <c r="DOA991" s="103"/>
      <c r="DOM991" s="104"/>
      <c r="DON991" s="103"/>
      <c r="DOZ991" s="104"/>
      <c r="DPA991" s="103"/>
      <c r="DPM991" s="104"/>
      <c r="DPN991" s="103"/>
      <c r="DPZ991" s="104"/>
      <c r="DQA991" s="103"/>
      <c r="DQM991" s="104"/>
      <c r="DQN991" s="103"/>
      <c r="DQZ991" s="104"/>
      <c r="DRA991" s="103"/>
      <c r="DRM991" s="104"/>
      <c r="DRN991" s="103"/>
      <c r="DRZ991" s="104"/>
      <c r="DSA991" s="103"/>
      <c r="DSM991" s="104"/>
      <c r="DSN991" s="103"/>
      <c r="DSZ991" s="104"/>
      <c r="DTA991" s="103"/>
      <c r="DTM991" s="104"/>
      <c r="DTN991" s="103"/>
      <c r="DTZ991" s="104"/>
      <c r="DUA991" s="103"/>
      <c r="DUM991" s="104"/>
      <c r="DUN991" s="103"/>
      <c r="DUZ991" s="104"/>
      <c r="DVA991" s="103"/>
      <c r="DVM991" s="104"/>
      <c r="DVN991" s="103"/>
      <c r="DVZ991" s="104"/>
      <c r="DWA991" s="103"/>
      <c r="DWM991" s="104"/>
      <c r="DWN991" s="103"/>
      <c r="DWZ991" s="104"/>
      <c r="DXA991" s="103"/>
      <c r="DXM991" s="104"/>
      <c r="DXN991" s="103"/>
      <c r="DXZ991" s="104"/>
      <c r="DYA991" s="103"/>
      <c r="DYM991" s="104"/>
      <c r="DYN991" s="103"/>
      <c r="DYZ991" s="104"/>
      <c r="DZA991" s="103"/>
      <c r="DZM991" s="104"/>
      <c r="DZN991" s="103"/>
      <c r="DZZ991" s="104"/>
      <c r="EAA991" s="103"/>
      <c r="EAM991" s="104"/>
      <c r="EAN991" s="103"/>
      <c r="EAZ991" s="104"/>
      <c r="EBA991" s="103"/>
      <c r="EBM991" s="104"/>
      <c r="EBN991" s="103"/>
      <c r="EBZ991" s="104"/>
      <c r="ECA991" s="103"/>
      <c r="ECM991" s="104"/>
      <c r="ECN991" s="103"/>
      <c r="ECZ991" s="104"/>
      <c r="EDA991" s="103"/>
      <c r="EDM991" s="104"/>
      <c r="EDN991" s="103"/>
      <c r="EDZ991" s="104"/>
      <c r="EEA991" s="103"/>
      <c r="EEM991" s="104"/>
      <c r="EEN991" s="103"/>
      <c r="EEZ991" s="104"/>
      <c r="EFA991" s="103"/>
      <c r="EFM991" s="104"/>
      <c r="EFN991" s="103"/>
      <c r="EFZ991" s="104"/>
      <c r="EGA991" s="103"/>
      <c r="EGM991" s="104"/>
      <c r="EGN991" s="103"/>
      <c r="EGZ991" s="104"/>
      <c r="EHA991" s="103"/>
      <c r="EHM991" s="104"/>
      <c r="EHN991" s="103"/>
      <c r="EHZ991" s="104"/>
      <c r="EIA991" s="103"/>
      <c r="EIM991" s="104"/>
      <c r="EIN991" s="103"/>
      <c r="EIZ991" s="104"/>
      <c r="EJA991" s="103"/>
      <c r="EJM991" s="104"/>
      <c r="EJN991" s="103"/>
      <c r="EJZ991" s="104"/>
      <c r="EKA991" s="103"/>
      <c r="EKM991" s="104"/>
      <c r="EKN991" s="103"/>
      <c r="EKZ991" s="104"/>
      <c r="ELA991" s="103"/>
      <c r="ELM991" s="104"/>
      <c r="ELN991" s="103"/>
      <c r="ELZ991" s="104"/>
      <c r="EMA991" s="103"/>
      <c r="EMM991" s="104"/>
      <c r="EMN991" s="103"/>
      <c r="EMZ991" s="104"/>
      <c r="ENA991" s="103"/>
      <c r="ENM991" s="104"/>
      <c r="ENN991" s="103"/>
      <c r="ENZ991" s="104"/>
      <c r="EOA991" s="103"/>
      <c r="EOM991" s="104"/>
      <c r="EON991" s="103"/>
      <c r="EOZ991" s="104"/>
      <c r="EPA991" s="103"/>
      <c r="EPM991" s="104"/>
      <c r="EPN991" s="103"/>
      <c r="EPZ991" s="104"/>
      <c r="EQA991" s="103"/>
      <c r="EQM991" s="104"/>
      <c r="EQN991" s="103"/>
      <c r="EQZ991" s="104"/>
      <c r="ERA991" s="103"/>
      <c r="ERM991" s="104"/>
      <c r="ERN991" s="103"/>
      <c r="ERZ991" s="104"/>
      <c r="ESA991" s="103"/>
      <c r="ESM991" s="104"/>
      <c r="ESN991" s="103"/>
      <c r="ESZ991" s="104"/>
      <c r="ETA991" s="103"/>
      <c r="ETM991" s="104"/>
      <c r="ETN991" s="103"/>
      <c r="ETZ991" s="104"/>
      <c r="EUA991" s="103"/>
      <c r="EUM991" s="104"/>
      <c r="EUN991" s="103"/>
      <c r="EUZ991" s="104"/>
      <c r="EVA991" s="103"/>
      <c r="EVM991" s="104"/>
      <c r="EVN991" s="103"/>
      <c r="EVZ991" s="104"/>
      <c r="EWA991" s="103"/>
      <c r="EWM991" s="104"/>
      <c r="EWN991" s="103"/>
      <c r="EWZ991" s="104"/>
      <c r="EXA991" s="103"/>
      <c r="EXM991" s="104"/>
      <c r="EXN991" s="103"/>
      <c r="EXZ991" s="104"/>
      <c r="EYA991" s="103"/>
      <c r="EYM991" s="104"/>
      <c r="EYN991" s="103"/>
      <c r="EYZ991" s="104"/>
      <c r="EZA991" s="103"/>
      <c r="EZM991" s="104"/>
      <c r="EZN991" s="103"/>
      <c r="EZZ991" s="104"/>
      <c r="FAA991" s="103"/>
      <c r="FAM991" s="104"/>
      <c r="FAN991" s="103"/>
      <c r="FAZ991" s="104"/>
      <c r="FBA991" s="103"/>
      <c r="FBM991" s="104"/>
      <c r="FBN991" s="103"/>
      <c r="FBZ991" s="104"/>
      <c r="FCA991" s="103"/>
      <c r="FCM991" s="104"/>
      <c r="FCN991" s="103"/>
      <c r="FCZ991" s="104"/>
      <c r="FDA991" s="103"/>
      <c r="FDM991" s="104"/>
      <c r="FDN991" s="103"/>
      <c r="FDZ991" s="104"/>
      <c r="FEA991" s="103"/>
      <c r="FEM991" s="104"/>
      <c r="FEN991" s="103"/>
      <c r="FEZ991" s="104"/>
      <c r="FFA991" s="103"/>
      <c r="FFM991" s="104"/>
      <c r="FFN991" s="103"/>
      <c r="FFZ991" s="104"/>
      <c r="FGA991" s="103"/>
      <c r="FGM991" s="104"/>
      <c r="FGN991" s="103"/>
      <c r="FGZ991" s="104"/>
      <c r="FHA991" s="103"/>
      <c r="FHM991" s="104"/>
      <c r="FHN991" s="103"/>
      <c r="FHZ991" s="104"/>
      <c r="FIA991" s="103"/>
      <c r="FIM991" s="104"/>
      <c r="FIN991" s="103"/>
      <c r="FIZ991" s="104"/>
      <c r="FJA991" s="103"/>
      <c r="FJM991" s="104"/>
      <c r="FJN991" s="103"/>
      <c r="FJZ991" s="104"/>
      <c r="FKA991" s="103"/>
      <c r="FKM991" s="104"/>
      <c r="FKN991" s="103"/>
      <c r="FKZ991" s="104"/>
      <c r="FLA991" s="103"/>
      <c r="FLM991" s="104"/>
      <c r="FLN991" s="103"/>
      <c r="FLZ991" s="104"/>
      <c r="FMA991" s="103"/>
      <c r="FMM991" s="104"/>
      <c r="FMN991" s="103"/>
      <c r="FMZ991" s="104"/>
      <c r="FNA991" s="103"/>
      <c r="FNM991" s="104"/>
      <c r="FNN991" s="103"/>
      <c r="FNZ991" s="104"/>
      <c r="FOA991" s="103"/>
      <c r="FOM991" s="104"/>
      <c r="FON991" s="103"/>
      <c r="FOZ991" s="104"/>
      <c r="FPA991" s="103"/>
      <c r="FPM991" s="104"/>
      <c r="FPN991" s="103"/>
      <c r="FPZ991" s="104"/>
      <c r="FQA991" s="103"/>
      <c r="FQM991" s="104"/>
      <c r="FQN991" s="103"/>
      <c r="FQZ991" s="104"/>
      <c r="FRA991" s="103"/>
      <c r="FRM991" s="104"/>
      <c r="FRN991" s="103"/>
      <c r="FRZ991" s="104"/>
      <c r="FSA991" s="103"/>
      <c r="FSM991" s="104"/>
      <c r="FSN991" s="103"/>
      <c r="FSZ991" s="104"/>
      <c r="FTA991" s="103"/>
      <c r="FTM991" s="104"/>
      <c r="FTN991" s="103"/>
      <c r="FTZ991" s="104"/>
      <c r="FUA991" s="103"/>
      <c r="FUM991" s="104"/>
      <c r="FUN991" s="103"/>
      <c r="FUZ991" s="104"/>
      <c r="FVA991" s="103"/>
      <c r="FVM991" s="104"/>
      <c r="FVN991" s="103"/>
      <c r="FVZ991" s="104"/>
      <c r="FWA991" s="103"/>
      <c r="FWM991" s="104"/>
      <c r="FWN991" s="103"/>
      <c r="FWZ991" s="104"/>
      <c r="FXA991" s="103"/>
      <c r="FXM991" s="104"/>
      <c r="FXN991" s="103"/>
      <c r="FXZ991" s="104"/>
      <c r="FYA991" s="103"/>
      <c r="FYM991" s="104"/>
      <c r="FYN991" s="103"/>
      <c r="FYZ991" s="104"/>
      <c r="FZA991" s="103"/>
      <c r="FZM991" s="104"/>
      <c r="FZN991" s="103"/>
      <c r="FZZ991" s="104"/>
      <c r="GAA991" s="103"/>
      <c r="GAM991" s="104"/>
      <c r="GAN991" s="103"/>
      <c r="GAZ991" s="104"/>
      <c r="GBA991" s="103"/>
      <c r="GBM991" s="104"/>
      <c r="GBN991" s="103"/>
      <c r="GBZ991" s="104"/>
      <c r="GCA991" s="103"/>
      <c r="GCM991" s="104"/>
      <c r="GCN991" s="103"/>
      <c r="GCZ991" s="104"/>
      <c r="GDA991" s="103"/>
      <c r="GDM991" s="104"/>
      <c r="GDN991" s="103"/>
      <c r="GDZ991" s="104"/>
      <c r="GEA991" s="103"/>
      <c r="GEM991" s="104"/>
      <c r="GEN991" s="103"/>
      <c r="GEZ991" s="104"/>
      <c r="GFA991" s="103"/>
      <c r="GFM991" s="104"/>
      <c r="GFN991" s="103"/>
      <c r="GFZ991" s="104"/>
      <c r="GGA991" s="103"/>
      <c r="GGM991" s="104"/>
      <c r="GGN991" s="103"/>
      <c r="GGZ991" s="104"/>
      <c r="GHA991" s="103"/>
      <c r="GHM991" s="104"/>
      <c r="GHN991" s="103"/>
      <c r="GHZ991" s="104"/>
      <c r="GIA991" s="103"/>
      <c r="GIM991" s="104"/>
      <c r="GIN991" s="103"/>
      <c r="GIZ991" s="104"/>
      <c r="GJA991" s="103"/>
      <c r="GJM991" s="104"/>
      <c r="GJN991" s="103"/>
      <c r="GJZ991" s="104"/>
      <c r="GKA991" s="103"/>
      <c r="GKM991" s="104"/>
      <c r="GKN991" s="103"/>
      <c r="GKZ991" s="104"/>
      <c r="GLA991" s="103"/>
      <c r="GLM991" s="104"/>
      <c r="GLN991" s="103"/>
      <c r="GLZ991" s="104"/>
      <c r="GMA991" s="103"/>
      <c r="GMM991" s="104"/>
      <c r="GMN991" s="103"/>
      <c r="GMZ991" s="104"/>
      <c r="GNA991" s="103"/>
      <c r="GNM991" s="104"/>
      <c r="GNN991" s="103"/>
      <c r="GNZ991" s="104"/>
      <c r="GOA991" s="103"/>
      <c r="GOM991" s="104"/>
      <c r="GON991" s="103"/>
      <c r="GOZ991" s="104"/>
      <c r="GPA991" s="103"/>
      <c r="GPM991" s="104"/>
      <c r="GPN991" s="103"/>
      <c r="GPZ991" s="104"/>
      <c r="GQA991" s="103"/>
      <c r="GQM991" s="104"/>
      <c r="GQN991" s="103"/>
      <c r="GQZ991" s="104"/>
      <c r="GRA991" s="103"/>
      <c r="GRM991" s="104"/>
      <c r="GRN991" s="103"/>
      <c r="GRZ991" s="104"/>
      <c r="GSA991" s="103"/>
      <c r="GSM991" s="104"/>
      <c r="GSN991" s="103"/>
      <c r="GSZ991" s="104"/>
      <c r="GTA991" s="103"/>
      <c r="GTM991" s="104"/>
      <c r="GTN991" s="103"/>
      <c r="GTZ991" s="104"/>
      <c r="GUA991" s="103"/>
      <c r="GUM991" s="104"/>
      <c r="GUN991" s="103"/>
      <c r="GUZ991" s="104"/>
      <c r="GVA991" s="103"/>
      <c r="GVM991" s="104"/>
      <c r="GVN991" s="103"/>
      <c r="GVZ991" s="104"/>
      <c r="GWA991" s="103"/>
      <c r="GWM991" s="104"/>
      <c r="GWN991" s="103"/>
      <c r="GWZ991" s="104"/>
      <c r="GXA991" s="103"/>
      <c r="GXM991" s="104"/>
      <c r="GXN991" s="103"/>
      <c r="GXZ991" s="104"/>
      <c r="GYA991" s="103"/>
      <c r="GYM991" s="104"/>
      <c r="GYN991" s="103"/>
      <c r="GYZ991" s="104"/>
      <c r="GZA991" s="103"/>
      <c r="GZM991" s="104"/>
      <c r="GZN991" s="103"/>
      <c r="GZZ991" s="104"/>
      <c r="HAA991" s="103"/>
      <c r="HAM991" s="104"/>
      <c r="HAN991" s="103"/>
      <c r="HAZ991" s="104"/>
      <c r="HBA991" s="103"/>
      <c r="HBM991" s="104"/>
      <c r="HBN991" s="103"/>
      <c r="HBZ991" s="104"/>
      <c r="HCA991" s="103"/>
      <c r="HCM991" s="104"/>
      <c r="HCN991" s="103"/>
      <c r="HCZ991" s="104"/>
      <c r="HDA991" s="103"/>
      <c r="HDM991" s="104"/>
      <c r="HDN991" s="103"/>
      <c r="HDZ991" s="104"/>
      <c r="HEA991" s="103"/>
      <c r="HEM991" s="104"/>
      <c r="HEN991" s="103"/>
      <c r="HEZ991" s="104"/>
      <c r="HFA991" s="103"/>
      <c r="HFM991" s="104"/>
      <c r="HFN991" s="103"/>
      <c r="HFZ991" s="104"/>
      <c r="HGA991" s="103"/>
      <c r="HGM991" s="104"/>
      <c r="HGN991" s="103"/>
      <c r="HGZ991" s="104"/>
      <c r="HHA991" s="103"/>
      <c r="HHM991" s="104"/>
      <c r="HHN991" s="103"/>
      <c r="HHZ991" s="104"/>
      <c r="HIA991" s="103"/>
      <c r="HIM991" s="104"/>
      <c r="HIN991" s="103"/>
      <c r="HIZ991" s="104"/>
      <c r="HJA991" s="103"/>
      <c r="HJM991" s="104"/>
      <c r="HJN991" s="103"/>
      <c r="HJZ991" s="104"/>
      <c r="HKA991" s="103"/>
      <c r="HKM991" s="104"/>
      <c r="HKN991" s="103"/>
      <c r="HKZ991" s="104"/>
      <c r="HLA991" s="103"/>
      <c r="HLM991" s="104"/>
      <c r="HLN991" s="103"/>
      <c r="HLZ991" s="104"/>
      <c r="HMA991" s="103"/>
      <c r="HMM991" s="104"/>
      <c r="HMN991" s="103"/>
      <c r="HMZ991" s="104"/>
      <c r="HNA991" s="103"/>
      <c r="HNM991" s="104"/>
      <c r="HNN991" s="103"/>
      <c r="HNZ991" s="104"/>
      <c r="HOA991" s="103"/>
      <c r="HOM991" s="104"/>
      <c r="HON991" s="103"/>
      <c r="HOZ991" s="104"/>
      <c r="HPA991" s="103"/>
      <c r="HPM991" s="104"/>
      <c r="HPN991" s="103"/>
      <c r="HPZ991" s="104"/>
      <c r="HQA991" s="103"/>
      <c r="HQM991" s="104"/>
      <c r="HQN991" s="103"/>
      <c r="HQZ991" s="104"/>
      <c r="HRA991" s="103"/>
      <c r="HRM991" s="104"/>
      <c r="HRN991" s="103"/>
      <c r="HRZ991" s="104"/>
      <c r="HSA991" s="103"/>
      <c r="HSM991" s="104"/>
      <c r="HSN991" s="103"/>
      <c r="HSZ991" s="104"/>
      <c r="HTA991" s="103"/>
      <c r="HTM991" s="104"/>
      <c r="HTN991" s="103"/>
      <c r="HTZ991" s="104"/>
      <c r="HUA991" s="103"/>
      <c r="HUM991" s="104"/>
      <c r="HUN991" s="103"/>
      <c r="HUZ991" s="104"/>
      <c r="HVA991" s="103"/>
      <c r="HVM991" s="104"/>
      <c r="HVN991" s="103"/>
      <c r="HVZ991" s="104"/>
      <c r="HWA991" s="103"/>
      <c r="HWM991" s="104"/>
      <c r="HWN991" s="103"/>
      <c r="HWZ991" s="104"/>
      <c r="HXA991" s="103"/>
      <c r="HXM991" s="104"/>
      <c r="HXN991" s="103"/>
      <c r="HXZ991" s="104"/>
      <c r="HYA991" s="103"/>
      <c r="HYM991" s="104"/>
      <c r="HYN991" s="103"/>
      <c r="HYZ991" s="104"/>
      <c r="HZA991" s="103"/>
      <c r="HZM991" s="104"/>
      <c r="HZN991" s="103"/>
      <c r="HZZ991" s="104"/>
      <c r="IAA991" s="103"/>
      <c r="IAM991" s="104"/>
      <c r="IAN991" s="103"/>
      <c r="IAZ991" s="104"/>
      <c r="IBA991" s="103"/>
      <c r="IBM991" s="104"/>
      <c r="IBN991" s="103"/>
      <c r="IBZ991" s="104"/>
      <c r="ICA991" s="103"/>
      <c r="ICM991" s="104"/>
      <c r="ICN991" s="103"/>
      <c r="ICZ991" s="104"/>
      <c r="IDA991" s="103"/>
      <c r="IDM991" s="104"/>
      <c r="IDN991" s="103"/>
      <c r="IDZ991" s="104"/>
      <c r="IEA991" s="103"/>
      <c r="IEM991" s="104"/>
      <c r="IEN991" s="103"/>
      <c r="IEZ991" s="104"/>
      <c r="IFA991" s="103"/>
      <c r="IFM991" s="104"/>
      <c r="IFN991" s="103"/>
      <c r="IFZ991" s="104"/>
      <c r="IGA991" s="103"/>
      <c r="IGM991" s="104"/>
      <c r="IGN991" s="103"/>
      <c r="IGZ991" s="104"/>
      <c r="IHA991" s="103"/>
      <c r="IHM991" s="104"/>
      <c r="IHN991" s="103"/>
      <c r="IHZ991" s="104"/>
      <c r="IIA991" s="103"/>
      <c r="IIM991" s="104"/>
      <c r="IIN991" s="103"/>
      <c r="IIZ991" s="104"/>
      <c r="IJA991" s="103"/>
      <c r="IJM991" s="104"/>
      <c r="IJN991" s="103"/>
      <c r="IJZ991" s="104"/>
      <c r="IKA991" s="103"/>
      <c r="IKM991" s="104"/>
      <c r="IKN991" s="103"/>
      <c r="IKZ991" s="104"/>
      <c r="ILA991" s="103"/>
      <c r="ILM991" s="104"/>
      <c r="ILN991" s="103"/>
      <c r="ILZ991" s="104"/>
      <c r="IMA991" s="103"/>
      <c r="IMM991" s="104"/>
      <c r="IMN991" s="103"/>
      <c r="IMZ991" s="104"/>
      <c r="INA991" s="103"/>
      <c r="INM991" s="104"/>
      <c r="INN991" s="103"/>
      <c r="INZ991" s="104"/>
      <c r="IOA991" s="103"/>
      <c r="IOM991" s="104"/>
      <c r="ION991" s="103"/>
      <c r="IOZ991" s="104"/>
      <c r="IPA991" s="103"/>
      <c r="IPM991" s="104"/>
      <c r="IPN991" s="103"/>
      <c r="IPZ991" s="104"/>
      <c r="IQA991" s="103"/>
      <c r="IQM991" s="104"/>
      <c r="IQN991" s="103"/>
      <c r="IQZ991" s="104"/>
      <c r="IRA991" s="103"/>
      <c r="IRM991" s="104"/>
      <c r="IRN991" s="103"/>
      <c r="IRZ991" s="104"/>
      <c r="ISA991" s="103"/>
      <c r="ISM991" s="104"/>
      <c r="ISN991" s="103"/>
      <c r="ISZ991" s="104"/>
      <c r="ITA991" s="103"/>
      <c r="ITM991" s="104"/>
      <c r="ITN991" s="103"/>
      <c r="ITZ991" s="104"/>
      <c r="IUA991" s="103"/>
      <c r="IUM991" s="104"/>
      <c r="IUN991" s="103"/>
      <c r="IUZ991" s="104"/>
      <c r="IVA991" s="103"/>
      <c r="IVM991" s="104"/>
      <c r="IVN991" s="103"/>
      <c r="IVZ991" s="104"/>
      <c r="IWA991" s="103"/>
      <c r="IWM991" s="104"/>
      <c r="IWN991" s="103"/>
      <c r="IWZ991" s="104"/>
      <c r="IXA991" s="103"/>
      <c r="IXM991" s="104"/>
      <c r="IXN991" s="103"/>
      <c r="IXZ991" s="104"/>
      <c r="IYA991" s="103"/>
      <c r="IYM991" s="104"/>
      <c r="IYN991" s="103"/>
      <c r="IYZ991" s="104"/>
      <c r="IZA991" s="103"/>
      <c r="IZM991" s="104"/>
      <c r="IZN991" s="103"/>
      <c r="IZZ991" s="104"/>
      <c r="JAA991" s="103"/>
      <c r="JAM991" s="104"/>
      <c r="JAN991" s="103"/>
      <c r="JAZ991" s="104"/>
      <c r="JBA991" s="103"/>
      <c r="JBM991" s="104"/>
      <c r="JBN991" s="103"/>
      <c r="JBZ991" s="104"/>
      <c r="JCA991" s="103"/>
      <c r="JCM991" s="104"/>
      <c r="JCN991" s="103"/>
      <c r="JCZ991" s="104"/>
      <c r="JDA991" s="103"/>
      <c r="JDM991" s="104"/>
      <c r="JDN991" s="103"/>
      <c r="JDZ991" s="104"/>
      <c r="JEA991" s="103"/>
      <c r="JEM991" s="104"/>
      <c r="JEN991" s="103"/>
      <c r="JEZ991" s="104"/>
      <c r="JFA991" s="103"/>
      <c r="JFM991" s="104"/>
      <c r="JFN991" s="103"/>
      <c r="JFZ991" s="104"/>
      <c r="JGA991" s="103"/>
      <c r="JGM991" s="104"/>
      <c r="JGN991" s="103"/>
      <c r="JGZ991" s="104"/>
      <c r="JHA991" s="103"/>
      <c r="JHM991" s="104"/>
      <c r="JHN991" s="103"/>
      <c r="JHZ991" s="104"/>
      <c r="JIA991" s="103"/>
      <c r="JIM991" s="104"/>
      <c r="JIN991" s="103"/>
      <c r="JIZ991" s="104"/>
      <c r="JJA991" s="103"/>
      <c r="JJM991" s="104"/>
      <c r="JJN991" s="103"/>
      <c r="JJZ991" s="104"/>
      <c r="JKA991" s="103"/>
      <c r="JKM991" s="104"/>
      <c r="JKN991" s="103"/>
      <c r="JKZ991" s="104"/>
      <c r="JLA991" s="103"/>
      <c r="JLM991" s="104"/>
      <c r="JLN991" s="103"/>
      <c r="JLZ991" s="104"/>
      <c r="JMA991" s="103"/>
      <c r="JMM991" s="104"/>
      <c r="JMN991" s="103"/>
      <c r="JMZ991" s="104"/>
      <c r="JNA991" s="103"/>
      <c r="JNM991" s="104"/>
      <c r="JNN991" s="103"/>
      <c r="JNZ991" s="104"/>
      <c r="JOA991" s="103"/>
      <c r="JOM991" s="104"/>
      <c r="JON991" s="103"/>
      <c r="JOZ991" s="104"/>
      <c r="JPA991" s="103"/>
      <c r="JPM991" s="104"/>
      <c r="JPN991" s="103"/>
      <c r="JPZ991" s="104"/>
      <c r="JQA991" s="103"/>
      <c r="JQM991" s="104"/>
      <c r="JQN991" s="103"/>
      <c r="JQZ991" s="104"/>
      <c r="JRA991" s="103"/>
      <c r="JRM991" s="104"/>
      <c r="JRN991" s="103"/>
      <c r="JRZ991" s="104"/>
      <c r="JSA991" s="103"/>
      <c r="JSM991" s="104"/>
      <c r="JSN991" s="103"/>
      <c r="JSZ991" s="104"/>
      <c r="JTA991" s="103"/>
      <c r="JTM991" s="104"/>
      <c r="JTN991" s="103"/>
      <c r="JTZ991" s="104"/>
      <c r="JUA991" s="103"/>
      <c r="JUM991" s="104"/>
      <c r="JUN991" s="103"/>
      <c r="JUZ991" s="104"/>
      <c r="JVA991" s="103"/>
      <c r="JVM991" s="104"/>
      <c r="JVN991" s="103"/>
      <c r="JVZ991" s="104"/>
      <c r="JWA991" s="103"/>
      <c r="JWM991" s="104"/>
      <c r="JWN991" s="103"/>
      <c r="JWZ991" s="104"/>
      <c r="JXA991" s="103"/>
      <c r="JXM991" s="104"/>
      <c r="JXN991" s="103"/>
      <c r="JXZ991" s="104"/>
      <c r="JYA991" s="103"/>
      <c r="JYM991" s="104"/>
      <c r="JYN991" s="103"/>
      <c r="JYZ991" s="104"/>
      <c r="JZA991" s="103"/>
      <c r="JZM991" s="104"/>
      <c r="JZN991" s="103"/>
      <c r="JZZ991" s="104"/>
      <c r="KAA991" s="103"/>
      <c r="KAM991" s="104"/>
      <c r="KAN991" s="103"/>
      <c r="KAZ991" s="104"/>
      <c r="KBA991" s="103"/>
      <c r="KBM991" s="104"/>
      <c r="KBN991" s="103"/>
      <c r="KBZ991" s="104"/>
      <c r="KCA991" s="103"/>
      <c r="KCM991" s="104"/>
      <c r="KCN991" s="103"/>
      <c r="KCZ991" s="104"/>
      <c r="KDA991" s="103"/>
      <c r="KDM991" s="104"/>
      <c r="KDN991" s="103"/>
      <c r="KDZ991" s="104"/>
      <c r="KEA991" s="103"/>
      <c r="KEM991" s="104"/>
      <c r="KEN991" s="103"/>
      <c r="KEZ991" s="104"/>
      <c r="KFA991" s="103"/>
      <c r="KFM991" s="104"/>
      <c r="KFN991" s="103"/>
      <c r="KFZ991" s="104"/>
      <c r="KGA991" s="103"/>
      <c r="KGM991" s="104"/>
      <c r="KGN991" s="103"/>
      <c r="KGZ991" s="104"/>
      <c r="KHA991" s="103"/>
      <c r="KHM991" s="104"/>
      <c r="KHN991" s="103"/>
      <c r="KHZ991" s="104"/>
      <c r="KIA991" s="103"/>
      <c r="KIM991" s="104"/>
      <c r="KIN991" s="103"/>
      <c r="KIZ991" s="104"/>
      <c r="KJA991" s="103"/>
      <c r="KJM991" s="104"/>
      <c r="KJN991" s="103"/>
      <c r="KJZ991" s="104"/>
      <c r="KKA991" s="103"/>
      <c r="KKM991" s="104"/>
      <c r="KKN991" s="103"/>
      <c r="KKZ991" s="104"/>
      <c r="KLA991" s="103"/>
      <c r="KLM991" s="104"/>
      <c r="KLN991" s="103"/>
      <c r="KLZ991" s="104"/>
      <c r="KMA991" s="103"/>
      <c r="KMM991" s="104"/>
      <c r="KMN991" s="103"/>
      <c r="KMZ991" s="104"/>
      <c r="KNA991" s="103"/>
      <c r="KNM991" s="104"/>
      <c r="KNN991" s="103"/>
      <c r="KNZ991" s="104"/>
      <c r="KOA991" s="103"/>
      <c r="KOM991" s="104"/>
      <c r="KON991" s="103"/>
      <c r="KOZ991" s="104"/>
      <c r="KPA991" s="103"/>
      <c r="KPM991" s="104"/>
      <c r="KPN991" s="103"/>
      <c r="KPZ991" s="104"/>
      <c r="KQA991" s="103"/>
      <c r="KQM991" s="104"/>
      <c r="KQN991" s="103"/>
      <c r="KQZ991" s="104"/>
      <c r="KRA991" s="103"/>
      <c r="KRM991" s="104"/>
      <c r="KRN991" s="103"/>
      <c r="KRZ991" s="104"/>
      <c r="KSA991" s="103"/>
      <c r="KSM991" s="104"/>
      <c r="KSN991" s="103"/>
      <c r="KSZ991" s="104"/>
      <c r="KTA991" s="103"/>
      <c r="KTM991" s="104"/>
      <c r="KTN991" s="103"/>
      <c r="KTZ991" s="104"/>
      <c r="KUA991" s="103"/>
      <c r="KUM991" s="104"/>
      <c r="KUN991" s="103"/>
      <c r="KUZ991" s="104"/>
      <c r="KVA991" s="103"/>
      <c r="KVM991" s="104"/>
      <c r="KVN991" s="103"/>
      <c r="KVZ991" s="104"/>
      <c r="KWA991" s="103"/>
      <c r="KWM991" s="104"/>
      <c r="KWN991" s="103"/>
      <c r="KWZ991" s="104"/>
      <c r="KXA991" s="103"/>
      <c r="KXM991" s="104"/>
      <c r="KXN991" s="103"/>
      <c r="KXZ991" s="104"/>
      <c r="KYA991" s="103"/>
      <c r="KYM991" s="104"/>
      <c r="KYN991" s="103"/>
      <c r="KYZ991" s="104"/>
      <c r="KZA991" s="103"/>
      <c r="KZM991" s="104"/>
      <c r="KZN991" s="103"/>
      <c r="KZZ991" s="104"/>
      <c r="LAA991" s="103"/>
      <c r="LAM991" s="104"/>
      <c r="LAN991" s="103"/>
      <c r="LAZ991" s="104"/>
      <c r="LBA991" s="103"/>
      <c r="LBM991" s="104"/>
      <c r="LBN991" s="103"/>
      <c r="LBZ991" s="104"/>
      <c r="LCA991" s="103"/>
      <c r="LCM991" s="104"/>
      <c r="LCN991" s="103"/>
      <c r="LCZ991" s="104"/>
      <c r="LDA991" s="103"/>
      <c r="LDM991" s="104"/>
      <c r="LDN991" s="103"/>
      <c r="LDZ991" s="104"/>
      <c r="LEA991" s="103"/>
      <c r="LEM991" s="104"/>
      <c r="LEN991" s="103"/>
      <c r="LEZ991" s="104"/>
      <c r="LFA991" s="103"/>
      <c r="LFM991" s="104"/>
      <c r="LFN991" s="103"/>
      <c r="LFZ991" s="104"/>
      <c r="LGA991" s="103"/>
      <c r="LGM991" s="104"/>
      <c r="LGN991" s="103"/>
      <c r="LGZ991" s="104"/>
      <c r="LHA991" s="103"/>
      <c r="LHM991" s="104"/>
      <c r="LHN991" s="103"/>
      <c r="LHZ991" s="104"/>
      <c r="LIA991" s="103"/>
      <c r="LIM991" s="104"/>
      <c r="LIN991" s="103"/>
      <c r="LIZ991" s="104"/>
      <c r="LJA991" s="103"/>
      <c r="LJM991" s="104"/>
      <c r="LJN991" s="103"/>
      <c r="LJZ991" s="104"/>
      <c r="LKA991" s="103"/>
      <c r="LKM991" s="104"/>
      <c r="LKN991" s="103"/>
      <c r="LKZ991" s="104"/>
      <c r="LLA991" s="103"/>
      <c r="LLM991" s="104"/>
      <c r="LLN991" s="103"/>
      <c r="LLZ991" s="104"/>
      <c r="LMA991" s="103"/>
      <c r="LMM991" s="104"/>
      <c r="LMN991" s="103"/>
      <c r="LMZ991" s="104"/>
      <c r="LNA991" s="103"/>
      <c r="LNM991" s="104"/>
      <c r="LNN991" s="103"/>
      <c r="LNZ991" s="104"/>
      <c r="LOA991" s="103"/>
      <c r="LOM991" s="104"/>
      <c r="LON991" s="103"/>
      <c r="LOZ991" s="104"/>
      <c r="LPA991" s="103"/>
      <c r="LPM991" s="104"/>
      <c r="LPN991" s="103"/>
      <c r="LPZ991" s="104"/>
      <c r="LQA991" s="103"/>
      <c r="LQM991" s="104"/>
      <c r="LQN991" s="103"/>
      <c r="LQZ991" s="104"/>
      <c r="LRA991" s="103"/>
      <c r="LRM991" s="104"/>
      <c r="LRN991" s="103"/>
      <c r="LRZ991" s="104"/>
      <c r="LSA991" s="103"/>
      <c r="LSM991" s="104"/>
      <c r="LSN991" s="103"/>
      <c r="LSZ991" s="104"/>
      <c r="LTA991" s="103"/>
      <c r="LTM991" s="104"/>
      <c r="LTN991" s="103"/>
      <c r="LTZ991" s="104"/>
      <c r="LUA991" s="103"/>
      <c r="LUM991" s="104"/>
      <c r="LUN991" s="103"/>
      <c r="LUZ991" s="104"/>
      <c r="LVA991" s="103"/>
      <c r="LVM991" s="104"/>
      <c r="LVN991" s="103"/>
      <c r="LVZ991" s="104"/>
      <c r="LWA991" s="103"/>
      <c r="LWM991" s="104"/>
      <c r="LWN991" s="103"/>
      <c r="LWZ991" s="104"/>
      <c r="LXA991" s="103"/>
      <c r="LXM991" s="104"/>
      <c r="LXN991" s="103"/>
      <c r="LXZ991" s="104"/>
      <c r="LYA991" s="103"/>
      <c r="LYM991" s="104"/>
      <c r="LYN991" s="103"/>
      <c r="LYZ991" s="104"/>
      <c r="LZA991" s="103"/>
      <c r="LZM991" s="104"/>
      <c r="LZN991" s="103"/>
      <c r="LZZ991" s="104"/>
      <c r="MAA991" s="103"/>
      <c r="MAM991" s="104"/>
      <c r="MAN991" s="103"/>
      <c r="MAZ991" s="104"/>
      <c r="MBA991" s="103"/>
      <c r="MBM991" s="104"/>
      <c r="MBN991" s="103"/>
      <c r="MBZ991" s="104"/>
      <c r="MCA991" s="103"/>
      <c r="MCM991" s="104"/>
      <c r="MCN991" s="103"/>
      <c r="MCZ991" s="104"/>
      <c r="MDA991" s="103"/>
      <c r="MDM991" s="104"/>
      <c r="MDN991" s="103"/>
      <c r="MDZ991" s="104"/>
      <c r="MEA991" s="103"/>
      <c r="MEM991" s="104"/>
      <c r="MEN991" s="103"/>
      <c r="MEZ991" s="104"/>
      <c r="MFA991" s="103"/>
      <c r="MFM991" s="104"/>
      <c r="MFN991" s="103"/>
      <c r="MFZ991" s="104"/>
      <c r="MGA991" s="103"/>
      <c r="MGM991" s="104"/>
      <c r="MGN991" s="103"/>
      <c r="MGZ991" s="104"/>
      <c r="MHA991" s="103"/>
      <c r="MHM991" s="104"/>
      <c r="MHN991" s="103"/>
      <c r="MHZ991" s="104"/>
      <c r="MIA991" s="103"/>
      <c r="MIM991" s="104"/>
      <c r="MIN991" s="103"/>
      <c r="MIZ991" s="104"/>
      <c r="MJA991" s="103"/>
      <c r="MJM991" s="104"/>
      <c r="MJN991" s="103"/>
      <c r="MJZ991" s="104"/>
      <c r="MKA991" s="103"/>
      <c r="MKM991" s="104"/>
      <c r="MKN991" s="103"/>
      <c r="MKZ991" s="104"/>
      <c r="MLA991" s="103"/>
      <c r="MLM991" s="104"/>
      <c r="MLN991" s="103"/>
      <c r="MLZ991" s="104"/>
      <c r="MMA991" s="103"/>
      <c r="MMM991" s="104"/>
      <c r="MMN991" s="103"/>
      <c r="MMZ991" s="104"/>
      <c r="MNA991" s="103"/>
      <c r="MNM991" s="104"/>
      <c r="MNN991" s="103"/>
      <c r="MNZ991" s="104"/>
      <c r="MOA991" s="103"/>
      <c r="MOM991" s="104"/>
      <c r="MON991" s="103"/>
      <c r="MOZ991" s="104"/>
      <c r="MPA991" s="103"/>
      <c r="MPM991" s="104"/>
      <c r="MPN991" s="103"/>
      <c r="MPZ991" s="104"/>
      <c r="MQA991" s="103"/>
      <c r="MQM991" s="104"/>
      <c r="MQN991" s="103"/>
      <c r="MQZ991" s="104"/>
      <c r="MRA991" s="103"/>
      <c r="MRM991" s="104"/>
      <c r="MRN991" s="103"/>
      <c r="MRZ991" s="104"/>
      <c r="MSA991" s="103"/>
      <c r="MSM991" s="104"/>
      <c r="MSN991" s="103"/>
      <c r="MSZ991" s="104"/>
      <c r="MTA991" s="103"/>
      <c r="MTM991" s="104"/>
      <c r="MTN991" s="103"/>
      <c r="MTZ991" s="104"/>
      <c r="MUA991" s="103"/>
      <c r="MUM991" s="104"/>
      <c r="MUN991" s="103"/>
      <c r="MUZ991" s="104"/>
      <c r="MVA991" s="103"/>
      <c r="MVM991" s="104"/>
      <c r="MVN991" s="103"/>
      <c r="MVZ991" s="104"/>
      <c r="MWA991" s="103"/>
      <c r="MWM991" s="104"/>
      <c r="MWN991" s="103"/>
      <c r="MWZ991" s="104"/>
      <c r="MXA991" s="103"/>
      <c r="MXM991" s="104"/>
      <c r="MXN991" s="103"/>
      <c r="MXZ991" s="104"/>
      <c r="MYA991" s="103"/>
      <c r="MYM991" s="104"/>
      <c r="MYN991" s="103"/>
      <c r="MYZ991" s="104"/>
      <c r="MZA991" s="103"/>
      <c r="MZM991" s="104"/>
      <c r="MZN991" s="103"/>
      <c r="MZZ991" s="104"/>
      <c r="NAA991" s="103"/>
      <c r="NAM991" s="104"/>
      <c r="NAN991" s="103"/>
      <c r="NAZ991" s="104"/>
      <c r="NBA991" s="103"/>
      <c r="NBM991" s="104"/>
      <c r="NBN991" s="103"/>
      <c r="NBZ991" s="104"/>
      <c r="NCA991" s="103"/>
      <c r="NCM991" s="104"/>
      <c r="NCN991" s="103"/>
      <c r="NCZ991" s="104"/>
      <c r="NDA991" s="103"/>
      <c r="NDM991" s="104"/>
      <c r="NDN991" s="103"/>
      <c r="NDZ991" s="104"/>
      <c r="NEA991" s="103"/>
      <c r="NEM991" s="104"/>
      <c r="NEN991" s="103"/>
      <c r="NEZ991" s="104"/>
      <c r="NFA991" s="103"/>
      <c r="NFM991" s="104"/>
      <c r="NFN991" s="103"/>
      <c r="NFZ991" s="104"/>
      <c r="NGA991" s="103"/>
      <c r="NGM991" s="104"/>
      <c r="NGN991" s="103"/>
      <c r="NGZ991" s="104"/>
      <c r="NHA991" s="103"/>
      <c r="NHM991" s="104"/>
      <c r="NHN991" s="103"/>
      <c r="NHZ991" s="104"/>
      <c r="NIA991" s="103"/>
      <c r="NIM991" s="104"/>
      <c r="NIN991" s="103"/>
      <c r="NIZ991" s="104"/>
      <c r="NJA991" s="103"/>
      <c r="NJM991" s="104"/>
      <c r="NJN991" s="103"/>
      <c r="NJZ991" s="104"/>
      <c r="NKA991" s="103"/>
      <c r="NKM991" s="104"/>
      <c r="NKN991" s="103"/>
      <c r="NKZ991" s="104"/>
      <c r="NLA991" s="103"/>
      <c r="NLM991" s="104"/>
      <c r="NLN991" s="103"/>
      <c r="NLZ991" s="104"/>
      <c r="NMA991" s="103"/>
      <c r="NMM991" s="104"/>
      <c r="NMN991" s="103"/>
      <c r="NMZ991" s="104"/>
      <c r="NNA991" s="103"/>
      <c r="NNM991" s="104"/>
      <c r="NNN991" s="103"/>
      <c r="NNZ991" s="104"/>
      <c r="NOA991" s="103"/>
      <c r="NOM991" s="104"/>
      <c r="NON991" s="103"/>
      <c r="NOZ991" s="104"/>
      <c r="NPA991" s="103"/>
      <c r="NPM991" s="104"/>
      <c r="NPN991" s="103"/>
      <c r="NPZ991" s="104"/>
      <c r="NQA991" s="103"/>
      <c r="NQM991" s="104"/>
      <c r="NQN991" s="103"/>
      <c r="NQZ991" s="104"/>
      <c r="NRA991" s="103"/>
      <c r="NRM991" s="104"/>
      <c r="NRN991" s="103"/>
      <c r="NRZ991" s="104"/>
      <c r="NSA991" s="103"/>
      <c r="NSM991" s="104"/>
      <c r="NSN991" s="103"/>
      <c r="NSZ991" s="104"/>
      <c r="NTA991" s="103"/>
      <c r="NTM991" s="104"/>
      <c r="NTN991" s="103"/>
      <c r="NTZ991" s="104"/>
      <c r="NUA991" s="103"/>
      <c r="NUM991" s="104"/>
      <c r="NUN991" s="103"/>
      <c r="NUZ991" s="104"/>
      <c r="NVA991" s="103"/>
      <c r="NVM991" s="104"/>
      <c r="NVN991" s="103"/>
      <c r="NVZ991" s="104"/>
      <c r="NWA991" s="103"/>
      <c r="NWM991" s="104"/>
      <c r="NWN991" s="103"/>
      <c r="NWZ991" s="104"/>
      <c r="NXA991" s="103"/>
      <c r="NXM991" s="104"/>
      <c r="NXN991" s="103"/>
      <c r="NXZ991" s="104"/>
      <c r="NYA991" s="103"/>
      <c r="NYM991" s="104"/>
      <c r="NYN991" s="103"/>
      <c r="NYZ991" s="104"/>
      <c r="NZA991" s="103"/>
      <c r="NZM991" s="104"/>
      <c r="NZN991" s="103"/>
      <c r="NZZ991" s="104"/>
      <c r="OAA991" s="103"/>
      <c r="OAM991" s="104"/>
      <c r="OAN991" s="103"/>
      <c r="OAZ991" s="104"/>
      <c r="OBA991" s="103"/>
      <c r="OBM991" s="104"/>
      <c r="OBN991" s="103"/>
      <c r="OBZ991" s="104"/>
      <c r="OCA991" s="103"/>
      <c r="OCM991" s="104"/>
      <c r="OCN991" s="103"/>
      <c r="OCZ991" s="104"/>
      <c r="ODA991" s="103"/>
      <c r="ODM991" s="104"/>
      <c r="ODN991" s="103"/>
      <c r="ODZ991" s="104"/>
      <c r="OEA991" s="103"/>
      <c r="OEM991" s="104"/>
      <c r="OEN991" s="103"/>
      <c r="OEZ991" s="104"/>
      <c r="OFA991" s="103"/>
      <c r="OFM991" s="104"/>
      <c r="OFN991" s="103"/>
      <c r="OFZ991" s="104"/>
      <c r="OGA991" s="103"/>
      <c r="OGM991" s="104"/>
      <c r="OGN991" s="103"/>
      <c r="OGZ991" s="104"/>
      <c r="OHA991" s="103"/>
      <c r="OHM991" s="104"/>
      <c r="OHN991" s="103"/>
      <c r="OHZ991" s="104"/>
      <c r="OIA991" s="103"/>
      <c r="OIM991" s="104"/>
      <c r="OIN991" s="103"/>
      <c r="OIZ991" s="104"/>
      <c r="OJA991" s="103"/>
      <c r="OJM991" s="104"/>
      <c r="OJN991" s="103"/>
      <c r="OJZ991" s="104"/>
      <c r="OKA991" s="103"/>
      <c r="OKM991" s="104"/>
      <c r="OKN991" s="103"/>
      <c r="OKZ991" s="104"/>
      <c r="OLA991" s="103"/>
      <c r="OLM991" s="104"/>
      <c r="OLN991" s="103"/>
      <c r="OLZ991" s="104"/>
      <c r="OMA991" s="103"/>
      <c r="OMM991" s="104"/>
      <c r="OMN991" s="103"/>
      <c r="OMZ991" s="104"/>
      <c r="ONA991" s="103"/>
      <c r="ONM991" s="104"/>
      <c r="ONN991" s="103"/>
      <c r="ONZ991" s="104"/>
      <c r="OOA991" s="103"/>
      <c r="OOM991" s="104"/>
      <c r="OON991" s="103"/>
      <c r="OOZ991" s="104"/>
      <c r="OPA991" s="103"/>
      <c r="OPM991" s="104"/>
      <c r="OPN991" s="103"/>
      <c r="OPZ991" s="104"/>
      <c r="OQA991" s="103"/>
      <c r="OQM991" s="104"/>
      <c r="OQN991" s="103"/>
      <c r="OQZ991" s="104"/>
      <c r="ORA991" s="103"/>
      <c r="ORM991" s="104"/>
      <c r="ORN991" s="103"/>
      <c r="ORZ991" s="104"/>
      <c r="OSA991" s="103"/>
      <c r="OSM991" s="104"/>
      <c r="OSN991" s="103"/>
      <c r="OSZ991" s="104"/>
      <c r="OTA991" s="103"/>
      <c r="OTM991" s="104"/>
      <c r="OTN991" s="103"/>
      <c r="OTZ991" s="104"/>
      <c r="OUA991" s="103"/>
      <c r="OUM991" s="104"/>
      <c r="OUN991" s="103"/>
      <c r="OUZ991" s="104"/>
      <c r="OVA991" s="103"/>
      <c r="OVM991" s="104"/>
      <c r="OVN991" s="103"/>
      <c r="OVZ991" s="104"/>
      <c r="OWA991" s="103"/>
      <c r="OWM991" s="104"/>
      <c r="OWN991" s="103"/>
      <c r="OWZ991" s="104"/>
      <c r="OXA991" s="103"/>
      <c r="OXM991" s="104"/>
      <c r="OXN991" s="103"/>
      <c r="OXZ991" s="104"/>
      <c r="OYA991" s="103"/>
      <c r="OYM991" s="104"/>
      <c r="OYN991" s="103"/>
      <c r="OYZ991" s="104"/>
      <c r="OZA991" s="103"/>
      <c r="OZM991" s="104"/>
      <c r="OZN991" s="103"/>
      <c r="OZZ991" s="104"/>
      <c r="PAA991" s="103"/>
      <c r="PAM991" s="104"/>
      <c r="PAN991" s="103"/>
      <c r="PAZ991" s="104"/>
      <c r="PBA991" s="103"/>
      <c r="PBM991" s="104"/>
      <c r="PBN991" s="103"/>
      <c r="PBZ991" s="104"/>
      <c r="PCA991" s="103"/>
      <c r="PCM991" s="104"/>
      <c r="PCN991" s="103"/>
      <c r="PCZ991" s="104"/>
      <c r="PDA991" s="103"/>
      <c r="PDM991" s="104"/>
      <c r="PDN991" s="103"/>
      <c r="PDZ991" s="104"/>
      <c r="PEA991" s="103"/>
      <c r="PEM991" s="104"/>
      <c r="PEN991" s="103"/>
      <c r="PEZ991" s="104"/>
      <c r="PFA991" s="103"/>
      <c r="PFM991" s="104"/>
      <c r="PFN991" s="103"/>
      <c r="PFZ991" s="104"/>
      <c r="PGA991" s="103"/>
      <c r="PGM991" s="104"/>
      <c r="PGN991" s="103"/>
      <c r="PGZ991" s="104"/>
      <c r="PHA991" s="103"/>
      <c r="PHM991" s="104"/>
      <c r="PHN991" s="103"/>
      <c r="PHZ991" s="104"/>
      <c r="PIA991" s="103"/>
      <c r="PIM991" s="104"/>
      <c r="PIN991" s="103"/>
      <c r="PIZ991" s="104"/>
      <c r="PJA991" s="103"/>
      <c r="PJM991" s="104"/>
      <c r="PJN991" s="103"/>
      <c r="PJZ991" s="104"/>
      <c r="PKA991" s="103"/>
      <c r="PKM991" s="104"/>
      <c r="PKN991" s="103"/>
      <c r="PKZ991" s="104"/>
      <c r="PLA991" s="103"/>
      <c r="PLM991" s="104"/>
      <c r="PLN991" s="103"/>
      <c r="PLZ991" s="104"/>
      <c r="PMA991" s="103"/>
      <c r="PMM991" s="104"/>
      <c r="PMN991" s="103"/>
      <c r="PMZ991" s="104"/>
      <c r="PNA991" s="103"/>
      <c r="PNM991" s="104"/>
      <c r="PNN991" s="103"/>
      <c r="PNZ991" s="104"/>
      <c r="POA991" s="103"/>
      <c r="POM991" s="104"/>
      <c r="PON991" s="103"/>
      <c r="POZ991" s="104"/>
      <c r="PPA991" s="103"/>
      <c r="PPM991" s="104"/>
      <c r="PPN991" s="103"/>
      <c r="PPZ991" s="104"/>
      <c r="PQA991" s="103"/>
      <c r="PQM991" s="104"/>
      <c r="PQN991" s="103"/>
      <c r="PQZ991" s="104"/>
      <c r="PRA991" s="103"/>
      <c r="PRM991" s="104"/>
      <c r="PRN991" s="103"/>
      <c r="PRZ991" s="104"/>
      <c r="PSA991" s="103"/>
      <c r="PSM991" s="104"/>
      <c r="PSN991" s="103"/>
      <c r="PSZ991" s="104"/>
      <c r="PTA991" s="103"/>
      <c r="PTM991" s="104"/>
      <c r="PTN991" s="103"/>
      <c r="PTZ991" s="104"/>
      <c r="PUA991" s="103"/>
      <c r="PUM991" s="104"/>
      <c r="PUN991" s="103"/>
      <c r="PUZ991" s="104"/>
      <c r="PVA991" s="103"/>
      <c r="PVM991" s="104"/>
      <c r="PVN991" s="103"/>
      <c r="PVZ991" s="104"/>
      <c r="PWA991" s="103"/>
      <c r="PWM991" s="104"/>
      <c r="PWN991" s="103"/>
      <c r="PWZ991" s="104"/>
      <c r="PXA991" s="103"/>
      <c r="PXM991" s="104"/>
      <c r="PXN991" s="103"/>
      <c r="PXZ991" s="104"/>
      <c r="PYA991" s="103"/>
      <c r="PYM991" s="104"/>
      <c r="PYN991" s="103"/>
      <c r="PYZ991" s="104"/>
      <c r="PZA991" s="103"/>
      <c r="PZM991" s="104"/>
      <c r="PZN991" s="103"/>
      <c r="PZZ991" s="104"/>
      <c r="QAA991" s="103"/>
      <c r="QAM991" s="104"/>
      <c r="QAN991" s="103"/>
      <c r="QAZ991" s="104"/>
      <c r="QBA991" s="103"/>
      <c r="QBM991" s="104"/>
      <c r="QBN991" s="103"/>
      <c r="QBZ991" s="104"/>
      <c r="QCA991" s="103"/>
      <c r="QCM991" s="104"/>
      <c r="QCN991" s="103"/>
      <c r="QCZ991" s="104"/>
      <c r="QDA991" s="103"/>
      <c r="QDM991" s="104"/>
      <c r="QDN991" s="103"/>
      <c r="QDZ991" s="104"/>
      <c r="QEA991" s="103"/>
      <c r="QEM991" s="104"/>
      <c r="QEN991" s="103"/>
      <c r="QEZ991" s="104"/>
      <c r="QFA991" s="103"/>
      <c r="QFM991" s="104"/>
      <c r="QFN991" s="103"/>
      <c r="QFZ991" s="104"/>
      <c r="QGA991" s="103"/>
      <c r="QGM991" s="104"/>
      <c r="QGN991" s="103"/>
      <c r="QGZ991" s="104"/>
      <c r="QHA991" s="103"/>
      <c r="QHM991" s="104"/>
      <c r="QHN991" s="103"/>
      <c r="QHZ991" s="104"/>
      <c r="QIA991" s="103"/>
      <c r="QIM991" s="104"/>
      <c r="QIN991" s="103"/>
      <c r="QIZ991" s="104"/>
      <c r="QJA991" s="103"/>
      <c r="QJM991" s="104"/>
      <c r="QJN991" s="103"/>
      <c r="QJZ991" s="104"/>
      <c r="QKA991" s="103"/>
      <c r="QKM991" s="104"/>
      <c r="QKN991" s="103"/>
      <c r="QKZ991" s="104"/>
      <c r="QLA991" s="103"/>
      <c r="QLM991" s="104"/>
      <c r="QLN991" s="103"/>
      <c r="QLZ991" s="104"/>
      <c r="QMA991" s="103"/>
      <c r="QMM991" s="104"/>
      <c r="QMN991" s="103"/>
      <c r="QMZ991" s="104"/>
      <c r="QNA991" s="103"/>
      <c r="QNM991" s="104"/>
      <c r="QNN991" s="103"/>
      <c r="QNZ991" s="104"/>
      <c r="QOA991" s="103"/>
      <c r="QOM991" s="104"/>
      <c r="QON991" s="103"/>
      <c r="QOZ991" s="104"/>
      <c r="QPA991" s="103"/>
      <c r="QPM991" s="104"/>
      <c r="QPN991" s="103"/>
      <c r="QPZ991" s="104"/>
      <c r="QQA991" s="103"/>
      <c r="QQM991" s="104"/>
      <c r="QQN991" s="103"/>
      <c r="QQZ991" s="104"/>
      <c r="QRA991" s="103"/>
      <c r="QRM991" s="104"/>
      <c r="QRN991" s="103"/>
      <c r="QRZ991" s="104"/>
      <c r="QSA991" s="103"/>
      <c r="QSM991" s="104"/>
      <c r="QSN991" s="103"/>
      <c r="QSZ991" s="104"/>
      <c r="QTA991" s="103"/>
      <c r="QTM991" s="104"/>
      <c r="QTN991" s="103"/>
      <c r="QTZ991" s="104"/>
      <c r="QUA991" s="103"/>
      <c r="QUM991" s="104"/>
      <c r="QUN991" s="103"/>
      <c r="QUZ991" s="104"/>
      <c r="QVA991" s="103"/>
      <c r="QVM991" s="104"/>
      <c r="QVN991" s="103"/>
      <c r="QVZ991" s="104"/>
      <c r="QWA991" s="103"/>
      <c r="QWM991" s="104"/>
      <c r="QWN991" s="103"/>
      <c r="QWZ991" s="104"/>
      <c r="QXA991" s="103"/>
      <c r="QXM991" s="104"/>
      <c r="QXN991" s="103"/>
      <c r="QXZ991" s="104"/>
      <c r="QYA991" s="103"/>
      <c r="QYM991" s="104"/>
      <c r="QYN991" s="103"/>
      <c r="QYZ991" s="104"/>
      <c r="QZA991" s="103"/>
      <c r="QZM991" s="104"/>
      <c r="QZN991" s="103"/>
      <c r="QZZ991" s="104"/>
      <c r="RAA991" s="103"/>
      <c r="RAM991" s="104"/>
      <c r="RAN991" s="103"/>
      <c r="RAZ991" s="104"/>
      <c r="RBA991" s="103"/>
      <c r="RBM991" s="104"/>
      <c r="RBN991" s="103"/>
      <c r="RBZ991" s="104"/>
      <c r="RCA991" s="103"/>
      <c r="RCM991" s="104"/>
      <c r="RCN991" s="103"/>
      <c r="RCZ991" s="104"/>
      <c r="RDA991" s="103"/>
      <c r="RDM991" s="104"/>
      <c r="RDN991" s="103"/>
      <c r="RDZ991" s="104"/>
      <c r="REA991" s="103"/>
      <c r="REM991" s="104"/>
      <c r="REN991" s="103"/>
      <c r="REZ991" s="104"/>
      <c r="RFA991" s="103"/>
      <c r="RFM991" s="104"/>
      <c r="RFN991" s="103"/>
      <c r="RFZ991" s="104"/>
      <c r="RGA991" s="103"/>
      <c r="RGM991" s="104"/>
      <c r="RGN991" s="103"/>
      <c r="RGZ991" s="104"/>
      <c r="RHA991" s="103"/>
      <c r="RHM991" s="104"/>
      <c r="RHN991" s="103"/>
      <c r="RHZ991" s="104"/>
      <c r="RIA991" s="103"/>
      <c r="RIM991" s="104"/>
      <c r="RIN991" s="103"/>
      <c r="RIZ991" s="104"/>
      <c r="RJA991" s="103"/>
      <c r="RJM991" s="104"/>
      <c r="RJN991" s="103"/>
      <c r="RJZ991" s="104"/>
      <c r="RKA991" s="103"/>
      <c r="RKM991" s="104"/>
      <c r="RKN991" s="103"/>
      <c r="RKZ991" s="104"/>
      <c r="RLA991" s="103"/>
      <c r="RLM991" s="104"/>
      <c r="RLN991" s="103"/>
      <c r="RLZ991" s="104"/>
      <c r="RMA991" s="103"/>
      <c r="RMM991" s="104"/>
      <c r="RMN991" s="103"/>
      <c r="RMZ991" s="104"/>
      <c r="RNA991" s="103"/>
      <c r="RNM991" s="104"/>
      <c r="RNN991" s="103"/>
      <c r="RNZ991" s="104"/>
      <c r="ROA991" s="103"/>
      <c r="ROM991" s="104"/>
      <c r="RON991" s="103"/>
      <c r="ROZ991" s="104"/>
      <c r="RPA991" s="103"/>
      <c r="RPM991" s="104"/>
      <c r="RPN991" s="103"/>
      <c r="RPZ991" s="104"/>
      <c r="RQA991" s="103"/>
      <c r="RQM991" s="104"/>
      <c r="RQN991" s="103"/>
      <c r="RQZ991" s="104"/>
      <c r="RRA991" s="103"/>
      <c r="RRM991" s="104"/>
      <c r="RRN991" s="103"/>
      <c r="RRZ991" s="104"/>
      <c r="RSA991" s="103"/>
      <c r="RSM991" s="104"/>
      <c r="RSN991" s="103"/>
      <c r="RSZ991" s="104"/>
      <c r="RTA991" s="103"/>
      <c r="RTM991" s="104"/>
      <c r="RTN991" s="103"/>
      <c r="RTZ991" s="104"/>
      <c r="RUA991" s="103"/>
      <c r="RUM991" s="104"/>
      <c r="RUN991" s="103"/>
      <c r="RUZ991" s="104"/>
      <c r="RVA991" s="103"/>
      <c r="RVM991" s="104"/>
      <c r="RVN991" s="103"/>
      <c r="RVZ991" s="104"/>
      <c r="RWA991" s="103"/>
      <c r="RWM991" s="104"/>
      <c r="RWN991" s="103"/>
      <c r="RWZ991" s="104"/>
      <c r="RXA991" s="103"/>
      <c r="RXM991" s="104"/>
      <c r="RXN991" s="103"/>
      <c r="RXZ991" s="104"/>
      <c r="RYA991" s="103"/>
      <c r="RYM991" s="104"/>
      <c r="RYN991" s="103"/>
      <c r="RYZ991" s="104"/>
      <c r="RZA991" s="103"/>
      <c r="RZM991" s="104"/>
      <c r="RZN991" s="103"/>
      <c r="RZZ991" s="104"/>
      <c r="SAA991" s="103"/>
      <c r="SAM991" s="104"/>
      <c r="SAN991" s="103"/>
      <c r="SAZ991" s="104"/>
      <c r="SBA991" s="103"/>
      <c r="SBM991" s="104"/>
      <c r="SBN991" s="103"/>
      <c r="SBZ991" s="104"/>
      <c r="SCA991" s="103"/>
      <c r="SCM991" s="104"/>
      <c r="SCN991" s="103"/>
      <c r="SCZ991" s="104"/>
      <c r="SDA991" s="103"/>
      <c r="SDM991" s="104"/>
      <c r="SDN991" s="103"/>
      <c r="SDZ991" s="104"/>
      <c r="SEA991" s="103"/>
      <c r="SEM991" s="104"/>
      <c r="SEN991" s="103"/>
      <c r="SEZ991" s="104"/>
      <c r="SFA991" s="103"/>
      <c r="SFM991" s="104"/>
      <c r="SFN991" s="103"/>
      <c r="SFZ991" s="104"/>
      <c r="SGA991" s="103"/>
      <c r="SGM991" s="104"/>
      <c r="SGN991" s="103"/>
      <c r="SGZ991" s="104"/>
      <c r="SHA991" s="103"/>
      <c r="SHM991" s="104"/>
      <c r="SHN991" s="103"/>
      <c r="SHZ991" s="104"/>
      <c r="SIA991" s="103"/>
      <c r="SIM991" s="104"/>
      <c r="SIN991" s="103"/>
      <c r="SIZ991" s="104"/>
      <c r="SJA991" s="103"/>
      <c r="SJM991" s="104"/>
      <c r="SJN991" s="103"/>
      <c r="SJZ991" s="104"/>
      <c r="SKA991" s="103"/>
      <c r="SKM991" s="104"/>
      <c r="SKN991" s="103"/>
      <c r="SKZ991" s="104"/>
      <c r="SLA991" s="103"/>
      <c r="SLM991" s="104"/>
      <c r="SLN991" s="103"/>
      <c r="SLZ991" s="104"/>
      <c r="SMA991" s="103"/>
      <c r="SMM991" s="104"/>
      <c r="SMN991" s="103"/>
      <c r="SMZ991" s="104"/>
      <c r="SNA991" s="103"/>
      <c r="SNM991" s="104"/>
      <c r="SNN991" s="103"/>
      <c r="SNZ991" s="104"/>
      <c r="SOA991" s="103"/>
      <c r="SOM991" s="104"/>
      <c r="SON991" s="103"/>
      <c r="SOZ991" s="104"/>
      <c r="SPA991" s="103"/>
      <c r="SPM991" s="104"/>
      <c r="SPN991" s="103"/>
      <c r="SPZ991" s="104"/>
      <c r="SQA991" s="103"/>
      <c r="SQM991" s="104"/>
      <c r="SQN991" s="103"/>
      <c r="SQZ991" s="104"/>
      <c r="SRA991" s="103"/>
      <c r="SRM991" s="104"/>
      <c r="SRN991" s="103"/>
      <c r="SRZ991" s="104"/>
      <c r="SSA991" s="103"/>
      <c r="SSM991" s="104"/>
      <c r="SSN991" s="103"/>
      <c r="SSZ991" s="104"/>
      <c r="STA991" s="103"/>
      <c r="STM991" s="104"/>
      <c r="STN991" s="103"/>
      <c r="STZ991" s="104"/>
      <c r="SUA991" s="103"/>
      <c r="SUM991" s="104"/>
      <c r="SUN991" s="103"/>
      <c r="SUZ991" s="104"/>
      <c r="SVA991" s="103"/>
      <c r="SVM991" s="104"/>
      <c r="SVN991" s="103"/>
      <c r="SVZ991" s="104"/>
      <c r="SWA991" s="103"/>
      <c r="SWM991" s="104"/>
      <c r="SWN991" s="103"/>
      <c r="SWZ991" s="104"/>
      <c r="SXA991" s="103"/>
      <c r="SXM991" s="104"/>
      <c r="SXN991" s="103"/>
      <c r="SXZ991" s="104"/>
      <c r="SYA991" s="103"/>
      <c r="SYM991" s="104"/>
      <c r="SYN991" s="103"/>
      <c r="SYZ991" s="104"/>
      <c r="SZA991" s="103"/>
      <c r="SZM991" s="104"/>
      <c r="SZN991" s="103"/>
      <c r="SZZ991" s="104"/>
      <c r="TAA991" s="103"/>
      <c r="TAM991" s="104"/>
      <c r="TAN991" s="103"/>
      <c r="TAZ991" s="104"/>
      <c r="TBA991" s="103"/>
      <c r="TBM991" s="104"/>
      <c r="TBN991" s="103"/>
      <c r="TBZ991" s="104"/>
      <c r="TCA991" s="103"/>
      <c r="TCM991" s="104"/>
      <c r="TCN991" s="103"/>
      <c r="TCZ991" s="104"/>
      <c r="TDA991" s="103"/>
      <c r="TDM991" s="104"/>
      <c r="TDN991" s="103"/>
      <c r="TDZ991" s="104"/>
      <c r="TEA991" s="103"/>
      <c r="TEM991" s="104"/>
      <c r="TEN991" s="103"/>
      <c r="TEZ991" s="104"/>
      <c r="TFA991" s="103"/>
      <c r="TFM991" s="104"/>
      <c r="TFN991" s="103"/>
      <c r="TFZ991" s="104"/>
      <c r="TGA991" s="103"/>
      <c r="TGM991" s="104"/>
      <c r="TGN991" s="103"/>
      <c r="TGZ991" s="104"/>
      <c r="THA991" s="103"/>
      <c r="THM991" s="104"/>
      <c r="THN991" s="103"/>
      <c r="THZ991" s="104"/>
      <c r="TIA991" s="103"/>
      <c r="TIM991" s="104"/>
      <c r="TIN991" s="103"/>
      <c r="TIZ991" s="104"/>
      <c r="TJA991" s="103"/>
      <c r="TJM991" s="104"/>
      <c r="TJN991" s="103"/>
      <c r="TJZ991" s="104"/>
      <c r="TKA991" s="103"/>
      <c r="TKM991" s="104"/>
      <c r="TKN991" s="103"/>
      <c r="TKZ991" s="104"/>
      <c r="TLA991" s="103"/>
      <c r="TLM991" s="104"/>
      <c r="TLN991" s="103"/>
      <c r="TLZ991" s="104"/>
      <c r="TMA991" s="103"/>
      <c r="TMM991" s="104"/>
      <c r="TMN991" s="103"/>
      <c r="TMZ991" s="104"/>
      <c r="TNA991" s="103"/>
      <c r="TNM991" s="104"/>
      <c r="TNN991" s="103"/>
      <c r="TNZ991" s="104"/>
      <c r="TOA991" s="103"/>
      <c r="TOM991" s="104"/>
      <c r="TON991" s="103"/>
      <c r="TOZ991" s="104"/>
      <c r="TPA991" s="103"/>
      <c r="TPM991" s="104"/>
      <c r="TPN991" s="103"/>
      <c r="TPZ991" s="104"/>
      <c r="TQA991" s="103"/>
      <c r="TQM991" s="104"/>
      <c r="TQN991" s="103"/>
      <c r="TQZ991" s="104"/>
      <c r="TRA991" s="103"/>
      <c r="TRM991" s="104"/>
      <c r="TRN991" s="103"/>
      <c r="TRZ991" s="104"/>
      <c r="TSA991" s="103"/>
      <c r="TSM991" s="104"/>
      <c r="TSN991" s="103"/>
      <c r="TSZ991" s="104"/>
      <c r="TTA991" s="103"/>
      <c r="TTM991" s="104"/>
      <c r="TTN991" s="103"/>
      <c r="TTZ991" s="104"/>
      <c r="TUA991" s="103"/>
      <c r="TUM991" s="104"/>
      <c r="TUN991" s="103"/>
      <c r="TUZ991" s="104"/>
      <c r="TVA991" s="103"/>
      <c r="TVM991" s="104"/>
      <c r="TVN991" s="103"/>
      <c r="TVZ991" s="104"/>
      <c r="TWA991" s="103"/>
      <c r="TWM991" s="104"/>
      <c r="TWN991" s="103"/>
      <c r="TWZ991" s="104"/>
      <c r="TXA991" s="103"/>
      <c r="TXM991" s="104"/>
      <c r="TXN991" s="103"/>
      <c r="TXZ991" s="104"/>
      <c r="TYA991" s="103"/>
      <c r="TYM991" s="104"/>
      <c r="TYN991" s="103"/>
      <c r="TYZ991" s="104"/>
      <c r="TZA991" s="103"/>
      <c r="TZM991" s="104"/>
      <c r="TZN991" s="103"/>
      <c r="TZZ991" s="104"/>
      <c r="UAA991" s="103"/>
      <c r="UAM991" s="104"/>
      <c r="UAN991" s="103"/>
      <c r="UAZ991" s="104"/>
      <c r="UBA991" s="103"/>
      <c r="UBM991" s="104"/>
      <c r="UBN991" s="103"/>
      <c r="UBZ991" s="104"/>
      <c r="UCA991" s="103"/>
      <c r="UCM991" s="104"/>
      <c r="UCN991" s="103"/>
      <c r="UCZ991" s="104"/>
      <c r="UDA991" s="103"/>
      <c r="UDM991" s="104"/>
      <c r="UDN991" s="103"/>
      <c r="UDZ991" s="104"/>
      <c r="UEA991" s="103"/>
      <c r="UEM991" s="104"/>
      <c r="UEN991" s="103"/>
      <c r="UEZ991" s="104"/>
      <c r="UFA991" s="103"/>
      <c r="UFM991" s="104"/>
      <c r="UFN991" s="103"/>
      <c r="UFZ991" s="104"/>
      <c r="UGA991" s="103"/>
      <c r="UGM991" s="104"/>
      <c r="UGN991" s="103"/>
      <c r="UGZ991" s="104"/>
      <c r="UHA991" s="103"/>
      <c r="UHM991" s="104"/>
      <c r="UHN991" s="103"/>
      <c r="UHZ991" s="104"/>
      <c r="UIA991" s="103"/>
      <c r="UIM991" s="104"/>
      <c r="UIN991" s="103"/>
      <c r="UIZ991" s="104"/>
      <c r="UJA991" s="103"/>
      <c r="UJM991" s="104"/>
      <c r="UJN991" s="103"/>
      <c r="UJZ991" s="104"/>
      <c r="UKA991" s="103"/>
      <c r="UKM991" s="104"/>
      <c r="UKN991" s="103"/>
      <c r="UKZ991" s="104"/>
      <c r="ULA991" s="103"/>
      <c r="ULM991" s="104"/>
      <c r="ULN991" s="103"/>
      <c r="ULZ991" s="104"/>
      <c r="UMA991" s="103"/>
      <c r="UMM991" s="104"/>
      <c r="UMN991" s="103"/>
      <c r="UMZ991" s="104"/>
      <c r="UNA991" s="103"/>
      <c r="UNM991" s="104"/>
      <c r="UNN991" s="103"/>
      <c r="UNZ991" s="104"/>
      <c r="UOA991" s="103"/>
      <c r="UOM991" s="104"/>
      <c r="UON991" s="103"/>
      <c r="UOZ991" s="104"/>
      <c r="UPA991" s="103"/>
      <c r="UPM991" s="104"/>
      <c r="UPN991" s="103"/>
      <c r="UPZ991" s="104"/>
      <c r="UQA991" s="103"/>
      <c r="UQM991" s="104"/>
      <c r="UQN991" s="103"/>
      <c r="UQZ991" s="104"/>
      <c r="URA991" s="103"/>
      <c r="URM991" s="104"/>
      <c r="URN991" s="103"/>
      <c r="URZ991" s="104"/>
      <c r="USA991" s="103"/>
      <c r="USM991" s="104"/>
      <c r="USN991" s="103"/>
      <c r="USZ991" s="104"/>
      <c r="UTA991" s="103"/>
      <c r="UTM991" s="104"/>
      <c r="UTN991" s="103"/>
      <c r="UTZ991" s="104"/>
      <c r="UUA991" s="103"/>
      <c r="UUM991" s="104"/>
      <c r="UUN991" s="103"/>
      <c r="UUZ991" s="104"/>
      <c r="UVA991" s="103"/>
      <c r="UVM991" s="104"/>
      <c r="UVN991" s="103"/>
      <c r="UVZ991" s="104"/>
      <c r="UWA991" s="103"/>
      <c r="UWM991" s="104"/>
      <c r="UWN991" s="103"/>
      <c r="UWZ991" s="104"/>
      <c r="UXA991" s="103"/>
      <c r="UXM991" s="104"/>
      <c r="UXN991" s="103"/>
      <c r="UXZ991" s="104"/>
      <c r="UYA991" s="103"/>
      <c r="UYM991" s="104"/>
      <c r="UYN991" s="103"/>
      <c r="UYZ991" s="104"/>
      <c r="UZA991" s="103"/>
      <c r="UZM991" s="104"/>
      <c r="UZN991" s="103"/>
      <c r="UZZ991" s="104"/>
      <c r="VAA991" s="103"/>
      <c r="VAM991" s="104"/>
      <c r="VAN991" s="103"/>
      <c r="VAZ991" s="104"/>
      <c r="VBA991" s="103"/>
      <c r="VBM991" s="104"/>
      <c r="VBN991" s="103"/>
      <c r="VBZ991" s="104"/>
      <c r="VCA991" s="103"/>
      <c r="VCM991" s="104"/>
      <c r="VCN991" s="103"/>
      <c r="VCZ991" s="104"/>
      <c r="VDA991" s="103"/>
      <c r="VDM991" s="104"/>
      <c r="VDN991" s="103"/>
      <c r="VDZ991" s="104"/>
      <c r="VEA991" s="103"/>
      <c r="VEM991" s="104"/>
      <c r="VEN991" s="103"/>
      <c r="VEZ991" s="104"/>
      <c r="VFA991" s="103"/>
      <c r="VFM991" s="104"/>
      <c r="VFN991" s="103"/>
      <c r="VFZ991" s="104"/>
      <c r="VGA991" s="103"/>
      <c r="VGM991" s="104"/>
      <c r="VGN991" s="103"/>
      <c r="VGZ991" s="104"/>
      <c r="VHA991" s="103"/>
      <c r="VHM991" s="104"/>
      <c r="VHN991" s="103"/>
      <c r="VHZ991" s="104"/>
      <c r="VIA991" s="103"/>
      <c r="VIM991" s="104"/>
      <c r="VIN991" s="103"/>
      <c r="VIZ991" s="104"/>
      <c r="VJA991" s="103"/>
      <c r="VJM991" s="104"/>
      <c r="VJN991" s="103"/>
      <c r="VJZ991" s="104"/>
      <c r="VKA991" s="103"/>
      <c r="VKM991" s="104"/>
      <c r="VKN991" s="103"/>
      <c r="VKZ991" s="104"/>
      <c r="VLA991" s="103"/>
      <c r="VLM991" s="104"/>
      <c r="VLN991" s="103"/>
      <c r="VLZ991" s="104"/>
      <c r="VMA991" s="103"/>
      <c r="VMM991" s="104"/>
      <c r="VMN991" s="103"/>
      <c r="VMZ991" s="104"/>
      <c r="VNA991" s="103"/>
      <c r="VNM991" s="104"/>
      <c r="VNN991" s="103"/>
      <c r="VNZ991" s="104"/>
      <c r="VOA991" s="103"/>
      <c r="VOM991" s="104"/>
      <c r="VON991" s="103"/>
      <c r="VOZ991" s="104"/>
      <c r="VPA991" s="103"/>
      <c r="VPM991" s="104"/>
      <c r="VPN991" s="103"/>
      <c r="VPZ991" s="104"/>
      <c r="VQA991" s="103"/>
      <c r="VQM991" s="104"/>
      <c r="VQN991" s="103"/>
      <c r="VQZ991" s="104"/>
      <c r="VRA991" s="103"/>
      <c r="VRM991" s="104"/>
      <c r="VRN991" s="103"/>
      <c r="VRZ991" s="104"/>
      <c r="VSA991" s="103"/>
      <c r="VSM991" s="104"/>
      <c r="VSN991" s="103"/>
      <c r="VSZ991" s="104"/>
      <c r="VTA991" s="103"/>
      <c r="VTM991" s="104"/>
      <c r="VTN991" s="103"/>
      <c r="VTZ991" s="104"/>
      <c r="VUA991" s="103"/>
      <c r="VUM991" s="104"/>
      <c r="VUN991" s="103"/>
      <c r="VUZ991" s="104"/>
      <c r="VVA991" s="103"/>
      <c r="VVM991" s="104"/>
      <c r="VVN991" s="103"/>
      <c r="VVZ991" s="104"/>
      <c r="VWA991" s="103"/>
      <c r="VWM991" s="104"/>
      <c r="VWN991" s="103"/>
      <c r="VWZ991" s="104"/>
      <c r="VXA991" s="103"/>
      <c r="VXM991" s="104"/>
      <c r="VXN991" s="103"/>
      <c r="VXZ991" s="104"/>
      <c r="VYA991" s="103"/>
      <c r="VYM991" s="104"/>
      <c r="VYN991" s="103"/>
      <c r="VYZ991" s="104"/>
      <c r="VZA991" s="103"/>
      <c r="VZM991" s="104"/>
      <c r="VZN991" s="103"/>
      <c r="VZZ991" s="104"/>
      <c r="WAA991" s="103"/>
      <c r="WAM991" s="104"/>
      <c r="WAN991" s="103"/>
      <c r="WAZ991" s="104"/>
      <c r="WBA991" s="103"/>
      <c r="WBM991" s="104"/>
      <c r="WBN991" s="103"/>
      <c r="WBZ991" s="104"/>
      <c r="WCA991" s="103"/>
      <c r="WCM991" s="104"/>
      <c r="WCN991" s="103"/>
      <c r="WCZ991" s="104"/>
      <c r="WDA991" s="103"/>
      <c r="WDM991" s="104"/>
      <c r="WDN991" s="103"/>
      <c r="WDZ991" s="104"/>
      <c r="WEA991" s="103"/>
      <c r="WEM991" s="104"/>
      <c r="WEN991" s="103"/>
      <c r="WEZ991" s="104"/>
      <c r="WFA991" s="103"/>
      <c r="WFM991" s="104"/>
      <c r="WFN991" s="103"/>
      <c r="WFZ991" s="104"/>
      <c r="WGA991" s="103"/>
      <c r="WGM991" s="104"/>
      <c r="WGN991" s="103"/>
      <c r="WGZ991" s="104"/>
      <c r="WHA991" s="103"/>
      <c r="WHM991" s="104"/>
      <c r="WHN991" s="103"/>
      <c r="WHZ991" s="104"/>
      <c r="WIA991" s="103"/>
      <c r="WIM991" s="104"/>
      <c r="WIN991" s="103"/>
      <c r="WIZ991" s="104"/>
      <c r="WJA991" s="103"/>
      <c r="WJM991" s="104"/>
      <c r="WJN991" s="103"/>
      <c r="WJZ991" s="104"/>
      <c r="WKA991" s="103"/>
      <c r="WKM991" s="104"/>
      <c r="WKN991" s="103"/>
      <c r="WKZ991" s="104"/>
      <c r="WLA991" s="103"/>
      <c r="WLM991" s="104"/>
      <c r="WLN991" s="103"/>
      <c r="WLZ991" s="104"/>
      <c r="WMA991" s="103"/>
      <c r="WMM991" s="104"/>
      <c r="WMN991" s="103"/>
      <c r="WMZ991" s="104"/>
      <c r="WNA991" s="103"/>
      <c r="WNM991" s="104"/>
      <c r="WNN991" s="103"/>
      <c r="WNZ991" s="104"/>
      <c r="WOA991" s="103"/>
      <c r="WOM991" s="104"/>
      <c r="WON991" s="103"/>
      <c r="WOZ991" s="104"/>
      <c r="WPA991" s="103"/>
      <c r="WPM991" s="104"/>
      <c r="WPN991" s="103"/>
      <c r="WPZ991" s="104"/>
      <c r="WQA991" s="103"/>
      <c r="WQM991" s="104"/>
      <c r="WQN991" s="103"/>
      <c r="WQZ991" s="104"/>
      <c r="WRA991" s="103"/>
      <c r="WRM991" s="104"/>
      <c r="WRN991" s="103"/>
      <c r="WRZ991" s="104"/>
      <c r="WSA991" s="103"/>
      <c r="WSM991" s="104"/>
      <c r="WSN991" s="103"/>
      <c r="WSZ991" s="104"/>
      <c r="WTA991" s="103"/>
      <c r="WTM991" s="104"/>
      <c r="WTN991" s="103"/>
      <c r="WTZ991" s="104"/>
      <c r="WUA991" s="103"/>
      <c r="WUM991" s="104"/>
      <c r="WUN991" s="103"/>
      <c r="WUZ991" s="104"/>
      <c r="WVA991" s="103"/>
      <c r="WVM991" s="104"/>
      <c r="WVN991" s="103"/>
      <c r="WVZ991" s="104"/>
      <c r="WWA991" s="103"/>
      <c r="WWM991" s="104"/>
      <c r="WWN991" s="103"/>
      <c r="WWZ991" s="104"/>
      <c r="WXA991" s="103"/>
      <c r="WXM991" s="104"/>
      <c r="WXN991" s="103"/>
      <c r="WXZ991" s="104"/>
      <c r="WYA991" s="103"/>
      <c r="WYM991" s="104"/>
      <c r="WYN991" s="103"/>
      <c r="WYZ991" s="104"/>
      <c r="WZA991" s="103"/>
      <c r="WZM991" s="104"/>
      <c r="WZN991" s="103"/>
      <c r="WZZ991" s="104"/>
      <c r="XAA991" s="103"/>
      <c r="XAM991" s="104"/>
      <c r="XAN991" s="103"/>
      <c r="XAZ991" s="104"/>
      <c r="XBA991" s="103"/>
      <c r="XBM991" s="104"/>
      <c r="XBN991" s="103"/>
      <c r="XBZ991" s="104"/>
      <c r="XCA991" s="103"/>
      <c r="XCM991" s="104"/>
      <c r="XCN991" s="103"/>
      <c r="XCZ991" s="104"/>
      <c r="XDA991" s="103"/>
      <c r="XDM991" s="104"/>
      <c r="XDN991" s="103"/>
      <c r="XDZ991" s="104"/>
      <c r="XEA991" s="103"/>
      <c r="XEM991" s="104"/>
      <c r="XEN991" s="103"/>
      <c r="XEZ991" s="104"/>
      <c r="XFA991" s="103"/>
    </row>
    <row r="992" spans="2:1015 1027:2042 2054:3069 3081:4096 4108:5110 5122:6137 6149:7164 7176:8191 8203:9205 9217:10232 10244:11259 11271:12286 12298:14327 14339:15354 15366:16381">
      <c r="B992" s="134">
        <v>2023</v>
      </c>
      <c r="C992" s="135">
        <v>28468</v>
      </c>
      <c r="D992" s="136">
        <f t="shared" ref="D992:D996" si="38">+C992*$N$949</f>
        <v>485.38789428815005</v>
      </c>
      <c r="E992" s="135">
        <v>2287</v>
      </c>
      <c r="F992" s="136">
        <f t="shared" ref="F992:F996" si="39">+E992*$N$949</f>
        <v>38.994032395566926</v>
      </c>
      <c r="G992" s="136">
        <f t="shared" si="36"/>
        <v>30755</v>
      </c>
      <c r="H992" s="136">
        <f t="shared" si="37"/>
        <v>524.38192668371698</v>
      </c>
      <c r="AM992" s="104"/>
      <c r="AN992" s="103"/>
      <c r="AZ992" s="104"/>
      <c r="BA992" s="103"/>
      <c r="BM992" s="104"/>
      <c r="BN992" s="103"/>
      <c r="BZ992" s="104"/>
      <c r="CA992" s="103"/>
      <c r="CM992" s="104"/>
      <c r="CN992" s="103"/>
      <c r="CZ992" s="104"/>
      <c r="DA992" s="103"/>
      <c r="DM992" s="104"/>
      <c r="DN992" s="103"/>
      <c r="DZ992" s="104"/>
      <c r="EA992" s="103"/>
      <c r="EM992" s="104"/>
      <c r="EN992" s="103"/>
      <c r="EZ992" s="104"/>
      <c r="FA992" s="103"/>
      <c r="FM992" s="104"/>
      <c r="FN992" s="103"/>
      <c r="FZ992" s="104"/>
      <c r="GA992" s="103"/>
      <c r="GM992" s="104"/>
      <c r="GN992" s="103"/>
      <c r="GZ992" s="104"/>
      <c r="HA992" s="103"/>
      <c r="HM992" s="104"/>
      <c r="HN992" s="103"/>
      <c r="HZ992" s="104"/>
      <c r="IA992" s="103"/>
      <c r="IM992" s="104"/>
      <c r="IN992" s="103"/>
      <c r="IZ992" s="104"/>
      <c r="JA992" s="103"/>
      <c r="JM992" s="104"/>
      <c r="JN992" s="103"/>
      <c r="JZ992" s="104"/>
      <c r="KA992" s="103"/>
      <c r="KM992" s="104"/>
      <c r="KN992" s="103"/>
      <c r="KZ992" s="104"/>
      <c r="LA992" s="103"/>
      <c r="LM992" s="104"/>
      <c r="LN992" s="103"/>
      <c r="LZ992" s="104"/>
      <c r="MA992" s="103"/>
      <c r="MM992" s="104"/>
      <c r="MN992" s="103"/>
      <c r="MZ992" s="104"/>
      <c r="NA992" s="103"/>
      <c r="NM992" s="104"/>
      <c r="NN992" s="103"/>
      <c r="NZ992" s="104"/>
      <c r="OA992" s="103"/>
      <c r="OM992" s="104"/>
      <c r="ON992" s="103"/>
      <c r="OZ992" s="104"/>
      <c r="PA992" s="103"/>
      <c r="PM992" s="104"/>
      <c r="PN992" s="103"/>
      <c r="PZ992" s="104"/>
      <c r="QA992" s="103"/>
      <c r="QM992" s="104"/>
      <c r="QN992" s="103"/>
      <c r="QZ992" s="104"/>
      <c r="RA992" s="103"/>
      <c r="RM992" s="104"/>
      <c r="RN992" s="103"/>
      <c r="RZ992" s="104"/>
      <c r="SA992" s="103"/>
      <c r="SM992" s="104"/>
      <c r="SN992" s="103"/>
      <c r="SZ992" s="104"/>
      <c r="TA992" s="103"/>
      <c r="TM992" s="104"/>
      <c r="TN992" s="103"/>
      <c r="TZ992" s="104"/>
      <c r="UA992" s="103"/>
      <c r="UM992" s="104"/>
      <c r="UN992" s="103"/>
      <c r="UZ992" s="104"/>
      <c r="VA992" s="103"/>
      <c r="VM992" s="104"/>
      <c r="VN992" s="103"/>
      <c r="VZ992" s="104"/>
      <c r="WA992" s="103"/>
      <c r="WM992" s="104"/>
      <c r="WN992" s="103"/>
      <c r="WZ992" s="104"/>
      <c r="XA992" s="103"/>
      <c r="XM992" s="104"/>
      <c r="XN992" s="103"/>
      <c r="XZ992" s="104"/>
      <c r="YA992" s="103"/>
      <c r="YM992" s="104"/>
      <c r="YN992" s="103"/>
      <c r="YZ992" s="104"/>
      <c r="ZA992" s="103"/>
      <c r="ZM992" s="104"/>
      <c r="ZN992" s="103"/>
      <c r="ZZ992" s="104"/>
      <c r="AAA992" s="103"/>
      <c r="AAM992" s="104"/>
      <c r="AAN992" s="103"/>
      <c r="AAZ992" s="104"/>
      <c r="ABA992" s="103"/>
      <c r="ABM992" s="104"/>
      <c r="ABN992" s="103"/>
      <c r="ABZ992" s="104"/>
      <c r="ACA992" s="103"/>
      <c r="ACM992" s="104"/>
      <c r="ACN992" s="103"/>
      <c r="ACZ992" s="104"/>
      <c r="ADA992" s="103"/>
      <c r="ADM992" s="104"/>
      <c r="ADN992" s="103"/>
      <c r="ADZ992" s="104"/>
      <c r="AEA992" s="103"/>
      <c r="AEM992" s="104"/>
      <c r="AEN992" s="103"/>
      <c r="AEZ992" s="104"/>
      <c r="AFA992" s="103"/>
      <c r="AFM992" s="104"/>
      <c r="AFN992" s="103"/>
      <c r="AFZ992" s="104"/>
      <c r="AGA992" s="103"/>
      <c r="AGM992" s="104"/>
      <c r="AGN992" s="103"/>
      <c r="AGZ992" s="104"/>
      <c r="AHA992" s="103"/>
      <c r="AHM992" s="104"/>
      <c r="AHN992" s="103"/>
      <c r="AHZ992" s="104"/>
      <c r="AIA992" s="103"/>
      <c r="AIM992" s="104"/>
      <c r="AIN992" s="103"/>
      <c r="AIZ992" s="104"/>
      <c r="AJA992" s="103"/>
      <c r="AJM992" s="104"/>
      <c r="AJN992" s="103"/>
      <c r="AJZ992" s="104"/>
      <c r="AKA992" s="103"/>
      <c r="AKM992" s="104"/>
      <c r="AKN992" s="103"/>
      <c r="AKZ992" s="104"/>
      <c r="ALA992" s="103"/>
      <c r="ALM992" s="104"/>
      <c r="ALN992" s="103"/>
      <c r="ALZ992" s="104"/>
      <c r="AMA992" s="103"/>
      <c r="AMM992" s="104"/>
      <c r="AMN992" s="103"/>
      <c r="AMZ992" s="104"/>
      <c r="ANA992" s="103"/>
      <c r="ANM992" s="104"/>
      <c r="ANN992" s="103"/>
      <c r="ANZ992" s="104"/>
      <c r="AOA992" s="103"/>
      <c r="AOM992" s="104"/>
      <c r="AON992" s="103"/>
      <c r="AOZ992" s="104"/>
      <c r="APA992" s="103"/>
      <c r="APM992" s="104"/>
      <c r="APN992" s="103"/>
      <c r="APZ992" s="104"/>
      <c r="AQA992" s="103"/>
      <c r="AQM992" s="104"/>
      <c r="AQN992" s="103"/>
      <c r="AQZ992" s="104"/>
      <c r="ARA992" s="103"/>
      <c r="ARM992" s="104"/>
      <c r="ARN992" s="103"/>
      <c r="ARZ992" s="104"/>
      <c r="ASA992" s="103"/>
      <c r="ASM992" s="104"/>
      <c r="ASN992" s="103"/>
      <c r="ASZ992" s="104"/>
      <c r="ATA992" s="103"/>
      <c r="ATM992" s="104"/>
      <c r="ATN992" s="103"/>
      <c r="ATZ992" s="104"/>
      <c r="AUA992" s="103"/>
      <c r="AUM992" s="104"/>
      <c r="AUN992" s="103"/>
      <c r="AUZ992" s="104"/>
      <c r="AVA992" s="103"/>
      <c r="AVM992" s="104"/>
      <c r="AVN992" s="103"/>
      <c r="AVZ992" s="104"/>
      <c r="AWA992" s="103"/>
      <c r="AWM992" s="104"/>
      <c r="AWN992" s="103"/>
      <c r="AWZ992" s="104"/>
      <c r="AXA992" s="103"/>
      <c r="AXM992" s="104"/>
      <c r="AXN992" s="103"/>
      <c r="AXZ992" s="104"/>
      <c r="AYA992" s="103"/>
      <c r="AYM992" s="104"/>
      <c r="AYN992" s="103"/>
      <c r="AYZ992" s="104"/>
      <c r="AZA992" s="103"/>
      <c r="AZM992" s="104"/>
      <c r="AZN992" s="103"/>
      <c r="AZZ992" s="104"/>
      <c r="BAA992" s="103"/>
      <c r="BAM992" s="104"/>
      <c r="BAN992" s="103"/>
      <c r="BAZ992" s="104"/>
      <c r="BBA992" s="103"/>
      <c r="BBM992" s="104"/>
      <c r="BBN992" s="103"/>
      <c r="BBZ992" s="104"/>
      <c r="BCA992" s="103"/>
      <c r="BCM992" s="104"/>
      <c r="BCN992" s="103"/>
      <c r="BCZ992" s="104"/>
      <c r="BDA992" s="103"/>
      <c r="BDM992" s="104"/>
      <c r="BDN992" s="103"/>
      <c r="BDZ992" s="104"/>
      <c r="BEA992" s="103"/>
      <c r="BEM992" s="104"/>
      <c r="BEN992" s="103"/>
      <c r="BEZ992" s="104"/>
      <c r="BFA992" s="103"/>
      <c r="BFM992" s="104"/>
      <c r="BFN992" s="103"/>
      <c r="BFZ992" s="104"/>
      <c r="BGA992" s="103"/>
      <c r="BGM992" s="104"/>
      <c r="BGN992" s="103"/>
      <c r="BGZ992" s="104"/>
      <c r="BHA992" s="103"/>
      <c r="BHM992" s="104"/>
      <c r="BHN992" s="103"/>
      <c r="BHZ992" s="104"/>
      <c r="BIA992" s="103"/>
      <c r="BIM992" s="104"/>
      <c r="BIN992" s="103"/>
      <c r="BIZ992" s="104"/>
      <c r="BJA992" s="103"/>
      <c r="BJM992" s="104"/>
      <c r="BJN992" s="103"/>
      <c r="BJZ992" s="104"/>
      <c r="BKA992" s="103"/>
      <c r="BKM992" s="104"/>
      <c r="BKN992" s="103"/>
      <c r="BKZ992" s="104"/>
      <c r="BLA992" s="103"/>
      <c r="BLM992" s="104"/>
      <c r="BLN992" s="103"/>
      <c r="BLZ992" s="104"/>
      <c r="BMA992" s="103"/>
      <c r="BMM992" s="104"/>
      <c r="BMN992" s="103"/>
      <c r="BMZ992" s="104"/>
      <c r="BNA992" s="103"/>
      <c r="BNM992" s="104"/>
      <c r="BNN992" s="103"/>
      <c r="BNZ992" s="104"/>
      <c r="BOA992" s="103"/>
      <c r="BOM992" s="104"/>
      <c r="BON992" s="103"/>
      <c r="BOZ992" s="104"/>
      <c r="BPA992" s="103"/>
      <c r="BPM992" s="104"/>
      <c r="BPN992" s="103"/>
      <c r="BPZ992" s="104"/>
      <c r="BQA992" s="103"/>
      <c r="BQM992" s="104"/>
      <c r="BQN992" s="103"/>
      <c r="BQZ992" s="104"/>
      <c r="BRA992" s="103"/>
      <c r="BRM992" s="104"/>
      <c r="BRN992" s="103"/>
      <c r="BRZ992" s="104"/>
      <c r="BSA992" s="103"/>
      <c r="BSM992" s="104"/>
      <c r="BSN992" s="103"/>
      <c r="BSZ992" s="104"/>
      <c r="BTA992" s="103"/>
      <c r="BTM992" s="104"/>
      <c r="BTN992" s="103"/>
      <c r="BTZ992" s="104"/>
      <c r="BUA992" s="103"/>
      <c r="BUM992" s="104"/>
      <c r="BUN992" s="103"/>
      <c r="BUZ992" s="104"/>
      <c r="BVA992" s="103"/>
      <c r="BVM992" s="104"/>
      <c r="BVN992" s="103"/>
      <c r="BVZ992" s="104"/>
      <c r="BWA992" s="103"/>
      <c r="BWM992" s="104"/>
      <c r="BWN992" s="103"/>
      <c r="BWZ992" s="104"/>
      <c r="BXA992" s="103"/>
      <c r="BXM992" s="104"/>
      <c r="BXN992" s="103"/>
      <c r="BXZ992" s="104"/>
      <c r="BYA992" s="103"/>
      <c r="BYM992" s="104"/>
      <c r="BYN992" s="103"/>
      <c r="BYZ992" s="104"/>
      <c r="BZA992" s="103"/>
      <c r="BZM992" s="104"/>
      <c r="BZN992" s="103"/>
      <c r="BZZ992" s="104"/>
      <c r="CAA992" s="103"/>
      <c r="CAM992" s="104"/>
      <c r="CAN992" s="103"/>
      <c r="CAZ992" s="104"/>
      <c r="CBA992" s="103"/>
      <c r="CBM992" s="104"/>
      <c r="CBN992" s="103"/>
      <c r="CBZ992" s="104"/>
      <c r="CCA992" s="103"/>
      <c r="CCM992" s="104"/>
      <c r="CCN992" s="103"/>
      <c r="CCZ992" s="104"/>
      <c r="CDA992" s="103"/>
      <c r="CDM992" s="104"/>
      <c r="CDN992" s="103"/>
      <c r="CDZ992" s="104"/>
      <c r="CEA992" s="103"/>
      <c r="CEM992" s="104"/>
      <c r="CEN992" s="103"/>
      <c r="CEZ992" s="104"/>
      <c r="CFA992" s="103"/>
      <c r="CFM992" s="104"/>
      <c r="CFN992" s="103"/>
      <c r="CFZ992" s="104"/>
      <c r="CGA992" s="103"/>
      <c r="CGM992" s="104"/>
      <c r="CGN992" s="103"/>
      <c r="CGZ992" s="104"/>
      <c r="CHA992" s="103"/>
      <c r="CHM992" s="104"/>
      <c r="CHN992" s="103"/>
      <c r="CHZ992" s="104"/>
      <c r="CIA992" s="103"/>
      <c r="CIM992" s="104"/>
      <c r="CIN992" s="103"/>
      <c r="CIZ992" s="104"/>
      <c r="CJA992" s="103"/>
      <c r="CJM992" s="104"/>
      <c r="CJN992" s="103"/>
      <c r="CJZ992" s="104"/>
      <c r="CKA992" s="103"/>
      <c r="CKM992" s="104"/>
      <c r="CKN992" s="103"/>
      <c r="CKZ992" s="104"/>
      <c r="CLA992" s="103"/>
      <c r="CLM992" s="104"/>
      <c r="CLN992" s="103"/>
      <c r="CLZ992" s="104"/>
      <c r="CMA992" s="103"/>
      <c r="CMM992" s="104"/>
      <c r="CMN992" s="103"/>
      <c r="CMZ992" s="104"/>
      <c r="CNA992" s="103"/>
      <c r="CNM992" s="104"/>
      <c r="CNN992" s="103"/>
      <c r="CNZ992" s="104"/>
      <c r="COA992" s="103"/>
      <c r="COM992" s="104"/>
      <c r="CON992" s="103"/>
      <c r="COZ992" s="104"/>
      <c r="CPA992" s="103"/>
      <c r="CPM992" s="104"/>
      <c r="CPN992" s="103"/>
      <c r="CPZ992" s="104"/>
      <c r="CQA992" s="103"/>
      <c r="CQM992" s="104"/>
      <c r="CQN992" s="103"/>
      <c r="CQZ992" s="104"/>
      <c r="CRA992" s="103"/>
      <c r="CRM992" s="104"/>
      <c r="CRN992" s="103"/>
      <c r="CRZ992" s="104"/>
      <c r="CSA992" s="103"/>
      <c r="CSM992" s="104"/>
      <c r="CSN992" s="103"/>
      <c r="CSZ992" s="104"/>
      <c r="CTA992" s="103"/>
      <c r="CTM992" s="104"/>
      <c r="CTN992" s="103"/>
      <c r="CTZ992" s="104"/>
      <c r="CUA992" s="103"/>
      <c r="CUM992" s="104"/>
      <c r="CUN992" s="103"/>
      <c r="CUZ992" s="104"/>
      <c r="CVA992" s="103"/>
      <c r="CVM992" s="104"/>
      <c r="CVN992" s="103"/>
      <c r="CVZ992" s="104"/>
      <c r="CWA992" s="103"/>
      <c r="CWM992" s="104"/>
      <c r="CWN992" s="103"/>
      <c r="CWZ992" s="104"/>
      <c r="CXA992" s="103"/>
      <c r="CXM992" s="104"/>
      <c r="CXN992" s="103"/>
      <c r="CXZ992" s="104"/>
      <c r="CYA992" s="103"/>
      <c r="CYM992" s="104"/>
      <c r="CYN992" s="103"/>
      <c r="CYZ992" s="104"/>
      <c r="CZA992" s="103"/>
      <c r="CZM992" s="104"/>
      <c r="CZN992" s="103"/>
      <c r="CZZ992" s="104"/>
      <c r="DAA992" s="103"/>
      <c r="DAM992" s="104"/>
      <c r="DAN992" s="103"/>
      <c r="DAZ992" s="104"/>
      <c r="DBA992" s="103"/>
      <c r="DBM992" s="104"/>
      <c r="DBN992" s="103"/>
      <c r="DBZ992" s="104"/>
      <c r="DCA992" s="103"/>
      <c r="DCM992" s="104"/>
      <c r="DCN992" s="103"/>
      <c r="DCZ992" s="104"/>
      <c r="DDA992" s="103"/>
      <c r="DDM992" s="104"/>
      <c r="DDN992" s="103"/>
      <c r="DDZ992" s="104"/>
      <c r="DEA992" s="103"/>
      <c r="DEM992" s="104"/>
      <c r="DEN992" s="103"/>
      <c r="DEZ992" s="104"/>
      <c r="DFA992" s="103"/>
      <c r="DFM992" s="104"/>
      <c r="DFN992" s="103"/>
      <c r="DFZ992" s="104"/>
      <c r="DGA992" s="103"/>
      <c r="DGM992" s="104"/>
      <c r="DGN992" s="103"/>
      <c r="DGZ992" s="104"/>
      <c r="DHA992" s="103"/>
      <c r="DHM992" s="104"/>
      <c r="DHN992" s="103"/>
      <c r="DHZ992" s="104"/>
      <c r="DIA992" s="103"/>
      <c r="DIM992" s="104"/>
      <c r="DIN992" s="103"/>
      <c r="DIZ992" s="104"/>
      <c r="DJA992" s="103"/>
      <c r="DJM992" s="104"/>
      <c r="DJN992" s="103"/>
      <c r="DJZ992" s="104"/>
      <c r="DKA992" s="103"/>
      <c r="DKM992" s="104"/>
      <c r="DKN992" s="103"/>
      <c r="DKZ992" s="104"/>
      <c r="DLA992" s="103"/>
      <c r="DLM992" s="104"/>
      <c r="DLN992" s="103"/>
      <c r="DLZ992" s="104"/>
      <c r="DMA992" s="103"/>
      <c r="DMM992" s="104"/>
      <c r="DMN992" s="103"/>
      <c r="DMZ992" s="104"/>
      <c r="DNA992" s="103"/>
      <c r="DNM992" s="104"/>
      <c r="DNN992" s="103"/>
      <c r="DNZ992" s="104"/>
      <c r="DOA992" s="103"/>
      <c r="DOM992" s="104"/>
      <c r="DON992" s="103"/>
      <c r="DOZ992" s="104"/>
      <c r="DPA992" s="103"/>
      <c r="DPM992" s="104"/>
      <c r="DPN992" s="103"/>
      <c r="DPZ992" s="104"/>
      <c r="DQA992" s="103"/>
      <c r="DQM992" s="104"/>
      <c r="DQN992" s="103"/>
      <c r="DQZ992" s="104"/>
      <c r="DRA992" s="103"/>
      <c r="DRM992" s="104"/>
      <c r="DRN992" s="103"/>
      <c r="DRZ992" s="104"/>
      <c r="DSA992" s="103"/>
      <c r="DSM992" s="104"/>
      <c r="DSN992" s="103"/>
      <c r="DSZ992" s="104"/>
      <c r="DTA992" s="103"/>
      <c r="DTM992" s="104"/>
      <c r="DTN992" s="103"/>
      <c r="DTZ992" s="104"/>
      <c r="DUA992" s="103"/>
      <c r="DUM992" s="104"/>
      <c r="DUN992" s="103"/>
      <c r="DUZ992" s="104"/>
      <c r="DVA992" s="103"/>
      <c r="DVM992" s="104"/>
      <c r="DVN992" s="103"/>
      <c r="DVZ992" s="104"/>
      <c r="DWA992" s="103"/>
      <c r="DWM992" s="104"/>
      <c r="DWN992" s="103"/>
      <c r="DWZ992" s="104"/>
      <c r="DXA992" s="103"/>
      <c r="DXM992" s="104"/>
      <c r="DXN992" s="103"/>
      <c r="DXZ992" s="104"/>
      <c r="DYA992" s="103"/>
      <c r="DYM992" s="104"/>
      <c r="DYN992" s="103"/>
      <c r="DYZ992" s="104"/>
      <c r="DZA992" s="103"/>
      <c r="DZM992" s="104"/>
      <c r="DZN992" s="103"/>
      <c r="DZZ992" s="104"/>
      <c r="EAA992" s="103"/>
      <c r="EAM992" s="104"/>
      <c r="EAN992" s="103"/>
      <c r="EAZ992" s="104"/>
      <c r="EBA992" s="103"/>
      <c r="EBM992" s="104"/>
      <c r="EBN992" s="103"/>
      <c r="EBZ992" s="104"/>
      <c r="ECA992" s="103"/>
      <c r="ECM992" s="104"/>
      <c r="ECN992" s="103"/>
      <c r="ECZ992" s="104"/>
      <c r="EDA992" s="103"/>
      <c r="EDM992" s="104"/>
      <c r="EDN992" s="103"/>
      <c r="EDZ992" s="104"/>
      <c r="EEA992" s="103"/>
      <c r="EEM992" s="104"/>
      <c r="EEN992" s="103"/>
      <c r="EEZ992" s="104"/>
      <c r="EFA992" s="103"/>
      <c r="EFM992" s="104"/>
      <c r="EFN992" s="103"/>
      <c r="EFZ992" s="104"/>
      <c r="EGA992" s="103"/>
      <c r="EGM992" s="104"/>
      <c r="EGN992" s="103"/>
      <c r="EGZ992" s="104"/>
      <c r="EHA992" s="103"/>
      <c r="EHM992" s="104"/>
      <c r="EHN992" s="103"/>
      <c r="EHZ992" s="104"/>
      <c r="EIA992" s="103"/>
      <c r="EIM992" s="104"/>
      <c r="EIN992" s="103"/>
      <c r="EIZ992" s="104"/>
      <c r="EJA992" s="103"/>
      <c r="EJM992" s="104"/>
      <c r="EJN992" s="103"/>
      <c r="EJZ992" s="104"/>
      <c r="EKA992" s="103"/>
      <c r="EKM992" s="104"/>
      <c r="EKN992" s="103"/>
      <c r="EKZ992" s="104"/>
      <c r="ELA992" s="103"/>
      <c r="ELM992" s="104"/>
      <c r="ELN992" s="103"/>
      <c r="ELZ992" s="104"/>
      <c r="EMA992" s="103"/>
      <c r="EMM992" s="104"/>
      <c r="EMN992" s="103"/>
      <c r="EMZ992" s="104"/>
      <c r="ENA992" s="103"/>
      <c r="ENM992" s="104"/>
      <c r="ENN992" s="103"/>
      <c r="ENZ992" s="104"/>
      <c r="EOA992" s="103"/>
      <c r="EOM992" s="104"/>
      <c r="EON992" s="103"/>
      <c r="EOZ992" s="104"/>
      <c r="EPA992" s="103"/>
      <c r="EPM992" s="104"/>
      <c r="EPN992" s="103"/>
      <c r="EPZ992" s="104"/>
      <c r="EQA992" s="103"/>
      <c r="EQM992" s="104"/>
      <c r="EQN992" s="103"/>
      <c r="EQZ992" s="104"/>
      <c r="ERA992" s="103"/>
      <c r="ERM992" s="104"/>
      <c r="ERN992" s="103"/>
      <c r="ERZ992" s="104"/>
      <c r="ESA992" s="103"/>
      <c r="ESM992" s="104"/>
      <c r="ESN992" s="103"/>
      <c r="ESZ992" s="104"/>
      <c r="ETA992" s="103"/>
      <c r="ETM992" s="104"/>
      <c r="ETN992" s="103"/>
      <c r="ETZ992" s="104"/>
      <c r="EUA992" s="103"/>
      <c r="EUM992" s="104"/>
      <c r="EUN992" s="103"/>
      <c r="EUZ992" s="104"/>
      <c r="EVA992" s="103"/>
      <c r="EVM992" s="104"/>
      <c r="EVN992" s="103"/>
      <c r="EVZ992" s="104"/>
      <c r="EWA992" s="103"/>
      <c r="EWM992" s="104"/>
      <c r="EWN992" s="103"/>
      <c r="EWZ992" s="104"/>
      <c r="EXA992" s="103"/>
      <c r="EXM992" s="104"/>
      <c r="EXN992" s="103"/>
      <c r="EXZ992" s="104"/>
      <c r="EYA992" s="103"/>
      <c r="EYM992" s="104"/>
      <c r="EYN992" s="103"/>
      <c r="EYZ992" s="104"/>
      <c r="EZA992" s="103"/>
      <c r="EZM992" s="104"/>
      <c r="EZN992" s="103"/>
      <c r="EZZ992" s="104"/>
      <c r="FAA992" s="103"/>
      <c r="FAM992" s="104"/>
      <c r="FAN992" s="103"/>
      <c r="FAZ992" s="104"/>
      <c r="FBA992" s="103"/>
      <c r="FBM992" s="104"/>
      <c r="FBN992" s="103"/>
      <c r="FBZ992" s="104"/>
      <c r="FCA992" s="103"/>
      <c r="FCM992" s="104"/>
      <c r="FCN992" s="103"/>
      <c r="FCZ992" s="104"/>
      <c r="FDA992" s="103"/>
      <c r="FDM992" s="104"/>
      <c r="FDN992" s="103"/>
      <c r="FDZ992" s="104"/>
      <c r="FEA992" s="103"/>
      <c r="FEM992" s="104"/>
      <c r="FEN992" s="103"/>
      <c r="FEZ992" s="104"/>
      <c r="FFA992" s="103"/>
      <c r="FFM992" s="104"/>
      <c r="FFN992" s="103"/>
      <c r="FFZ992" s="104"/>
      <c r="FGA992" s="103"/>
      <c r="FGM992" s="104"/>
      <c r="FGN992" s="103"/>
      <c r="FGZ992" s="104"/>
      <c r="FHA992" s="103"/>
      <c r="FHM992" s="104"/>
      <c r="FHN992" s="103"/>
      <c r="FHZ992" s="104"/>
      <c r="FIA992" s="103"/>
      <c r="FIM992" s="104"/>
      <c r="FIN992" s="103"/>
      <c r="FIZ992" s="104"/>
      <c r="FJA992" s="103"/>
      <c r="FJM992" s="104"/>
      <c r="FJN992" s="103"/>
      <c r="FJZ992" s="104"/>
      <c r="FKA992" s="103"/>
      <c r="FKM992" s="104"/>
      <c r="FKN992" s="103"/>
      <c r="FKZ992" s="104"/>
      <c r="FLA992" s="103"/>
      <c r="FLM992" s="104"/>
      <c r="FLN992" s="103"/>
      <c r="FLZ992" s="104"/>
      <c r="FMA992" s="103"/>
      <c r="FMM992" s="104"/>
      <c r="FMN992" s="103"/>
      <c r="FMZ992" s="104"/>
      <c r="FNA992" s="103"/>
      <c r="FNM992" s="104"/>
      <c r="FNN992" s="103"/>
      <c r="FNZ992" s="104"/>
      <c r="FOA992" s="103"/>
      <c r="FOM992" s="104"/>
      <c r="FON992" s="103"/>
      <c r="FOZ992" s="104"/>
      <c r="FPA992" s="103"/>
      <c r="FPM992" s="104"/>
      <c r="FPN992" s="103"/>
      <c r="FPZ992" s="104"/>
      <c r="FQA992" s="103"/>
      <c r="FQM992" s="104"/>
      <c r="FQN992" s="103"/>
      <c r="FQZ992" s="104"/>
      <c r="FRA992" s="103"/>
      <c r="FRM992" s="104"/>
      <c r="FRN992" s="103"/>
      <c r="FRZ992" s="104"/>
      <c r="FSA992" s="103"/>
      <c r="FSM992" s="104"/>
      <c r="FSN992" s="103"/>
      <c r="FSZ992" s="104"/>
      <c r="FTA992" s="103"/>
      <c r="FTM992" s="104"/>
      <c r="FTN992" s="103"/>
      <c r="FTZ992" s="104"/>
      <c r="FUA992" s="103"/>
      <c r="FUM992" s="104"/>
      <c r="FUN992" s="103"/>
      <c r="FUZ992" s="104"/>
      <c r="FVA992" s="103"/>
      <c r="FVM992" s="104"/>
      <c r="FVN992" s="103"/>
      <c r="FVZ992" s="104"/>
      <c r="FWA992" s="103"/>
      <c r="FWM992" s="104"/>
      <c r="FWN992" s="103"/>
      <c r="FWZ992" s="104"/>
      <c r="FXA992" s="103"/>
      <c r="FXM992" s="104"/>
      <c r="FXN992" s="103"/>
      <c r="FXZ992" s="104"/>
      <c r="FYA992" s="103"/>
      <c r="FYM992" s="104"/>
      <c r="FYN992" s="103"/>
      <c r="FYZ992" s="104"/>
      <c r="FZA992" s="103"/>
      <c r="FZM992" s="104"/>
      <c r="FZN992" s="103"/>
      <c r="FZZ992" s="104"/>
      <c r="GAA992" s="103"/>
      <c r="GAM992" s="104"/>
      <c r="GAN992" s="103"/>
      <c r="GAZ992" s="104"/>
      <c r="GBA992" s="103"/>
      <c r="GBM992" s="104"/>
      <c r="GBN992" s="103"/>
      <c r="GBZ992" s="104"/>
      <c r="GCA992" s="103"/>
      <c r="GCM992" s="104"/>
      <c r="GCN992" s="103"/>
      <c r="GCZ992" s="104"/>
      <c r="GDA992" s="103"/>
      <c r="GDM992" s="104"/>
      <c r="GDN992" s="103"/>
      <c r="GDZ992" s="104"/>
      <c r="GEA992" s="103"/>
      <c r="GEM992" s="104"/>
      <c r="GEN992" s="103"/>
      <c r="GEZ992" s="104"/>
      <c r="GFA992" s="103"/>
      <c r="GFM992" s="104"/>
      <c r="GFN992" s="103"/>
      <c r="GFZ992" s="104"/>
      <c r="GGA992" s="103"/>
      <c r="GGM992" s="104"/>
      <c r="GGN992" s="103"/>
      <c r="GGZ992" s="104"/>
      <c r="GHA992" s="103"/>
      <c r="GHM992" s="104"/>
      <c r="GHN992" s="103"/>
      <c r="GHZ992" s="104"/>
      <c r="GIA992" s="103"/>
      <c r="GIM992" s="104"/>
      <c r="GIN992" s="103"/>
      <c r="GIZ992" s="104"/>
      <c r="GJA992" s="103"/>
      <c r="GJM992" s="104"/>
      <c r="GJN992" s="103"/>
      <c r="GJZ992" s="104"/>
      <c r="GKA992" s="103"/>
      <c r="GKM992" s="104"/>
      <c r="GKN992" s="103"/>
      <c r="GKZ992" s="104"/>
      <c r="GLA992" s="103"/>
      <c r="GLM992" s="104"/>
      <c r="GLN992" s="103"/>
      <c r="GLZ992" s="104"/>
      <c r="GMA992" s="103"/>
      <c r="GMM992" s="104"/>
      <c r="GMN992" s="103"/>
      <c r="GMZ992" s="104"/>
      <c r="GNA992" s="103"/>
      <c r="GNM992" s="104"/>
      <c r="GNN992" s="103"/>
      <c r="GNZ992" s="104"/>
      <c r="GOA992" s="103"/>
      <c r="GOM992" s="104"/>
      <c r="GON992" s="103"/>
      <c r="GOZ992" s="104"/>
      <c r="GPA992" s="103"/>
      <c r="GPM992" s="104"/>
      <c r="GPN992" s="103"/>
      <c r="GPZ992" s="104"/>
      <c r="GQA992" s="103"/>
      <c r="GQM992" s="104"/>
      <c r="GQN992" s="103"/>
      <c r="GQZ992" s="104"/>
      <c r="GRA992" s="103"/>
      <c r="GRM992" s="104"/>
      <c r="GRN992" s="103"/>
      <c r="GRZ992" s="104"/>
      <c r="GSA992" s="103"/>
      <c r="GSM992" s="104"/>
      <c r="GSN992" s="103"/>
      <c r="GSZ992" s="104"/>
      <c r="GTA992" s="103"/>
      <c r="GTM992" s="104"/>
      <c r="GTN992" s="103"/>
      <c r="GTZ992" s="104"/>
      <c r="GUA992" s="103"/>
      <c r="GUM992" s="104"/>
      <c r="GUN992" s="103"/>
      <c r="GUZ992" s="104"/>
      <c r="GVA992" s="103"/>
      <c r="GVM992" s="104"/>
      <c r="GVN992" s="103"/>
      <c r="GVZ992" s="104"/>
      <c r="GWA992" s="103"/>
      <c r="GWM992" s="104"/>
      <c r="GWN992" s="103"/>
      <c r="GWZ992" s="104"/>
      <c r="GXA992" s="103"/>
      <c r="GXM992" s="104"/>
      <c r="GXN992" s="103"/>
      <c r="GXZ992" s="104"/>
      <c r="GYA992" s="103"/>
      <c r="GYM992" s="104"/>
      <c r="GYN992" s="103"/>
      <c r="GYZ992" s="104"/>
      <c r="GZA992" s="103"/>
      <c r="GZM992" s="104"/>
      <c r="GZN992" s="103"/>
      <c r="GZZ992" s="104"/>
      <c r="HAA992" s="103"/>
      <c r="HAM992" s="104"/>
      <c r="HAN992" s="103"/>
      <c r="HAZ992" s="104"/>
      <c r="HBA992" s="103"/>
      <c r="HBM992" s="104"/>
      <c r="HBN992" s="103"/>
      <c r="HBZ992" s="104"/>
      <c r="HCA992" s="103"/>
      <c r="HCM992" s="104"/>
      <c r="HCN992" s="103"/>
      <c r="HCZ992" s="104"/>
      <c r="HDA992" s="103"/>
      <c r="HDM992" s="104"/>
      <c r="HDN992" s="103"/>
      <c r="HDZ992" s="104"/>
      <c r="HEA992" s="103"/>
      <c r="HEM992" s="104"/>
      <c r="HEN992" s="103"/>
      <c r="HEZ992" s="104"/>
      <c r="HFA992" s="103"/>
      <c r="HFM992" s="104"/>
      <c r="HFN992" s="103"/>
      <c r="HFZ992" s="104"/>
      <c r="HGA992" s="103"/>
      <c r="HGM992" s="104"/>
      <c r="HGN992" s="103"/>
      <c r="HGZ992" s="104"/>
      <c r="HHA992" s="103"/>
      <c r="HHM992" s="104"/>
      <c r="HHN992" s="103"/>
      <c r="HHZ992" s="104"/>
      <c r="HIA992" s="103"/>
      <c r="HIM992" s="104"/>
      <c r="HIN992" s="103"/>
      <c r="HIZ992" s="104"/>
      <c r="HJA992" s="103"/>
      <c r="HJM992" s="104"/>
      <c r="HJN992" s="103"/>
      <c r="HJZ992" s="104"/>
      <c r="HKA992" s="103"/>
      <c r="HKM992" s="104"/>
      <c r="HKN992" s="103"/>
      <c r="HKZ992" s="104"/>
      <c r="HLA992" s="103"/>
      <c r="HLM992" s="104"/>
      <c r="HLN992" s="103"/>
      <c r="HLZ992" s="104"/>
      <c r="HMA992" s="103"/>
      <c r="HMM992" s="104"/>
      <c r="HMN992" s="103"/>
      <c r="HMZ992" s="104"/>
      <c r="HNA992" s="103"/>
      <c r="HNM992" s="104"/>
      <c r="HNN992" s="103"/>
      <c r="HNZ992" s="104"/>
      <c r="HOA992" s="103"/>
      <c r="HOM992" s="104"/>
      <c r="HON992" s="103"/>
      <c r="HOZ992" s="104"/>
      <c r="HPA992" s="103"/>
      <c r="HPM992" s="104"/>
      <c r="HPN992" s="103"/>
      <c r="HPZ992" s="104"/>
      <c r="HQA992" s="103"/>
      <c r="HQM992" s="104"/>
      <c r="HQN992" s="103"/>
      <c r="HQZ992" s="104"/>
      <c r="HRA992" s="103"/>
      <c r="HRM992" s="104"/>
      <c r="HRN992" s="103"/>
      <c r="HRZ992" s="104"/>
      <c r="HSA992" s="103"/>
      <c r="HSM992" s="104"/>
      <c r="HSN992" s="103"/>
      <c r="HSZ992" s="104"/>
      <c r="HTA992" s="103"/>
      <c r="HTM992" s="104"/>
      <c r="HTN992" s="103"/>
      <c r="HTZ992" s="104"/>
      <c r="HUA992" s="103"/>
      <c r="HUM992" s="104"/>
      <c r="HUN992" s="103"/>
      <c r="HUZ992" s="104"/>
      <c r="HVA992" s="103"/>
      <c r="HVM992" s="104"/>
      <c r="HVN992" s="103"/>
      <c r="HVZ992" s="104"/>
      <c r="HWA992" s="103"/>
      <c r="HWM992" s="104"/>
      <c r="HWN992" s="103"/>
      <c r="HWZ992" s="104"/>
      <c r="HXA992" s="103"/>
      <c r="HXM992" s="104"/>
      <c r="HXN992" s="103"/>
      <c r="HXZ992" s="104"/>
      <c r="HYA992" s="103"/>
      <c r="HYM992" s="104"/>
      <c r="HYN992" s="103"/>
      <c r="HYZ992" s="104"/>
      <c r="HZA992" s="103"/>
      <c r="HZM992" s="104"/>
      <c r="HZN992" s="103"/>
      <c r="HZZ992" s="104"/>
      <c r="IAA992" s="103"/>
      <c r="IAM992" s="104"/>
      <c r="IAN992" s="103"/>
      <c r="IAZ992" s="104"/>
      <c r="IBA992" s="103"/>
      <c r="IBM992" s="104"/>
      <c r="IBN992" s="103"/>
      <c r="IBZ992" s="104"/>
      <c r="ICA992" s="103"/>
      <c r="ICM992" s="104"/>
      <c r="ICN992" s="103"/>
      <c r="ICZ992" s="104"/>
      <c r="IDA992" s="103"/>
      <c r="IDM992" s="104"/>
      <c r="IDN992" s="103"/>
      <c r="IDZ992" s="104"/>
      <c r="IEA992" s="103"/>
      <c r="IEM992" s="104"/>
      <c r="IEN992" s="103"/>
      <c r="IEZ992" s="104"/>
      <c r="IFA992" s="103"/>
      <c r="IFM992" s="104"/>
      <c r="IFN992" s="103"/>
      <c r="IFZ992" s="104"/>
      <c r="IGA992" s="103"/>
      <c r="IGM992" s="104"/>
      <c r="IGN992" s="103"/>
      <c r="IGZ992" s="104"/>
      <c r="IHA992" s="103"/>
      <c r="IHM992" s="104"/>
      <c r="IHN992" s="103"/>
      <c r="IHZ992" s="104"/>
      <c r="IIA992" s="103"/>
      <c r="IIM992" s="104"/>
      <c r="IIN992" s="103"/>
      <c r="IIZ992" s="104"/>
      <c r="IJA992" s="103"/>
      <c r="IJM992" s="104"/>
      <c r="IJN992" s="103"/>
      <c r="IJZ992" s="104"/>
      <c r="IKA992" s="103"/>
      <c r="IKM992" s="104"/>
      <c r="IKN992" s="103"/>
      <c r="IKZ992" s="104"/>
      <c r="ILA992" s="103"/>
      <c r="ILM992" s="104"/>
      <c r="ILN992" s="103"/>
      <c r="ILZ992" s="104"/>
      <c r="IMA992" s="103"/>
      <c r="IMM992" s="104"/>
      <c r="IMN992" s="103"/>
      <c r="IMZ992" s="104"/>
      <c r="INA992" s="103"/>
      <c r="INM992" s="104"/>
      <c r="INN992" s="103"/>
      <c r="INZ992" s="104"/>
      <c r="IOA992" s="103"/>
      <c r="IOM992" s="104"/>
      <c r="ION992" s="103"/>
      <c r="IOZ992" s="104"/>
      <c r="IPA992" s="103"/>
      <c r="IPM992" s="104"/>
      <c r="IPN992" s="103"/>
      <c r="IPZ992" s="104"/>
      <c r="IQA992" s="103"/>
      <c r="IQM992" s="104"/>
      <c r="IQN992" s="103"/>
      <c r="IQZ992" s="104"/>
      <c r="IRA992" s="103"/>
      <c r="IRM992" s="104"/>
      <c r="IRN992" s="103"/>
      <c r="IRZ992" s="104"/>
      <c r="ISA992" s="103"/>
      <c r="ISM992" s="104"/>
      <c r="ISN992" s="103"/>
      <c r="ISZ992" s="104"/>
      <c r="ITA992" s="103"/>
      <c r="ITM992" s="104"/>
      <c r="ITN992" s="103"/>
      <c r="ITZ992" s="104"/>
      <c r="IUA992" s="103"/>
      <c r="IUM992" s="104"/>
      <c r="IUN992" s="103"/>
      <c r="IUZ992" s="104"/>
      <c r="IVA992" s="103"/>
      <c r="IVM992" s="104"/>
      <c r="IVN992" s="103"/>
      <c r="IVZ992" s="104"/>
      <c r="IWA992" s="103"/>
      <c r="IWM992" s="104"/>
      <c r="IWN992" s="103"/>
      <c r="IWZ992" s="104"/>
      <c r="IXA992" s="103"/>
      <c r="IXM992" s="104"/>
      <c r="IXN992" s="103"/>
      <c r="IXZ992" s="104"/>
      <c r="IYA992" s="103"/>
      <c r="IYM992" s="104"/>
      <c r="IYN992" s="103"/>
      <c r="IYZ992" s="104"/>
      <c r="IZA992" s="103"/>
      <c r="IZM992" s="104"/>
      <c r="IZN992" s="103"/>
      <c r="IZZ992" s="104"/>
      <c r="JAA992" s="103"/>
      <c r="JAM992" s="104"/>
      <c r="JAN992" s="103"/>
      <c r="JAZ992" s="104"/>
      <c r="JBA992" s="103"/>
      <c r="JBM992" s="104"/>
      <c r="JBN992" s="103"/>
      <c r="JBZ992" s="104"/>
      <c r="JCA992" s="103"/>
      <c r="JCM992" s="104"/>
      <c r="JCN992" s="103"/>
      <c r="JCZ992" s="104"/>
      <c r="JDA992" s="103"/>
      <c r="JDM992" s="104"/>
      <c r="JDN992" s="103"/>
      <c r="JDZ992" s="104"/>
      <c r="JEA992" s="103"/>
      <c r="JEM992" s="104"/>
      <c r="JEN992" s="103"/>
      <c r="JEZ992" s="104"/>
      <c r="JFA992" s="103"/>
      <c r="JFM992" s="104"/>
      <c r="JFN992" s="103"/>
      <c r="JFZ992" s="104"/>
      <c r="JGA992" s="103"/>
      <c r="JGM992" s="104"/>
      <c r="JGN992" s="103"/>
      <c r="JGZ992" s="104"/>
      <c r="JHA992" s="103"/>
      <c r="JHM992" s="104"/>
      <c r="JHN992" s="103"/>
      <c r="JHZ992" s="104"/>
      <c r="JIA992" s="103"/>
      <c r="JIM992" s="104"/>
      <c r="JIN992" s="103"/>
      <c r="JIZ992" s="104"/>
      <c r="JJA992" s="103"/>
      <c r="JJM992" s="104"/>
      <c r="JJN992" s="103"/>
      <c r="JJZ992" s="104"/>
      <c r="JKA992" s="103"/>
      <c r="JKM992" s="104"/>
      <c r="JKN992" s="103"/>
      <c r="JKZ992" s="104"/>
      <c r="JLA992" s="103"/>
      <c r="JLM992" s="104"/>
      <c r="JLN992" s="103"/>
      <c r="JLZ992" s="104"/>
      <c r="JMA992" s="103"/>
      <c r="JMM992" s="104"/>
      <c r="JMN992" s="103"/>
      <c r="JMZ992" s="104"/>
      <c r="JNA992" s="103"/>
      <c r="JNM992" s="104"/>
      <c r="JNN992" s="103"/>
      <c r="JNZ992" s="104"/>
      <c r="JOA992" s="103"/>
      <c r="JOM992" s="104"/>
      <c r="JON992" s="103"/>
      <c r="JOZ992" s="104"/>
      <c r="JPA992" s="103"/>
      <c r="JPM992" s="104"/>
      <c r="JPN992" s="103"/>
      <c r="JPZ992" s="104"/>
      <c r="JQA992" s="103"/>
      <c r="JQM992" s="104"/>
      <c r="JQN992" s="103"/>
      <c r="JQZ992" s="104"/>
      <c r="JRA992" s="103"/>
      <c r="JRM992" s="104"/>
      <c r="JRN992" s="103"/>
      <c r="JRZ992" s="104"/>
      <c r="JSA992" s="103"/>
      <c r="JSM992" s="104"/>
      <c r="JSN992" s="103"/>
      <c r="JSZ992" s="104"/>
      <c r="JTA992" s="103"/>
      <c r="JTM992" s="104"/>
      <c r="JTN992" s="103"/>
      <c r="JTZ992" s="104"/>
      <c r="JUA992" s="103"/>
      <c r="JUM992" s="104"/>
      <c r="JUN992" s="103"/>
      <c r="JUZ992" s="104"/>
      <c r="JVA992" s="103"/>
      <c r="JVM992" s="104"/>
      <c r="JVN992" s="103"/>
      <c r="JVZ992" s="104"/>
      <c r="JWA992" s="103"/>
      <c r="JWM992" s="104"/>
      <c r="JWN992" s="103"/>
      <c r="JWZ992" s="104"/>
      <c r="JXA992" s="103"/>
      <c r="JXM992" s="104"/>
      <c r="JXN992" s="103"/>
      <c r="JXZ992" s="104"/>
      <c r="JYA992" s="103"/>
      <c r="JYM992" s="104"/>
      <c r="JYN992" s="103"/>
      <c r="JYZ992" s="104"/>
      <c r="JZA992" s="103"/>
      <c r="JZM992" s="104"/>
      <c r="JZN992" s="103"/>
      <c r="JZZ992" s="104"/>
      <c r="KAA992" s="103"/>
      <c r="KAM992" s="104"/>
      <c r="KAN992" s="103"/>
      <c r="KAZ992" s="104"/>
      <c r="KBA992" s="103"/>
      <c r="KBM992" s="104"/>
      <c r="KBN992" s="103"/>
      <c r="KBZ992" s="104"/>
      <c r="KCA992" s="103"/>
      <c r="KCM992" s="104"/>
      <c r="KCN992" s="103"/>
      <c r="KCZ992" s="104"/>
      <c r="KDA992" s="103"/>
      <c r="KDM992" s="104"/>
      <c r="KDN992" s="103"/>
      <c r="KDZ992" s="104"/>
      <c r="KEA992" s="103"/>
      <c r="KEM992" s="104"/>
      <c r="KEN992" s="103"/>
      <c r="KEZ992" s="104"/>
      <c r="KFA992" s="103"/>
      <c r="KFM992" s="104"/>
      <c r="KFN992" s="103"/>
      <c r="KFZ992" s="104"/>
      <c r="KGA992" s="103"/>
      <c r="KGM992" s="104"/>
      <c r="KGN992" s="103"/>
      <c r="KGZ992" s="104"/>
      <c r="KHA992" s="103"/>
      <c r="KHM992" s="104"/>
      <c r="KHN992" s="103"/>
      <c r="KHZ992" s="104"/>
      <c r="KIA992" s="103"/>
      <c r="KIM992" s="104"/>
      <c r="KIN992" s="103"/>
      <c r="KIZ992" s="104"/>
      <c r="KJA992" s="103"/>
      <c r="KJM992" s="104"/>
      <c r="KJN992" s="103"/>
      <c r="KJZ992" s="104"/>
      <c r="KKA992" s="103"/>
      <c r="KKM992" s="104"/>
      <c r="KKN992" s="103"/>
      <c r="KKZ992" s="104"/>
      <c r="KLA992" s="103"/>
      <c r="KLM992" s="104"/>
      <c r="KLN992" s="103"/>
      <c r="KLZ992" s="104"/>
      <c r="KMA992" s="103"/>
      <c r="KMM992" s="104"/>
      <c r="KMN992" s="103"/>
      <c r="KMZ992" s="104"/>
      <c r="KNA992" s="103"/>
      <c r="KNM992" s="104"/>
      <c r="KNN992" s="103"/>
      <c r="KNZ992" s="104"/>
      <c r="KOA992" s="103"/>
      <c r="KOM992" s="104"/>
      <c r="KON992" s="103"/>
      <c r="KOZ992" s="104"/>
      <c r="KPA992" s="103"/>
      <c r="KPM992" s="104"/>
      <c r="KPN992" s="103"/>
      <c r="KPZ992" s="104"/>
      <c r="KQA992" s="103"/>
      <c r="KQM992" s="104"/>
      <c r="KQN992" s="103"/>
      <c r="KQZ992" s="104"/>
      <c r="KRA992" s="103"/>
      <c r="KRM992" s="104"/>
      <c r="KRN992" s="103"/>
      <c r="KRZ992" s="104"/>
      <c r="KSA992" s="103"/>
      <c r="KSM992" s="104"/>
      <c r="KSN992" s="103"/>
      <c r="KSZ992" s="104"/>
      <c r="KTA992" s="103"/>
      <c r="KTM992" s="104"/>
      <c r="KTN992" s="103"/>
      <c r="KTZ992" s="104"/>
      <c r="KUA992" s="103"/>
      <c r="KUM992" s="104"/>
      <c r="KUN992" s="103"/>
      <c r="KUZ992" s="104"/>
      <c r="KVA992" s="103"/>
      <c r="KVM992" s="104"/>
      <c r="KVN992" s="103"/>
      <c r="KVZ992" s="104"/>
      <c r="KWA992" s="103"/>
      <c r="KWM992" s="104"/>
      <c r="KWN992" s="103"/>
      <c r="KWZ992" s="104"/>
      <c r="KXA992" s="103"/>
      <c r="KXM992" s="104"/>
      <c r="KXN992" s="103"/>
      <c r="KXZ992" s="104"/>
      <c r="KYA992" s="103"/>
      <c r="KYM992" s="104"/>
      <c r="KYN992" s="103"/>
      <c r="KYZ992" s="104"/>
      <c r="KZA992" s="103"/>
      <c r="KZM992" s="104"/>
      <c r="KZN992" s="103"/>
      <c r="KZZ992" s="104"/>
      <c r="LAA992" s="103"/>
      <c r="LAM992" s="104"/>
      <c r="LAN992" s="103"/>
      <c r="LAZ992" s="104"/>
      <c r="LBA992" s="103"/>
      <c r="LBM992" s="104"/>
      <c r="LBN992" s="103"/>
      <c r="LBZ992" s="104"/>
      <c r="LCA992" s="103"/>
      <c r="LCM992" s="104"/>
      <c r="LCN992" s="103"/>
      <c r="LCZ992" s="104"/>
      <c r="LDA992" s="103"/>
      <c r="LDM992" s="104"/>
      <c r="LDN992" s="103"/>
      <c r="LDZ992" s="104"/>
      <c r="LEA992" s="103"/>
      <c r="LEM992" s="104"/>
      <c r="LEN992" s="103"/>
      <c r="LEZ992" s="104"/>
      <c r="LFA992" s="103"/>
      <c r="LFM992" s="104"/>
      <c r="LFN992" s="103"/>
      <c r="LFZ992" s="104"/>
      <c r="LGA992" s="103"/>
      <c r="LGM992" s="104"/>
      <c r="LGN992" s="103"/>
      <c r="LGZ992" s="104"/>
      <c r="LHA992" s="103"/>
      <c r="LHM992" s="104"/>
      <c r="LHN992" s="103"/>
      <c r="LHZ992" s="104"/>
      <c r="LIA992" s="103"/>
      <c r="LIM992" s="104"/>
      <c r="LIN992" s="103"/>
      <c r="LIZ992" s="104"/>
      <c r="LJA992" s="103"/>
      <c r="LJM992" s="104"/>
      <c r="LJN992" s="103"/>
      <c r="LJZ992" s="104"/>
      <c r="LKA992" s="103"/>
      <c r="LKM992" s="104"/>
      <c r="LKN992" s="103"/>
      <c r="LKZ992" s="104"/>
      <c r="LLA992" s="103"/>
      <c r="LLM992" s="104"/>
      <c r="LLN992" s="103"/>
      <c r="LLZ992" s="104"/>
      <c r="LMA992" s="103"/>
      <c r="LMM992" s="104"/>
      <c r="LMN992" s="103"/>
      <c r="LMZ992" s="104"/>
      <c r="LNA992" s="103"/>
      <c r="LNM992" s="104"/>
      <c r="LNN992" s="103"/>
      <c r="LNZ992" s="104"/>
      <c r="LOA992" s="103"/>
      <c r="LOM992" s="104"/>
      <c r="LON992" s="103"/>
      <c r="LOZ992" s="104"/>
      <c r="LPA992" s="103"/>
      <c r="LPM992" s="104"/>
      <c r="LPN992" s="103"/>
      <c r="LPZ992" s="104"/>
      <c r="LQA992" s="103"/>
      <c r="LQM992" s="104"/>
      <c r="LQN992" s="103"/>
      <c r="LQZ992" s="104"/>
      <c r="LRA992" s="103"/>
      <c r="LRM992" s="104"/>
      <c r="LRN992" s="103"/>
      <c r="LRZ992" s="104"/>
      <c r="LSA992" s="103"/>
      <c r="LSM992" s="104"/>
      <c r="LSN992" s="103"/>
      <c r="LSZ992" s="104"/>
      <c r="LTA992" s="103"/>
      <c r="LTM992" s="104"/>
      <c r="LTN992" s="103"/>
      <c r="LTZ992" s="104"/>
      <c r="LUA992" s="103"/>
      <c r="LUM992" s="104"/>
      <c r="LUN992" s="103"/>
      <c r="LUZ992" s="104"/>
      <c r="LVA992" s="103"/>
      <c r="LVM992" s="104"/>
      <c r="LVN992" s="103"/>
      <c r="LVZ992" s="104"/>
      <c r="LWA992" s="103"/>
      <c r="LWM992" s="104"/>
      <c r="LWN992" s="103"/>
      <c r="LWZ992" s="104"/>
      <c r="LXA992" s="103"/>
      <c r="LXM992" s="104"/>
      <c r="LXN992" s="103"/>
      <c r="LXZ992" s="104"/>
      <c r="LYA992" s="103"/>
      <c r="LYM992" s="104"/>
      <c r="LYN992" s="103"/>
      <c r="LYZ992" s="104"/>
      <c r="LZA992" s="103"/>
      <c r="LZM992" s="104"/>
      <c r="LZN992" s="103"/>
      <c r="LZZ992" s="104"/>
      <c r="MAA992" s="103"/>
      <c r="MAM992" s="104"/>
      <c r="MAN992" s="103"/>
      <c r="MAZ992" s="104"/>
      <c r="MBA992" s="103"/>
      <c r="MBM992" s="104"/>
      <c r="MBN992" s="103"/>
      <c r="MBZ992" s="104"/>
      <c r="MCA992" s="103"/>
      <c r="MCM992" s="104"/>
      <c r="MCN992" s="103"/>
      <c r="MCZ992" s="104"/>
      <c r="MDA992" s="103"/>
      <c r="MDM992" s="104"/>
      <c r="MDN992" s="103"/>
      <c r="MDZ992" s="104"/>
      <c r="MEA992" s="103"/>
      <c r="MEM992" s="104"/>
      <c r="MEN992" s="103"/>
      <c r="MEZ992" s="104"/>
      <c r="MFA992" s="103"/>
      <c r="MFM992" s="104"/>
      <c r="MFN992" s="103"/>
      <c r="MFZ992" s="104"/>
      <c r="MGA992" s="103"/>
      <c r="MGM992" s="104"/>
      <c r="MGN992" s="103"/>
      <c r="MGZ992" s="104"/>
      <c r="MHA992" s="103"/>
      <c r="MHM992" s="104"/>
      <c r="MHN992" s="103"/>
      <c r="MHZ992" s="104"/>
      <c r="MIA992" s="103"/>
      <c r="MIM992" s="104"/>
      <c r="MIN992" s="103"/>
      <c r="MIZ992" s="104"/>
      <c r="MJA992" s="103"/>
      <c r="MJM992" s="104"/>
      <c r="MJN992" s="103"/>
      <c r="MJZ992" s="104"/>
      <c r="MKA992" s="103"/>
      <c r="MKM992" s="104"/>
      <c r="MKN992" s="103"/>
      <c r="MKZ992" s="104"/>
      <c r="MLA992" s="103"/>
      <c r="MLM992" s="104"/>
      <c r="MLN992" s="103"/>
      <c r="MLZ992" s="104"/>
      <c r="MMA992" s="103"/>
      <c r="MMM992" s="104"/>
      <c r="MMN992" s="103"/>
      <c r="MMZ992" s="104"/>
      <c r="MNA992" s="103"/>
      <c r="MNM992" s="104"/>
      <c r="MNN992" s="103"/>
      <c r="MNZ992" s="104"/>
      <c r="MOA992" s="103"/>
      <c r="MOM992" s="104"/>
      <c r="MON992" s="103"/>
      <c r="MOZ992" s="104"/>
      <c r="MPA992" s="103"/>
      <c r="MPM992" s="104"/>
      <c r="MPN992" s="103"/>
      <c r="MPZ992" s="104"/>
      <c r="MQA992" s="103"/>
      <c r="MQM992" s="104"/>
      <c r="MQN992" s="103"/>
      <c r="MQZ992" s="104"/>
      <c r="MRA992" s="103"/>
      <c r="MRM992" s="104"/>
      <c r="MRN992" s="103"/>
      <c r="MRZ992" s="104"/>
      <c r="MSA992" s="103"/>
      <c r="MSM992" s="104"/>
      <c r="MSN992" s="103"/>
      <c r="MSZ992" s="104"/>
      <c r="MTA992" s="103"/>
      <c r="MTM992" s="104"/>
      <c r="MTN992" s="103"/>
      <c r="MTZ992" s="104"/>
      <c r="MUA992" s="103"/>
      <c r="MUM992" s="104"/>
      <c r="MUN992" s="103"/>
      <c r="MUZ992" s="104"/>
      <c r="MVA992" s="103"/>
      <c r="MVM992" s="104"/>
      <c r="MVN992" s="103"/>
      <c r="MVZ992" s="104"/>
      <c r="MWA992" s="103"/>
      <c r="MWM992" s="104"/>
      <c r="MWN992" s="103"/>
      <c r="MWZ992" s="104"/>
      <c r="MXA992" s="103"/>
      <c r="MXM992" s="104"/>
      <c r="MXN992" s="103"/>
      <c r="MXZ992" s="104"/>
      <c r="MYA992" s="103"/>
      <c r="MYM992" s="104"/>
      <c r="MYN992" s="103"/>
      <c r="MYZ992" s="104"/>
      <c r="MZA992" s="103"/>
      <c r="MZM992" s="104"/>
      <c r="MZN992" s="103"/>
      <c r="MZZ992" s="104"/>
      <c r="NAA992" s="103"/>
      <c r="NAM992" s="104"/>
      <c r="NAN992" s="103"/>
      <c r="NAZ992" s="104"/>
      <c r="NBA992" s="103"/>
      <c r="NBM992" s="104"/>
      <c r="NBN992" s="103"/>
      <c r="NBZ992" s="104"/>
      <c r="NCA992" s="103"/>
      <c r="NCM992" s="104"/>
      <c r="NCN992" s="103"/>
      <c r="NCZ992" s="104"/>
      <c r="NDA992" s="103"/>
      <c r="NDM992" s="104"/>
      <c r="NDN992" s="103"/>
      <c r="NDZ992" s="104"/>
      <c r="NEA992" s="103"/>
      <c r="NEM992" s="104"/>
      <c r="NEN992" s="103"/>
      <c r="NEZ992" s="104"/>
      <c r="NFA992" s="103"/>
      <c r="NFM992" s="104"/>
      <c r="NFN992" s="103"/>
      <c r="NFZ992" s="104"/>
      <c r="NGA992" s="103"/>
      <c r="NGM992" s="104"/>
      <c r="NGN992" s="103"/>
      <c r="NGZ992" s="104"/>
      <c r="NHA992" s="103"/>
      <c r="NHM992" s="104"/>
      <c r="NHN992" s="103"/>
      <c r="NHZ992" s="104"/>
      <c r="NIA992" s="103"/>
      <c r="NIM992" s="104"/>
      <c r="NIN992" s="103"/>
      <c r="NIZ992" s="104"/>
      <c r="NJA992" s="103"/>
      <c r="NJM992" s="104"/>
      <c r="NJN992" s="103"/>
      <c r="NJZ992" s="104"/>
      <c r="NKA992" s="103"/>
      <c r="NKM992" s="104"/>
      <c r="NKN992" s="103"/>
      <c r="NKZ992" s="104"/>
      <c r="NLA992" s="103"/>
      <c r="NLM992" s="104"/>
      <c r="NLN992" s="103"/>
      <c r="NLZ992" s="104"/>
      <c r="NMA992" s="103"/>
      <c r="NMM992" s="104"/>
      <c r="NMN992" s="103"/>
      <c r="NMZ992" s="104"/>
      <c r="NNA992" s="103"/>
      <c r="NNM992" s="104"/>
      <c r="NNN992" s="103"/>
      <c r="NNZ992" s="104"/>
      <c r="NOA992" s="103"/>
      <c r="NOM992" s="104"/>
      <c r="NON992" s="103"/>
      <c r="NOZ992" s="104"/>
      <c r="NPA992" s="103"/>
      <c r="NPM992" s="104"/>
      <c r="NPN992" s="103"/>
      <c r="NPZ992" s="104"/>
      <c r="NQA992" s="103"/>
      <c r="NQM992" s="104"/>
      <c r="NQN992" s="103"/>
      <c r="NQZ992" s="104"/>
      <c r="NRA992" s="103"/>
      <c r="NRM992" s="104"/>
      <c r="NRN992" s="103"/>
      <c r="NRZ992" s="104"/>
      <c r="NSA992" s="103"/>
      <c r="NSM992" s="104"/>
      <c r="NSN992" s="103"/>
      <c r="NSZ992" s="104"/>
      <c r="NTA992" s="103"/>
      <c r="NTM992" s="104"/>
      <c r="NTN992" s="103"/>
      <c r="NTZ992" s="104"/>
      <c r="NUA992" s="103"/>
      <c r="NUM992" s="104"/>
      <c r="NUN992" s="103"/>
      <c r="NUZ992" s="104"/>
      <c r="NVA992" s="103"/>
      <c r="NVM992" s="104"/>
      <c r="NVN992" s="103"/>
      <c r="NVZ992" s="104"/>
      <c r="NWA992" s="103"/>
      <c r="NWM992" s="104"/>
      <c r="NWN992" s="103"/>
      <c r="NWZ992" s="104"/>
      <c r="NXA992" s="103"/>
      <c r="NXM992" s="104"/>
      <c r="NXN992" s="103"/>
      <c r="NXZ992" s="104"/>
      <c r="NYA992" s="103"/>
      <c r="NYM992" s="104"/>
      <c r="NYN992" s="103"/>
      <c r="NYZ992" s="104"/>
      <c r="NZA992" s="103"/>
      <c r="NZM992" s="104"/>
      <c r="NZN992" s="103"/>
      <c r="NZZ992" s="104"/>
      <c r="OAA992" s="103"/>
      <c r="OAM992" s="104"/>
      <c r="OAN992" s="103"/>
      <c r="OAZ992" s="104"/>
      <c r="OBA992" s="103"/>
      <c r="OBM992" s="104"/>
      <c r="OBN992" s="103"/>
      <c r="OBZ992" s="104"/>
      <c r="OCA992" s="103"/>
      <c r="OCM992" s="104"/>
      <c r="OCN992" s="103"/>
      <c r="OCZ992" s="104"/>
      <c r="ODA992" s="103"/>
      <c r="ODM992" s="104"/>
      <c r="ODN992" s="103"/>
      <c r="ODZ992" s="104"/>
      <c r="OEA992" s="103"/>
      <c r="OEM992" s="104"/>
      <c r="OEN992" s="103"/>
      <c r="OEZ992" s="104"/>
      <c r="OFA992" s="103"/>
      <c r="OFM992" s="104"/>
      <c r="OFN992" s="103"/>
      <c r="OFZ992" s="104"/>
      <c r="OGA992" s="103"/>
      <c r="OGM992" s="104"/>
      <c r="OGN992" s="103"/>
      <c r="OGZ992" s="104"/>
      <c r="OHA992" s="103"/>
      <c r="OHM992" s="104"/>
      <c r="OHN992" s="103"/>
      <c r="OHZ992" s="104"/>
      <c r="OIA992" s="103"/>
      <c r="OIM992" s="104"/>
      <c r="OIN992" s="103"/>
      <c r="OIZ992" s="104"/>
      <c r="OJA992" s="103"/>
      <c r="OJM992" s="104"/>
      <c r="OJN992" s="103"/>
      <c r="OJZ992" s="104"/>
      <c r="OKA992" s="103"/>
      <c r="OKM992" s="104"/>
      <c r="OKN992" s="103"/>
      <c r="OKZ992" s="104"/>
      <c r="OLA992" s="103"/>
      <c r="OLM992" s="104"/>
      <c r="OLN992" s="103"/>
      <c r="OLZ992" s="104"/>
      <c r="OMA992" s="103"/>
      <c r="OMM992" s="104"/>
      <c r="OMN992" s="103"/>
      <c r="OMZ992" s="104"/>
      <c r="ONA992" s="103"/>
      <c r="ONM992" s="104"/>
      <c r="ONN992" s="103"/>
      <c r="ONZ992" s="104"/>
      <c r="OOA992" s="103"/>
      <c r="OOM992" s="104"/>
      <c r="OON992" s="103"/>
      <c r="OOZ992" s="104"/>
      <c r="OPA992" s="103"/>
      <c r="OPM992" s="104"/>
      <c r="OPN992" s="103"/>
      <c r="OPZ992" s="104"/>
      <c r="OQA992" s="103"/>
      <c r="OQM992" s="104"/>
      <c r="OQN992" s="103"/>
      <c r="OQZ992" s="104"/>
      <c r="ORA992" s="103"/>
      <c r="ORM992" s="104"/>
      <c r="ORN992" s="103"/>
      <c r="ORZ992" s="104"/>
      <c r="OSA992" s="103"/>
      <c r="OSM992" s="104"/>
      <c r="OSN992" s="103"/>
      <c r="OSZ992" s="104"/>
      <c r="OTA992" s="103"/>
      <c r="OTM992" s="104"/>
      <c r="OTN992" s="103"/>
      <c r="OTZ992" s="104"/>
      <c r="OUA992" s="103"/>
      <c r="OUM992" s="104"/>
      <c r="OUN992" s="103"/>
      <c r="OUZ992" s="104"/>
      <c r="OVA992" s="103"/>
      <c r="OVM992" s="104"/>
      <c r="OVN992" s="103"/>
      <c r="OVZ992" s="104"/>
      <c r="OWA992" s="103"/>
      <c r="OWM992" s="104"/>
      <c r="OWN992" s="103"/>
      <c r="OWZ992" s="104"/>
      <c r="OXA992" s="103"/>
      <c r="OXM992" s="104"/>
      <c r="OXN992" s="103"/>
      <c r="OXZ992" s="104"/>
      <c r="OYA992" s="103"/>
      <c r="OYM992" s="104"/>
      <c r="OYN992" s="103"/>
      <c r="OYZ992" s="104"/>
      <c r="OZA992" s="103"/>
      <c r="OZM992" s="104"/>
      <c r="OZN992" s="103"/>
      <c r="OZZ992" s="104"/>
      <c r="PAA992" s="103"/>
      <c r="PAM992" s="104"/>
      <c r="PAN992" s="103"/>
      <c r="PAZ992" s="104"/>
      <c r="PBA992" s="103"/>
      <c r="PBM992" s="104"/>
      <c r="PBN992" s="103"/>
      <c r="PBZ992" s="104"/>
      <c r="PCA992" s="103"/>
      <c r="PCM992" s="104"/>
      <c r="PCN992" s="103"/>
      <c r="PCZ992" s="104"/>
      <c r="PDA992" s="103"/>
      <c r="PDM992" s="104"/>
      <c r="PDN992" s="103"/>
      <c r="PDZ992" s="104"/>
      <c r="PEA992" s="103"/>
      <c r="PEM992" s="104"/>
      <c r="PEN992" s="103"/>
      <c r="PEZ992" s="104"/>
      <c r="PFA992" s="103"/>
      <c r="PFM992" s="104"/>
      <c r="PFN992" s="103"/>
      <c r="PFZ992" s="104"/>
      <c r="PGA992" s="103"/>
      <c r="PGM992" s="104"/>
      <c r="PGN992" s="103"/>
      <c r="PGZ992" s="104"/>
      <c r="PHA992" s="103"/>
      <c r="PHM992" s="104"/>
      <c r="PHN992" s="103"/>
      <c r="PHZ992" s="104"/>
      <c r="PIA992" s="103"/>
      <c r="PIM992" s="104"/>
      <c r="PIN992" s="103"/>
      <c r="PIZ992" s="104"/>
      <c r="PJA992" s="103"/>
      <c r="PJM992" s="104"/>
      <c r="PJN992" s="103"/>
      <c r="PJZ992" s="104"/>
      <c r="PKA992" s="103"/>
      <c r="PKM992" s="104"/>
      <c r="PKN992" s="103"/>
      <c r="PKZ992" s="104"/>
      <c r="PLA992" s="103"/>
      <c r="PLM992" s="104"/>
      <c r="PLN992" s="103"/>
      <c r="PLZ992" s="104"/>
      <c r="PMA992" s="103"/>
      <c r="PMM992" s="104"/>
      <c r="PMN992" s="103"/>
      <c r="PMZ992" s="104"/>
      <c r="PNA992" s="103"/>
      <c r="PNM992" s="104"/>
      <c r="PNN992" s="103"/>
      <c r="PNZ992" s="104"/>
      <c r="POA992" s="103"/>
      <c r="POM992" s="104"/>
      <c r="PON992" s="103"/>
      <c r="POZ992" s="104"/>
      <c r="PPA992" s="103"/>
      <c r="PPM992" s="104"/>
      <c r="PPN992" s="103"/>
      <c r="PPZ992" s="104"/>
      <c r="PQA992" s="103"/>
      <c r="PQM992" s="104"/>
      <c r="PQN992" s="103"/>
      <c r="PQZ992" s="104"/>
      <c r="PRA992" s="103"/>
      <c r="PRM992" s="104"/>
      <c r="PRN992" s="103"/>
      <c r="PRZ992" s="104"/>
      <c r="PSA992" s="103"/>
      <c r="PSM992" s="104"/>
      <c r="PSN992" s="103"/>
      <c r="PSZ992" s="104"/>
      <c r="PTA992" s="103"/>
      <c r="PTM992" s="104"/>
      <c r="PTN992" s="103"/>
      <c r="PTZ992" s="104"/>
      <c r="PUA992" s="103"/>
      <c r="PUM992" s="104"/>
      <c r="PUN992" s="103"/>
      <c r="PUZ992" s="104"/>
      <c r="PVA992" s="103"/>
      <c r="PVM992" s="104"/>
      <c r="PVN992" s="103"/>
      <c r="PVZ992" s="104"/>
      <c r="PWA992" s="103"/>
      <c r="PWM992" s="104"/>
      <c r="PWN992" s="103"/>
      <c r="PWZ992" s="104"/>
      <c r="PXA992" s="103"/>
      <c r="PXM992" s="104"/>
      <c r="PXN992" s="103"/>
      <c r="PXZ992" s="104"/>
      <c r="PYA992" s="103"/>
      <c r="PYM992" s="104"/>
      <c r="PYN992" s="103"/>
      <c r="PYZ992" s="104"/>
      <c r="PZA992" s="103"/>
      <c r="PZM992" s="104"/>
      <c r="PZN992" s="103"/>
      <c r="PZZ992" s="104"/>
      <c r="QAA992" s="103"/>
      <c r="QAM992" s="104"/>
      <c r="QAN992" s="103"/>
      <c r="QAZ992" s="104"/>
      <c r="QBA992" s="103"/>
      <c r="QBM992" s="104"/>
      <c r="QBN992" s="103"/>
      <c r="QBZ992" s="104"/>
      <c r="QCA992" s="103"/>
      <c r="QCM992" s="104"/>
      <c r="QCN992" s="103"/>
      <c r="QCZ992" s="104"/>
      <c r="QDA992" s="103"/>
      <c r="QDM992" s="104"/>
      <c r="QDN992" s="103"/>
      <c r="QDZ992" s="104"/>
      <c r="QEA992" s="103"/>
      <c r="QEM992" s="104"/>
      <c r="QEN992" s="103"/>
      <c r="QEZ992" s="104"/>
      <c r="QFA992" s="103"/>
      <c r="QFM992" s="104"/>
      <c r="QFN992" s="103"/>
      <c r="QFZ992" s="104"/>
      <c r="QGA992" s="103"/>
      <c r="QGM992" s="104"/>
      <c r="QGN992" s="103"/>
      <c r="QGZ992" s="104"/>
      <c r="QHA992" s="103"/>
      <c r="QHM992" s="104"/>
      <c r="QHN992" s="103"/>
      <c r="QHZ992" s="104"/>
      <c r="QIA992" s="103"/>
      <c r="QIM992" s="104"/>
      <c r="QIN992" s="103"/>
      <c r="QIZ992" s="104"/>
      <c r="QJA992" s="103"/>
      <c r="QJM992" s="104"/>
      <c r="QJN992" s="103"/>
      <c r="QJZ992" s="104"/>
      <c r="QKA992" s="103"/>
      <c r="QKM992" s="104"/>
      <c r="QKN992" s="103"/>
      <c r="QKZ992" s="104"/>
      <c r="QLA992" s="103"/>
      <c r="QLM992" s="104"/>
      <c r="QLN992" s="103"/>
      <c r="QLZ992" s="104"/>
      <c r="QMA992" s="103"/>
      <c r="QMM992" s="104"/>
      <c r="QMN992" s="103"/>
      <c r="QMZ992" s="104"/>
      <c r="QNA992" s="103"/>
      <c r="QNM992" s="104"/>
      <c r="QNN992" s="103"/>
      <c r="QNZ992" s="104"/>
      <c r="QOA992" s="103"/>
      <c r="QOM992" s="104"/>
      <c r="QON992" s="103"/>
      <c r="QOZ992" s="104"/>
      <c r="QPA992" s="103"/>
      <c r="QPM992" s="104"/>
      <c r="QPN992" s="103"/>
      <c r="QPZ992" s="104"/>
      <c r="QQA992" s="103"/>
      <c r="QQM992" s="104"/>
      <c r="QQN992" s="103"/>
      <c r="QQZ992" s="104"/>
      <c r="QRA992" s="103"/>
      <c r="QRM992" s="104"/>
      <c r="QRN992" s="103"/>
      <c r="QRZ992" s="104"/>
      <c r="QSA992" s="103"/>
      <c r="QSM992" s="104"/>
      <c r="QSN992" s="103"/>
      <c r="QSZ992" s="104"/>
      <c r="QTA992" s="103"/>
      <c r="QTM992" s="104"/>
      <c r="QTN992" s="103"/>
      <c r="QTZ992" s="104"/>
      <c r="QUA992" s="103"/>
      <c r="QUM992" s="104"/>
      <c r="QUN992" s="103"/>
      <c r="QUZ992" s="104"/>
      <c r="QVA992" s="103"/>
      <c r="QVM992" s="104"/>
      <c r="QVN992" s="103"/>
      <c r="QVZ992" s="104"/>
      <c r="QWA992" s="103"/>
      <c r="QWM992" s="104"/>
      <c r="QWN992" s="103"/>
      <c r="QWZ992" s="104"/>
      <c r="QXA992" s="103"/>
      <c r="QXM992" s="104"/>
      <c r="QXN992" s="103"/>
      <c r="QXZ992" s="104"/>
      <c r="QYA992" s="103"/>
      <c r="QYM992" s="104"/>
      <c r="QYN992" s="103"/>
      <c r="QYZ992" s="104"/>
      <c r="QZA992" s="103"/>
      <c r="QZM992" s="104"/>
      <c r="QZN992" s="103"/>
      <c r="QZZ992" s="104"/>
      <c r="RAA992" s="103"/>
      <c r="RAM992" s="104"/>
      <c r="RAN992" s="103"/>
      <c r="RAZ992" s="104"/>
      <c r="RBA992" s="103"/>
      <c r="RBM992" s="104"/>
      <c r="RBN992" s="103"/>
      <c r="RBZ992" s="104"/>
      <c r="RCA992" s="103"/>
      <c r="RCM992" s="104"/>
      <c r="RCN992" s="103"/>
      <c r="RCZ992" s="104"/>
      <c r="RDA992" s="103"/>
      <c r="RDM992" s="104"/>
      <c r="RDN992" s="103"/>
      <c r="RDZ992" s="104"/>
      <c r="REA992" s="103"/>
      <c r="REM992" s="104"/>
      <c r="REN992" s="103"/>
      <c r="REZ992" s="104"/>
      <c r="RFA992" s="103"/>
      <c r="RFM992" s="104"/>
      <c r="RFN992" s="103"/>
      <c r="RFZ992" s="104"/>
      <c r="RGA992" s="103"/>
      <c r="RGM992" s="104"/>
      <c r="RGN992" s="103"/>
      <c r="RGZ992" s="104"/>
      <c r="RHA992" s="103"/>
      <c r="RHM992" s="104"/>
      <c r="RHN992" s="103"/>
      <c r="RHZ992" s="104"/>
      <c r="RIA992" s="103"/>
      <c r="RIM992" s="104"/>
      <c r="RIN992" s="103"/>
      <c r="RIZ992" s="104"/>
      <c r="RJA992" s="103"/>
      <c r="RJM992" s="104"/>
      <c r="RJN992" s="103"/>
      <c r="RJZ992" s="104"/>
      <c r="RKA992" s="103"/>
      <c r="RKM992" s="104"/>
      <c r="RKN992" s="103"/>
      <c r="RKZ992" s="104"/>
      <c r="RLA992" s="103"/>
      <c r="RLM992" s="104"/>
      <c r="RLN992" s="103"/>
      <c r="RLZ992" s="104"/>
      <c r="RMA992" s="103"/>
      <c r="RMM992" s="104"/>
      <c r="RMN992" s="103"/>
      <c r="RMZ992" s="104"/>
      <c r="RNA992" s="103"/>
      <c r="RNM992" s="104"/>
      <c r="RNN992" s="103"/>
      <c r="RNZ992" s="104"/>
      <c r="ROA992" s="103"/>
      <c r="ROM992" s="104"/>
      <c r="RON992" s="103"/>
      <c r="ROZ992" s="104"/>
      <c r="RPA992" s="103"/>
      <c r="RPM992" s="104"/>
      <c r="RPN992" s="103"/>
      <c r="RPZ992" s="104"/>
      <c r="RQA992" s="103"/>
      <c r="RQM992" s="104"/>
      <c r="RQN992" s="103"/>
      <c r="RQZ992" s="104"/>
      <c r="RRA992" s="103"/>
      <c r="RRM992" s="104"/>
      <c r="RRN992" s="103"/>
      <c r="RRZ992" s="104"/>
      <c r="RSA992" s="103"/>
      <c r="RSM992" s="104"/>
      <c r="RSN992" s="103"/>
      <c r="RSZ992" s="104"/>
      <c r="RTA992" s="103"/>
      <c r="RTM992" s="104"/>
      <c r="RTN992" s="103"/>
      <c r="RTZ992" s="104"/>
      <c r="RUA992" s="103"/>
      <c r="RUM992" s="104"/>
      <c r="RUN992" s="103"/>
      <c r="RUZ992" s="104"/>
      <c r="RVA992" s="103"/>
      <c r="RVM992" s="104"/>
      <c r="RVN992" s="103"/>
      <c r="RVZ992" s="104"/>
      <c r="RWA992" s="103"/>
      <c r="RWM992" s="104"/>
      <c r="RWN992" s="103"/>
      <c r="RWZ992" s="104"/>
      <c r="RXA992" s="103"/>
      <c r="RXM992" s="104"/>
      <c r="RXN992" s="103"/>
      <c r="RXZ992" s="104"/>
      <c r="RYA992" s="103"/>
      <c r="RYM992" s="104"/>
      <c r="RYN992" s="103"/>
      <c r="RYZ992" s="104"/>
      <c r="RZA992" s="103"/>
      <c r="RZM992" s="104"/>
      <c r="RZN992" s="103"/>
      <c r="RZZ992" s="104"/>
      <c r="SAA992" s="103"/>
      <c r="SAM992" s="104"/>
      <c r="SAN992" s="103"/>
      <c r="SAZ992" s="104"/>
      <c r="SBA992" s="103"/>
      <c r="SBM992" s="104"/>
      <c r="SBN992" s="103"/>
      <c r="SBZ992" s="104"/>
      <c r="SCA992" s="103"/>
      <c r="SCM992" s="104"/>
      <c r="SCN992" s="103"/>
      <c r="SCZ992" s="104"/>
      <c r="SDA992" s="103"/>
      <c r="SDM992" s="104"/>
      <c r="SDN992" s="103"/>
      <c r="SDZ992" s="104"/>
      <c r="SEA992" s="103"/>
      <c r="SEM992" s="104"/>
      <c r="SEN992" s="103"/>
      <c r="SEZ992" s="104"/>
      <c r="SFA992" s="103"/>
      <c r="SFM992" s="104"/>
      <c r="SFN992" s="103"/>
      <c r="SFZ992" s="104"/>
      <c r="SGA992" s="103"/>
      <c r="SGM992" s="104"/>
      <c r="SGN992" s="103"/>
      <c r="SGZ992" s="104"/>
      <c r="SHA992" s="103"/>
      <c r="SHM992" s="104"/>
      <c r="SHN992" s="103"/>
      <c r="SHZ992" s="104"/>
      <c r="SIA992" s="103"/>
      <c r="SIM992" s="104"/>
      <c r="SIN992" s="103"/>
      <c r="SIZ992" s="104"/>
      <c r="SJA992" s="103"/>
      <c r="SJM992" s="104"/>
      <c r="SJN992" s="103"/>
      <c r="SJZ992" s="104"/>
      <c r="SKA992" s="103"/>
      <c r="SKM992" s="104"/>
      <c r="SKN992" s="103"/>
      <c r="SKZ992" s="104"/>
      <c r="SLA992" s="103"/>
      <c r="SLM992" s="104"/>
      <c r="SLN992" s="103"/>
      <c r="SLZ992" s="104"/>
      <c r="SMA992" s="103"/>
      <c r="SMM992" s="104"/>
      <c r="SMN992" s="103"/>
      <c r="SMZ992" s="104"/>
      <c r="SNA992" s="103"/>
      <c r="SNM992" s="104"/>
      <c r="SNN992" s="103"/>
      <c r="SNZ992" s="104"/>
      <c r="SOA992" s="103"/>
      <c r="SOM992" s="104"/>
      <c r="SON992" s="103"/>
      <c r="SOZ992" s="104"/>
      <c r="SPA992" s="103"/>
      <c r="SPM992" s="104"/>
      <c r="SPN992" s="103"/>
      <c r="SPZ992" s="104"/>
      <c r="SQA992" s="103"/>
      <c r="SQM992" s="104"/>
      <c r="SQN992" s="103"/>
      <c r="SQZ992" s="104"/>
      <c r="SRA992" s="103"/>
      <c r="SRM992" s="104"/>
      <c r="SRN992" s="103"/>
      <c r="SRZ992" s="104"/>
      <c r="SSA992" s="103"/>
      <c r="SSM992" s="104"/>
      <c r="SSN992" s="103"/>
      <c r="SSZ992" s="104"/>
      <c r="STA992" s="103"/>
      <c r="STM992" s="104"/>
      <c r="STN992" s="103"/>
      <c r="STZ992" s="104"/>
      <c r="SUA992" s="103"/>
      <c r="SUM992" s="104"/>
      <c r="SUN992" s="103"/>
      <c r="SUZ992" s="104"/>
      <c r="SVA992" s="103"/>
      <c r="SVM992" s="104"/>
      <c r="SVN992" s="103"/>
      <c r="SVZ992" s="104"/>
      <c r="SWA992" s="103"/>
      <c r="SWM992" s="104"/>
      <c r="SWN992" s="103"/>
      <c r="SWZ992" s="104"/>
      <c r="SXA992" s="103"/>
      <c r="SXM992" s="104"/>
      <c r="SXN992" s="103"/>
      <c r="SXZ992" s="104"/>
      <c r="SYA992" s="103"/>
      <c r="SYM992" s="104"/>
      <c r="SYN992" s="103"/>
      <c r="SYZ992" s="104"/>
      <c r="SZA992" s="103"/>
      <c r="SZM992" s="104"/>
      <c r="SZN992" s="103"/>
      <c r="SZZ992" s="104"/>
      <c r="TAA992" s="103"/>
      <c r="TAM992" s="104"/>
      <c r="TAN992" s="103"/>
      <c r="TAZ992" s="104"/>
      <c r="TBA992" s="103"/>
      <c r="TBM992" s="104"/>
      <c r="TBN992" s="103"/>
      <c r="TBZ992" s="104"/>
      <c r="TCA992" s="103"/>
      <c r="TCM992" s="104"/>
      <c r="TCN992" s="103"/>
      <c r="TCZ992" s="104"/>
      <c r="TDA992" s="103"/>
      <c r="TDM992" s="104"/>
      <c r="TDN992" s="103"/>
      <c r="TDZ992" s="104"/>
      <c r="TEA992" s="103"/>
      <c r="TEM992" s="104"/>
      <c r="TEN992" s="103"/>
      <c r="TEZ992" s="104"/>
      <c r="TFA992" s="103"/>
      <c r="TFM992" s="104"/>
      <c r="TFN992" s="103"/>
      <c r="TFZ992" s="104"/>
      <c r="TGA992" s="103"/>
      <c r="TGM992" s="104"/>
      <c r="TGN992" s="103"/>
      <c r="TGZ992" s="104"/>
      <c r="THA992" s="103"/>
      <c r="THM992" s="104"/>
      <c r="THN992" s="103"/>
      <c r="THZ992" s="104"/>
      <c r="TIA992" s="103"/>
      <c r="TIM992" s="104"/>
      <c r="TIN992" s="103"/>
      <c r="TIZ992" s="104"/>
      <c r="TJA992" s="103"/>
      <c r="TJM992" s="104"/>
      <c r="TJN992" s="103"/>
      <c r="TJZ992" s="104"/>
      <c r="TKA992" s="103"/>
      <c r="TKM992" s="104"/>
      <c r="TKN992" s="103"/>
      <c r="TKZ992" s="104"/>
      <c r="TLA992" s="103"/>
      <c r="TLM992" s="104"/>
      <c r="TLN992" s="103"/>
      <c r="TLZ992" s="104"/>
      <c r="TMA992" s="103"/>
      <c r="TMM992" s="104"/>
      <c r="TMN992" s="103"/>
      <c r="TMZ992" s="104"/>
      <c r="TNA992" s="103"/>
      <c r="TNM992" s="104"/>
      <c r="TNN992" s="103"/>
      <c r="TNZ992" s="104"/>
      <c r="TOA992" s="103"/>
      <c r="TOM992" s="104"/>
      <c r="TON992" s="103"/>
      <c r="TOZ992" s="104"/>
      <c r="TPA992" s="103"/>
      <c r="TPM992" s="104"/>
      <c r="TPN992" s="103"/>
      <c r="TPZ992" s="104"/>
      <c r="TQA992" s="103"/>
      <c r="TQM992" s="104"/>
      <c r="TQN992" s="103"/>
      <c r="TQZ992" s="104"/>
      <c r="TRA992" s="103"/>
      <c r="TRM992" s="104"/>
      <c r="TRN992" s="103"/>
      <c r="TRZ992" s="104"/>
      <c r="TSA992" s="103"/>
      <c r="TSM992" s="104"/>
      <c r="TSN992" s="103"/>
      <c r="TSZ992" s="104"/>
      <c r="TTA992" s="103"/>
      <c r="TTM992" s="104"/>
      <c r="TTN992" s="103"/>
      <c r="TTZ992" s="104"/>
      <c r="TUA992" s="103"/>
      <c r="TUM992" s="104"/>
      <c r="TUN992" s="103"/>
      <c r="TUZ992" s="104"/>
      <c r="TVA992" s="103"/>
      <c r="TVM992" s="104"/>
      <c r="TVN992" s="103"/>
      <c r="TVZ992" s="104"/>
      <c r="TWA992" s="103"/>
      <c r="TWM992" s="104"/>
      <c r="TWN992" s="103"/>
      <c r="TWZ992" s="104"/>
      <c r="TXA992" s="103"/>
      <c r="TXM992" s="104"/>
      <c r="TXN992" s="103"/>
      <c r="TXZ992" s="104"/>
      <c r="TYA992" s="103"/>
      <c r="TYM992" s="104"/>
      <c r="TYN992" s="103"/>
      <c r="TYZ992" s="104"/>
      <c r="TZA992" s="103"/>
      <c r="TZM992" s="104"/>
      <c r="TZN992" s="103"/>
      <c r="TZZ992" s="104"/>
      <c r="UAA992" s="103"/>
      <c r="UAM992" s="104"/>
      <c r="UAN992" s="103"/>
      <c r="UAZ992" s="104"/>
      <c r="UBA992" s="103"/>
      <c r="UBM992" s="104"/>
      <c r="UBN992" s="103"/>
      <c r="UBZ992" s="104"/>
      <c r="UCA992" s="103"/>
      <c r="UCM992" s="104"/>
      <c r="UCN992" s="103"/>
      <c r="UCZ992" s="104"/>
      <c r="UDA992" s="103"/>
      <c r="UDM992" s="104"/>
      <c r="UDN992" s="103"/>
      <c r="UDZ992" s="104"/>
      <c r="UEA992" s="103"/>
      <c r="UEM992" s="104"/>
      <c r="UEN992" s="103"/>
      <c r="UEZ992" s="104"/>
      <c r="UFA992" s="103"/>
      <c r="UFM992" s="104"/>
      <c r="UFN992" s="103"/>
      <c r="UFZ992" s="104"/>
      <c r="UGA992" s="103"/>
      <c r="UGM992" s="104"/>
      <c r="UGN992" s="103"/>
      <c r="UGZ992" s="104"/>
      <c r="UHA992" s="103"/>
      <c r="UHM992" s="104"/>
      <c r="UHN992" s="103"/>
      <c r="UHZ992" s="104"/>
      <c r="UIA992" s="103"/>
      <c r="UIM992" s="104"/>
      <c r="UIN992" s="103"/>
      <c r="UIZ992" s="104"/>
      <c r="UJA992" s="103"/>
      <c r="UJM992" s="104"/>
      <c r="UJN992" s="103"/>
      <c r="UJZ992" s="104"/>
      <c r="UKA992" s="103"/>
      <c r="UKM992" s="104"/>
      <c r="UKN992" s="103"/>
      <c r="UKZ992" s="104"/>
      <c r="ULA992" s="103"/>
      <c r="ULM992" s="104"/>
      <c r="ULN992" s="103"/>
      <c r="ULZ992" s="104"/>
      <c r="UMA992" s="103"/>
      <c r="UMM992" s="104"/>
      <c r="UMN992" s="103"/>
      <c r="UMZ992" s="104"/>
      <c r="UNA992" s="103"/>
      <c r="UNM992" s="104"/>
      <c r="UNN992" s="103"/>
      <c r="UNZ992" s="104"/>
      <c r="UOA992" s="103"/>
      <c r="UOM992" s="104"/>
      <c r="UON992" s="103"/>
      <c r="UOZ992" s="104"/>
      <c r="UPA992" s="103"/>
      <c r="UPM992" s="104"/>
      <c r="UPN992" s="103"/>
      <c r="UPZ992" s="104"/>
      <c r="UQA992" s="103"/>
      <c r="UQM992" s="104"/>
      <c r="UQN992" s="103"/>
      <c r="UQZ992" s="104"/>
      <c r="URA992" s="103"/>
      <c r="URM992" s="104"/>
      <c r="URN992" s="103"/>
      <c r="URZ992" s="104"/>
      <c r="USA992" s="103"/>
      <c r="USM992" s="104"/>
      <c r="USN992" s="103"/>
      <c r="USZ992" s="104"/>
      <c r="UTA992" s="103"/>
      <c r="UTM992" s="104"/>
      <c r="UTN992" s="103"/>
      <c r="UTZ992" s="104"/>
      <c r="UUA992" s="103"/>
      <c r="UUM992" s="104"/>
      <c r="UUN992" s="103"/>
      <c r="UUZ992" s="104"/>
      <c r="UVA992" s="103"/>
      <c r="UVM992" s="104"/>
      <c r="UVN992" s="103"/>
      <c r="UVZ992" s="104"/>
      <c r="UWA992" s="103"/>
      <c r="UWM992" s="104"/>
      <c r="UWN992" s="103"/>
      <c r="UWZ992" s="104"/>
      <c r="UXA992" s="103"/>
      <c r="UXM992" s="104"/>
      <c r="UXN992" s="103"/>
      <c r="UXZ992" s="104"/>
      <c r="UYA992" s="103"/>
      <c r="UYM992" s="104"/>
      <c r="UYN992" s="103"/>
      <c r="UYZ992" s="104"/>
      <c r="UZA992" s="103"/>
      <c r="UZM992" s="104"/>
      <c r="UZN992" s="103"/>
      <c r="UZZ992" s="104"/>
      <c r="VAA992" s="103"/>
      <c r="VAM992" s="104"/>
      <c r="VAN992" s="103"/>
      <c r="VAZ992" s="104"/>
      <c r="VBA992" s="103"/>
      <c r="VBM992" s="104"/>
      <c r="VBN992" s="103"/>
      <c r="VBZ992" s="104"/>
      <c r="VCA992" s="103"/>
      <c r="VCM992" s="104"/>
      <c r="VCN992" s="103"/>
      <c r="VCZ992" s="104"/>
      <c r="VDA992" s="103"/>
      <c r="VDM992" s="104"/>
      <c r="VDN992" s="103"/>
      <c r="VDZ992" s="104"/>
      <c r="VEA992" s="103"/>
      <c r="VEM992" s="104"/>
      <c r="VEN992" s="103"/>
      <c r="VEZ992" s="104"/>
      <c r="VFA992" s="103"/>
      <c r="VFM992" s="104"/>
      <c r="VFN992" s="103"/>
      <c r="VFZ992" s="104"/>
      <c r="VGA992" s="103"/>
      <c r="VGM992" s="104"/>
      <c r="VGN992" s="103"/>
      <c r="VGZ992" s="104"/>
      <c r="VHA992" s="103"/>
      <c r="VHM992" s="104"/>
      <c r="VHN992" s="103"/>
      <c r="VHZ992" s="104"/>
      <c r="VIA992" s="103"/>
      <c r="VIM992" s="104"/>
      <c r="VIN992" s="103"/>
      <c r="VIZ992" s="104"/>
      <c r="VJA992" s="103"/>
      <c r="VJM992" s="104"/>
      <c r="VJN992" s="103"/>
      <c r="VJZ992" s="104"/>
      <c r="VKA992" s="103"/>
      <c r="VKM992" s="104"/>
      <c r="VKN992" s="103"/>
      <c r="VKZ992" s="104"/>
      <c r="VLA992" s="103"/>
      <c r="VLM992" s="104"/>
      <c r="VLN992" s="103"/>
      <c r="VLZ992" s="104"/>
      <c r="VMA992" s="103"/>
      <c r="VMM992" s="104"/>
      <c r="VMN992" s="103"/>
      <c r="VMZ992" s="104"/>
      <c r="VNA992" s="103"/>
      <c r="VNM992" s="104"/>
      <c r="VNN992" s="103"/>
      <c r="VNZ992" s="104"/>
      <c r="VOA992" s="103"/>
      <c r="VOM992" s="104"/>
      <c r="VON992" s="103"/>
      <c r="VOZ992" s="104"/>
      <c r="VPA992" s="103"/>
      <c r="VPM992" s="104"/>
      <c r="VPN992" s="103"/>
      <c r="VPZ992" s="104"/>
      <c r="VQA992" s="103"/>
      <c r="VQM992" s="104"/>
      <c r="VQN992" s="103"/>
      <c r="VQZ992" s="104"/>
      <c r="VRA992" s="103"/>
      <c r="VRM992" s="104"/>
      <c r="VRN992" s="103"/>
      <c r="VRZ992" s="104"/>
      <c r="VSA992" s="103"/>
      <c r="VSM992" s="104"/>
      <c r="VSN992" s="103"/>
      <c r="VSZ992" s="104"/>
      <c r="VTA992" s="103"/>
      <c r="VTM992" s="104"/>
      <c r="VTN992" s="103"/>
      <c r="VTZ992" s="104"/>
      <c r="VUA992" s="103"/>
      <c r="VUM992" s="104"/>
      <c r="VUN992" s="103"/>
      <c r="VUZ992" s="104"/>
      <c r="VVA992" s="103"/>
      <c r="VVM992" s="104"/>
      <c r="VVN992" s="103"/>
      <c r="VVZ992" s="104"/>
      <c r="VWA992" s="103"/>
      <c r="VWM992" s="104"/>
      <c r="VWN992" s="103"/>
      <c r="VWZ992" s="104"/>
      <c r="VXA992" s="103"/>
      <c r="VXM992" s="104"/>
      <c r="VXN992" s="103"/>
      <c r="VXZ992" s="104"/>
      <c r="VYA992" s="103"/>
      <c r="VYM992" s="104"/>
      <c r="VYN992" s="103"/>
      <c r="VYZ992" s="104"/>
      <c r="VZA992" s="103"/>
      <c r="VZM992" s="104"/>
      <c r="VZN992" s="103"/>
      <c r="VZZ992" s="104"/>
      <c r="WAA992" s="103"/>
      <c r="WAM992" s="104"/>
      <c r="WAN992" s="103"/>
      <c r="WAZ992" s="104"/>
      <c r="WBA992" s="103"/>
      <c r="WBM992" s="104"/>
      <c r="WBN992" s="103"/>
      <c r="WBZ992" s="104"/>
      <c r="WCA992" s="103"/>
      <c r="WCM992" s="104"/>
      <c r="WCN992" s="103"/>
      <c r="WCZ992" s="104"/>
      <c r="WDA992" s="103"/>
      <c r="WDM992" s="104"/>
      <c r="WDN992" s="103"/>
      <c r="WDZ992" s="104"/>
      <c r="WEA992" s="103"/>
      <c r="WEM992" s="104"/>
      <c r="WEN992" s="103"/>
      <c r="WEZ992" s="104"/>
      <c r="WFA992" s="103"/>
      <c r="WFM992" s="104"/>
      <c r="WFN992" s="103"/>
      <c r="WFZ992" s="104"/>
      <c r="WGA992" s="103"/>
      <c r="WGM992" s="104"/>
      <c r="WGN992" s="103"/>
      <c r="WGZ992" s="104"/>
      <c r="WHA992" s="103"/>
      <c r="WHM992" s="104"/>
      <c r="WHN992" s="103"/>
      <c r="WHZ992" s="104"/>
      <c r="WIA992" s="103"/>
      <c r="WIM992" s="104"/>
      <c r="WIN992" s="103"/>
      <c r="WIZ992" s="104"/>
      <c r="WJA992" s="103"/>
      <c r="WJM992" s="104"/>
      <c r="WJN992" s="103"/>
      <c r="WJZ992" s="104"/>
      <c r="WKA992" s="103"/>
      <c r="WKM992" s="104"/>
      <c r="WKN992" s="103"/>
      <c r="WKZ992" s="104"/>
      <c r="WLA992" s="103"/>
      <c r="WLM992" s="104"/>
      <c r="WLN992" s="103"/>
      <c r="WLZ992" s="104"/>
      <c r="WMA992" s="103"/>
      <c r="WMM992" s="104"/>
      <c r="WMN992" s="103"/>
      <c r="WMZ992" s="104"/>
      <c r="WNA992" s="103"/>
      <c r="WNM992" s="104"/>
      <c r="WNN992" s="103"/>
      <c r="WNZ992" s="104"/>
      <c r="WOA992" s="103"/>
      <c r="WOM992" s="104"/>
      <c r="WON992" s="103"/>
      <c r="WOZ992" s="104"/>
      <c r="WPA992" s="103"/>
      <c r="WPM992" s="104"/>
      <c r="WPN992" s="103"/>
      <c r="WPZ992" s="104"/>
      <c r="WQA992" s="103"/>
      <c r="WQM992" s="104"/>
      <c r="WQN992" s="103"/>
      <c r="WQZ992" s="104"/>
      <c r="WRA992" s="103"/>
      <c r="WRM992" s="104"/>
      <c r="WRN992" s="103"/>
      <c r="WRZ992" s="104"/>
      <c r="WSA992" s="103"/>
      <c r="WSM992" s="104"/>
      <c r="WSN992" s="103"/>
      <c r="WSZ992" s="104"/>
      <c r="WTA992" s="103"/>
      <c r="WTM992" s="104"/>
      <c r="WTN992" s="103"/>
      <c r="WTZ992" s="104"/>
      <c r="WUA992" s="103"/>
      <c r="WUM992" s="104"/>
      <c r="WUN992" s="103"/>
      <c r="WUZ992" s="104"/>
      <c r="WVA992" s="103"/>
      <c r="WVM992" s="104"/>
      <c r="WVN992" s="103"/>
      <c r="WVZ992" s="104"/>
      <c r="WWA992" s="103"/>
      <c r="WWM992" s="104"/>
      <c r="WWN992" s="103"/>
      <c r="WWZ992" s="104"/>
      <c r="WXA992" s="103"/>
      <c r="WXM992" s="104"/>
      <c r="WXN992" s="103"/>
      <c r="WXZ992" s="104"/>
      <c r="WYA992" s="103"/>
      <c r="WYM992" s="104"/>
      <c r="WYN992" s="103"/>
      <c r="WYZ992" s="104"/>
      <c r="WZA992" s="103"/>
      <c r="WZM992" s="104"/>
      <c r="WZN992" s="103"/>
      <c r="WZZ992" s="104"/>
      <c r="XAA992" s="103"/>
      <c r="XAM992" s="104"/>
      <c r="XAN992" s="103"/>
      <c r="XAZ992" s="104"/>
      <c r="XBA992" s="103"/>
      <c r="XBM992" s="104"/>
      <c r="XBN992" s="103"/>
      <c r="XBZ992" s="104"/>
      <c r="XCA992" s="103"/>
      <c r="XCM992" s="104"/>
      <c r="XCN992" s="103"/>
      <c r="XCZ992" s="104"/>
      <c r="XDA992" s="103"/>
      <c r="XDM992" s="104"/>
      <c r="XDN992" s="103"/>
      <c r="XDZ992" s="104"/>
      <c r="XEA992" s="103"/>
      <c r="XEM992" s="104"/>
      <c r="XEN992" s="103"/>
      <c r="XEZ992" s="104"/>
      <c r="XFA992" s="103"/>
    </row>
    <row r="993" spans="1:1015 1027:2042 2054:3069 3081:4096 4108:5110 5122:6137 6149:7164 7176:8191 8203:9205 9217:10232 10244:11259 11271:12286 12298:14327 14339:15354 15366:16381">
      <c r="B993" s="134">
        <v>2024</v>
      </c>
      <c r="C993" s="135">
        <v>9465</v>
      </c>
      <c r="D993" s="136">
        <f t="shared" si="38"/>
        <v>161.38107416879797</v>
      </c>
      <c r="E993" s="135">
        <v>2287</v>
      </c>
      <c r="F993" s="136">
        <f t="shared" si="39"/>
        <v>38.994032395566926</v>
      </c>
      <c r="G993" s="136">
        <f t="shared" si="36"/>
        <v>11752</v>
      </c>
      <c r="H993" s="136">
        <f t="shared" si="37"/>
        <v>200.3751065643649</v>
      </c>
      <c r="AM993" s="104"/>
      <c r="AN993" s="103"/>
      <c r="AZ993" s="104"/>
      <c r="BA993" s="103"/>
      <c r="BM993" s="104"/>
      <c r="BN993" s="103"/>
      <c r="BZ993" s="104"/>
      <c r="CA993" s="103"/>
      <c r="CM993" s="104"/>
      <c r="CN993" s="103"/>
      <c r="CZ993" s="104"/>
      <c r="DA993" s="103"/>
      <c r="DM993" s="104"/>
      <c r="DN993" s="103"/>
      <c r="DZ993" s="104"/>
      <c r="EA993" s="103"/>
      <c r="EM993" s="104"/>
      <c r="EN993" s="103"/>
      <c r="EZ993" s="104"/>
      <c r="FA993" s="103"/>
      <c r="FM993" s="104"/>
      <c r="FN993" s="103"/>
      <c r="FZ993" s="104"/>
      <c r="GA993" s="103"/>
      <c r="GM993" s="104"/>
      <c r="GN993" s="103"/>
      <c r="GZ993" s="104"/>
      <c r="HA993" s="103"/>
      <c r="HM993" s="104"/>
      <c r="HN993" s="103"/>
      <c r="HZ993" s="104"/>
      <c r="IA993" s="103"/>
      <c r="IM993" s="104"/>
      <c r="IN993" s="103"/>
      <c r="IZ993" s="104"/>
      <c r="JA993" s="103"/>
      <c r="JM993" s="104"/>
      <c r="JN993" s="103"/>
      <c r="JZ993" s="104"/>
      <c r="KA993" s="103"/>
      <c r="KM993" s="104"/>
      <c r="KN993" s="103"/>
      <c r="KZ993" s="104"/>
      <c r="LA993" s="103"/>
      <c r="LM993" s="104"/>
      <c r="LN993" s="103"/>
      <c r="LZ993" s="104"/>
      <c r="MA993" s="103"/>
      <c r="MM993" s="104"/>
      <c r="MN993" s="103"/>
      <c r="MZ993" s="104"/>
      <c r="NA993" s="103"/>
      <c r="NM993" s="104"/>
      <c r="NN993" s="103"/>
      <c r="NZ993" s="104"/>
      <c r="OA993" s="103"/>
      <c r="OM993" s="104"/>
      <c r="ON993" s="103"/>
      <c r="OZ993" s="104"/>
      <c r="PA993" s="103"/>
      <c r="PM993" s="104"/>
      <c r="PN993" s="103"/>
      <c r="PZ993" s="104"/>
      <c r="QA993" s="103"/>
      <c r="QM993" s="104"/>
      <c r="QN993" s="103"/>
      <c r="QZ993" s="104"/>
      <c r="RA993" s="103"/>
      <c r="RM993" s="104"/>
      <c r="RN993" s="103"/>
      <c r="RZ993" s="104"/>
      <c r="SA993" s="103"/>
      <c r="SM993" s="104"/>
      <c r="SN993" s="103"/>
      <c r="SZ993" s="104"/>
      <c r="TA993" s="103"/>
      <c r="TM993" s="104"/>
      <c r="TN993" s="103"/>
      <c r="TZ993" s="104"/>
      <c r="UA993" s="103"/>
      <c r="UM993" s="104"/>
      <c r="UN993" s="103"/>
      <c r="UZ993" s="104"/>
      <c r="VA993" s="103"/>
      <c r="VM993" s="104"/>
      <c r="VN993" s="103"/>
      <c r="VZ993" s="104"/>
      <c r="WA993" s="103"/>
      <c r="WM993" s="104"/>
      <c r="WN993" s="103"/>
      <c r="WZ993" s="104"/>
      <c r="XA993" s="103"/>
      <c r="XM993" s="104"/>
      <c r="XN993" s="103"/>
      <c r="XZ993" s="104"/>
      <c r="YA993" s="103"/>
      <c r="YM993" s="104"/>
      <c r="YN993" s="103"/>
      <c r="YZ993" s="104"/>
      <c r="ZA993" s="103"/>
      <c r="ZM993" s="104"/>
      <c r="ZN993" s="103"/>
      <c r="ZZ993" s="104"/>
      <c r="AAA993" s="103"/>
      <c r="AAM993" s="104"/>
      <c r="AAN993" s="103"/>
      <c r="AAZ993" s="104"/>
      <c r="ABA993" s="103"/>
      <c r="ABM993" s="104"/>
      <c r="ABN993" s="103"/>
      <c r="ABZ993" s="104"/>
      <c r="ACA993" s="103"/>
      <c r="ACM993" s="104"/>
      <c r="ACN993" s="103"/>
      <c r="ACZ993" s="104"/>
      <c r="ADA993" s="103"/>
      <c r="ADM993" s="104"/>
      <c r="ADN993" s="103"/>
      <c r="ADZ993" s="104"/>
      <c r="AEA993" s="103"/>
      <c r="AEM993" s="104"/>
      <c r="AEN993" s="103"/>
      <c r="AEZ993" s="104"/>
      <c r="AFA993" s="103"/>
      <c r="AFM993" s="104"/>
      <c r="AFN993" s="103"/>
      <c r="AFZ993" s="104"/>
      <c r="AGA993" s="103"/>
      <c r="AGM993" s="104"/>
      <c r="AGN993" s="103"/>
      <c r="AGZ993" s="104"/>
      <c r="AHA993" s="103"/>
      <c r="AHM993" s="104"/>
      <c r="AHN993" s="103"/>
      <c r="AHZ993" s="104"/>
      <c r="AIA993" s="103"/>
      <c r="AIM993" s="104"/>
      <c r="AIN993" s="103"/>
      <c r="AIZ993" s="104"/>
      <c r="AJA993" s="103"/>
      <c r="AJM993" s="104"/>
      <c r="AJN993" s="103"/>
      <c r="AJZ993" s="104"/>
      <c r="AKA993" s="103"/>
      <c r="AKM993" s="104"/>
      <c r="AKN993" s="103"/>
      <c r="AKZ993" s="104"/>
      <c r="ALA993" s="103"/>
      <c r="ALM993" s="104"/>
      <c r="ALN993" s="103"/>
      <c r="ALZ993" s="104"/>
      <c r="AMA993" s="103"/>
      <c r="AMM993" s="104"/>
      <c r="AMN993" s="103"/>
      <c r="AMZ993" s="104"/>
      <c r="ANA993" s="103"/>
      <c r="ANM993" s="104"/>
      <c r="ANN993" s="103"/>
      <c r="ANZ993" s="104"/>
      <c r="AOA993" s="103"/>
      <c r="AOM993" s="104"/>
      <c r="AON993" s="103"/>
      <c r="AOZ993" s="104"/>
      <c r="APA993" s="103"/>
      <c r="APM993" s="104"/>
      <c r="APN993" s="103"/>
      <c r="APZ993" s="104"/>
      <c r="AQA993" s="103"/>
      <c r="AQM993" s="104"/>
      <c r="AQN993" s="103"/>
      <c r="AQZ993" s="104"/>
      <c r="ARA993" s="103"/>
      <c r="ARM993" s="104"/>
      <c r="ARN993" s="103"/>
      <c r="ARZ993" s="104"/>
      <c r="ASA993" s="103"/>
      <c r="ASM993" s="104"/>
      <c r="ASN993" s="103"/>
      <c r="ASZ993" s="104"/>
      <c r="ATA993" s="103"/>
      <c r="ATM993" s="104"/>
      <c r="ATN993" s="103"/>
      <c r="ATZ993" s="104"/>
      <c r="AUA993" s="103"/>
      <c r="AUM993" s="104"/>
      <c r="AUN993" s="103"/>
      <c r="AUZ993" s="104"/>
      <c r="AVA993" s="103"/>
      <c r="AVM993" s="104"/>
      <c r="AVN993" s="103"/>
      <c r="AVZ993" s="104"/>
      <c r="AWA993" s="103"/>
      <c r="AWM993" s="104"/>
      <c r="AWN993" s="103"/>
      <c r="AWZ993" s="104"/>
      <c r="AXA993" s="103"/>
      <c r="AXM993" s="104"/>
      <c r="AXN993" s="103"/>
      <c r="AXZ993" s="104"/>
      <c r="AYA993" s="103"/>
      <c r="AYM993" s="104"/>
      <c r="AYN993" s="103"/>
      <c r="AYZ993" s="104"/>
      <c r="AZA993" s="103"/>
      <c r="AZM993" s="104"/>
      <c r="AZN993" s="103"/>
      <c r="AZZ993" s="104"/>
      <c r="BAA993" s="103"/>
      <c r="BAM993" s="104"/>
      <c r="BAN993" s="103"/>
      <c r="BAZ993" s="104"/>
      <c r="BBA993" s="103"/>
      <c r="BBM993" s="104"/>
      <c r="BBN993" s="103"/>
      <c r="BBZ993" s="104"/>
      <c r="BCA993" s="103"/>
      <c r="BCM993" s="104"/>
      <c r="BCN993" s="103"/>
      <c r="BCZ993" s="104"/>
      <c r="BDA993" s="103"/>
      <c r="BDM993" s="104"/>
      <c r="BDN993" s="103"/>
      <c r="BDZ993" s="104"/>
      <c r="BEA993" s="103"/>
      <c r="BEM993" s="104"/>
      <c r="BEN993" s="103"/>
      <c r="BEZ993" s="104"/>
      <c r="BFA993" s="103"/>
      <c r="BFM993" s="104"/>
      <c r="BFN993" s="103"/>
      <c r="BFZ993" s="104"/>
      <c r="BGA993" s="103"/>
      <c r="BGM993" s="104"/>
      <c r="BGN993" s="103"/>
      <c r="BGZ993" s="104"/>
      <c r="BHA993" s="103"/>
      <c r="BHM993" s="104"/>
      <c r="BHN993" s="103"/>
      <c r="BHZ993" s="104"/>
      <c r="BIA993" s="103"/>
      <c r="BIM993" s="104"/>
      <c r="BIN993" s="103"/>
      <c r="BIZ993" s="104"/>
      <c r="BJA993" s="103"/>
      <c r="BJM993" s="104"/>
      <c r="BJN993" s="103"/>
      <c r="BJZ993" s="104"/>
      <c r="BKA993" s="103"/>
      <c r="BKM993" s="104"/>
      <c r="BKN993" s="103"/>
      <c r="BKZ993" s="104"/>
      <c r="BLA993" s="103"/>
      <c r="BLM993" s="104"/>
      <c r="BLN993" s="103"/>
      <c r="BLZ993" s="104"/>
      <c r="BMA993" s="103"/>
      <c r="BMM993" s="104"/>
      <c r="BMN993" s="103"/>
      <c r="BMZ993" s="104"/>
      <c r="BNA993" s="103"/>
      <c r="BNM993" s="104"/>
      <c r="BNN993" s="103"/>
      <c r="BNZ993" s="104"/>
      <c r="BOA993" s="103"/>
      <c r="BOM993" s="104"/>
      <c r="BON993" s="103"/>
      <c r="BOZ993" s="104"/>
      <c r="BPA993" s="103"/>
      <c r="BPM993" s="104"/>
      <c r="BPN993" s="103"/>
      <c r="BPZ993" s="104"/>
      <c r="BQA993" s="103"/>
      <c r="BQM993" s="104"/>
      <c r="BQN993" s="103"/>
      <c r="BQZ993" s="104"/>
      <c r="BRA993" s="103"/>
      <c r="BRM993" s="104"/>
      <c r="BRN993" s="103"/>
      <c r="BRZ993" s="104"/>
      <c r="BSA993" s="103"/>
      <c r="BSM993" s="104"/>
      <c r="BSN993" s="103"/>
      <c r="BSZ993" s="104"/>
      <c r="BTA993" s="103"/>
      <c r="BTM993" s="104"/>
      <c r="BTN993" s="103"/>
      <c r="BTZ993" s="104"/>
      <c r="BUA993" s="103"/>
      <c r="BUM993" s="104"/>
      <c r="BUN993" s="103"/>
      <c r="BUZ993" s="104"/>
      <c r="BVA993" s="103"/>
      <c r="BVM993" s="104"/>
      <c r="BVN993" s="103"/>
      <c r="BVZ993" s="104"/>
      <c r="BWA993" s="103"/>
      <c r="BWM993" s="104"/>
      <c r="BWN993" s="103"/>
      <c r="BWZ993" s="104"/>
      <c r="BXA993" s="103"/>
      <c r="BXM993" s="104"/>
      <c r="BXN993" s="103"/>
      <c r="BXZ993" s="104"/>
      <c r="BYA993" s="103"/>
      <c r="BYM993" s="104"/>
      <c r="BYN993" s="103"/>
      <c r="BYZ993" s="104"/>
      <c r="BZA993" s="103"/>
      <c r="BZM993" s="104"/>
      <c r="BZN993" s="103"/>
      <c r="BZZ993" s="104"/>
      <c r="CAA993" s="103"/>
      <c r="CAM993" s="104"/>
      <c r="CAN993" s="103"/>
      <c r="CAZ993" s="104"/>
      <c r="CBA993" s="103"/>
      <c r="CBM993" s="104"/>
      <c r="CBN993" s="103"/>
      <c r="CBZ993" s="104"/>
      <c r="CCA993" s="103"/>
      <c r="CCM993" s="104"/>
      <c r="CCN993" s="103"/>
      <c r="CCZ993" s="104"/>
      <c r="CDA993" s="103"/>
      <c r="CDM993" s="104"/>
      <c r="CDN993" s="103"/>
      <c r="CDZ993" s="104"/>
      <c r="CEA993" s="103"/>
      <c r="CEM993" s="104"/>
      <c r="CEN993" s="103"/>
      <c r="CEZ993" s="104"/>
      <c r="CFA993" s="103"/>
      <c r="CFM993" s="104"/>
      <c r="CFN993" s="103"/>
      <c r="CFZ993" s="104"/>
      <c r="CGA993" s="103"/>
      <c r="CGM993" s="104"/>
      <c r="CGN993" s="103"/>
      <c r="CGZ993" s="104"/>
      <c r="CHA993" s="103"/>
      <c r="CHM993" s="104"/>
      <c r="CHN993" s="103"/>
      <c r="CHZ993" s="104"/>
      <c r="CIA993" s="103"/>
      <c r="CIM993" s="104"/>
      <c r="CIN993" s="103"/>
      <c r="CIZ993" s="104"/>
      <c r="CJA993" s="103"/>
      <c r="CJM993" s="104"/>
      <c r="CJN993" s="103"/>
      <c r="CJZ993" s="104"/>
      <c r="CKA993" s="103"/>
      <c r="CKM993" s="104"/>
      <c r="CKN993" s="103"/>
      <c r="CKZ993" s="104"/>
      <c r="CLA993" s="103"/>
      <c r="CLM993" s="104"/>
      <c r="CLN993" s="103"/>
      <c r="CLZ993" s="104"/>
      <c r="CMA993" s="103"/>
      <c r="CMM993" s="104"/>
      <c r="CMN993" s="103"/>
      <c r="CMZ993" s="104"/>
      <c r="CNA993" s="103"/>
      <c r="CNM993" s="104"/>
      <c r="CNN993" s="103"/>
      <c r="CNZ993" s="104"/>
      <c r="COA993" s="103"/>
      <c r="COM993" s="104"/>
      <c r="CON993" s="103"/>
      <c r="COZ993" s="104"/>
      <c r="CPA993" s="103"/>
      <c r="CPM993" s="104"/>
      <c r="CPN993" s="103"/>
      <c r="CPZ993" s="104"/>
      <c r="CQA993" s="103"/>
      <c r="CQM993" s="104"/>
      <c r="CQN993" s="103"/>
      <c r="CQZ993" s="104"/>
      <c r="CRA993" s="103"/>
      <c r="CRM993" s="104"/>
      <c r="CRN993" s="103"/>
      <c r="CRZ993" s="104"/>
      <c r="CSA993" s="103"/>
      <c r="CSM993" s="104"/>
      <c r="CSN993" s="103"/>
      <c r="CSZ993" s="104"/>
      <c r="CTA993" s="103"/>
      <c r="CTM993" s="104"/>
      <c r="CTN993" s="103"/>
      <c r="CTZ993" s="104"/>
      <c r="CUA993" s="103"/>
      <c r="CUM993" s="104"/>
      <c r="CUN993" s="103"/>
      <c r="CUZ993" s="104"/>
      <c r="CVA993" s="103"/>
      <c r="CVM993" s="104"/>
      <c r="CVN993" s="103"/>
      <c r="CVZ993" s="104"/>
      <c r="CWA993" s="103"/>
      <c r="CWM993" s="104"/>
      <c r="CWN993" s="103"/>
      <c r="CWZ993" s="104"/>
      <c r="CXA993" s="103"/>
      <c r="CXM993" s="104"/>
      <c r="CXN993" s="103"/>
      <c r="CXZ993" s="104"/>
      <c r="CYA993" s="103"/>
      <c r="CYM993" s="104"/>
      <c r="CYN993" s="103"/>
      <c r="CYZ993" s="104"/>
      <c r="CZA993" s="103"/>
      <c r="CZM993" s="104"/>
      <c r="CZN993" s="103"/>
      <c r="CZZ993" s="104"/>
      <c r="DAA993" s="103"/>
      <c r="DAM993" s="104"/>
      <c r="DAN993" s="103"/>
      <c r="DAZ993" s="104"/>
      <c r="DBA993" s="103"/>
      <c r="DBM993" s="104"/>
      <c r="DBN993" s="103"/>
      <c r="DBZ993" s="104"/>
      <c r="DCA993" s="103"/>
      <c r="DCM993" s="104"/>
      <c r="DCN993" s="103"/>
      <c r="DCZ993" s="104"/>
      <c r="DDA993" s="103"/>
      <c r="DDM993" s="104"/>
      <c r="DDN993" s="103"/>
      <c r="DDZ993" s="104"/>
      <c r="DEA993" s="103"/>
      <c r="DEM993" s="104"/>
      <c r="DEN993" s="103"/>
      <c r="DEZ993" s="104"/>
      <c r="DFA993" s="103"/>
      <c r="DFM993" s="104"/>
      <c r="DFN993" s="103"/>
      <c r="DFZ993" s="104"/>
      <c r="DGA993" s="103"/>
      <c r="DGM993" s="104"/>
      <c r="DGN993" s="103"/>
      <c r="DGZ993" s="104"/>
      <c r="DHA993" s="103"/>
      <c r="DHM993" s="104"/>
      <c r="DHN993" s="103"/>
      <c r="DHZ993" s="104"/>
      <c r="DIA993" s="103"/>
      <c r="DIM993" s="104"/>
      <c r="DIN993" s="103"/>
      <c r="DIZ993" s="104"/>
      <c r="DJA993" s="103"/>
      <c r="DJM993" s="104"/>
      <c r="DJN993" s="103"/>
      <c r="DJZ993" s="104"/>
      <c r="DKA993" s="103"/>
      <c r="DKM993" s="104"/>
      <c r="DKN993" s="103"/>
      <c r="DKZ993" s="104"/>
      <c r="DLA993" s="103"/>
      <c r="DLM993" s="104"/>
      <c r="DLN993" s="103"/>
      <c r="DLZ993" s="104"/>
      <c r="DMA993" s="103"/>
      <c r="DMM993" s="104"/>
      <c r="DMN993" s="103"/>
      <c r="DMZ993" s="104"/>
      <c r="DNA993" s="103"/>
      <c r="DNM993" s="104"/>
      <c r="DNN993" s="103"/>
      <c r="DNZ993" s="104"/>
      <c r="DOA993" s="103"/>
      <c r="DOM993" s="104"/>
      <c r="DON993" s="103"/>
      <c r="DOZ993" s="104"/>
      <c r="DPA993" s="103"/>
      <c r="DPM993" s="104"/>
      <c r="DPN993" s="103"/>
      <c r="DPZ993" s="104"/>
      <c r="DQA993" s="103"/>
      <c r="DQM993" s="104"/>
      <c r="DQN993" s="103"/>
      <c r="DQZ993" s="104"/>
      <c r="DRA993" s="103"/>
      <c r="DRM993" s="104"/>
      <c r="DRN993" s="103"/>
      <c r="DRZ993" s="104"/>
      <c r="DSA993" s="103"/>
      <c r="DSM993" s="104"/>
      <c r="DSN993" s="103"/>
      <c r="DSZ993" s="104"/>
      <c r="DTA993" s="103"/>
      <c r="DTM993" s="104"/>
      <c r="DTN993" s="103"/>
      <c r="DTZ993" s="104"/>
      <c r="DUA993" s="103"/>
      <c r="DUM993" s="104"/>
      <c r="DUN993" s="103"/>
      <c r="DUZ993" s="104"/>
      <c r="DVA993" s="103"/>
      <c r="DVM993" s="104"/>
      <c r="DVN993" s="103"/>
      <c r="DVZ993" s="104"/>
      <c r="DWA993" s="103"/>
      <c r="DWM993" s="104"/>
      <c r="DWN993" s="103"/>
      <c r="DWZ993" s="104"/>
      <c r="DXA993" s="103"/>
      <c r="DXM993" s="104"/>
      <c r="DXN993" s="103"/>
      <c r="DXZ993" s="104"/>
      <c r="DYA993" s="103"/>
      <c r="DYM993" s="104"/>
      <c r="DYN993" s="103"/>
      <c r="DYZ993" s="104"/>
      <c r="DZA993" s="103"/>
      <c r="DZM993" s="104"/>
      <c r="DZN993" s="103"/>
      <c r="DZZ993" s="104"/>
      <c r="EAA993" s="103"/>
      <c r="EAM993" s="104"/>
      <c r="EAN993" s="103"/>
      <c r="EAZ993" s="104"/>
      <c r="EBA993" s="103"/>
      <c r="EBM993" s="104"/>
      <c r="EBN993" s="103"/>
      <c r="EBZ993" s="104"/>
      <c r="ECA993" s="103"/>
      <c r="ECM993" s="104"/>
      <c r="ECN993" s="103"/>
      <c r="ECZ993" s="104"/>
      <c r="EDA993" s="103"/>
      <c r="EDM993" s="104"/>
      <c r="EDN993" s="103"/>
      <c r="EDZ993" s="104"/>
      <c r="EEA993" s="103"/>
      <c r="EEM993" s="104"/>
      <c r="EEN993" s="103"/>
      <c r="EEZ993" s="104"/>
      <c r="EFA993" s="103"/>
      <c r="EFM993" s="104"/>
      <c r="EFN993" s="103"/>
      <c r="EFZ993" s="104"/>
      <c r="EGA993" s="103"/>
      <c r="EGM993" s="104"/>
      <c r="EGN993" s="103"/>
      <c r="EGZ993" s="104"/>
      <c r="EHA993" s="103"/>
      <c r="EHM993" s="104"/>
      <c r="EHN993" s="103"/>
      <c r="EHZ993" s="104"/>
      <c r="EIA993" s="103"/>
      <c r="EIM993" s="104"/>
      <c r="EIN993" s="103"/>
      <c r="EIZ993" s="104"/>
      <c r="EJA993" s="103"/>
      <c r="EJM993" s="104"/>
      <c r="EJN993" s="103"/>
      <c r="EJZ993" s="104"/>
      <c r="EKA993" s="103"/>
      <c r="EKM993" s="104"/>
      <c r="EKN993" s="103"/>
      <c r="EKZ993" s="104"/>
      <c r="ELA993" s="103"/>
      <c r="ELM993" s="104"/>
      <c r="ELN993" s="103"/>
      <c r="ELZ993" s="104"/>
      <c r="EMA993" s="103"/>
      <c r="EMM993" s="104"/>
      <c r="EMN993" s="103"/>
      <c r="EMZ993" s="104"/>
      <c r="ENA993" s="103"/>
      <c r="ENM993" s="104"/>
      <c r="ENN993" s="103"/>
      <c r="ENZ993" s="104"/>
      <c r="EOA993" s="103"/>
      <c r="EOM993" s="104"/>
      <c r="EON993" s="103"/>
      <c r="EOZ993" s="104"/>
      <c r="EPA993" s="103"/>
      <c r="EPM993" s="104"/>
      <c r="EPN993" s="103"/>
      <c r="EPZ993" s="104"/>
      <c r="EQA993" s="103"/>
      <c r="EQM993" s="104"/>
      <c r="EQN993" s="103"/>
      <c r="EQZ993" s="104"/>
      <c r="ERA993" s="103"/>
      <c r="ERM993" s="104"/>
      <c r="ERN993" s="103"/>
      <c r="ERZ993" s="104"/>
      <c r="ESA993" s="103"/>
      <c r="ESM993" s="104"/>
      <c r="ESN993" s="103"/>
      <c r="ESZ993" s="104"/>
      <c r="ETA993" s="103"/>
      <c r="ETM993" s="104"/>
      <c r="ETN993" s="103"/>
      <c r="ETZ993" s="104"/>
      <c r="EUA993" s="103"/>
      <c r="EUM993" s="104"/>
      <c r="EUN993" s="103"/>
      <c r="EUZ993" s="104"/>
      <c r="EVA993" s="103"/>
      <c r="EVM993" s="104"/>
      <c r="EVN993" s="103"/>
      <c r="EVZ993" s="104"/>
      <c r="EWA993" s="103"/>
      <c r="EWM993" s="104"/>
      <c r="EWN993" s="103"/>
      <c r="EWZ993" s="104"/>
      <c r="EXA993" s="103"/>
      <c r="EXM993" s="104"/>
      <c r="EXN993" s="103"/>
      <c r="EXZ993" s="104"/>
      <c r="EYA993" s="103"/>
      <c r="EYM993" s="104"/>
      <c r="EYN993" s="103"/>
      <c r="EYZ993" s="104"/>
      <c r="EZA993" s="103"/>
      <c r="EZM993" s="104"/>
      <c r="EZN993" s="103"/>
      <c r="EZZ993" s="104"/>
      <c r="FAA993" s="103"/>
      <c r="FAM993" s="104"/>
      <c r="FAN993" s="103"/>
      <c r="FAZ993" s="104"/>
      <c r="FBA993" s="103"/>
      <c r="FBM993" s="104"/>
      <c r="FBN993" s="103"/>
      <c r="FBZ993" s="104"/>
      <c r="FCA993" s="103"/>
      <c r="FCM993" s="104"/>
      <c r="FCN993" s="103"/>
      <c r="FCZ993" s="104"/>
      <c r="FDA993" s="103"/>
      <c r="FDM993" s="104"/>
      <c r="FDN993" s="103"/>
      <c r="FDZ993" s="104"/>
      <c r="FEA993" s="103"/>
      <c r="FEM993" s="104"/>
      <c r="FEN993" s="103"/>
      <c r="FEZ993" s="104"/>
      <c r="FFA993" s="103"/>
      <c r="FFM993" s="104"/>
      <c r="FFN993" s="103"/>
      <c r="FFZ993" s="104"/>
      <c r="FGA993" s="103"/>
      <c r="FGM993" s="104"/>
      <c r="FGN993" s="103"/>
      <c r="FGZ993" s="104"/>
      <c r="FHA993" s="103"/>
      <c r="FHM993" s="104"/>
      <c r="FHN993" s="103"/>
      <c r="FHZ993" s="104"/>
      <c r="FIA993" s="103"/>
      <c r="FIM993" s="104"/>
      <c r="FIN993" s="103"/>
      <c r="FIZ993" s="104"/>
      <c r="FJA993" s="103"/>
      <c r="FJM993" s="104"/>
      <c r="FJN993" s="103"/>
      <c r="FJZ993" s="104"/>
      <c r="FKA993" s="103"/>
      <c r="FKM993" s="104"/>
      <c r="FKN993" s="103"/>
      <c r="FKZ993" s="104"/>
      <c r="FLA993" s="103"/>
      <c r="FLM993" s="104"/>
      <c r="FLN993" s="103"/>
      <c r="FLZ993" s="104"/>
      <c r="FMA993" s="103"/>
      <c r="FMM993" s="104"/>
      <c r="FMN993" s="103"/>
      <c r="FMZ993" s="104"/>
      <c r="FNA993" s="103"/>
      <c r="FNM993" s="104"/>
      <c r="FNN993" s="103"/>
      <c r="FNZ993" s="104"/>
      <c r="FOA993" s="103"/>
      <c r="FOM993" s="104"/>
      <c r="FON993" s="103"/>
      <c r="FOZ993" s="104"/>
      <c r="FPA993" s="103"/>
      <c r="FPM993" s="104"/>
      <c r="FPN993" s="103"/>
      <c r="FPZ993" s="104"/>
      <c r="FQA993" s="103"/>
      <c r="FQM993" s="104"/>
      <c r="FQN993" s="103"/>
      <c r="FQZ993" s="104"/>
      <c r="FRA993" s="103"/>
      <c r="FRM993" s="104"/>
      <c r="FRN993" s="103"/>
      <c r="FRZ993" s="104"/>
      <c r="FSA993" s="103"/>
      <c r="FSM993" s="104"/>
      <c r="FSN993" s="103"/>
      <c r="FSZ993" s="104"/>
      <c r="FTA993" s="103"/>
      <c r="FTM993" s="104"/>
      <c r="FTN993" s="103"/>
      <c r="FTZ993" s="104"/>
      <c r="FUA993" s="103"/>
      <c r="FUM993" s="104"/>
      <c r="FUN993" s="103"/>
      <c r="FUZ993" s="104"/>
      <c r="FVA993" s="103"/>
      <c r="FVM993" s="104"/>
      <c r="FVN993" s="103"/>
      <c r="FVZ993" s="104"/>
      <c r="FWA993" s="103"/>
      <c r="FWM993" s="104"/>
      <c r="FWN993" s="103"/>
      <c r="FWZ993" s="104"/>
      <c r="FXA993" s="103"/>
      <c r="FXM993" s="104"/>
      <c r="FXN993" s="103"/>
      <c r="FXZ993" s="104"/>
      <c r="FYA993" s="103"/>
      <c r="FYM993" s="104"/>
      <c r="FYN993" s="103"/>
      <c r="FYZ993" s="104"/>
      <c r="FZA993" s="103"/>
      <c r="FZM993" s="104"/>
      <c r="FZN993" s="103"/>
      <c r="FZZ993" s="104"/>
      <c r="GAA993" s="103"/>
      <c r="GAM993" s="104"/>
      <c r="GAN993" s="103"/>
      <c r="GAZ993" s="104"/>
      <c r="GBA993" s="103"/>
      <c r="GBM993" s="104"/>
      <c r="GBN993" s="103"/>
      <c r="GBZ993" s="104"/>
      <c r="GCA993" s="103"/>
      <c r="GCM993" s="104"/>
      <c r="GCN993" s="103"/>
      <c r="GCZ993" s="104"/>
      <c r="GDA993" s="103"/>
      <c r="GDM993" s="104"/>
      <c r="GDN993" s="103"/>
      <c r="GDZ993" s="104"/>
      <c r="GEA993" s="103"/>
      <c r="GEM993" s="104"/>
      <c r="GEN993" s="103"/>
      <c r="GEZ993" s="104"/>
      <c r="GFA993" s="103"/>
      <c r="GFM993" s="104"/>
      <c r="GFN993" s="103"/>
      <c r="GFZ993" s="104"/>
      <c r="GGA993" s="103"/>
      <c r="GGM993" s="104"/>
      <c r="GGN993" s="103"/>
      <c r="GGZ993" s="104"/>
      <c r="GHA993" s="103"/>
      <c r="GHM993" s="104"/>
      <c r="GHN993" s="103"/>
      <c r="GHZ993" s="104"/>
      <c r="GIA993" s="103"/>
      <c r="GIM993" s="104"/>
      <c r="GIN993" s="103"/>
      <c r="GIZ993" s="104"/>
      <c r="GJA993" s="103"/>
      <c r="GJM993" s="104"/>
      <c r="GJN993" s="103"/>
      <c r="GJZ993" s="104"/>
      <c r="GKA993" s="103"/>
      <c r="GKM993" s="104"/>
      <c r="GKN993" s="103"/>
      <c r="GKZ993" s="104"/>
      <c r="GLA993" s="103"/>
      <c r="GLM993" s="104"/>
      <c r="GLN993" s="103"/>
      <c r="GLZ993" s="104"/>
      <c r="GMA993" s="103"/>
      <c r="GMM993" s="104"/>
      <c r="GMN993" s="103"/>
      <c r="GMZ993" s="104"/>
      <c r="GNA993" s="103"/>
      <c r="GNM993" s="104"/>
      <c r="GNN993" s="103"/>
      <c r="GNZ993" s="104"/>
      <c r="GOA993" s="103"/>
      <c r="GOM993" s="104"/>
      <c r="GON993" s="103"/>
      <c r="GOZ993" s="104"/>
      <c r="GPA993" s="103"/>
      <c r="GPM993" s="104"/>
      <c r="GPN993" s="103"/>
      <c r="GPZ993" s="104"/>
      <c r="GQA993" s="103"/>
      <c r="GQM993" s="104"/>
      <c r="GQN993" s="103"/>
      <c r="GQZ993" s="104"/>
      <c r="GRA993" s="103"/>
      <c r="GRM993" s="104"/>
      <c r="GRN993" s="103"/>
      <c r="GRZ993" s="104"/>
      <c r="GSA993" s="103"/>
      <c r="GSM993" s="104"/>
      <c r="GSN993" s="103"/>
      <c r="GSZ993" s="104"/>
      <c r="GTA993" s="103"/>
      <c r="GTM993" s="104"/>
      <c r="GTN993" s="103"/>
      <c r="GTZ993" s="104"/>
      <c r="GUA993" s="103"/>
      <c r="GUM993" s="104"/>
      <c r="GUN993" s="103"/>
      <c r="GUZ993" s="104"/>
      <c r="GVA993" s="103"/>
      <c r="GVM993" s="104"/>
      <c r="GVN993" s="103"/>
      <c r="GVZ993" s="104"/>
      <c r="GWA993" s="103"/>
      <c r="GWM993" s="104"/>
      <c r="GWN993" s="103"/>
      <c r="GWZ993" s="104"/>
      <c r="GXA993" s="103"/>
      <c r="GXM993" s="104"/>
      <c r="GXN993" s="103"/>
      <c r="GXZ993" s="104"/>
      <c r="GYA993" s="103"/>
      <c r="GYM993" s="104"/>
      <c r="GYN993" s="103"/>
      <c r="GYZ993" s="104"/>
      <c r="GZA993" s="103"/>
      <c r="GZM993" s="104"/>
      <c r="GZN993" s="103"/>
      <c r="GZZ993" s="104"/>
      <c r="HAA993" s="103"/>
      <c r="HAM993" s="104"/>
      <c r="HAN993" s="103"/>
      <c r="HAZ993" s="104"/>
      <c r="HBA993" s="103"/>
      <c r="HBM993" s="104"/>
      <c r="HBN993" s="103"/>
      <c r="HBZ993" s="104"/>
      <c r="HCA993" s="103"/>
      <c r="HCM993" s="104"/>
      <c r="HCN993" s="103"/>
      <c r="HCZ993" s="104"/>
      <c r="HDA993" s="103"/>
      <c r="HDM993" s="104"/>
      <c r="HDN993" s="103"/>
      <c r="HDZ993" s="104"/>
      <c r="HEA993" s="103"/>
      <c r="HEM993" s="104"/>
      <c r="HEN993" s="103"/>
      <c r="HEZ993" s="104"/>
      <c r="HFA993" s="103"/>
      <c r="HFM993" s="104"/>
      <c r="HFN993" s="103"/>
      <c r="HFZ993" s="104"/>
      <c r="HGA993" s="103"/>
      <c r="HGM993" s="104"/>
      <c r="HGN993" s="103"/>
      <c r="HGZ993" s="104"/>
      <c r="HHA993" s="103"/>
      <c r="HHM993" s="104"/>
      <c r="HHN993" s="103"/>
      <c r="HHZ993" s="104"/>
      <c r="HIA993" s="103"/>
      <c r="HIM993" s="104"/>
      <c r="HIN993" s="103"/>
      <c r="HIZ993" s="104"/>
      <c r="HJA993" s="103"/>
      <c r="HJM993" s="104"/>
      <c r="HJN993" s="103"/>
      <c r="HJZ993" s="104"/>
      <c r="HKA993" s="103"/>
      <c r="HKM993" s="104"/>
      <c r="HKN993" s="103"/>
      <c r="HKZ993" s="104"/>
      <c r="HLA993" s="103"/>
      <c r="HLM993" s="104"/>
      <c r="HLN993" s="103"/>
      <c r="HLZ993" s="104"/>
      <c r="HMA993" s="103"/>
      <c r="HMM993" s="104"/>
      <c r="HMN993" s="103"/>
      <c r="HMZ993" s="104"/>
      <c r="HNA993" s="103"/>
      <c r="HNM993" s="104"/>
      <c r="HNN993" s="103"/>
      <c r="HNZ993" s="104"/>
      <c r="HOA993" s="103"/>
      <c r="HOM993" s="104"/>
      <c r="HON993" s="103"/>
      <c r="HOZ993" s="104"/>
      <c r="HPA993" s="103"/>
      <c r="HPM993" s="104"/>
      <c r="HPN993" s="103"/>
      <c r="HPZ993" s="104"/>
      <c r="HQA993" s="103"/>
      <c r="HQM993" s="104"/>
      <c r="HQN993" s="103"/>
      <c r="HQZ993" s="104"/>
      <c r="HRA993" s="103"/>
      <c r="HRM993" s="104"/>
      <c r="HRN993" s="103"/>
      <c r="HRZ993" s="104"/>
      <c r="HSA993" s="103"/>
      <c r="HSM993" s="104"/>
      <c r="HSN993" s="103"/>
      <c r="HSZ993" s="104"/>
      <c r="HTA993" s="103"/>
      <c r="HTM993" s="104"/>
      <c r="HTN993" s="103"/>
      <c r="HTZ993" s="104"/>
      <c r="HUA993" s="103"/>
      <c r="HUM993" s="104"/>
      <c r="HUN993" s="103"/>
      <c r="HUZ993" s="104"/>
      <c r="HVA993" s="103"/>
      <c r="HVM993" s="104"/>
      <c r="HVN993" s="103"/>
      <c r="HVZ993" s="104"/>
      <c r="HWA993" s="103"/>
      <c r="HWM993" s="104"/>
      <c r="HWN993" s="103"/>
      <c r="HWZ993" s="104"/>
      <c r="HXA993" s="103"/>
      <c r="HXM993" s="104"/>
      <c r="HXN993" s="103"/>
      <c r="HXZ993" s="104"/>
      <c r="HYA993" s="103"/>
      <c r="HYM993" s="104"/>
      <c r="HYN993" s="103"/>
      <c r="HYZ993" s="104"/>
      <c r="HZA993" s="103"/>
      <c r="HZM993" s="104"/>
      <c r="HZN993" s="103"/>
      <c r="HZZ993" s="104"/>
      <c r="IAA993" s="103"/>
      <c r="IAM993" s="104"/>
      <c r="IAN993" s="103"/>
      <c r="IAZ993" s="104"/>
      <c r="IBA993" s="103"/>
      <c r="IBM993" s="104"/>
      <c r="IBN993" s="103"/>
      <c r="IBZ993" s="104"/>
      <c r="ICA993" s="103"/>
      <c r="ICM993" s="104"/>
      <c r="ICN993" s="103"/>
      <c r="ICZ993" s="104"/>
      <c r="IDA993" s="103"/>
      <c r="IDM993" s="104"/>
      <c r="IDN993" s="103"/>
      <c r="IDZ993" s="104"/>
      <c r="IEA993" s="103"/>
      <c r="IEM993" s="104"/>
      <c r="IEN993" s="103"/>
      <c r="IEZ993" s="104"/>
      <c r="IFA993" s="103"/>
      <c r="IFM993" s="104"/>
      <c r="IFN993" s="103"/>
      <c r="IFZ993" s="104"/>
      <c r="IGA993" s="103"/>
      <c r="IGM993" s="104"/>
      <c r="IGN993" s="103"/>
      <c r="IGZ993" s="104"/>
      <c r="IHA993" s="103"/>
      <c r="IHM993" s="104"/>
      <c r="IHN993" s="103"/>
      <c r="IHZ993" s="104"/>
      <c r="IIA993" s="103"/>
      <c r="IIM993" s="104"/>
      <c r="IIN993" s="103"/>
      <c r="IIZ993" s="104"/>
      <c r="IJA993" s="103"/>
      <c r="IJM993" s="104"/>
      <c r="IJN993" s="103"/>
      <c r="IJZ993" s="104"/>
      <c r="IKA993" s="103"/>
      <c r="IKM993" s="104"/>
      <c r="IKN993" s="103"/>
      <c r="IKZ993" s="104"/>
      <c r="ILA993" s="103"/>
      <c r="ILM993" s="104"/>
      <c r="ILN993" s="103"/>
      <c r="ILZ993" s="104"/>
      <c r="IMA993" s="103"/>
      <c r="IMM993" s="104"/>
      <c r="IMN993" s="103"/>
      <c r="IMZ993" s="104"/>
      <c r="INA993" s="103"/>
      <c r="INM993" s="104"/>
      <c r="INN993" s="103"/>
      <c r="INZ993" s="104"/>
      <c r="IOA993" s="103"/>
      <c r="IOM993" s="104"/>
      <c r="ION993" s="103"/>
      <c r="IOZ993" s="104"/>
      <c r="IPA993" s="103"/>
      <c r="IPM993" s="104"/>
      <c r="IPN993" s="103"/>
      <c r="IPZ993" s="104"/>
      <c r="IQA993" s="103"/>
      <c r="IQM993" s="104"/>
      <c r="IQN993" s="103"/>
      <c r="IQZ993" s="104"/>
      <c r="IRA993" s="103"/>
      <c r="IRM993" s="104"/>
      <c r="IRN993" s="103"/>
      <c r="IRZ993" s="104"/>
      <c r="ISA993" s="103"/>
      <c r="ISM993" s="104"/>
      <c r="ISN993" s="103"/>
      <c r="ISZ993" s="104"/>
      <c r="ITA993" s="103"/>
      <c r="ITM993" s="104"/>
      <c r="ITN993" s="103"/>
      <c r="ITZ993" s="104"/>
      <c r="IUA993" s="103"/>
      <c r="IUM993" s="104"/>
      <c r="IUN993" s="103"/>
      <c r="IUZ993" s="104"/>
      <c r="IVA993" s="103"/>
      <c r="IVM993" s="104"/>
      <c r="IVN993" s="103"/>
      <c r="IVZ993" s="104"/>
      <c r="IWA993" s="103"/>
      <c r="IWM993" s="104"/>
      <c r="IWN993" s="103"/>
      <c r="IWZ993" s="104"/>
      <c r="IXA993" s="103"/>
      <c r="IXM993" s="104"/>
      <c r="IXN993" s="103"/>
      <c r="IXZ993" s="104"/>
      <c r="IYA993" s="103"/>
      <c r="IYM993" s="104"/>
      <c r="IYN993" s="103"/>
      <c r="IYZ993" s="104"/>
      <c r="IZA993" s="103"/>
      <c r="IZM993" s="104"/>
      <c r="IZN993" s="103"/>
      <c r="IZZ993" s="104"/>
      <c r="JAA993" s="103"/>
      <c r="JAM993" s="104"/>
      <c r="JAN993" s="103"/>
      <c r="JAZ993" s="104"/>
      <c r="JBA993" s="103"/>
      <c r="JBM993" s="104"/>
      <c r="JBN993" s="103"/>
      <c r="JBZ993" s="104"/>
      <c r="JCA993" s="103"/>
      <c r="JCM993" s="104"/>
      <c r="JCN993" s="103"/>
      <c r="JCZ993" s="104"/>
      <c r="JDA993" s="103"/>
      <c r="JDM993" s="104"/>
      <c r="JDN993" s="103"/>
      <c r="JDZ993" s="104"/>
      <c r="JEA993" s="103"/>
      <c r="JEM993" s="104"/>
      <c r="JEN993" s="103"/>
      <c r="JEZ993" s="104"/>
      <c r="JFA993" s="103"/>
      <c r="JFM993" s="104"/>
      <c r="JFN993" s="103"/>
      <c r="JFZ993" s="104"/>
      <c r="JGA993" s="103"/>
      <c r="JGM993" s="104"/>
      <c r="JGN993" s="103"/>
      <c r="JGZ993" s="104"/>
      <c r="JHA993" s="103"/>
      <c r="JHM993" s="104"/>
      <c r="JHN993" s="103"/>
      <c r="JHZ993" s="104"/>
      <c r="JIA993" s="103"/>
      <c r="JIM993" s="104"/>
      <c r="JIN993" s="103"/>
      <c r="JIZ993" s="104"/>
      <c r="JJA993" s="103"/>
      <c r="JJM993" s="104"/>
      <c r="JJN993" s="103"/>
      <c r="JJZ993" s="104"/>
      <c r="JKA993" s="103"/>
      <c r="JKM993" s="104"/>
      <c r="JKN993" s="103"/>
      <c r="JKZ993" s="104"/>
      <c r="JLA993" s="103"/>
      <c r="JLM993" s="104"/>
      <c r="JLN993" s="103"/>
      <c r="JLZ993" s="104"/>
      <c r="JMA993" s="103"/>
      <c r="JMM993" s="104"/>
      <c r="JMN993" s="103"/>
      <c r="JMZ993" s="104"/>
      <c r="JNA993" s="103"/>
      <c r="JNM993" s="104"/>
      <c r="JNN993" s="103"/>
      <c r="JNZ993" s="104"/>
      <c r="JOA993" s="103"/>
      <c r="JOM993" s="104"/>
      <c r="JON993" s="103"/>
      <c r="JOZ993" s="104"/>
      <c r="JPA993" s="103"/>
      <c r="JPM993" s="104"/>
      <c r="JPN993" s="103"/>
      <c r="JPZ993" s="104"/>
      <c r="JQA993" s="103"/>
      <c r="JQM993" s="104"/>
      <c r="JQN993" s="103"/>
      <c r="JQZ993" s="104"/>
      <c r="JRA993" s="103"/>
      <c r="JRM993" s="104"/>
      <c r="JRN993" s="103"/>
      <c r="JRZ993" s="104"/>
      <c r="JSA993" s="103"/>
      <c r="JSM993" s="104"/>
      <c r="JSN993" s="103"/>
      <c r="JSZ993" s="104"/>
      <c r="JTA993" s="103"/>
      <c r="JTM993" s="104"/>
      <c r="JTN993" s="103"/>
      <c r="JTZ993" s="104"/>
      <c r="JUA993" s="103"/>
      <c r="JUM993" s="104"/>
      <c r="JUN993" s="103"/>
      <c r="JUZ993" s="104"/>
      <c r="JVA993" s="103"/>
      <c r="JVM993" s="104"/>
      <c r="JVN993" s="103"/>
      <c r="JVZ993" s="104"/>
      <c r="JWA993" s="103"/>
      <c r="JWM993" s="104"/>
      <c r="JWN993" s="103"/>
      <c r="JWZ993" s="104"/>
      <c r="JXA993" s="103"/>
      <c r="JXM993" s="104"/>
      <c r="JXN993" s="103"/>
      <c r="JXZ993" s="104"/>
      <c r="JYA993" s="103"/>
      <c r="JYM993" s="104"/>
      <c r="JYN993" s="103"/>
      <c r="JYZ993" s="104"/>
      <c r="JZA993" s="103"/>
      <c r="JZM993" s="104"/>
      <c r="JZN993" s="103"/>
      <c r="JZZ993" s="104"/>
      <c r="KAA993" s="103"/>
      <c r="KAM993" s="104"/>
      <c r="KAN993" s="103"/>
      <c r="KAZ993" s="104"/>
      <c r="KBA993" s="103"/>
      <c r="KBM993" s="104"/>
      <c r="KBN993" s="103"/>
      <c r="KBZ993" s="104"/>
      <c r="KCA993" s="103"/>
      <c r="KCM993" s="104"/>
      <c r="KCN993" s="103"/>
      <c r="KCZ993" s="104"/>
      <c r="KDA993" s="103"/>
      <c r="KDM993" s="104"/>
      <c r="KDN993" s="103"/>
      <c r="KDZ993" s="104"/>
      <c r="KEA993" s="103"/>
      <c r="KEM993" s="104"/>
      <c r="KEN993" s="103"/>
      <c r="KEZ993" s="104"/>
      <c r="KFA993" s="103"/>
      <c r="KFM993" s="104"/>
      <c r="KFN993" s="103"/>
      <c r="KFZ993" s="104"/>
      <c r="KGA993" s="103"/>
      <c r="KGM993" s="104"/>
      <c r="KGN993" s="103"/>
      <c r="KGZ993" s="104"/>
      <c r="KHA993" s="103"/>
      <c r="KHM993" s="104"/>
      <c r="KHN993" s="103"/>
      <c r="KHZ993" s="104"/>
      <c r="KIA993" s="103"/>
      <c r="KIM993" s="104"/>
      <c r="KIN993" s="103"/>
      <c r="KIZ993" s="104"/>
      <c r="KJA993" s="103"/>
      <c r="KJM993" s="104"/>
      <c r="KJN993" s="103"/>
      <c r="KJZ993" s="104"/>
      <c r="KKA993" s="103"/>
      <c r="KKM993" s="104"/>
      <c r="KKN993" s="103"/>
      <c r="KKZ993" s="104"/>
      <c r="KLA993" s="103"/>
      <c r="KLM993" s="104"/>
      <c r="KLN993" s="103"/>
      <c r="KLZ993" s="104"/>
      <c r="KMA993" s="103"/>
      <c r="KMM993" s="104"/>
      <c r="KMN993" s="103"/>
      <c r="KMZ993" s="104"/>
      <c r="KNA993" s="103"/>
      <c r="KNM993" s="104"/>
      <c r="KNN993" s="103"/>
      <c r="KNZ993" s="104"/>
      <c r="KOA993" s="103"/>
      <c r="KOM993" s="104"/>
      <c r="KON993" s="103"/>
      <c r="KOZ993" s="104"/>
      <c r="KPA993" s="103"/>
      <c r="KPM993" s="104"/>
      <c r="KPN993" s="103"/>
      <c r="KPZ993" s="104"/>
      <c r="KQA993" s="103"/>
      <c r="KQM993" s="104"/>
      <c r="KQN993" s="103"/>
      <c r="KQZ993" s="104"/>
      <c r="KRA993" s="103"/>
      <c r="KRM993" s="104"/>
      <c r="KRN993" s="103"/>
      <c r="KRZ993" s="104"/>
      <c r="KSA993" s="103"/>
      <c r="KSM993" s="104"/>
      <c r="KSN993" s="103"/>
      <c r="KSZ993" s="104"/>
      <c r="KTA993" s="103"/>
      <c r="KTM993" s="104"/>
      <c r="KTN993" s="103"/>
      <c r="KTZ993" s="104"/>
      <c r="KUA993" s="103"/>
      <c r="KUM993" s="104"/>
      <c r="KUN993" s="103"/>
      <c r="KUZ993" s="104"/>
      <c r="KVA993" s="103"/>
      <c r="KVM993" s="104"/>
      <c r="KVN993" s="103"/>
      <c r="KVZ993" s="104"/>
      <c r="KWA993" s="103"/>
      <c r="KWM993" s="104"/>
      <c r="KWN993" s="103"/>
      <c r="KWZ993" s="104"/>
      <c r="KXA993" s="103"/>
      <c r="KXM993" s="104"/>
      <c r="KXN993" s="103"/>
      <c r="KXZ993" s="104"/>
      <c r="KYA993" s="103"/>
      <c r="KYM993" s="104"/>
      <c r="KYN993" s="103"/>
      <c r="KYZ993" s="104"/>
      <c r="KZA993" s="103"/>
      <c r="KZM993" s="104"/>
      <c r="KZN993" s="103"/>
      <c r="KZZ993" s="104"/>
      <c r="LAA993" s="103"/>
      <c r="LAM993" s="104"/>
      <c r="LAN993" s="103"/>
      <c r="LAZ993" s="104"/>
      <c r="LBA993" s="103"/>
      <c r="LBM993" s="104"/>
      <c r="LBN993" s="103"/>
      <c r="LBZ993" s="104"/>
      <c r="LCA993" s="103"/>
      <c r="LCM993" s="104"/>
      <c r="LCN993" s="103"/>
      <c r="LCZ993" s="104"/>
      <c r="LDA993" s="103"/>
      <c r="LDM993" s="104"/>
      <c r="LDN993" s="103"/>
      <c r="LDZ993" s="104"/>
      <c r="LEA993" s="103"/>
      <c r="LEM993" s="104"/>
      <c r="LEN993" s="103"/>
      <c r="LEZ993" s="104"/>
      <c r="LFA993" s="103"/>
      <c r="LFM993" s="104"/>
      <c r="LFN993" s="103"/>
      <c r="LFZ993" s="104"/>
      <c r="LGA993" s="103"/>
      <c r="LGM993" s="104"/>
      <c r="LGN993" s="103"/>
      <c r="LGZ993" s="104"/>
      <c r="LHA993" s="103"/>
      <c r="LHM993" s="104"/>
      <c r="LHN993" s="103"/>
      <c r="LHZ993" s="104"/>
      <c r="LIA993" s="103"/>
      <c r="LIM993" s="104"/>
      <c r="LIN993" s="103"/>
      <c r="LIZ993" s="104"/>
      <c r="LJA993" s="103"/>
      <c r="LJM993" s="104"/>
      <c r="LJN993" s="103"/>
      <c r="LJZ993" s="104"/>
      <c r="LKA993" s="103"/>
      <c r="LKM993" s="104"/>
      <c r="LKN993" s="103"/>
      <c r="LKZ993" s="104"/>
      <c r="LLA993" s="103"/>
      <c r="LLM993" s="104"/>
      <c r="LLN993" s="103"/>
      <c r="LLZ993" s="104"/>
      <c r="LMA993" s="103"/>
      <c r="LMM993" s="104"/>
      <c r="LMN993" s="103"/>
      <c r="LMZ993" s="104"/>
      <c r="LNA993" s="103"/>
      <c r="LNM993" s="104"/>
      <c r="LNN993" s="103"/>
      <c r="LNZ993" s="104"/>
      <c r="LOA993" s="103"/>
      <c r="LOM993" s="104"/>
      <c r="LON993" s="103"/>
      <c r="LOZ993" s="104"/>
      <c r="LPA993" s="103"/>
      <c r="LPM993" s="104"/>
      <c r="LPN993" s="103"/>
      <c r="LPZ993" s="104"/>
      <c r="LQA993" s="103"/>
      <c r="LQM993" s="104"/>
      <c r="LQN993" s="103"/>
      <c r="LQZ993" s="104"/>
      <c r="LRA993" s="103"/>
      <c r="LRM993" s="104"/>
      <c r="LRN993" s="103"/>
      <c r="LRZ993" s="104"/>
      <c r="LSA993" s="103"/>
      <c r="LSM993" s="104"/>
      <c r="LSN993" s="103"/>
      <c r="LSZ993" s="104"/>
      <c r="LTA993" s="103"/>
      <c r="LTM993" s="104"/>
      <c r="LTN993" s="103"/>
      <c r="LTZ993" s="104"/>
      <c r="LUA993" s="103"/>
      <c r="LUM993" s="104"/>
      <c r="LUN993" s="103"/>
      <c r="LUZ993" s="104"/>
      <c r="LVA993" s="103"/>
      <c r="LVM993" s="104"/>
      <c r="LVN993" s="103"/>
      <c r="LVZ993" s="104"/>
      <c r="LWA993" s="103"/>
      <c r="LWM993" s="104"/>
      <c r="LWN993" s="103"/>
      <c r="LWZ993" s="104"/>
      <c r="LXA993" s="103"/>
      <c r="LXM993" s="104"/>
      <c r="LXN993" s="103"/>
      <c r="LXZ993" s="104"/>
      <c r="LYA993" s="103"/>
      <c r="LYM993" s="104"/>
      <c r="LYN993" s="103"/>
      <c r="LYZ993" s="104"/>
      <c r="LZA993" s="103"/>
      <c r="LZM993" s="104"/>
      <c r="LZN993" s="103"/>
      <c r="LZZ993" s="104"/>
      <c r="MAA993" s="103"/>
      <c r="MAM993" s="104"/>
      <c r="MAN993" s="103"/>
      <c r="MAZ993" s="104"/>
      <c r="MBA993" s="103"/>
      <c r="MBM993" s="104"/>
      <c r="MBN993" s="103"/>
      <c r="MBZ993" s="104"/>
      <c r="MCA993" s="103"/>
      <c r="MCM993" s="104"/>
      <c r="MCN993" s="103"/>
      <c r="MCZ993" s="104"/>
      <c r="MDA993" s="103"/>
      <c r="MDM993" s="104"/>
      <c r="MDN993" s="103"/>
      <c r="MDZ993" s="104"/>
      <c r="MEA993" s="103"/>
      <c r="MEM993" s="104"/>
      <c r="MEN993" s="103"/>
      <c r="MEZ993" s="104"/>
      <c r="MFA993" s="103"/>
      <c r="MFM993" s="104"/>
      <c r="MFN993" s="103"/>
      <c r="MFZ993" s="104"/>
      <c r="MGA993" s="103"/>
      <c r="MGM993" s="104"/>
      <c r="MGN993" s="103"/>
      <c r="MGZ993" s="104"/>
      <c r="MHA993" s="103"/>
      <c r="MHM993" s="104"/>
      <c r="MHN993" s="103"/>
      <c r="MHZ993" s="104"/>
      <c r="MIA993" s="103"/>
      <c r="MIM993" s="104"/>
      <c r="MIN993" s="103"/>
      <c r="MIZ993" s="104"/>
      <c r="MJA993" s="103"/>
      <c r="MJM993" s="104"/>
      <c r="MJN993" s="103"/>
      <c r="MJZ993" s="104"/>
      <c r="MKA993" s="103"/>
      <c r="MKM993" s="104"/>
      <c r="MKN993" s="103"/>
      <c r="MKZ993" s="104"/>
      <c r="MLA993" s="103"/>
      <c r="MLM993" s="104"/>
      <c r="MLN993" s="103"/>
      <c r="MLZ993" s="104"/>
      <c r="MMA993" s="103"/>
      <c r="MMM993" s="104"/>
      <c r="MMN993" s="103"/>
      <c r="MMZ993" s="104"/>
      <c r="MNA993" s="103"/>
      <c r="MNM993" s="104"/>
      <c r="MNN993" s="103"/>
      <c r="MNZ993" s="104"/>
      <c r="MOA993" s="103"/>
      <c r="MOM993" s="104"/>
      <c r="MON993" s="103"/>
      <c r="MOZ993" s="104"/>
      <c r="MPA993" s="103"/>
      <c r="MPM993" s="104"/>
      <c r="MPN993" s="103"/>
      <c r="MPZ993" s="104"/>
      <c r="MQA993" s="103"/>
      <c r="MQM993" s="104"/>
      <c r="MQN993" s="103"/>
      <c r="MQZ993" s="104"/>
      <c r="MRA993" s="103"/>
      <c r="MRM993" s="104"/>
      <c r="MRN993" s="103"/>
      <c r="MRZ993" s="104"/>
      <c r="MSA993" s="103"/>
      <c r="MSM993" s="104"/>
      <c r="MSN993" s="103"/>
      <c r="MSZ993" s="104"/>
      <c r="MTA993" s="103"/>
      <c r="MTM993" s="104"/>
      <c r="MTN993" s="103"/>
      <c r="MTZ993" s="104"/>
      <c r="MUA993" s="103"/>
      <c r="MUM993" s="104"/>
      <c r="MUN993" s="103"/>
      <c r="MUZ993" s="104"/>
      <c r="MVA993" s="103"/>
      <c r="MVM993" s="104"/>
      <c r="MVN993" s="103"/>
      <c r="MVZ993" s="104"/>
      <c r="MWA993" s="103"/>
      <c r="MWM993" s="104"/>
      <c r="MWN993" s="103"/>
      <c r="MWZ993" s="104"/>
      <c r="MXA993" s="103"/>
      <c r="MXM993" s="104"/>
      <c r="MXN993" s="103"/>
      <c r="MXZ993" s="104"/>
      <c r="MYA993" s="103"/>
      <c r="MYM993" s="104"/>
      <c r="MYN993" s="103"/>
      <c r="MYZ993" s="104"/>
      <c r="MZA993" s="103"/>
      <c r="MZM993" s="104"/>
      <c r="MZN993" s="103"/>
      <c r="MZZ993" s="104"/>
      <c r="NAA993" s="103"/>
      <c r="NAM993" s="104"/>
      <c r="NAN993" s="103"/>
      <c r="NAZ993" s="104"/>
      <c r="NBA993" s="103"/>
      <c r="NBM993" s="104"/>
      <c r="NBN993" s="103"/>
      <c r="NBZ993" s="104"/>
      <c r="NCA993" s="103"/>
      <c r="NCM993" s="104"/>
      <c r="NCN993" s="103"/>
      <c r="NCZ993" s="104"/>
      <c r="NDA993" s="103"/>
      <c r="NDM993" s="104"/>
      <c r="NDN993" s="103"/>
      <c r="NDZ993" s="104"/>
      <c r="NEA993" s="103"/>
      <c r="NEM993" s="104"/>
      <c r="NEN993" s="103"/>
      <c r="NEZ993" s="104"/>
      <c r="NFA993" s="103"/>
      <c r="NFM993" s="104"/>
      <c r="NFN993" s="103"/>
      <c r="NFZ993" s="104"/>
      <c r="NGA993" s="103"/>
      <c r="NGM993" s="104"/>
      <c r="NGN993" s="103"/>
      <c r="NGZ993" s="104"/>
      <c r="NHA993" s="103"/>
      <c r="NHM993" s="104"/>
      <c r="NHN993" s="103"/>
      <c r="NHZ993" s="104"/>
      <c r="NIA993" s="103"/>
      <c r="NIM993" s="104"/>
      <c r="NIN993" s="103"/>
      <c r="NIZ993" s="104"/>
      <c r="NJA993" s="103"/>
      <c r="NJM993" s="104"/>
      <c r="NJN993" s="103"/>
      <c r="NJZ993" s="104"/>
      <c r="NKA993" s="103"/>
      <c r="NKM993" s="104"/>
      <c r="NKN993" s="103"/>
      <c r="NKZ993" s="104"/>
      <c r="NLA993" s="103"/>
      <c r="NLM993" s="104"/>
      <c r="NLN993" s="103"/>
      <c r="NLZ993" s="104"/>
      <c r="NMA993" s="103"/>
      <c r="NMM993" s="104"/>
      <c r="NMN993" s="103"/>
      <c r="NMZ993" s="104"/>
      <c r="NNA993" s="103"/>
      <c r="NNM993" s="104"/>
      <c r="NNN993" s="103"/>
      <c r="NNZ993" s="104"/>
      <c r="NOA993" s="103"/>
      <c r="NOM993" s="104"/>
      <c r="NON993" s="103"/>
      <c r="NOZ993" s="104"/>
      <c r="NPA993" s="103"/>
      <c r="NPM993" s="104"/>
      <c r="NPN993" s="103"/>
      <c r="NPZ993" s="104"/>
      <c r="NQA993" s="103"/>
      <c r="NQM993" s="104"/>
      <c r="NQN993" s="103"/>
      <c r="NQZ993" s="104"/>
      <c r="NRA993" s="103"/>
      <c r="NRM993" s="104"/>
      <c r="NRN993" s="103"/>
      <c r="NRZ993" s="104"/>
      <c r="NSA993" s="103"/>
      <c r="NSM993" s="104"/>
      <c r="NSN993" s="103"/>
      <c r="NSZ993" s="104"/>
      <c r="NTA993" s="103"/>
      <c r="NTM993" s="104"/>
      <c r="NTN993" s="103"/>
      <c r="NTZ993" s="104"/>
      <c r="NUA993" s="103"/>
      <c r="NUM993" s="104"/>
      <c r="NUN993" s="103"/>
      <c r="NUZ993" s="104"/>
      <c r="NVA993" s="103"/>
      <c r="NVM993" s="104"/>
      <c r="NVN993" s="103"/>
      <c r="NVZ993" s="104"/>
      <c r="NWA993" s="103"/>
      <c r="NWM993" s="104"/>
      <c r="NWN993" s="103"/>
      <c r="NWZ993" s="104"/>
      <c r="NXA993" s="103"/>
      <c r="NXM993" s="104"/>
      <c r="NXN993" s="103"/>
      <c r="NXZ993" s="104"/>
      <c r="NYA993" s="103"/>
      <c r="NYM993" s="104"/>
      <c r="NYN993" s="103"/>
      <c r="NYZ993" s="104"/>
      <c r="NZA993" s="103"/>
      <c r="NZM993" s="104"/>
      <c r="NZN993" s="103"/>
      <c r="NZZ993" s="104"/>
      <c r="OAA993" s="103"/>
      <c r="OAM993" s="104"/>
      <c r="OAN993" s="103"/>
      <c r="OAZ993" s="104"/>
      <c r="OBA993" s="103"/>
      <c r="OBM993" s="104"/>
      <c r="OBN993" s="103"/>
      <c r="OBZ993" s="104"/>
      <c r="OCA993" s="103"/>
      <c r="OCM993" s="104"/>
      <c r="OCN993" s="103"/>
      <c r="OCZ993" s="104"/>
      <c r="ODA993" s="103"/>
      <c r="ODM993" s="104"/>
      <c r="ODN993" s="103"/>
      <c r="ODZ993" s="104"/>
      <c r="OEA993" s="103"/>
      <c r="OEM993" s="104"/>
      <c r="OEN993" s="103"/>
      <c r="OEZ993" s="104"/>
      <c r="OFA993" s="103"/>
      <c r="OFM993" s="104"/>
      <c r="OFN993" s="103"/>
      <c r="OFZ993" s="104"/>
      <c r="OGA993" s="103"/>
      <c r="OGM993" s="104"/>
      <c r="OGN993" s="103"/>
      <c r="OGZ993" s="104"/>
      <c r="OHA993" s="103"/>
      <c r="OHM993" s="104"/>
      <c r="OHN993" s="103"/>
      <c r="OHZ993" s="104"/>
      <c r="OIA993" s="103"/>
      <c r="OIM993" s="104"/>
      <c r="OIN993" s="103"/>
      <c r="OIZ993" s="104"/>
      <c r="OJA993" s="103"/>
      <c r="OJM993" s="104"/>
      <c r="OJN993" s="103"/>
      <c r="OJZ993" s="104"/>
      <c r="OKA993" s="103"/>
      <c r="OKM993" s="104"/>
      <c r="OKN993" s="103"/>
      <c r="OKZ993" s="104"/>
      <c r="OLA993" s="103"/>
      <c r="OLM993" s="104"/>
      <c r="OLN993" s="103"/>
      <c r="OLZ993" s="104"/>
      <c r="OMA993" s="103"/>
      <c r="OMM993" s="104"/>
      <c r="OMN993" s="103"/>
      <c r="OMZ993" s="104"/>
      <c r="ONA993" s="103"/>
      <c r="ONM993" s="104"/>
      <c r="ONN993" s="103"/>
      <c r="ONZ993" s="104"/>
      <c r="OOA993" s="103"/>
      <c r="OOM993" s="104"/>
      <c r="OON993" s="103"/>
      <c r="OOZ993" s="104"/>
      <c r="OPA993" s="103"/>
      <c r="OPM993" s="104"/>
      <c r="OPN993" s="103"/>
      <c r="OPZ993" s="104"/>
      <c r="OQA993" s="103"/>
      <c r="OQM993" s="104"/>
      <c r="OQN993" s="103"/>
      <c r="OQZ993" s="104"/>
      <c r="ORA993" s="103"/>
      <c r="ORM993" s="104"/>
      <c r="ORN993" s="103"/>
      <c r="ORZ993" s="104"/>
      <c r="OSA993" s="103"/>
      <c r="OSM993" s="104"/>
      <c r="OSN993" s="103"/>
      <c r="OSZ993" s="104"/>
      <c r="OTA993" s="103"/>
      <c r="OTM993" s="104"/>
      <c r="OTN993" s="103"/>
      <c r="OTZ993" s="104"/>
      <c r="OUA993" s="103"/>
      <c r="OUM993" s="104"/>
      <c r="OUN993" s="103"/>
      <c r="OUZ993" s="104"/>
      <c r="OVA993" s="103"/>
      <c r="OVM993" s="104"/>
      <c r="OVN993" s="103"/>
      <c r="OVZ993" s="104"/>
      <c r="OWA993" s="103"/>
      <c r="OWM993" s="104"/>
      <c r="OWN993" s="103"/>
      <c r="OWZ993" s="104"/>
      <c r="OXA993" s="103"/>
      <c r="OXM993" s="104"/>
      <c r="OXN993" s="103"/>
      <c r="OXZ993" s="104"/>
      <c r="OYA993" s="103"/>
      <c r="OYM993" s="104"/>
      <c r="OYN993" s="103"/>
      <c r="OYZ993" s="104"/>
      <c r="OZA993" s="103"/>
      <c r="OZM993" s="104"/>
      <c r="OZN993" s="103"/>
      <c r="OZZ993" s="104"/>
      <c r="PAA993" s="103"/>
      <c r="PAM993" s="104"/>
      <c r="PAN993" s="103"/>
      <c r="PAZ993" s="104"/>
      <c r="PBA993" s="103"/>
      <c r="PBM993" s="104"/>
      <c r="PBN993" s="103"/>
      <c r="PBZ993" s="104"/>
      <c r="PCA993" s="103"/>
      <c r="PCM993" s="104"/>
      <c r="PCN993" s="103"/>
      <c r="PCZ993" s="104"/>
      <c r="PDA993" s="103"/>
      <c r="PDM993" s="104"/>
      <c r="PDN993" s="103"/>
      <c r="PDZ993" s="104"/>
      <c r="PEA993" s="103"/>
      <c r="PEM993" s="104"/>
      <c r="PEN993" s="103"/>
      <c r="PEZ993" s="104"/>
      <c r="PFA993" s="103"/>
      <c r="PFM993" s="104"/>
      <c r="PFN993" s="103"/>
      <c r="PFZ993" s="104"/>
      <c r="PGA993" s="103"/>
      <c r="PGM993" s="104"/>
      <c r="PGN993" s="103"/>
      <c r="PGZ993" s="104"/>
      <c r="PHA993" s="103"/>
      <c r="PHM993" s="104"/>
      <c r="PHN993" s="103"/>
      <c r="PHZ993" s="104"/>
      <c r="PIA993" s="103"/>
      <c r="PIM993" s="104"/>
      <c r="PIN993" s="103"/>
      <c r="PIZ993" s="104"/>
      <c r="PJA993" s="103"/>
      <c r="PJM993" s="104"/>
      <c r="PJN993" s="103"/>
      <c r="PJZ993" s="104"/>
      <c r="PKA993" s="103"/>
      <c r="PKM993" s="104"/>
      <c r="PKN993" s="103"/>
      <c r="PKZ993" s="104"/>
      <c r="PLA993" s="103"/>
      <c r="PLM993" s="104"/>
      <c r="PLN993" s="103"/>
      <c r="PLZ993" s="104"/>
      <c r="PMA993" s="103"/>
      <c r="PMM993" s="104"/>
      <c r="PMN993" s="103"/>
      <c r="PMZ993" s="104"/>
      <c r="PNA993" s="103"/>
      <c r="PNM993" s="104"/>
      <c r="PNN993" s="103"/>
      <c r="PNZ993" s="104"/>
      <c r="POA993" s="103"/>
      <c r="POM993" s="104"/>
      <c r="PON993" s="103"/>
      <c r="POZ993" s="104"/>
      <c r="PPA993" s="103"/>
      <c r="PPM993" s="104"/>
      <c r="PPN993" s="103"/>
      <c r="PPZ993" s="104"/>
      <c r="PQA993" s="103"/>
      <c r="PQM993" s="104"/>
      <c r="PQN993" s="103"/>
      <c r="PQZ993" s="104"/>
      <c r="PRA993" s="103"/>
      <c r="PRM993" s="104"/>
      <c r="PRN993" s="103"/>
      <c r="PRZ993" s="104"/>
      <c r="PSA993" s="103"/>
      <c r="PSM993" s="104"/>
      <c r="PSN993" s="103"/>
      <c r="PSZ993" s="104"/>
      <c r="PTA993" s="103"/>
      <c r="PTM993" s="104"/>
      <c r="PTN993" s="103"/>
      <c r="PTZ993" s="104"/>
      <c r="PUA993" s="103"/>
      <c r="PUM993" s="104"/>
      <c r="PUN993" s="103"/>
      <c r="PUZ993" s="104"/>
      <c r="PVA993" s="103"/>
      <c r="PVM993" s="104"/>
      <c r="PVN993" s="103"/>
      <c r="PVZ993" s="104"/>
      <c r="PWA993" s="103"/>
      <c r="PWM993" s="104"/>
      <c r="PWN993" s="103"/>
      <c r="PWZ993" s="104"/>
      <c r="PXA993" s="103"/>
      <c r="PXM993" s="104"/>
      <c r="PXN993" s="103"/>
      <c r="PXZ993" s="104"/>
      <c r="PYA993" s="103"/>
      <c r="PYM993" s="104"/>
      <c r="PYN993" s="103"/>
      <c r="PYZ993" s="104"/>
      <c r="PZA993" s="103"/>
      <c r="PZM993" s="104"/>
      <c r="PZN993" s="103"/>
      <c r="PZZ993" s="104"/>
      <c r="QAA993" s="103"/>
      <c r="QAM993" s="104"/>
      <c r="QAN993" s="103"/>
      <c r="QAZ993" s="104"/>
      <c r="QBA993" s="103"/>
      <c r="QBM993" s="104"/>
      <c r="QBN993" s="103"/>
      <c r="QBZ993" s="104"/>
      <c r="QCA993" s="103"/>
      <c r="QCM993" s="104"/>
      <c r="QCN993" s="103"/>
      <c r="QCZ993" s="104"/>
      <c r="QDA993" s="103"/>
      <c r="QDM993" s="104"/>
      <c r="QDN993" s="103"/>
      <c r="QDZ993" s="104"/>
      <c r="QEA993" s="103"/>
      <c r="QEM993" s="104"/>
      <c r="QEN993" s="103"/>
      <c r="QEZ993" s="104"/>
      <c r="QFA993" s="103"/>
      <c r="QFM993" s="104"/>
      <c r="QFN993" s="103"/>
      <c r="QFZ993" s="104"/>
      <c r="QGA993" s="103"/>
      <c r="QGM993" s="104"/>
      <c r="QGN993" s="103"/>
      <c r="QGZ993" s="104"/>
      <c r="QHA993" s="103"/>
      <c r="QHM993" s="104"/>
      <c r="QHN993" s="103"/>
      <c r="QHZ993" s="104"/>
      <c r="QIA993" s="103"/>
      <c r="QIM993" s="104"/>
      <c r="QIN993" s="103"/>
      <c r="QIZ993" s="104"/>
      <c r="QJA993" s="103"/>
      <c r="QJM993" s="104"/>
      <c r="QJN993" s="103"/>
      <c r="QJZ993" s="104"/>
      <c r="QKA993" s="103"/>
      <c r="QKM993" s="104"/>
      <c r="QKN993" s="103"/>
      <c r="QKZ993" s="104"/>
      <c r="QLA993" s="103"/>
      <c r="QLM993" s="104"/>
      <c r="QLN993" s="103"/>
      <c r="QLZ993" s="104"/>
      <c r="QMA993" s="103"/>
      <c r="QMM993" s="104"/>
      <c r="QMN993" s="103"/>
      <c r="QMZ993" s="104"/>
      <c r="QNA993" s="103"/>
      <c r="QNM993" s="104"/>
      <c r="QNN993" s="103"/>
      <c r="QNZ993" s="104"/>
      <c r="QOA993" s="103"/>
      <c r="QOM993" s="104"/>
      <c r="QON993" s="103"/>
      <c r="QOZ993" s="104"/>
      <c r="QPA993" s="103"/>
      <c r="QPM993" s="104"/>
      <c r="QPN993" s="103"/>
      <c r="QPZ993" s="104"/>
      <c r="QQA993" s="103"/>
      <c r="QQM993" s="104"/>
      <c r="QQN993" s="103"/>
      <c r="QQZ993" s="104"/>
      <c r="QRA993" s="103"/>
      <c r="QRM993" s="104"/>
      <c r="QRN993" s="103"/>
      <c r="QRZ993" s="104"/>
      <c r="QSA993" s="103"/>
      <c r="QSM993" s="104"/>
      <c r="QSN993" s="103"/>
      <c r="QSZ993" s="104"/>
      <c r="QTA993" s="103"/>
      <c r="QTM993" s="104"/>
      <c r="QTN993" s="103"/>
      <c r="QTZ993" s="104"/>
      <c r="QUA993" s="103"/>
      <c r="QUM993" s="104"/>
      <c r="QUN993" s="103"/>
      <c r="QUZ993" s="104"/>
      <c r="QVA993" s="103"/>
      <c r="QVM993" s="104"/>
      <c r="QVN993" s="103"/>
      <c r="QVZ993" s="104"/>
      <c r="QWA993" s="103"/>
      <c r="QWM993" s="104"/>
      <c r="QWN993" s="103"/>
      <c r="QWZ993" s="104"/>
      <c r="QXA993" s="103"/>
      <c r="QXM993" s="104"/>
      <c r="QXN993" s="103"/>
      <c r="QXZ993" s="104"/>
      <c r="QYA993" s="103"/>
      <c r="QYM993" s="104"/>
      <c r="QYN993" s="103"/>
      <c r="QYZ993" s="104"/>
      <c r="QZA993" s="103"/>
      <c r="QZM993" s="104"/>
      <c r="QZN993" s="103"/>
      <c r="QZZ993" s="104"/>
      <c r="RAA993" s="103"/>
      <c r="RAM993" s="104"/>
      <c r="RAN993" s="103"/>
      <c r="RAZ993" s="104"/>
      <c r="RBA993" s="103"/>
      <c r="RBM993" s="104"/>
      <c r="RBN993" s="103"/>
      <c r="RBZ993" s="104"/>
      <c r="RCA993" s="103"/>
      <c r="RCM993" s="104"/>
      <c r="RCN993" s="103"/>
      <c r="RCZ993" s="104"/>
      <c r="RDA993" s="103"/>
      <c r="RDM993" s="104"/>
      <c r="RDN993" s="103"/>
      <c r="RDZ993" s="104"/>
      <c r="REA993" s="103"/>
      <c r="REM993" s="104"/>
      <c r="REN993" s="103"/>
      <c r="REZ993" s="104"/>
      <c r="RFA993" s="103"/>
      <c r="RFM993" s="104"/>
      <c r="RFN993" s="103"/>
      <c r="RFZ993" s="104"/>
      <c r="RGA993" s="103"/>
      <c r="RGM993" s="104"/>
      <c r="RGN993" s="103"/>
      <c r="RGZ993" s="104"/>
      <c r="RHA993" s="103"/>
      <c r="RHM993" s="104"/>
      <c r="RHN993" s="103"/>
      <c r="RHZ993" s="104"/>
      <c r="RIA993" s="103"/>
      <c r="RIM993" s="104"/>
      <c r="RIN993" s="103"/>
      <c r="RIZ993" s="104"/>
      <c r="RJA993" s="103"/>
      <c r="RJM993" s="104"/>
      <c r="RJN993" s="103"/>
      <c r="RJZ993" s="104"/>
      <c r="RKA993" s="103"/>
      <c r="RKM993" s="104"/>
      <c r="RKN993" s="103"/>
      <c r="RKZ993" s="104"/>
      <c r="RLA993" s="103"/>
      <c r="RLM993" s="104"/>
      <c r="RLN993" s="103"/>
      <c r="RLZ993" s="104"/>
      <c r="RMA993" s="103"/>
      <c r="RMM993" s="104"/>
      <c r="RMN993" s="103"/>
      <c r="RMZ993" s="104"/>
      <c r="RNA993" s="103"/>
      <c r="RNM993" s="104"/>
      <c r="RNN993" s="103"/>
      <c r="RNZ993" s="104"/>
      <c r="ROA993" s="103"/>
      <c r="ROM993" s="104"/>
      <c r="RON993" s="103"/>
      <c r="ROZ993" s="104"/>
      <c r="RPA993" s="103"/>
      <c r="RPM993" s="104"/>
      <c r="RPN993" s="103"/>
      <c r="RPZ993" s="104"/>
      <c r="RQA993" s="103"/>
      <c r="RQM993" s="104"/>
      <c r="RQN993" s="103"/>
      <c r="RQZ993" s="104"/>
      <c r="RRA993" s="103"/>
      <c r="RRM993" s="104"/>
      <c r="RRN993" s="103"/>
      <c r="RRZ993" s="104"/>
      <c r="RSA993" s="103"/>
      <c r="RSM993" s="104"/>
      <c r="RSN993" s="103"/>
      <c r="RSZ993" s="104"/>
      <c r="RTA993" s="103"/>
      <c r="RTM993" s="104"/>
      <c r="RTN993" s="103"/>
      <c r="RTZ993" s="104"/>
      <c r="RUA993" s="103"/>
      <c r="RUM993" s="104"/>
      <c r="RUN993" s="103"/>
      <c r="RUZ993" s="104"/>
      <c r="RVA993" s="103"/>
      <c r="RVM993" s="104"/>
      <c r="RVN993" s="103"/>
      <c r="RVZ993" s="104"/>
      <c r="RWA993" s="103"/>
      <c r="RWM993" s="104"/>
      <c r="RWN993" s="103"/>
      <c r="RWZ993" s="104"/>
      <c r="RXA993" s="103"/>
      <c r="RXM993" s="104"/>
      <c r="RXN993" s="103"/>
      <c r="RXZ993" s="104"/>
      <c r="RYA993" s="103"/>
      <c r="RYM993" s="104"/>
      <c r="RYN993" s="103"/>
      <c r="RYZ993" s="104"/>
      <c r="RZA993" s="103"/>
      <c r="RZM993" s="104"/>
      <c r="RZN993" s="103"/>
      <c r="RZZ993" s="104"/>
      <c r="SAA993" s="103"/>
      <c r="SAM993" s="104"/>
      <c r="SAN993" s="103"/>
      <c r="SAZ993" s="104"/>
      <c r="SBA993" s="103"/>
      <c r="SBM993" s="104"/>
      <c r="SBN993" s="103"/>
      <c r="SBZ993" s="104"/>
      <c r="SCA993" s="103"/>
      <c r="SCM993" s="104"/>
      <c r="SCN993" s="103"/>
      <c r="SCZ993" s="104"/>
      <c r="SDA993" s="103"/>
      <c r="SDM993" s="104"/>
      <c r="SDN993" s="103"/>
      <c r="SDZ993" s="104"/>
      <c r="SEA993" s="103"/>
      <c r="SEM993" s="104"/>
      <c r="SEN993" s="103"/>
      <c r="SEZ993" s="104"/>
      <c r="SFA993" s="103"/>
      <c r="SFM993" s="104"/>
      <c r="SFN993" s="103"/>
      <c r="SFZ993" s="104"/>
      <c r="SGA993" s="103"/>
      <c r="SGM993" s="104"/>
      <c r="SGN993" s="103"/>
      <c r="SGZ993" s="104"/>
      <c r="SHA993" s="103"/>
      <c r="SHM993" s="104"/>
      <c r="SHN993" s="103"/>
      <c r="SHZ993" s="104"/>
      <c r="SIA993" s="103"/>
      <c r="SIM993" s="104"/>
      <c r="SIN993" s="103"/>
      <c r="SIZ993" s="104"/>
      <c r="SJA993" s="103"/>
      <c r="SJM993" s="104"/>
      <c r="SJN993" s="103"/>
      <c r="SJZ993" s="104"/>
      <c r="SKA993" s="103"/>
      <c r="SKM993" s="104"/>
      <c r="SKN993" s="103"/>
      <c r="SKZ993" s="104"/>
      <c r="SLA993" s="103"/>
      <c r="SLM993" s="104"/>
      <c r="SLN993" s="103"/>
      <c r="SLZ993" s="104"/>
      <c r="SMA993" s="103"/>
      <c r="SMM993" s="104"/>
      <c r="SMN993" s="103"/>
      <c r="SMZ993" s="104"/>
      <c r="SNA993" s="103"/>
      <c r="SNM993" s="104"/>
      <c r="SNN993" s="103"/>
      <c r="SNZ993" s="104"/>
      <c r="SOA993" s="103"/>
      <c r="SOM993" s="104"/>
      <c r="SON993" s="103"/>
      <c r="SOZ993" s="104"/>
      <c r="SPA993" s="103"/>
      <c r="SPM993" s="104"/>
      <c r="SPN993" s="103"/>
      <c r="SPZ993" s="104"/>
      <c r="SQA993" s="103"/>
      <c r="SQM993" s="104"/>
      <c r="SQN993" s="103"/>
      <c r="SQZ993" s="104"/>
      <c r="SRA993" s="103"/>
      <c r="SRM993" s="104"/>
      <c r="SRN993" s="103"/>
      <c r="SRZ993" s="104"/>
      <c r="SSA993" s="103"/>
      <c r="SSM993" s="104"/>
      <c r="SSN993" s="103"/>
      <c r="SSZ993" s="104"/>
      <c r="STA993" s="103"/>
      <c r="STM993" s="104"/>
      <c r="STN993" s="103"/>
      <c r="STZ993" s="104"/>
      <c r="SUA993" s="103"/>
      <c r="SUM993" s="104"/>
      <c r="SUN993" s="103"/>
      <c r="SUZ993" s="104"/>
      <c r="SVA993" s="103"/>
      <c r="SVM993" s="104"/>
      <c r="SVN993" s="103"/>
      <c r="SVZ993" s="104"/>
      <c r="SWA993" s="103"/>
      <c r="SWM993" s="104"/>
      <c r="SWN993" s="103"/>
      <c r="SWZ993" s="104"/>
      <c r="SXA993" s="103"/>
      <c r="SXM993" s="104"/>
      <c r="SXN993" s="103"/>
      <c r="SXZ993" s="104"/>
      <c r="SYA993" s="103"/>
      <c r="SYM993" s="104"/>
      <c r="SYN993" s="103"/>
      <c r="SYZ993" s="104"/>
      <c r="SZA993" s="103"/>
      <c r="SZM993" s="104"/>
      <c r="SZN993" s="103"/>
      <c r="SZZ993" s="104"/>
      <c r="TAA993" s="103"/>
      <c r="TAM993" s="104"/>
      <c r="TAN993" s="103"/>
      <c r="TAZ993" s="104"/>
      <c r="TBA993" s="103"/>
      <c r="TBM993" s="104"/>
      <c r="TBN993" s="103"/>
      <c r="TBZ993" s="104"/>
      <c r="TCA993" s="103"/>
      <c r="TCM993" s="104"/>
      <c r="TCN993" s="103"/>
      <c r="TCZ993" s="104"/>
      <c r="TDA993" s="103"/>
      <c r="TDM993" s="104"/>
      <c r="TDN993" s="103"/>
      <c r="TDZ993" s="104"/>
      <c r="TEA993" s="103"/>
      <c r="TEM993" s="104"/>
      <c r="TEN993" s="103"/>
      <c r="TEZ993" s="104"/>
      <c r="TFA993" s="103"/>
      <c r="TFM993" s="104"/>
      <c r="TFN993" s="103"/>
      <c r="TFZ993" s="104"/>
      <c r="TGA993" s="103"/>
      <c r="TGM993" s="104"/>
      <c r="TGN993" s="103"/>
      <c r="TGZ993" s="104"/>
      <c r="THA993" s="103"/>
      <c r="THM993" s="104"/>
      <c r="THN993" s="103"/>
      <c r="THZ993" s="104"/>
      <c r="TIA993" s="103"/>
      <c r="TIM993" s="104"/>
      <c r="TIN993" s="103"/>
      <c r="TIZ993" s="104"/>
      <c r="TJA993" s="103"/>
      <c r="TJM993" s="104"/>
      <c r="TJN993" s="103"/>
      <c r="TJZ993" s="104"/>
      <c r="TKA993" s="103"/>
      <c r="TKM993" s="104"/>
      <c r="TKN993" s="103"/>
      <c r="TKZ993" s="104"/>
      <c r="TLA993" s="103"/>
      <c r="TLM993" s="104"/>
      <c r="TLN993" s="103"/>
      <c r="TLZ993" s="104"/>
      <c r="TMA993" s="103"/>
      <c r="TMM993" s="104"/>
      <c r="TMN993" s="103"/>
      <c r="TMZ993" s="104"/>
      <c r="TNA993" s="103"/>
      <c r="TNM993" s="104"/>
      <c r="TNN993" s="103"/>
      <c r="TNZ993" s="104"/>
      <c r="TOA993" s="103"/>
      <c r="TOM993" s="104"/>
      <c r="TON993" s="103"/>
      <c r="TOZ993" s="104"/>
      <c r="TPA993" s="103"/>
      <c r="TPM993" s="104"/>
      <c r="TPN993" s="103"/>
      <c r="TPZ993" s="104"/>
      <c r="TQA993" s="103"/>
      <c r="TQM993" s="104"/>
      <c r="TQN993" s="103"/>
      <c r="TQZ993" s="104"/>
      <c r="TRA993" s="103"/>
      <c r="TRM993" s="104"/>
      <c r="TRN993" s="103"/>
      <c r="TRZ993" s="104"/>
      <c r="TSA993" s="103"/>
      <c r="TSM993" s="104"/>
      <c r="TSN993" s="103"/>
      <c r="TSZ993" s="104"/>
      <c r="TTA993" s="103"/>
      <c r="TTM993" s="104"/>
      <c r="TTN993" s="103"/>
      <c r="TTZ993" s="104"/>
      <c r="TUA993" s="103"/>
      <c r="TUM993" s="104"/>
      <c r="TUN993" s="103"/>
      <c r="TUZ993" s="104"/>
      <c r="TVA993" s="103"/>
      <c r="TVM993" s="104"/>
      <c r="TVN993" s="103"/>
      <c r="TVZ993" s="104"/>
      <c r="TWA993" s="103"/>
      <c r="TWM993" s="104"/>
      <c r="TWN993" s="103"/>
      <c r="TWZ993" s="104"/>
      <c r="TXA993" s="103"/>
      <c r="TXM993" s="104"/>
      <c r="TXN993" s="103"/>
      <c r="TXZ993" s="104"/>
      <c r="TYA993" s="103"/>
      <c r="TYM993" s="104"/>
      <c r="TYN993" s="103"/>
      <c r="TYZ993" s="104"/>
      <c r="TZA993" s="103"/>
      <c r="TZM993" s="104"/>
      <c r="TZN993" s="103"/>
      <c r="TZZ993" s="104"/>
      <c r="UAA993" s="103"/>
      <c r="UAM993" s="104"/>
      <c r="UAN993" s="103"/>
      <c r="UAZ993" s="104"/>
      <c r="UBA993" s="103"/>
      <c r="UBM993" s="104"/>
      <c r="UBN993" s="103"/>
      <c r="UBZ993" s="104"/>
      <c r="UCA993" s="103"/>
      <c r="UCM993" s="104"/>
      <c r="UCN993" s="103"/>
      <c r="UCZ993" s="104"/>
      <c r="UDA993" s="103"/>
      <c r="UDM993" s="104"/>
      <c r="UDN993" s="103"/>
      <c r="UDZ993" s="104"/>
      <c r="UEA993" s="103"/>
      <c r="UEM993" s="104"/>
      <c r="UEN993" s="103"/>
      <c r="UEZ993" s="104"/>
      <c r="UFA993" s="103"/>
      <c r="UFM993" s="104"/>
      <c r="UFN993" s="103"/>
      <c r="UFZ993" s="104"/>
      <c r="UGA993" s="103"/>
      <c r="UGM993" s="104"/>
      <c r="UGN993" s="103"/>
      <c r="UGZ993" s="104"/>
      <c r="UHA993" s="103"/>
      <c r="UHM993" s="104"/>
      <c r="UHN993" s="103"/>
      <c r="UHZ993" s="104"/>
      <c r="UIA993" s="103"/>
      <c r="UIM993" s="104"/>
      <c r="UIN993" s="103"/>
      <c r="UIZ993" s="104"/>
      <c r="UJA993" s="103"/>
      <c r="UJM993" s="104"/>
      <c r="UJN993" s="103"/>
      <c r="UJZ993" s="104"/>
      <c r="UKA993" s="103"/>
      <c r="UKM993" s="104"/>
      <c r="UKN993" s="103"/>
      <c r="UKZ993" s="104"/>
      <c r="ULA993" s="103"/>
      <c r="ULM993" s="104"/>
      <c r="ULN993" s="103"/>
      <c r="ULZ993" s="104"/>
      <c r="UMA993" s="103"/>
      <c r="UMM993" s="104"/>
      <c r="UMN993" s="103"/>
      <c r="UMZ993" s="104"/>
      <c r="UNA993" s="103"/>
      <c r="UNM993" s="104"/>
      <c r="UNN993" s="103"/>
      <c r="UNZ993" s="104"/>
      <c r="UOA993" s="103"/>
      <c r="UOM993" s="104"/>
      <c r="UON993" s="103"/>
      <c r="UOZ993" s="104"/>
      <c r="UPA993" s="103"/>
      <c r="UPM993" s="104"/>
      <c r="UPN993" s="103"/>
      <c r="UPZ993" s="104"/>
      <c r="UQA993" s="103"/>
      <c r="UQM993" s="104"/>
      <c r="UQN993" s="103"/>
      <c r="UQZ993" s="104"/>
      <c r="URA993" s="103"/>
      <c r="URM993" s="104"/>
      <c r="URN993" s="103"/>
      <c r="URZ993" s="104"/>
      <c r="USA993" s="103"/>
      <c r="USM993" s="104"/>
      <c r="USN993" s="103"/>
      <c r="USZ993" s="104"/>
      <c r="UTA993" s="103"/>
      <c r="UTM993" s="104"/>
      <c r="UTN993" s="103"/>
      <c r="UTZ993" s="104"/>
      <c r="UUA993" s="103"/>
      <c r="UUM993" s="104"/>
      <c r="UUN993" s="103"/>
      <c r="UUZ993" s="104"/>
      <c r="UVA993" s="103"/>
      <c r="UVM993" s="104"/>
      <c r="UVN993" s="103"/>
      <c r="UVZ993" s="104"/>
      <c r="UWA993" s="103"/>
      <c r="UWM993" s="104"/>
      <c r="UWN993" s="103"/>
      <c r="UWZ993" s="104"/>
      <c r="UXA993" s="103"/>
      <c r="UXM993" s="104"/>
      <c r="UXN993" s="103"/>
      <c r="UXZ993" s="104"/>
      <c r="UYA993" s="103"/>
      <c r="UYM993" s="104"/>
      <c r="UYN993" s="103"/>
      <c r="UYZ993" s="104"/>
      <c r="UZA993" s="103"/>
      <c r="UZM993" s="104"/>
      <c r="UZN993" s="103"/>
      <c r="UZZ993" s="104"/>
      <c r="VAA993" s="103"/>
      <c r="VAM993" s="104"/>
      <c r="VAN993" s="103"/>
      <c r="VAZ993" s="104"/>
      <c r="VBA993" s="103"/>
      <c r="VBM993" s="104"/>
      <c r="VBN993" s="103"/>
      <c r="VBZ993" s="104"/>
      <c r="VCA993" s="103"/>
      <c r="VCM993" s="104"/>
      <c r="VCN993" s="103"/>
      <c r="VCZ993" s="104"/>
      <c r="VDA993" s="103"/>
      <c r="VDM993" s="104"/>
      <c r="VDN993" s="103"/>
      <c r="VDZ993" s="104"/>
      <c r="VEA993" s="103"/>
      <c r="VEM993" s="104"/>
      <c r="VEN993" s="103"/>
      <c r="VEZ993" s="104"/>
      <c r="VFA993" s="103"/>
      <c r="VFM993" s="104"/>
      <c r="VFN993" s="103"/>
      <c r="VFZ993" s="104"/>
      <c r="VGA993" s="103"/>
      <c r="VGM993" s="104"/>
      <c r="VGN993" s="103"/>
      <c r="VGZ993" s="104"/>
      <c r="VHA993" s="103"/>
      <c r="VHM993" s="104"/>
      <c r="VHN993" s="103"/>
      <c r="VHZ993" s="104"/>
      <c r="VIA993" s="103"/>
      <c r="VIM993" s="104"/>
      <c r="VIN993" s="103"/>
      <c r="VIZ993" s="104"/>
      <c r="VJA993" s="103"/>
      <c r="VJM993" s="104"/>
      <c r="VJN993" s="103"/>
      <c r="VJZ993" s="104"/>
      <c r="VKA993" s="103"/>
      <c r="VKM993" s="104"/>
      <c r="VKN993" s="103"/>
      <c r="VKZ993" s="104"/>
      <c r="VLA993" s="103"/>
      <c r="VLM993" s="104"/>
      <c r="VLN993" s="103"/>
      <c r="VLZ993" s="104"/>
      <c r="VMA993" s="103"/>
      <c r="VMM993" s="104"/>
      <c r="VMN993" s="103"/>
      <c r="VMZ993" s="104"/>
      <c r="VNA993" s="103"/>
      <c r="VNM993" s="104"/>
      <c r="VNN993" s="103"/>
      <c r="VNZ993" s="104"/>
      <c r="VOA993" s="103"/>
      <c r="VOM993" s="104"/>
      <c r="VON993" s="103"/>
      <c r="VOZ993" s="104"/>
      <c r="VPA993" s="103"/>
      <c r="VPM993" s="104"/>
      <c r="VPN993" s="103"/>
      <c r="VPZ993" s="104"/>
      <c r="VQA993" s="103"/>
      <c r="VQM993" s="104"/>
      <c r="VQN993" s="103"/>
      <c r="VQZ993" s="104"/>
      <c r="VRA993" s="103"/>
      <c r="VRM993" s="104"/>
      <c r="VRN993" s="103"/>
      <c r="VRZ993" s="104"/>
      <c r="VSA993" s="103"/>
      <c r="VSM993" s="104"/>
      <c r="VSN993" s="103"/>
      <c r="VSZ993" s="104"/>
      <c r="VTA993" s="103"/>
      <c r="VTM993" s="104"/>
      <c r="VTN993" s="103"/>
      <c r="VTZ993" s="104"/>
      <c r="VUA993" s="103"/>
      <c r="VUM993" s="104"/>
      <c r="VUN993" s="103"/>
      <c r="VUZ993" s="104"/>
      <c r="VVA993" s="103"/>
      <c r="VVM993" s="104"/>
      <c r="VVN993" s="103"/>
      <c r="VVZ993" s="104"/>
      <c r="VWA993" s="103"/>
      <c r="VWM993" s="104"/>
      <c r="VWN993" s="103"/>
      <c r="VWZ993" s="104"/>
      <c r="VXA993" s="103"/>
      <c r="VXM993" s="104"/>
      <c r="VXN993" s="103"/>
      <c r="VXZ993" s="104"/>
      <c r="VYA993" s="103"/>
      <c r="VYM993" s="104"/>
      <c r="VYN993" s="103"/>
      <c r="VYZ993" s="104"/>
      <c r="VZA993" s="103"/>
      <c r="VZM993" s="104"/>
      <c r="VZN993" s="103"/>
      <c r="VZZ993" s="104"/>
      <c r="WAA993" s="103"/>
      <c r="WAM993" s="104"/>
      <c r="WAN993" s="103"/>
      <c r="WAZ993" s="104"/>
      <c r="WBA993" s="103"/>
      <c r="WBM993" s="104"/>
      <c r="WBN993" s="103"/>
      <c r="WBZ993" s="104"/>
      <c r="WCA993" s="103"/>
      <c r="WCM993" s="104"/>
      <c r="WCN993" s="103"/>
      <c r="WCZ993" s="104"/>
      <c r="WDA993" s="103"/>
      <c r="WDM993" s="104"/>
      <c r="WDN993" s="103"/>
      <c r="WDZ993" s="104"/>
      <c r="WEA993" s="103"/>
      <c r="WEM993" s="104"/>
      <c r="WEN993" s="103"/>
      <c r="WEZ993" s="104"/>
      <c r="WFA993" s="103"/>
      <c r="WFM993" s="104"/>
      <c r="WFN993" s="103"/>
      <c r="WFZ993" s="104"/>
      <c r="WGA993" s="103"/>
      <c r="WGM993" s="104"/>
      <c r="WGN993" s="103"/>
      <c r="WGZ993" s="104"/>
      <c r="WHA993" s="103"/>
      <c r="WHM993" s="104"/>
      <c r="WHN993" s="103"/>
      <c r="WHZ993" s="104"/>
      <c r="WIA993" s="103"/>
      <c r="WIM993" s="104"/>
      <c r="WIN993" s="103"/>
      <c r="WIZ993" s="104"/>
      <c r="WJA993" s="103"/>
      <c r="WJM993" s="104"/>
      <c r="WJN993" s="103"/>
      <c r="WJZ993" s="104"/>
      <c r="WKA993" s="103"/>
      <c r="WKM993" s="104"/>
      <c r="WKN993" s="103"/>
      <c r="WKZ993" s="104"/>
      <c r="WLA993" s="103"/>
      <c r="WLM993" s="104"/>
      <c r="WLN993" s="103"/>
      <c r="WLZ993" s="104"/>
      <c r="WMA993" s="103"/>
      <c r="WMM993" s="104"/>
      <c r="WMN993" s="103"/>
      <c r="WMZ993" s="104"/>
      <c r="WNA993" s="103"/>
      <c r="WNM993" s="104"/>
      <c r="WNN993" s="103"/>
      <c r="WNZ993" s="104"/>
      <c r="WOA993" s="103"/>
      <c r="WOM993" s="104"/>
      <c r="WON993" s="103"/>
      <c r="WOZ993" s="104"/>
      <c r="WPA993" s="103"/>
      <c r="WPM993" s="104"/>
      <c r="WPN993" s="103"/>
      <c r="WPZ993" s="104"/>
      <c r="WQA993" s="103"/>
      <c r="WQM993" s="104"/>
      <c r="WQN993" s="103"/>
      <c r="WQZ993" s="104"/>
      <c r="WRA993" s="103"/>
      <c r="WRM993" s="104"/>
      <c r="WRN993" s="103"/>
      <c r="WRZ993" s="104"/>
      <c r="WSA993" s="103"/>
      <c r="WSM993" s="104"/>
      <c r="WSN993" s="103"/>
      <c r="WSZ993" s="104"/>
      <c r="WTA993" s="103"/>
      <c r="WTM993" s="104"/>
      <c r="WTN993" s="103"/>
      <c r="WTZ993" s="104"/>
      <c r="WUA993" s="103"/>
      <c r="WUM993" s="104"/>
      <c r="WUN993" s="103"/>
      <c r="WUZ993" s="104"/>
      <c r="WVA993" s="103"/>
      <c r="WVM993" s="104"/>
      <c r="WVN993" s="103"/>
      <c r="WVZ993" s="104"/>
      <c r="WWA993" s="103"/>
      <c r="WWM993" s="104"/>
      <c r="WWN993" s="103"/>
      <c r="WWZ993" s="104"/>
      <c r="WXA993" s="103"/>
      <c r="WXM993" s="104"/>
      <c r="WXN993" s="103"/>
      <c r="WXZ993" s="104"/>
      <c r="WYA993" s="103"/>
      <c r="WYM993" s="104"/>
      <c r="WYN993" s="103"/>
      <c r="WYZ993" s="104"/>
      <c r="WZA993" s="103"/>
      <c r="WZM993" s="104"/>
      <c r="WZN993" s="103"/>
      <c r="WZZ993" s="104"/>
      <c r="XAA993" s="103"/>
      <c r="XAM993" s="104"/>
      <c r="XAN993" s="103"/>
      <c r="XAZ993" s="104"/>
      <c r="XBA993" s="103"/>
      <c r="XBM993" s="104"/>
      <c r="XBN993" s="103"/>
      <c r="XBZ993" s="104"/>
      <c r="XCA993" s="103"/>
      <c r="XCM993" s="104"/>
      <c r="XCN993" s="103"/>
      <c r="XCZ993" s="104"/>
      <c r="XDA993" s="103"/>
      <c r="XDM993" s="104"/>
      <c r="XDN993" s="103"/>
      <c r="XDZ993" s="104"/>
      <c r="XEA993" s="103"/>
      <c r="XEM993" s="104"/>
      <c r="XEN993" s="103"/>
      <c r="XEZ993" s="104"/>
      <c r="XFA993" s="103"/>
    </row>
    <row r="994" spans="1:1015 1027:2042 2054:3069 3081:4096 4108:5110 5122:6137 6149:7164 7176:8191 8203:9205 9217:10232 10244:11259 11271:12286 12298:14327 14339:15354 15366:16381">
      <c r="B994" s="134">
        <v>2025</v>
      </c>
      <c r="C994" s="135">
        <v>22020</v>
      </c>
      <c r="D994" s="136">
        <f t="shared" si="38"/>
        <v>375.44757033248084</v>
      </c>
      <c r="E994" s="135">
        <v>821</v>
      </c>
      <c r="F994" s="136">
        <f t="shared" si="39"/>
        <v>13.998294970161979</v>
      </c>
      <c r="G994" s="136">
        <f t="shared" si="36"/>
        <v>22841</v>
      </c>
      <c r="H994" s="136">
        <f t="shared" si="37"/>
        <v>389.4458653026428</v>
      </c>
      <c r="AM994" s="104"/>
      <c r="AN994" s="103"/>
      <c r="AZ994" s="104"/>
      <c r="BA994" s="103"/>
      <c r="BM994" s="104"/>
      <c r="BN994" s="103"/>
      <c r="BZ994" s="104"/>
      <c r="CA994" s="103"/>
      <c r="CM994" s="104"/>
      <c r="CN994" s="103"/>
      <c r="CZ994" s="104"/>
      <c r="DA994" s="103"/>
      <c r="DM994" s="104"/>
      <c r="DN994" s="103"/>
      <c r="DZ994" s="104"/>
      <c r="EA994" s="103"/>
      <c r="EM994" s="104"/>
      <c r="EN994" s="103"/>
      <c r="EZ994" s="104"/>
      <c r="FA994" s="103"/>
      <c r="FM994" s="104"/>
      <c r="FN994" s="103"/>
      <c r="FZ994" s="104"/>
      <c r="GA994" s="103"/>
      <c r="GM994" s="104"/>
      <c r="GN994" s="103"/>
      <c r="GZ994" s="104"/>
      <c r="HA994" s="103"/>
      <c r="HM994" s="104"/>
      <c r="HN994" s="103"/>
      <c r="HZ994" s="104"/>
      <c r="IA994" s="103"/>
      <c r="IM994" s="104"/>
      <c r="IN994" s="103"/>
      <c r="IZ994" s="104"/>
      <c r="JA994" s="103"/>
      <c r="JM994" s="104"/>
      <c r="JN994" s="103"/>
      <c r="JZ994" s="104"/>
      <c r="KA994" s="103"/>
      <c r="KM994" s="104"/>
      <c r="KN994" s="103"/>
      <c r="KZ994" s="104"/>
      <c r="LA994" s="103"/>
      <c r="LM994" s="104"/>
      <c r="LN994" s="103"/>
      <c r="LZ994" s="104"/>
      <c r="MA994" s="103"/>
      <c r="MM994" s="104"/>
      <c r="MN994" s="103"/>
      <c r="MZ994" s="104"/>
      <c r="NA994" s="103"/>
      <c r="NM994" s="104"/>
      <c r="NN994" s="103"/>
      <c r="NZ994" s="104"/>
      <c r="OA994" s="103"/>
      <c r="OM994" s="104"/>
      <c r="ON994" s="103"/>
      <c r="OZ994" s="104"/>
      <c r="PA994" s="103"/>
      <c r="PM994" s="104"/>
      <c r="PN994" s="103"/>
      <c r="PZ994" s="104"/>
      <c r="QA994" s="103"/>
      <c r="QM994" s="104"/>
      <c r="QN994" s="103"/>
      <c r="QZ994" s="104"/>
      <c r="RA994" s="103"/>
      <c r="RM994" s="104"/>
      <c r="RN994" s="103"/>
      <c r="RZ994" s="104"/>
      <c r="SA994" s="103"/>
      <c r="SM994" s="104"/>
      <c r="SN994" s="103"/>
      <c r="SZ994" s="104"/>
      <c r="TA994" s="103"/>
      <c r="TM994" s="104"/>
      <c r="TN994" s="103"/>
      <c r="TZ994" s="104"/>
      <c r="UA994" s="103"/>
      <c r="UM994" s="104"/>
      <c r="UN994" s="103"/>
      <c r="UZ994" s="104"/>
      <c r="VA994" s="103"/>
      <c r="VM994" s="104"/>
      <c r="VN994" s="103"/>
      <c r="VZ994" s="104"/>
      <c r="WA994" s="103"/>
      <c r="WM994" s="104"/>
      <c r="WN994" s="103"/>
      <c r="WZ994" s="104"/>
      <c r="XA994" s="103"/>
      <c r="XM994" s="104"/>
      <c r="XN994" s="103"/>
      <c r="XZ994" s="104"/>
      <c r="YA994" s="103"/>
      <c r="YM994" s="104"/>
      <c r="YN994" s="103"/>
      <c r="YZ994" s="104"/>
      <c r="ZA994" s="103"/>
      <c r="ZM994" s="104"/>
      <c r="ZN994" s="103"/>
      <c r="ZZ994" s="104"/>
      <c r="AAA994" s="103"/>
      <c r="AAM994" s="104"/>
      <c r="AAN994" s="103"/>
      <c r="AAZ994" s="104"/>
      <c r="ABA994" s="103"/>
      <c r="ABM994" s="104"/>
      <c r="ABN994" s="103"/>
      <c r="ABZ994" s="104"/>
      <c r="ACA994" s="103"/>
      <c r="ACM994" s="104"/>
      <c r="ACN994" s="103"/>
      <c r="ACZ994" s="104"/>
      <c r="ADA994" s="103"/>
      <c r="ADM994" s="104"/>
      <c r="ADN994" s="103"/>
      <c r="ADZ994" s="104"/>
      <c r="AEA994" s="103"/>
      <c r="AEM994" s="104"/>
      <c r="AEN994" s="103"/>
      <c r="AEZ994" s="104"/>
      <c r="AFA994" s="103"/>
      <c r="AFM994" s="104"/>
      <c r="AFN994" s="103"/>
      <c r="AFZ994" s="104"/>
      <c r="AGA994" s="103"/>
      <c r="AGM994" s="104"/>
      <c r="AGN994" s="103"/>
      <c r="AGZ994" s="104"/>
      <c r="AHA994" s="103"/>
      <c r="AHM994" s="104"/>
      <c r="AHN994" s="103"/>
      <c r="AHZ994" s="104"/>
      <c r="AIA994" s="103"/>
      <c r="AIM994" s="104"/>
      <c r="AIN994" s="103"/>
      <c r="AIZ994" s="104"/>
      <c r="AJA994" s="103"/>
      <c r="AJM994" s="104"/>
      <c r="AJN994" s="103"/>
      <c r="AJZ994" s="104"/>
      <c r="AKA994" s="103"/>
      <c r="AKM994" s="104"/>
      <c r="AKN994" s="103"/>
      <c r="AKZ994" s="104"/>
      <c r="ALA994" s="103"/>
      <c r="ALM994" s="104"/>
      <c r="ALN994" s="103"/>
      <c r="ALZ994" s="104"/>
      <c r="AMA994" s="103"/>
      <c r="AMM994" s="104"/>
      <c r="AMN994" s="103"/>
      <c r="AMZ994" s="104"/>
      <c r="ANA994" s="103"/>
      <c r="ANM994" s="104"/>
      <c r="ANN994" s="103"/>
      <c r="ANZ994" s="104"/>
      <c r="AOA994" s="103"/>
      <c r="AOM994" s="104"/>
      <c r="AON994" s="103"/>
      <c r="AOZ994" s="104"/>
      <c r="APA994" s="103"/>
      <c r="APM994" s="104"/>
      <c r="APN994" s="103"/>
      <c r="APZ994" s="104"/>
      <c r="AQA994" s="103"/>
      <c r="AQM994" s="104"/>
      <c r="AQN994" s="103"/>
      <c r="AQZ994" s="104"/>
      <c r="ARA994" s="103"/>
      <c r="ARM994" s="104"/>
      <c r="ARN994" s="103"/>
      <c r="ARZ994" s="104"/>
      <c r="ASA994" s="103"/>
      <c r="ASM994" s="104"/>
      <c r="ASN994" s="103"/>
      <c r="ASZ994" s="104"/>
      <c r="ATA994" s="103"/>
      <c r="ATM994" s="104"/>
      <c r="ATN994" s="103"/>
      <c r="ATZ994" s="104"/>
      <c r="AUA994" s="103"/>
      <c r="AUM994" s="104"/>
      <c r="AUN994" s="103"/>
      <c r="AUZ994" s="104"/>
      <c r="AVA994" s="103"/>
      <c r="AVM994" s="104"/>
      <c r="AVN994" s="103"/>
      <c r="AVZ994" s="104"/>
      <c r="AWA994" s="103"/>
      <c r="AWM994" s="104"/>
      <c r="AWN994" s="103"/>
      <c r="AWZ994" s="104"/>
      <c r="AXA994" s="103"/>
      <c r="AXM994" s="104"/>
      <c r="AXN994" s="103"/>
      <c r="AXZ994" s="104"/>
      <c r="AYA994" s="103"/>
      <c r="AYM994" s="104"/>
      <c r="AYN994" s="103"/>
      <c r="AYZ994" s="104"/>
      <c r="AZA994" s="103"/>
      <c r="AZM994" s="104"/>
      <c r="AZN994" s="103"/>
      <c r="AZZ994" s="104"/>
      <c r="BAA994" s="103"/>
      <c r="BAM994" s="104"/>
      <c r="BAN994" s="103"/>
      <c r="BAZ994" s="104"/>
      <c r="BBA994" s="103"/>
      <c r="BBM994" s="104"/>
      <c r="BBN994" s="103"/>
      <c r="BBZ994" s="104"/>
      <c r="BCA994" s="103"/>
      <c r="BCM994" s="104"/>
      <c r="BCN994" s="103"/>
      <c r="BCZ994" s="104"/>
      <c r="BDA994" s="103"/>
      <c r="BDM994" s="104"/>
      <c r="BDN994" s="103"/>
      <c r="BDZ994" s="104"/>
      <c r="BEA994" s="103"/>
      <c r="BEM994" s="104"/>
      <c r="BEN994" s="103"/>
      <c r="BEZ994" s="104"/>
      <c r="BFA994" s="103"/>
      <c r="BFM994" s="104"/>
      <c r="BFN994" s="103"/>
      <c r="BFZ994" s="104"/>
      <c r="BGA994" s="103"/>
      <c r="BGM994" s="104"/>
      <c r="BGN994" s="103"/>
      <c r="BGZ994" s="104"/>
      <c r="BHA994" s="103"/>
      <c r="BHM994" s="104"/>
      <c r="BHN994" s="103"/>
      <c r="BHZ994" s="104"/>
      <c r="BIA994" s="103"/>
      <c r="BIM994" s="104"/>
      <c r="BIN994" s="103"/>
      <c r="BIZ994" s="104"/>
      <c r="BJA994" s="103"/>
      <c r="BJM994" s="104"/>
      <c r="BJN994" s="103"/>
      <c r="BJZ994" s="104"/>
      <c r="BKA994" s="103"/>
      <c r="BKM994" s="104"/>
      <c r="BKN994" s="103"/>
      <c r="BKZ994" s="104"/>
      <c r="BLA994" s="103"/>
      <c r="BLM994" s="104"/>
      <c r="BLN994" s="103"/>
      <c r="BLZ994" s="104"/>
      <c r="BMA994" s="103"/>
      <c r="BMM994" s="104"/>
      <c r="BMN994" s="103"/>
      <c r="BMZ994" s="104"/>
      <c r="BNA994" s="103"/>
      <c r="BNM994" s="104"/>
      <c r="BNN994" s="103"/>
      <c r="BNZ994" s="104"/>
      <c r="BOA994" s="103"/>
      <c r="BOM994" s="104"/>
      <c r="BON994" s="103"/>
      <c r="BOZ994" s="104"/>
      <c r="BPA994" s="103"/>
      <c r="BPM994" s="104"/>
      <c r="BPN994" s="103"/>
      <c r="BPZ994" s="104"/>
      <c r="BQA994" s="103"/>
      <c r="BQM994" s="104"/>
      <c r="BQN994" s="103"/>
      <c r="BQZ994" s="104"/>
      <c r="BRA994" s="103"/>
      <c r="BRM994" s="104"/>
      <c r="BRN994" s="103"/>
      <c r="BRZ994" s="104"/>
      <c r="BSA994" s="103"/>
      <c r="BSM994" s="104"/>
      <c r="BSN994" s="103"/>
      <c r="BSZ994" s="104"/>
      <c r="BTA994" s="103"/>
      <c r="BTM994" s="104"/>
      <c r="BTN994" s="103"/>
      <c r="BTZ994" s="104"/>
      <c r="BUA994" s="103"/>
      <c r="BUM994" s="104"/>
      <c r="BUN994" s="103"/>
      <c r="BUZ994" s="104"/>
      <c r="BVA994" s="103"/>
      <c r="BVM994" s="104"/>
      <c r="BVN994" s="103"/>
      <c r="BVZ994" s="104"/>
      <c r="BWA994" s="103"/>
      <c r="BWM994" s="104"/>
      <c r="BWN994" s="103"/>
      <c r="BWZ994" s="104"/>
      <c r="BXA994" s="103"/>
      <c r="BXM994" s="104"/>
      <c r="BXN994" s="103"/>
      <c r="BXZ994" s="104"/>
      <c r="BYA994" s="103"/>
      <c r="BYM994" s="104"/>
      <c r="BYN994" s="103"/>
      <c r="BYZ994" s="104"/>
      <c r="BZA994" s="103"/>
      <c r="BZM994" s="104"/>
      <c r="BZN994" s="103"/>
      <c r="BZZ994" s="104"/>
      <c r="CAA994" s="103"/>
      <c r="CAM994" s="104"/>
      <c r="CAN994" s="103"/>
      <c r="CAZ994" s="104"/>
      <c r="CBA994" s="103"/>
      <c r="CBM994" s="104"/>
      <c r="CBN994" s="103"/>
      <c r="CBZ994" s="104"/>
      <c r="CCA994" s="103"/>
      <c r="CCM994" s="104"/>
      <c r="CCN994" s="103"/>
      <c r="CCZ994" s="104"/>
      <c r="CDA994" s="103"/>
      <c r="CDM994" s="104"/>
      <c r="CDN994" s="103"/>
      <c r="CDZ994" s="104"/>
      <c r="CEA994" s="103"/>
      <c r="CEM994" s="104"/>
      <c r="CEN994" s="103"/>
      <c r="CEZ994" s="104"/>
      <c r="CFA994" s="103"/>
      <c r="CFM994" s="104"/>
      <c r="CFN994" s="103"/>
      <c r="CFZ994" s="104"/>
      <c r="CGA994" s="103"/>
      <c r="CGM994" s="104"/>
      <c r="CGN994" s="103"/>
      <c r="CGZ994" s="104"/>
      <c r="CHA994" s="103"/>
      <c r="CHM994" s="104"/>
      <c r="CHN994" s="103"/>
      <c r="CHZ994" s="104"/>
      <c r="CIA994" s="103"/>
      <c r="CIM994" s="104"/>
      <c r="CIN994" s="103"/>
      <c r="CIZ994" s="104"/>
      <c r="CJA994" s="103"/>
      <c r="CJM994" s="104"/>
      <c r="CJN994" s="103"/>
      <c r="CJZ994" s="104"/>
      <c r="CKA994" s="103"/>
      <c r="CKM994" s="104"/>
      <c r="CKN994" s="103"/>
      <c r="CKZ994" s="104"/>
      <c r="CLA994" s="103"/>
      <c r="CLM994" s="104"/>
      <c r="CLN994" s="103"/>
      <c r="CLZ994" s="104"/>
      <c r="CMA994" s="103"/>
      <c r="CMM994" s="104"/>
      <c r="CMN994" s="103"/>
      <c r="CMZ994" s="104"/>
      <c r="CNA994" s="103"/>
      <c r="CNM994" s="104"/>
      <c r="CNN994" s="103"/>
      <c r="CNZ994" s="104"/>
      <c r="COA994" s="103"/>
      <c r="COM994" s="104"/>
      <c r="CON994" s="103"/>
      <c r="COZ994" s="104"/>
      <c r="CPA994" s="103"/>
      <c r="CPM994" s="104"/>
      <c r="CPN994" s="103"/>
      <c r="CPZ994" s="104"/>
      <c r="CQA994" s="103"/>
      <c r="CQM994" s="104"/>
      <c r="CQN994" s="103"/>
      <c r="CQZ994" s="104"/>
      <c r="CRA994" s="103"/>
      <c r="CRM994" s="104"/>
      <c r="CRN994" s="103"/>
      <c r="CRZ994" s="104"/>
      <c r="CSA994" s="103"/>
      <c r="CSM994" s="104"/>
      <c r="CSN994" s="103"/>
      <c r="CSZ994" s="104"/>
      <c r="CTA994" s="103"/>
      <c r="CTM994" s="104"/>
      <c r="CTN994" s="103"/>
      <c r="CTZ994" s="104"/>
      <c r="CUA994" s="103"/>
      <c r="CUM994" s="104"/>
      <c r="CUN994" s="103"/>
      <c r="CUZ994" s="104"/>
      <c r="CVA994" s="103"/>
      <c r="CVM994" s="104"/>
      <c r="CVN994" s="103"/>
      <c r="CVZ994" s="104"/>
      <c r="CWA994" s="103"/>
      <c r="CWM994" s="104"/>
      <c r="CWN994" s="103"/>
      <c r="CWZ994" s="104"/>
      <c r="CXA994" s="103"/>
      <c r="CXM994" s="104"/>
      <c r="CXN994" s="103"/>
      <c r="CXZ994" s="104"/>
      <c r="CYA994" s="103"/>
      <c r="CYM994" s="104"/>
      <c r="CYN994" s="103"/>
      <c r="CYZ994" s="104"/>
      <c r="CZA994" s="103"/>
      <c r="CZM994" s="104"/>
      <c r="CZN994" s="103"/>
      <c r="CZZ994" s="104"/>
      <c r="DAA994" s="103"/>
      <c r="DAM994" s="104"/>
      <c r="DAN994" s="103"/>
      <c r="DAZ994" s="104"/>
      <c r="DBA994" s="103"/>
      <c r="DBM994" s="104"/>
      <c r="DBN994" s="103"/>
      <c r="DBZ994" s="104"/>
      <c r="DCA994" s="103"/>
      <c r="DCM994" s="104"/>
      <c r="DCN994" s="103"/>
      <c r="DCZ994" s="104"/>
      <c r="DDA994" s="103"/>
      <c r="DDM994" s="104"/>
      <c r="DDN994" s="103"/>
      <c r="DDZ994" s="104"/>
      <c r="DEA994" s="103"/>
      <c r="DEM994" s="104"/>
      <c r="DEN994" s="103"/>
      <c r="DEZ994" s="104"/>
      <c r="DFA994" s="103"/>
      <c r="DFM994" s="104"/>
      <c r="DFN994" s="103"/>
      <c r="DFZ994" s="104"/>
      <c r="DGA994" s="103"/>
      <c r="DGM994" s="104"/>
      <c r="DGN994" s="103"/>
      <c r="DGZ994" s="104"/>
      <c r="DHA994" s="103"/>
      <c r="DHM994" s="104"/>
      <c r="DHN994" s="103"/>
      <c r="DHZ994" s="104"/>
      <c r="DIA994" s="103"/>
      <c r="DIM994" s="104"/>
      <c r="DIN994" s="103"/>
      <c r="DIZ994" s="104"/>
      <c r="DJA994" s="103"/>
      <c r="DJM994" s="104"/>
      <c r="DJN994" s="103"/>
      <c r="DJZ994" s="104"/>
      <c r="DKA994" s="103"/>
      <c r="DKM994" s="104"/>
      <c r="DKN994" s="103"/>
      <c r="DKZ994" s="104"/>
      <c r="DLA994" s="103"/>
      <c r="DLM994" s="104"/>
      <c r="DLN994" s="103"/>
      <c r="DLZ994" s="104"/>
      <c r="DMA994" s="103"/>
      <c r="DMM994" s="104"/>
      <c r="DMN994" s="103"/>
      <c r="DMZ994" s="104"/>
      <c r="DNA994" s="103"/>
      <c r="DNM994" s="104"/>
      <c r="DNN994" s="103"/>
      <c r="DNZ994" s="104"/>
      <c r="DOA994" s="103"/>
      <c r="DOM994" s="104"/>
      <c r="DON994" s="103"/>
      <c r="DOZ994" s="104"/>
      <c r="DPA994" s="103"/>
      <c r="DPM994" s="104"/>
      <c r="DPN994" s="103"/>
      <c r="DPZ994" s="104"/>
      <c r="DQA994" s="103"/>
      <c r="DQM994" s="104"/>
      <c r="DQN994" s="103"/>
      <c r="DQZ994" s="104"/>
      <c r="DRA994" s="103"/>
      <c r="DRM994" s="104"/>
      <c r="DRN994" s="103"/>
      <c r="DRZ994" s="104"/>
      <c r="DSA994" s="103"/>
      <c r="DSM994" s="104"/>
      <c r="DSN994" s="103"/>
      <c r="DSZ994" s="104"/>
      <c r="DTA994" s="103"/>
      <c r="DTM994" s="104"/>
      <c r="DTN994" s="103"/>
      <c r="DTZ994" s="104"/>
      <c r="DUA994" s="103"/>
      <c r="DUM994" s="104"/>
      <c r="DUN994" s="103"/>
      <c r="DUZ994" s="104"/>
      <c r="DVA994" s="103"/>
      <c r="DVM994" s="104"/>
      <c r="DVN994" s="103"/>
      <c r="DVZ994" s="104"/>
      <c r="DWA994" s="103"/>
      <c r="DWM994" s="104"/>
      <c r="DWN994" s="103"/>
      <c r="DWZ994" s="104"/>
      <c r="DXA994" s="103"/>
      <c r="DXM994" s="104"/>
      <c r="DXN994" s="103"/>
      <c r="DXZ994" s="104"/>
      <c r="DYA994" s="103"/>
      <c r="DYM994" s="104"/>
      <c r="DYN994" s="103"/>
      <c r="DYZ994" s="104"/>
      <c r="DZA994" s="103"/>
      <c r="DZM994" s="104"/>
      <c r="DZN994" s="103"/>
      <c r="DZZ994" s="104"/>
      <c r="EAA994" s="103"/>
      <c r="EAM994" s="104"/>
      <c r="EAN994" s="103"/>
      <c r="EAZ994" s="104"/>
      <c r="EBA994" s="103"/>
      <c r="EBM994" s="104"/>
      <c r="EBN994" s="103"/>
      <c r="EBZ994" s="104"/>
      <c r="ECA994" s="103"/>
      <c r="ECM994" s="104"/>
      <c r="ECN994" s="103"/>
      <c r="ECZ994" s="104"/>
      <c r="EDA994" s="103"/>
      <c r="EDM994" s="104"/>
      <c r="EDN994" s="103"/>
      <c r="EDZ994" s="104"/>
      <c r="EEA994" s="103"/>
      <c r="EEM994" s="104"/>
      <c r="EEN994" s="103"/>
      <c r="EEZ994" s="104"/>
      <c r="EFA994" s="103"/>
      <c r="EFM994" s="104"/>
      <c r="EFN994" s="103"/>
      <c r="EFZ994" s="104"/>
      <c r="EGA994" s="103"/>
      <c r="EGM994" s="104"/>
      <c r="EGN994" s="103"/>
      <c r="EGZ994" s="104"/>
      <c r="EHA994" s="103"/>
      <c r="EHM994" s="104"/>
      <c r="EHN994" s="103"/>
      <c r="EHZ994" s="104"/>
      <c r="EIA994" s="103"/>
      <c r="EIM994" s="104"/>
      <c r="EIN994" s="103"/>
      <c r="EIZ994" s="104"/>
      <c r="EJA994" s="103"/>
      <c r="EJM994" s="104"/>
      <c r="EJN994" s="103"/>
      <c r="EJZ994" s="104"/>
      <c r="EKA994" s="103"/>
      <c r="EKM994" s="104"/>
      <c r="EKN994" s="103"/>
      <c r="EKZ994" s="104"/>
      <c r="ELA994" s="103"/>
      <c r="ELM994" s="104"/>
      <c r="ELN994" s="103"/>
      <c r="ELZ994" s="104"/>
      <c r="EMA994" s="103"/>
      <c r="EMM994" s="104"/>
      <c r="EMN994" s="103"/>
      <c r="EMZ994" s="104"/>
      <c r="ENA994" s="103"/>
      <c r="ENM994" s="104"/>
      <c r="ENN994" s="103"/>
      <c r="ENZ994" s="104"/>
      <c r="EOA994" s="103"/>
      <c r="EOM994" s="104"/>
      <c r="EON994" s="103"/>
      <c r="EOZ994" s="104"/>
      <c r="EPA994" s="103"/>
      <c r="EPM994" s="104"/>
      <c r="EPN994" s="103"/>
      <c r="EPZ994" s="104"/>
      <c r="EQA994" s="103"/>
      <c r="EQM994" s="104"/>
      <c r="EQN994" s="103"/>
      <c r="EQZ994" s="104"/>
      <c r="ERA994" s="103"/>
      <c r="ERM994" s="104"/>
      <c r="ERN994" s="103"/>
      <c r="ERZ994" s="104"/>
      <c r="ESA994" s="103"/>
      <c r="ESM994" s="104"/>
      <c r="ESN994" s="103"/>
      <c r="ESZ994" s="104"/>
      <c r="ETA994" s="103"/>
      <c r="ETM994" s="104"/>
      <c r="ETN994" s="103"/>
      <c r="ETZ994" s="104"/>
      <c r="EUA994" s="103"/>
      <c r="EUM994" s="104"/>
      <c r="EUN994" s="103"/>
      <c r="EUZ994" s="104"/>
      <c r="EVA994" s="103"/>
      <c r="EVM994" s="104"/>
      <c r="EVN994" s="103"/>
      <c r="EVZ994" s="104"/>
      <c r="EWA994" s="103"/>
      <c r="EWM994" s="104"/>
      <c r="EWN994" s="103"/>
      <c r="EWZ994" s="104"/>
      <c r="EXA994" s="103"/>
      <c r="EXM994" s="104"/>
      <c r="EXN994" s="103"/>
      <c r="EXZ994" s="104"/>
      <c r="EYA994" s="103"/>
      <c r="EYM994" s="104"/>
      <c r="EYN994" s="103"/>
      <c r="EYZ994" s="104"/>
      <c r="EZA994" s="103"/>
      <c r="EZM994" s="104"/>
      <c r="EZN994" s="103"/>
      <c r="EZZ994" s="104"/>
      <c r="FAA994" s="103"/>
      <c r="FAM994" s="104"/>
      <c r="FAN994" s="103"/>
      <c r="FAZ994" s="104"/>
      <c r="FBA994" s="103"/>
      <c r="FBM994" s="104"/>
      <c r="FBN994" s="103"/>
      <c r="FBZ994" s="104"/>
      <c r="FCA994" s="103"/>
      <c r="FCM994" s="104"/>
      <c r="FCN994" s="103"/>
      <c r="FCZ994" s="104"/>
      <c r="FDA994" s="103"/>
      <c r="FDM994" s="104"/>
      <c r="FDN994" s="103"/>
      <c r="FDZ994" s="104"/>
      <c r="FEA994" s="103"/>
      <c r="FEM994" s="104"/>
      <c r="FEN994" s="103"/>
      <c r="FEZ994" s="104"/>
      <c r="FFA994" s="103"/>
      <c r="FFM994" s="104"/>
      <c r="FFN994" s="103"/>
      <c r="FFZ994" s="104"/>
      <c r="FGA994" s="103"/>
      <c r="FGM994" s="104"/>
      <c r="FGN994" s="103"/>
      <c r="FGZ994" s="104"/>
      <c r="FHA994" s="103"/>
      <c r="FHM994" s="104"/>
      <c r="FHN994" s="103"/>
      <c r="FHZ994" s="104"/>
      <c r="FIA994" s="103"/>
      <c r="FIM994" s="104"/>
      <c r="FIN994" s="103"/>
      <c r="FIZ994" s="104"/>
      <c r="FJA994" s="103"/>
      <c r="FJM994" s="104"/>
      <c r="FJN994" s="103"/>
      <c r="FJZ994" s="104"/>
      <c r="FKA994" s="103"/>
      <c r="FKM994" s="104"/>
      <c r="FKN994" s="103"/>
      <c r="FKZ994" s="104"/>
      <c r="FLA994" s="103"/>
      <c r="FLM994" s="104"/>
      <c r="FLN994" s="103"/>
      <c r="FLZ994" s="104"/>
      <c r="FMA994" s="103"/>
      <c r="FMM994" s="104"/>
      <c r="FMN994" s="103"/>
      <c r="FMZ994" s="104"/>
      <c r="FNA994" s="103"/>
      <c r="FNM994" s="104"/>
      <c r="FNN994" s="103"/>
      <c r="FNZ994" s="104"/>
      <c r="FOA994" s="103"/>
      <c r="FOM994" s="104"/>
      <c r="FON994" s="103"/>
      <c r="FOZ994" s="104"/>
      <c r="FPA994" s="103"/>
      <c r="FPM994" s="104"/>
      <c r="FPN994" s="103"/>
      <c r="FPZ994" s="104"/>
      <c r="FQA994" s="103"/>
      <c r="FQM994" s="104"/>
      <c r="FQN994" s="103"/>
      <c r="FQZ994" s="104"/>
      <c r="FRA994" s="103"/>
      <c r="FRM994" s="104"/>
      <c r="FRN994" s="103"/>
      <c r="FRZ994" s="104"/>
      <c r="FSA994" s="103"/>
      <c r="FSM994" s="104"/>
      <c r="FSN994" s="103"/>
      <c r="FSZ994" s="104"/>
      <c r="FTA994" s="103"/>
      <c r="FTM994" s="104"/>
      <c r="FTN994" s="103"/>
      <c r="FTZ994" s="104"/>
      <c r="FUA994" s="103"/>
      <c r="FUM994" s="104"/>
      <c r="FUN994" s="103"/>
      <c r="FUZ994" s="104"/>
      <c r="FVA994" s="103"/>
      <c r="FVM994" s="104"/>
      <c r="FVN994" s="103"/>
      <c r="FVZ994" s="104"/>
      <c r="FWA994" s="103"/>
      <c r="FWM994" s="104"/>
      <c r="FWN994" s="103"/>
      <c r="FWZ994" s="104"/>
      <c r="FXA994" s="103"/>
      <c r="FXM994" s="104"/>
      <c r="FXN994" s="103"/>
      <c r="FXZ994" s="104"/>
      <c r="FYA994" s="103"/>
      <c r="FYM994" s="104"/>
      <c r="FYN994" s="103"/>
      <c r="FYZ994" s="104"/>
      <c r="FZA994" s="103"/>
      <c r="FZM994" s="104"/>
      <c r="FZN994" s="103"/>
      <c r="FZZ994" s="104"/>
      <c r="GAA994" s="103"/>
      <c r="GAM994" s="104"/>
      <c r="GAN994" s="103"/>
      <c r="GAZ994" s="104"/>
      <c r="GBA994" s="103"/>
      <c r="GBM994" s="104"/>
      <c r="GBN994" s="103"/>
      <c r="GBZ994" s="104"/>
      <c r="GCA994" s="103"/>
      <c r="GCM994" s="104"/>
      <c r="GCN994" s="103"/>
      <c r="GCZ994" s="104"/>
      <c r="GDA994" s="103"/>
      <c r="GDM994" s="104"/>
      <c r="GDN994" s="103"/>
      <c r="GDZ994" s="104"/>
      <c r="GEA994" s="103"/>
      <c r="GEM994" s="104"/>
      <c r="GEN994" s="103"/>
      <c r="GEZ994" s="104"/>
      <c r="GFA994" s="103"/>
      <c r="GFM994" s="104"/>
      <c r="GFN994" s="103"/>
      <c r="GFZ994" s="104"/>
      <c r="GGA994" s="103"/>
      <c r="GGM994" s="104"/>
      <c r="GGN994" s="103"/>
      <c r="GGZ994" s="104"/>
      <c r="GHA994" s="103"/>
      <c r="GHM994" s="104"/>
      <c r="GHN994" s="103"/>
      <c r="GHZ994" s="104"/>
      <c r="GIA994" s="103"/>
      <c r="GIM994" s="104"/>
      <c r="GIN994" s="103"/>
      <c r="GIZ994" s="104"/>
      <c r="GJA994" s="103"/>
      <c r="GJM994" s="104"/>
      <c r="GJN994" s="103"/>
      <c r="GJZ994" s="104"/>
      <c r="GKA994" s="103"/>
      <c r="GKM994" s="104"/>
      <c r="GKN994" s="103"/>
      <c r="GKZ994" s="104"/>
      <c r="GLA994" s="103"/>
      <c r="GLM994" s="104"/>
      <c r="GLN994" s="103"/>
      <c r="GLZ994" s="104"/>
      <c r="GMA994" s="103"/>
      <c r="GMM994" s="104"/>
      <c r="GMN994" s="103"/>
      <c r="GMZ994" s="104"/>
      <c r="GNA994" s="103"/>
      <c r="GNM994" s="104"/>
      <c r="GNN994" s="103"/>
      <c r="GNZ994" s="104"/>
      <c r="GOA994" s="103"/>
      <c r="GOM994" s="104"/>
      <c r="GON994" s="103"/>
      <c r="GOZ994" s="104"/>
      <c r="GPA994" s="103"/>
      <c r="GPM994" s="104"/>
      <c r="GPN994" s="103"/>
      <c r="GPZ994" s="104"/>
      <c r="GQA994" s="103"/>
      <c r="GQM994" s="104"/>
      <c r="GQN994" s="103"/>
      <c r="GQZ994" s="104"/>
      <c r="GRA994" s="103"/>
      <c r="GRM994" s="104"/>
      <c r="GRN994" s="103"/>
      <c r="GRZ994" s="104"/>
      <c r="GSA994" s="103"/>
      <c r="GSM994" s="104"/>
      <c r="GSN994" s="103"/>
      <c r="GSZ994" s="104"/>
      <c r="GTA994" s="103"/>
      <c r="GTM994" s="104"/>
      <c r="GTN994" s="103"/>
      <c r="GTZ994" s="104"/>
      <c r="GUA994" s="103"/>
      <c r="GUM994" s="104"/>
      <c r="GUN994" s="103"/>
      <c r="GUZ994" s="104"/>
      <c r="GVA994" s="103"/>
      <c r="GVM994" s="104"/>
      <c r="GVN994" s="103"/>
      <c r="GVZ994" s="104"/>
      <c r="GWA994" s="103"/>
      <c r="GWM994" s="104"/>
      <c r="GWN994" s="103"/>
      <c r="GWZ994" s="104"/>
      <c r="GXA994" s="103"/>
      <c r="GXM994" s="104"/>
      <c r="GXN994" s="103"/>
      <c r="GXZ994" s="104"/>
      <c r="GYA994" s="103"/>
      <c r="GYM994" s="104"/>
      <c r="GYN994" s="103"/>
      <c r="GYZ994" s="104"/>
      <c r="GZA994" s="103"/>
      <c r="GZM994" s="104"/>
      <c r="GZN994" s="103"/>
      <c r="GZZ994" s="104"/>
      <c r="HAA994" s="103"/>
      <c r="HAM994" s="104"/>
      <c r="HAN994" s="103"/>
      <c r="HAZ994" s="104"/>
      <c r="HBA994" s="103"/>
      <c r="HBM994" s="104"/>
      <c r="HBN994" s="103"/>
      <c r="HBZ994" s="104"/>
      <c r="HCA994" s="103"/>
      <c r="HCM994" s="104"/>
      <c r="HCN994" s="103"/>
      <c r="HCZ994" s="104"/>
      <c r="HDA994" s="103"/>
      <c r="HDM994" s="104"/>
      <c r="HDN994" s="103"/>
      <c r="HDZ994" s="104"/>
      <c r="HEA994" s="103"/>
      <c r="HEM994" s="104"/>
      <c r="HEN994" s="103"/>
      <c r="HEZ994" s="104"/>
      <c r="HFA994" s="103"/>
      <c r="HFM994" s="104"/>
      <c r="HFN994" s="103"/>
      <c r="HFZ994" s="104"/>
      <c r="HGA994" s="103"/>
      <c r="HGM994" s="104"/>
      <c r="HGN994" s="103"/>
      <c r="HGZ994" s="104"/>
      <c r="HHA994" s="103"/>
      <c r="HHM994" s="104"/>
      <c r="HHN994" s="103"/>
      <c r="HHZ994" s="104"/>
      <c r="HIA994" s="103"/>
      <c r="HIM994" s="104"/>
      <c r="HIN994" s="103"/>
      <c r="HIZ994" s="104"/>
      <c r="HJA994" s="103"/>
      <c r="HJM994" s="104"/>
      <c r="HJN994" s="103"/>
      <c r="HJZ994" s="104"/>
      <c r="HKA994" s="103"/>
      <c r="HKM994" s="104"/>
      <c r="HKN994" s="103"/>
      <c r="HKZ994" s="104"/>
      <c r="HLA994" s="103"/>
      <c r="HLM994" s="104"/>
      <c r="HLN994" s="103"/>
      <c r="HLZ994" s="104"/>
      <c r="HMA994" s="103"/>
      <c r="HMM994" s="104"/>
      <c r="HMN994" s="103"/>
      <c r="HMZ994" s="104"/>
      <c r="HNA994" s="103"/>
      <c r="HNM994" s="104"/>
      <c r="HNN994" s="103"/>
      <c r="HNZ994" s="104"/>
      <c r="HOA994" s="103"/>
      <c r="HOM994" s="104"/>
      <c r="HON994" s="103"/>
      <c r="HOZ994" s="104"/>
      <c r="HPA994" s="103"/>
      <c r="HPM994" s="104"/>
      <c r="HPN994" s="103"/>
      <c r="HPZ994" s="104"/>
      <c r="HQA994" s="103"/>
      <c r="HQM994" s="104"/>
      <c r="HQN994" s="103"/>
      <c r="HQZ994" s="104"/>
      <c r="HRA994" s="103"/>
      <c r="HRM994" s="104"/>
      <c r="HRN994" s="103"/>
      <c r="HRZ994" s="104"/>
      <c r="HSA994" s="103"/>
      <c r="HSM994" s="104"/>
      <c r="HSN994" s="103"/>
      <c r="HSZ994" s="104"/>
      <c r="HTA994" s="103"/>
      <c r="HTM994" s="104"/>
      <c r="HTN994" s="103"/>
      <c r="HTZ994" s="104"/>
      <c r="HUA994" s="103"/>
      <c r="HUM994" s="104"/>
      <c r="HUN994" s="103"/>
      <c r="HUZ994" s="104"/>
      <c r="HVA994" s="103"/>
      <c r="HVM994" s="104"/>
      <c r="HVN994" s="103"/>
      <c r="HVZ994" s="104"/>
      <c r="HWA994" s="103"/>
      <c r="HWM994" s="104"/>
      <c r="HWN994" s="103"/>
      <c r="HWZ994" s="104"/>
      <c r="HXA994" s="103"/>
      <c r="HXM994" s="104"/>
      <c r="HXN994" s="103"/>
      <c r="HXZ994" s="104"/>
      <c r="HYA994" s="103"/>
      <c r="HYM994" s="104"/>
      <c r="HYN994" s="103"/>
      <c r="HYZ994" s="104"/>
      <c r="HZA994" s="103"/>
      <c r="HZM994" s="104"/>
      <c r="HZN994" s="103"/>
      <c r="HZZ994" s="104"/>
      <c r="IAA994" s="103"/>
      <c r="IAM994" s="104"/>
      <c r="IAN994" s="103"/>
      <c r="IAZ994" s="104"/>
      <c r="IBA994" s="103"/>
      <c r="IBM994" s="104"/>
      <c r="IBN994" s="103"/>
      <c r="IBZ994" s="104"/>
      <c r="ICA994" s="103"/>
      <c r="ICM994" s="104"/>
      <c r="ICN994" s="103"/>
      <c r="ICZ994" s="104"/>
      <c r="IDA994" s="103"/>
      <c r="IDM994" s="104"/>
      <c r="IDN994" s="103"/>
      <c r="IDZ994" s="104"/>
      <c r="IEA994" s="103"/>
      <c r="IEM994" s="104"/>
      <c r="IEN994" s="103"/>
      <c r="IEZ994" s="104"/>
      <c r="IFA994" s="103"/>
      <c r="IFM994" s="104"/>
      <c r="IFN994" s="103"/>
      <c r="IFZ994" s="104"/>
      <c r="IGA994" s="103"/>
      <c r="IGM994" s="104"/>
      <c r="IGN994" s="103"/>
      <c r="IGZ994" s="104"/>
      <c r="IHA994" s="103"/>
      <c r="IHM994" s="104"/>
      <c r="IHN994" s="103"/>
      <c r="IHZ994" s="104"/>
      <c r="IIA994" s="103"/>
      <c r="IIM994" s="104"/>
      <c r="IIN994" s="103"/>
      <c r="IIZ994" s="104"/>
      <c r="IJA994" s="103"/>
      <c r="IJM994" s="104"/>
      <c r="IJN994" s="103"/>
      <c r="IJZ994" s="104"/>
      <c r="IKA994" s="103"/>
      <c r="IKM994" s="104"/>
      <c r="IKN994" s="103"/>
      <c r="IKZ994" s="104"/>
      <c r="ILA994" s="103"/>
      <c r="ILM994" s="104"/>
      <c r="ILN994" s="103"/>
      <c r="ILZ994" s="104"/>
      <c r="IMA994" s="103"/>
      <c r="IMM994" s="104"/>
      <c r="IMN994" s="103"/>
      <c r="IMZ994" s="104"/>
      <c r="INA994" s="103"/>
      <c r="INM994" s="104"/>
      <c r="INN994" s="103"/>
      <c r="INZ994" s="104"/>
      <c r="IOA994" s="103"/>
      <c r="IOM994" s="104"/>
      <c r="ION994" s="103"/>
      <c r="IOZ994" s="104"/>
      <c r="IPA994" s="103"/>
      <c r="IPM994" s="104"/>
      <c r="IPN994" s="103"/>
      <c r="IPZ994" s="104"/>
      <c r="IQA994" s="103"/>
      <c r="IQM994" s="104"/>
      <c r="IQN994" s="103"/>
      <c r="IQZ994" s="104"/>
      <c r="IRA994" s="103"/>
      <c r="IRM994" s="104"/>
      <c r="IRN994" s="103"/>
      <c r="IRZ994" s="104"/>
      <c r="ISA994" s="103"/>
      <c r="ISM994" s="104"/>
      <c r="ISN994" s="103"/>
      <c r="ISZ994" s="104"/>
      <c r="ITA994" s="103"/>
      <c r="ITM994" s="104"/>
      <c r="ITN994" s="103"/>
      <c r="ITZ994" s="104"/>
      <c r="IUA994" s="103"/>
      <c r="IUM994" s="104"/>
      <c r="IUN994" s="103"/>
      <c r="IUZ994" s="104"/>
      <c r="IVA994" s="103"/>
      <c r="IVM994" s="104"/>
      <c r="IVN994" s="103"/>
      <c r="IVZ994" s="104"/>
      <c r="IWA994" s="103"/>
      <c r="IWM994" s="104"/>
      <c r="IWN994" s="103"/>
      <c r="IWZ994" s="104"/>
      <c r="IXA994" s="103"/>
      <c r="IXM994" s="104"/>
      <c r="IXN994" s="103"/>
      <c r="IXZ994" s="104"/>
      <c r="IYA994" s="103"/>
      <c r="IYM994" s="104"/>
      <c r="IYN994" s="103"/>
      <c r="IYZ994" s="104"/>
      <c r="IZA994" s="103"/>
      <c r="IZM994" s="104"/>
      <c r="IZN994" s="103"/>
      <c r="IZZ994" s="104"/>
      <c r="JAA994" s="103"/>
      <c r="JAM994" s="104"/>
      <c r="JAN994" s="103"/>
      <c r="JAZ994" s="104"/>
      <c r="JBA994" s="103"/>
      <c r="JBM994" s="104"/>
      <c r="JBN994" s="103"/>
      <c r="JBZ994" s="104"/>
      <c r="JCA994" s="103"/>
      <c r="JCM994" s="104"/>
      <c r="JCN994" s="103"/>
      <c r="JCZ994" s="104"/>
      <c r="JDA994" s="103"/>
      <c r="JDM994" s="104"/>
      <c r="JDN994" s="103"/>
      <c r="JDZ994" s="104"/>
      <c r="JEA994" s="103"/>
      <c r="JEM994" s="104"/>
      <c r="JEN994" s="103"/>
      <c r="JEZ994" s="104"/>
      <c r="JFA994" s="103"/>
      <c r="JFM994" s="104"/>
      <c r="JFN994" s="103"/>
      <c r="JFZ994" s="104"/>
      <c r="JGA994" s="103"/>
      <c r="JGM994" s="104"/>
      <c r="JGN994" s="103"/>
      <c r="JGZ994" s="104"/>
      <c r="JHA994" s="103"/>
      <c r="JHM994" s="104"/>
      <c r="JHN994" s="103"/>
      <c r="JHZ994" s="104"/>
      <c r="JIA994" s="103"/>
      <c r="JIM994" s="104"/>
      <c r="JIN994" s="103"/>
      <c r="JIZ994" s="104"/>
      <c r="JJA994" s="103"/>
      <c r="JJM994" s="104"/>
      <c r="JJN994" s="103"/>
      <c r="JJZ994" s="104"/>
      <c r="JKA994" s="103"/>
      <c r="JKM994" s="104"/>
      <c r="JKN994" s="103"/>
      <c r="JKZ994" s="104"/>
      <c r="JLA994" s="103"/>
      <c r="JLM994" s="104"/>
      <c r="JLN994" s="103"/>
      <c r="JLZ994" s="104"/>
      <c r="JMA994" s="103"/>
      <c r="JMM994" s="104"/>
      <c r="JMN994" s="103"/>
      <c r="JMZ994" s="104"/>
      <c r="JNA994" s="103"/>
      <c r="JNM994" s="104"/>
      <c r="JNN994" s="103"/>
      <c r="JNZ994" s="104"/>
      <c r="JOA994" s="103"/>
      <c r="JOM994" s="104"/>
      <c r="JON994" s="103"/>
      <c r="JOZ994" s="104"/>
      <c r="JPA994" s="103"/>
      <c r="JPM994" s="104"/>
      <c r="JPN994" s="103"/>
      <c r="JPZ994" s="104"/>
      <c r="JQA994" s="103"/>
      <c r="JQM994" s="104"/>
      <c r="JQN994" s="103"/>
      <c r="JQZ994" s="104"/>
      <c r="JRA994" s="103"/>
      <c r="JRM994" s="104"/>
      <c r="JRN994" s="103"/>
      <c r="JRZ994" s="104"/>
      <c r="JSA994" s="103"/>
      <c r="JSM994" s="104"/>
      <c r="JSN994" s="103"/>
      <c r="JSZ994" s="104"/>
      <c r="JTA994" s="103"/>
      <c r="JTM994" s="104"/>
      <c r="JTN994" s="103"/>
      <c r="JTZ994" s="104"/>
      <c r="JUA994" s="103"/>
      <c r="JUM994" s="104"/>
      <c r="JUN994" s="103"/>
      <c r="JUZ994" s="104"/>
      <c r="JVA994" s="103"/>
      <c r="JVM994" s="104"/>
      <c r="JVN994" s="103"/>
      <c r="JVZ994" s="104"/>
      <c r="JWA994" s="103"/>
      <c r="JWM994" s="104"/>
      <c r="JWN994" s="103"/>
      <c r="JWZ994" s="104"/>
      <c r="JXA994" s="103"/>
      <c r="JXM994" s="104"/>
      <c r="JXN994" s="103"/>
      <c r="JXZ994" s="104"/>
      <c r="JYA994" s="103"/>
      <c r="JYM994" s="104"/>
      <c r="JYN994" s="103"/>
      <c r="JYZ994" s="104"/>
      <c r="JZA994" s="103"/>
      <c r="JZM994" s="104"/>
      <c r="JZN994" s="103"/>
      <c r="JZZ994" s="104"/>
      <c r="KAA994" s="103"/>
      <c r="KAM994" s="104"/>
      <c r="KAN994" s="103"/>
      <c r="KAZ994" s="104"/>
      <c r="KBA994" s="103"/>
      <c r="KBM994" s="104"/>
      <c r="KBN994" s="103"/>
      <c r="KBZ994" s="104"/>
      <c r="KCA994" s="103"/>
      <c r="KCM994" s="104"/>
      <c r="KCN994" s="103"/>
      <c r="KCZ994" s="104"/>
      <c r="KDA994" s="103"/>
      <c r="KDM994" s="104"/>
      <c r="KDN994" s="103"/>
      <c r="KDZ994" s="104"/>
      <c r="KEA994" s="103"/>
      <c r="KEM994" s="104"/>
      <c r="KEN994" s="103"/>
      <c r="KEZ994" s="104"/>
      <c r="KFA994" s="103"/>
      <c r="KFM994" s="104"/>
      <c r="KFN994" s="103"/>
      <c r="KFZ994" s="104"/>
      <c r="KGA994" s="103"/>
      <c r="KGM994" s="104"/>
      <c r="KGN994" s="103"/>
      <c r="KGZ994" s="104"/>
      <c r="KHA994" s="103"/>
      <c r="KHM994" s="104"/>
      <c r="KHN994" s="103"/>
      <c r="KHZ994" s="104"/>
      <c r="KIA994" s="103"/>
      <c r="KIM994" s="104"/>
      <c r="KIN994" s="103"/>
      <c r="KIZ994" s="104"/>
      <c r="KJA994" s="103"/>
      <c r="KJM994" s="104"/>
      <c r="KJN994" s="103"/>
      <c r="KJZ994" s="104"/>
      <c r="KKA994" s="103"/>
      <c r="KKM994" s="104"/>
      <c r="KKN994" s="103"/>
      <c r="KKZ994" s="104"/>
      <c r="KLA994" s="103"/>
      <c r="KLM994" s="104"/>
      <c r="KLN994" s="103"/>
      <c r="KLZ994" s="104"/>
      <c r="KMA994" s="103"/>
      <c r="KMM994" s="104"/>
      <c r="KMN994" s="103"/>
      <c r="KMZ994" s="104"/>
      <c r="KNA994" s="103"/>
      <c r="KNM994" s="104"/>
      <c r="KNN994" s="103"/>
      <c r="KNZ994" s="104"/>
      <c r="KOA994" s="103"/>
      <c r="KOM994" s="104"/>
      <c r="KON994" s="103"/>
      <c r="KOZ994" s="104"/>
      <c r="KPA994" s="103"/>
      <c r="KPM994" s="104"/>
      <c r="KPN994" s="103"/>
      <c r="KPZ994" s="104"/>
      <c r="KQA994" s="103"/>
      <c r="KQM994" s="104"/>
      <c r="KQN994" s="103"/>
      <c r="KQZ994" s="104"/>
      <c r="KRA994" s="103"/>
      <c r="KRM994" s="104"/>
      <c r="KRN994" s="103"/>
      <c r="KRZ994" s="104"/>
      <c r="KSA994" s="103"/>
      <c r="KSM994" s="104"/>
      <c r="KSN994" s="103"/>
      <c r="KSZ994" s="104"/>
      <c r="KTA994" s="103"/>
      <c r="KTM994" s="104"/>
      <c r="KTN994" s="103"/>
      <c r="KTZ994" s="104"/>
      <c r="KUA994" s="103"/>
      <c r="KUM994" s="104"/>
      <c r="KUN994" s="103"/>
      <c r="KUZ994" s="104"/>
      <c r="KVA994" s="103"/>
      <c r="KVM994" s="104"/>
      <c r="KVN994" s="103"/>
      <c r="KVZ994" s="104"/>
      <c r="KWA994" s="103"/>
      <c r="KWM994" s="104"/>
      <c r="KWN994" s="103"/>
      <c r="KWZ994" s="104"/>
      <c r="KXA994" s="103"/>
      <c r="KXM994" s="104"/>
      <c r="KXN994" s="103"/>
      <c r="KXZ994" s="104"/>
      <c r="KYA994" s="103"/>
      <c r="KYM994" s="104"/>
      <c r="KYN994" s="103"/>
      <c r="KYZ994" s="104"/>
      <c r="KZA994" s="103"/>
      <c r="KZM994" s="104"/>
      <c r="KZN994" s="103"/>
      <c r="KZZ994" s="104"/>
      <c r="LAA994" s="103"/>
      <c r="LAM994" s="104"/>
      <c r="LAN994" s="103"/>
      <c r="LAZ994" s="104"/>
      <c r="LBA994" s="103"/>
      <c r="LBM994" s="104"/>
      <c r="LBN994" s="103"/>
      <c r="LBZ994" s="104"/>
      <c r="LCA994" s="103"/>
      <c r="LCM994" s="104"/>
      <c r="LCN994" s="103"/>
      <c r="LCZ994" s="104"/>
      <c r="LDA994" s="103"/>
      <c r="LDM994" s="104"/>
      <c r="LDN994" s="103"/>
      <c r="LDZ994" s="104"/>
      <c r="LEA994" s="103"/>
      <c r="LEM994" s="104"/>
      <c r="LEN994" s="103"/>
      <c r="LEZ994" s="104"/>
      <c r="LFA994" s="103"/>
      <c r="LFM994" s="104"/>
      <c r="LFN994" s="103"/>
      <c r="LFZ994" s="104"/>
      <c r="LGA994" s="103"/>
      <c r="LGM994" s="104"/>
      <c r="LGN994" s="103"/>
      <c r="LGZ994" s="104"/>
      <c r="LHA994" s="103"/>
      <c r="LHM994" s="104"/>
      <c r="LHN994" s="103"/>
      <c r="LHZ994" s="104"/>
      <c r="LIA994" s="103"/>
      <c r="LIM994" s="104"/>
      <c r="LIN994" s="103"/>
      <c r="LIZ994" s="104"/>
      <c r="LJA994" s="103"/>
      <c r="LJM994" s="104"/>
      <c r="LJN994" s="103"/>
      <c r="LJZ994" s="104"/>
      <c r="LKA994" s="103"/>
      <c r="LKM994" s="104"/>
      <c r="LKN994" s="103"/>
      <c r="LKZ994" s="104"/>
      <c r="LLA994" s="103"/>
      <c r="LLM994" s="104"/>
      <c r="LLN994" s="103"/>
      <c r="LLZ994" s="104"/>
      <c r="LMA994" s="103"/>
      <c r="LMM994" s="104"/>
      <c r="LMN994" s="103"/>
      <c r="LMZ994" s="104"/>
      <c r="LNA994" s="103"/>
      <c r="LNM994" s="104"/>
      <c r="LNN994" s="103"/>
      <c r="LNZ994" s="104"/>
      <c r="LOA994" s="103"/>
      <c r="LOM994" s="104"/>
      <c r="LON994" s="103"/>
      <c r="LOZ994" s="104"/>
      <c r="LPA994" s="103"/>
      <c r="LPM994" s="104"/>
      <c r="LPN994" s="103"/>
      <c r="LPZ994" s="104"/>
      <c r="LQA994" s="103"/>
      <c r="LQM994" s="104"/>
      <c r="LQN994" s="103"/>
      <c r="LQZ994" s="104"/>
      <c r="LRA994" s="103"/>
      <c r="LRM994" s="104"/>
      <c r="LRN994" s="103"/>
      <c r="LRZ994" s="104"/>
      <c r="LSA994" s="103"/>
      <c r="LSM994" s="104"/>
      <c r="LSN994" s="103"/>
      <c r="LSZ994" s="104"/>
      <c r="LTA994" s="103"/>
      <c r="LTM994" s="104"/>
      <c r="LTN994" s="103"/>
      <c r="LTZ994" s="104"/>
      <c r="LUA994" s="103"/>
      <c r="LUM994" s="104"/>
      <c r="LUN994" s="103"/>
      <c r="LUZ994" s="104"/>
      <c r="LVA994" s="103"/>
      <c r="LVM994" s="104"/>
      <c r="LVN994" s="103"/>
      <c r="LVZ994" s="104"/>
      <c r="LWA994" s="103"/>
      <c r="LWM994" s="104"/>
      <c r="LWN994" s="103"/>
      <c r="LWZ994" s="104"/>
      <c r="LXA994" s="103"/>
      <c r="LXM994" s="104"/>
      <c r="LXN994" s="103"/>
      <c r="LXZ994" s="104"/>
      <c r="LYA994" s="103"/>
      <c r="LYM994" s="104"/>
      <c r="LYN994" s="103"/>
      <c r="LYZ994" s="104"/>
      <c r="LZA994" s="103"/>
      <c r="LZM994" s="104"/>
      <c r="LZN994" s="103"/>
      <c r="LZZ994" s="104"/>
      <c r="MAA994" s="103"/>
      <c r="MAM994" s="104"/>
      <c r="MAN994" s="103"/>
      <c r="MAZ994" s="104"/>
      <c r="MBA994" s="103"/>
      <c r="MBM994" s="104"/>
      <c r="MBN994" s="103"/>
      <c r="MBZ994" s="104"/>
      <c r="MCA994" s="103"/>
      <c r="MCM994" s="104"/>
      <c r="MCN994" s="103"/>
      <c r="MCZ994" s="104"/>
      <c r="MDA994" s="103"/>
      <c r="MDM994" s="104"/>
      <c r="MDN994" s="103"/>
      <c r="MDZ994" s="104"/>
      <c r="MEA994" s="103"/>
      <c r="MEM994" s="104"/>
      <c r="MEN994" s="103"/>
      <c r="MEZ994" s="104"/>
      <c r="MFA994" s="103"/>
      <c r="MFM994" s="104"/>
      <c r="MFN994" s="103"/>
      <c r="MFZ994" s="104"/>
      <c r="MGA994" s="103"/>
      <c r="MGM994" s="104"/>
      <c r="MGN994" s="103"/>
      <c r="MGZ994" s="104"/>
      <c r="MHA994" s="103"/>
      <c r="MHM994" s="104"/>
      <c r="MHN994" s="103"/>
      <c r="MHZ994" s="104"/>
      <c r="MIA994" s="103"/>
      <c r="MIM994" s="104"/>
      <c r="MIN994" s="103"/>
      <c r="MIZ994" s="104"/>
      <c r="MJA994" s="103"/>
      <c r="MJM994" s="104"/>
      <c r="MJN994" s="103"/>
      <c r="MJZ994" s="104"/>
      <c r="MKA994" s="103"/>
      <c r="MKM994" s="104"/>
      <c r="MKN994" s="103"/>
      <c r="MKZ994" s="104"/>
      <c r="MLA994" s="103"/>
      <c r="MLM994" s="104"/>
      <c r="MLN994" s="103"/>
      <c r="MLZ994" s="104"/>
      <c r="MMA994" s="103"/>
      <c r="MMM994" s="104"/>
      <c r="MMN994" s="103"/>
      <c r="MMZ994" s="104"/>
      <c r="MNA994" s="103"/>
      <c r="MNM994" s="104"/>
      <c r="MNN994" s="103"/>
      <c r="MNZ994" s="104"/>
      <c r="MOA994" s="103"/>
      <c r="MOM994" s="104"/>
      <c r="MON994" s="103"/>
      <c r="MOZ994" s="104"/>
      <c r="MPA994" s="103"/>
      <c r="MPM994" s="104"/>
      <c r="MPN994" s="103"/>
      <c r="MPZ994" s="104"/>
      <c r="MQA994" s="103"/>
      <c r="MQM994" s="104"/>
      <c r="MQN994" s="103"/>
      <c r="MQZ994" s="104"/>
      <c r="MRA994" s="103"/>
      <c r="MRM994" s="104"/>
      <c r="MRN994" s="103"/>
      <c r="MRZ994" s="104"/>
      <c r="MSA994" s="103"/>
      <c r="MSM994" s="104"/>
      <c r="MSN994" s="103"/>
      <c r="MSZ994" s="104"/>
      <c r="MTA994" s="103"/>
      <c r="MTM994" s="104"/>
      <c r="MTN994" s="103"/>
      <c r="MTZ994" s="104"/>
      <c r="MUA994" s="103"/>
      <c r="MUM994" s="104"/>
      <c r="MUN994" s="103"/>
      <c r="MUZ994" s="104"/>
      <c r="MVA994" s="103"/>
      <c r="MVM994" s="104"/>
      <c r="MVN994" s="103"/>
      <c r="MVZ994" s="104"/>
      <c r="MWA994" s="103"/>
      <c r="MWM994" s="104"/>
      <c r="MWN994" s="103"/>
      <c r="MWZ994" s="104"/>
      <c r="MXA994" s="103"/>
      <c r="MXM994" s="104"/>
      <c r="MXN994" s="103"/>
      <c r="MXZ994" s="104"/>
      <c r="MYA994" s="103"/>
      <c r="MYM994" s="104"/>
      <c r="MYN994" s="103"/>
      <c r="MYZ994" s="104"/>
      <c r="MZA994" s="103"/>
      <c r="MZM994" s="104"/>
      <c r="MZN994" s="103"/>
      <c r="MZZ994" s="104"/>
      <c r="NAA994" s="103"/>
      <c r="NAM994" s="104"/>
      <c r="NAN994" s="103"/>
      <c r="NAZ994" s="104"/>
      <c r="NBA994" s="103"/>
      <c r="NBM994" s="104"/>
      <c r="NBN994" s="103"/>
      <c r="NBZ994" s="104"/>
      <c r="NCA994" s="103"/>
      <c r="NCM994" s="104"/>
      <c r="NCN994" s="103"/>
      <c r="NCZ994" s="104"/>
      <c r="NDA994" s="103"/>
      <c r="NDM994" s="104"/>
      <c r="NDN994" s="103"/>
      <c r="NDZ994" s="104"/>
      <c r="NEA994" s="103"/>
      <c r="NEM994" s="104"/>
      <c r="NEN994" s="103"/>
      <c r="NEZ994" s="104"/>
      <c r="NFA994" s="103"/>
      <c r="NFM994" s="104"/>
      <c r="NFN994" s="103"/>
      <c r="NFZ994" s="104"/>
      <c r="NGA994" s="103"/>
      <c r="NGM994" s="104"/>
      <c r="NGN994" s="103"/>
      <c r="NGZ994" s="104"/>
      <c r="NHA994" s="103"/>
      <c r="NHM994" s="104"/>
      <c r="NHN994" s="103"/>
      <c r="NHZ994" s="104"/>
      <c r="NIA994" s="103"/>
      <c r="NIM994" s="104"/>
      <c r="NIN994" s="103"/>
      <c r="NIZ994" s="104"/>
      <c r="NJA994" s="103"/>
      <c r="NJM994" s="104"/>
      <c r="NJN994" s="103"/>
      <c r="NJZ994" s="104"/>
      <c r="NKA994" s="103"/>
      <c r="NKM994" s="104"/>
      <c r="NKN994" s="103"/>
      <c r="NKZ994" s="104"/>
      <c r="NLA994" s="103"/>
      <c r="NLM994" s="104"/>
      <c r="NLN994" s="103"/>
      <c r="NLZ994" s="104"/>
      <c r="NMA994" s="103"/>
      <c r="NMM994" s="104"/>
      <c r="NMN994" s="103"/>
      <c r="NMZ994" s="104"/>
      <c r="NNA994" s="103"/>
      <c r="NNM994" s="104"/>
      <c r="NNN994" s="103"/>
      <c r="NNZ994" s="104"/>
      <c r="NOA994" s="103"/>
      <c r="NOM994" s="104"/>
      <c r="NON994" s="103"/>
      <c r="NOZ994" s="104"/>
      <c r="NPA994" s="103"/>
      <c r="NPM994" s="104"/>
      <c r="NPN994" s="103"/>
      <c r="NPZ994" s="104"/>
      <c r="NQA994" s="103"/>
      <c r="NQM994" s="104"/>
      <c r="NQN994" s="103"/>
      <c r="NQZ994" s="104"/>
      <c r="NRA994" s="103"/>
      <c r="NRM994" s="104"/>
      <c r="NRN994" s="103"/>
      <c r="NRZ994" s="104"/>
      <c r="NSA994" s="103"/>
      <c r="NSM994" s="104"/>
      <c r="NSN994" s="103"/>
      <c r="NSZ994" s="104"/>
      <c r="NTA994" s="103"/>
      <c r="NTM994" s="104"/>
      <c r="NTN994" s="103"/>
      <c r="NTZ994" s="104"/>
      <c r="NUA994" s="103"/>
      <c r="NUM994" s="104"/>
      <c r="NUN994" s="103"/>
      <c r="NUZ994" s="104"/>
      <c r="NVA994" s="103"/>
      <c r="NVM994" s="104"/>
      <c r="NVN994" s="103"/>
      <c r="NVZ994" s="104"/>
      <c r="NWA994" s="103"/>
      <c r="NWM994" s="104"/>
      <c r="NWN994" s="103"/>
      <c r="NWZ994" s="104"/>
      <c r="NXA994" s="103"/>
      <c r="NXM994" s="104"/>
      <c r="NXN994" s="103"/>
      <c r="NXZ994" s="104"/>
      <c r="NYA994" s="103"/>
      <c r="NYM994" s="104"/>
      <c r="NYN994" s="103"/>
      <c r="NYZ994" s="104"/>
      <c r="NZA994" s="103"/>
      <c r="NZM994" s="104"/>
      <c r="NZN994" s="103"/>
      <c r="NZZ994" s="104"/>
      <c r="OAA994" s="103"/>
      <c r="OAM994" s="104"/>
      <c r="OAN994" s="103"/>
      <c r="OAZ994" s="104"/>
      <c r="OBA994" s="103"/>
      <c r="OBM994" s="104"/>
      <c r="OBN994" s="103"/>
      <c r="OBZ994" s="104"/>
      <c r="OCA994" s="103"/>
      <c r="OCM994" s="104"/>
      <c r="OCN994" s="103"/>
      <c r="OCZ994" s="104"/>
      <c r="ODA994" s="103"/>
      <c r="ODM994" s="104"/>
      <c r="ODN994" s="103"/>
      <c r="ODZ994" s="104"/>
      <c r="OEA994" s="103"/>
      <c r="OEM994" s="104"/>
      <c r="OEN994" s="103"/>
      <c r="OEZ994" s="104"/>
      <c r="OFA994" s="103"/>
      <c r="OFM994" s="104"/>
      <c r="OFN994" s="103"/>
      <c r="OFZ994" s="104"/>
      <c r="OGA994" s="103"/>
      <c r="OGM994" s="104"/>
      <c r="OGN994" s="103"/>
      <c r="OGZ994" s="104"/>
      <c r="OHA994" s="103"/>
      <c r="OHM994" s="104"/>
      <c r="OHN994" s="103"/>
      <c r="OHZ994" s="104"/>
      <c r="OIA994" s="103"/>
      <c r="OIM994" s="104"/>
      <c r="OIN994" s="103"/>
      <c r="OIZ994" s="104"/>
      <c r="OJA994" s="103"/>
      <c r="OJM994" s="104"/>
      <c r="OJN994" s="103"/>
      <c r="OJZ994" s="104"/>
      <c r="OKA994" s="103"/>
      <c r="OKM994" s="104"/>
      <c r="OKN994" s="103"/>
      <c r="OKZ994" s="104"/>
      <c r="OLA994" s="103"/>
      <c r="OLM994" s="104"/>
      <c r="OLN994" s="103"/>
      <c r="OLZ994" s="104"/>
      <c r="OMA994" s="103"/>
      <c r="OMM994" s="104"/>
      <c r="OMN994" s="103"/>
      <c r="OMZ994" s="104"/>
      <c r="ONA994" s="103"/>
      <c r="ONM994" s="104"/>
      <c r="ONN994" s="103"/>
      <c r="ONZ994" s="104"/>
      <c r="OOA994" s="103"/>
      <c r="OOM994" s="104"/>
      <c r="OON994" s="103"/>
      <c r="OOZ994" s="104"/>
      <c r="OPA994" s="103"/>
      <c r="OPM994" s="104"/>
      <c r="OPN994" s="103"/>
      <c r="OPZ994" s="104"/>
      <c r="OQA994" s="103"/>
      <c r="OQM994" s="104"/>
      <c r="OQN994" s="103"/>
      <c r="OQZ994" s="104"/>
      <c r="ORA994" s="103"/>
      <c r="ORM994" s="104"/>
      <c r="ORN994" s="103"/>
      <c r="ORZ994" s="104"/>
      <c r="OSA994" s="103"/>
      <c r="OSM994" s="104"/>
      <c r="OSN994" s="103"/>
      <c r="OSZ994" s="104"/>
      <c r="OTA994" s="103"/>
      <c r="OTM994" s="104"/>
      <c r="OTN994" s="103"/>
      <c r="OTZ994" s="104"/>
      <c r="OUA994" s="103"/>
      <c r="OUM994" s="104"/>
      <c r="OUN994" s="103"/>
      <c r="OUZ994" s="104"/>
      <c r="OVA994" s="103"/>
      <c r="OVM994" s="104"/>
      <c r="OVN994" s="103"/>
      <c r="OVZ994" s="104"/>
      <c r="OWA994" s="103"/>
      <c r="OWM994" s="104"/>
      <c r="OWN994" s="103"/>
      <c r="OWZ994" s="104"/>
      <c r="OXA994" s="103"/>
      <c r="OXM994" s="104"/>
      <c r="OXN994" s="103"/>
      <c r="OXZ994" s="104"/>
      <c r="OYA994" s="103"/>
      <c r="OYM994" s="104"/>
      <c r="OYN994" s="103"/>
      <c r="OYZ994" s="104"/>
      <c r="OZA994" s="103"/>
      <c r="OZM994" s="104"/>
      <c r="OZN994" s="103"/>
      <c r="OZZ994" s="104"/>
      <c r="PAA994" s="103"/>
      <c r="PAM994" s="104"/>
      <c r="PAN994" s="103"/>
      <c r="PAZ994" s="104"/>
      <c r="PBA994" s="103"/>
      <c r="PBM994" s="104"/>
      <c r="PBN994" s="103"/>
      <c r="PBZ994" s="104"/>
      <c r="PCA994" s="103"/>
      <c r="PCM994" s="104"/>
      <c r="PCN994" s="103"/>
      <c r="PCZ994" s="104"/>
      <c r="PDA994" s="103"/>
      <c r="PDM994" s="104"/>
      <c r="PDN994" s="103"/>
      <c r="PDZ994" s="104"/>
      <c r="PEA994" s="103"/>
      <c r="PEM994" s="104"/>
      <c r="PEN994" s="103"/>
      <c r="PEZ994" s="104"/>
      <c r="PFA994" s="103"/>
      <c r="PFM994" s="104"/>
      <c r="PFN994" s="103"/>
      <c r="PFZ994" s="104"/>
      <c r="PGA994" s="103"/>
      <c r="PGM994" s="104"/>
      <c r="PGN994" s="103"/>
      <c r="PGZ994" s="104"/>
      <c r="PHA994" s="103"/>
      <c r="PHM994" s="104"/>
      <c r="PHN994" s="103"/>
      <c r="PHZ994" s="104"/>
      <c r="PIA994" s="103"/>
      <c r="PIM994" s="104"/>
      <c r="PIN994" s="103"/>
      <c r="PIZ994" s="104"/>
      <c r="PJA994" s="103"/>
      <c r="PJM994" s="104"/>
      <c r="PJN994" s="103"/>
      <c r="PJZ994" s="104"/>
      <c r="PKA994" s="103"/>
      <c r="PKM994" s="104"/>
      <c r="PKN994" s="103"/>
      <c r="PKZ994" s="104"/>
      <c r="PLA994" s="103"/>
      <c r="PLM994" s="104"/>
      <c r="PLN994" s="103"/>
      <c r="PLZ994" s="104"/>
      <c r="PMA994" s="103"/>
      <c r="PMM994" s="104"/>
      <c r="PMN994" s="103"/>
      <c r="PMZ994" s="104"/>
      <c r="PNA994" s="103"/>
      <c r="PNM994" s="104"/>
      <c r="PNN994" s="103"/>
      <c r="PNZ994" s="104"/>
      <c r="POA994" s="103"/>
      <c r="POM994" s="104"/>
      <c r="PON994" s="103"/>
      <c r="POZ994" s="104"/>
      <c r="PPA994" s="103"/>
      <c r="PPM994" s="104"/>
      <c r="PPN994" s="103"/>
      <c r="PPZ994" s="104"/>
      <c r="PQA994" s="103"/>
      <c r="PQM994" s="104"/>
      <c r="PQN994" s="103"/>
      <c r="PQZ994" s="104"/>
      <c r="PRA994" s="103"/>
      <c r="PRM994" s="104"/>
      <c r="PRN994" s="103"/>
      <c r="PRZ994" s="104"/>
      <c r="PSA994" s="103"/>
      <c r="PSM994" s="104"/>
      <c r="PSN994" s="103"/>
      <c r="PSZ994" s="104"/>
      <c r="PTA994" s="103"/>
      <c r="PTM994" s="104"/>
      <c r="PTN994" s="103"/>
      <c r="PTZ994" s="104"/>
      <c r="PUA994" s="103"/>
      <c r="PUM994" s="104"/>
      <c r="PUN994" s="103"/>
      <c r="PUZ994" s="104"/>
      <c r="PVA994" s="103"/>
      <c r="PVM994" s="104"/>
      <c r="PVN994" s="103"/>
      <c r="PVZ994" s="104"/>
      <c r="PWA994" s="103"/>
      <c r="PWM994" s="104"/>
      <c r="PWN994" s="103"/>
      <c r="PWZ994" s="104"/>
      <c r="PXA994" s="103"/>
      <c r="PXM994" s="104"/>
      <c r="PXN994" s="103"/>
      <c r="PXZ994" s="104"/>
      <c r="PYA994" s="103"/>
      <c r="PYM994" s="104"/>
      <c r="PYN994" s="103"/>
      <c r="PYZ994" s="104"/>
      <c r="PZA994" s="103"/>
      <c r="PZM994" s="104"/>
      <c r="PZN994" s="103"/>
      <c r="PZZ994" s="104"/>
      <c r="QAA994" s="103"/>
      <c r="QAM994" s="104"/>
      <c r="QAN994" s="103"/>
      <c r="QAZ994" s="104"/>
      <c r="QBA994" s="103"/>
      <c r="QBM994" s="104"/>
      <c r="QBN994" s="103"/>
      <c r="QBZ994" s="104"/>
      <c r="QCA994" s="103"/>
      <c r="QCM994" s="104"/>
      <c r="QCN994" s="103"/>
      <c r="QCZ994" s="104"/>
      <c r="QDA994" s="103"/>
      <c r="QDM994" s="104"/>
      <c r="QDN994" s="103"/>
      <c r="QDZ994" s="104"/>
      <c r="QEA994" s="103"/>
      <c r="QEM994" s="104"/>
      <c r="QEN994" s="103"/>
      <c r="QEZ994" s="104"/>
      <c r="QFA994" s="103"/>
      <c r="QFM994" s="104"/>
      <c r="QFN994" s="103"/>
      <c r="QFZ994" s="104"/>
      <c r="QGA994" s="103"/>
      <c r="QGM994" s="104"/>
      <c r="QGN994" s="103"/>
      <c r="QGZ994" s="104"/>
      <c r="QHA994" s="103"/>
      <c r="QHM994" s="104"/>
      <c r="QHN994" s="103"/>
      <c r="QHZ994" s="104"/>
      <c r="QIA994" s="103"/>
      <c r="QIM994" s="104"/>
      <c r="QIN994" s="103"/>
      <c r="QIZ994" s="104"/>
      <c r="QJA994" s="103"/>
      <c r="QJM994" s="104"/>
      <c r="QJN994" s="103"/>
      <c r="QJZ994" s="104"/>
      <c r="QKA994" s="103"/>
      <c r="QKM994" s="104"/>
      <c r="QKN994" s="103"/>
      <c r="QKZ994" s="104"/>
      <c r="QLA994" s="103"/>
      <c r="QLM994" s="104"/>
      <c r="QLN994" s="103"/>
      <c r="QLZ994" s="104"/>
      <c r="QMA994" s="103"/>
      <c r="QMM994" s="104"/>
      <c r="QMN994" s="103"/>
      <c r="QMZ994" s="104"/>
      <c r="QNA994" s="103"/>
      <c r="QNM994" s="104"/>
      <c r="QNN994" s="103"/>
      <c r="QNZ994" s="104"/>
      <c r="QOA994" s="103"/>
      <c r="QOM994" s="104"/>
      <c r="QON994" s="103"/>
      <c r="QOZ994" s="104"/>
      <c r="QPA994" s="103"/>
      <c r="QPM994" s="104"/>
      <c r="QPN994" s="103"/>
      <c r="QPZ994" s="104"/>
      <c r="QQA994" s="103"/>
      <c r="QQM994" s="104"/>
      <c r="QQN994" s="103"/>
      <c r="QQZ994" s="104"/>
      <c r="QRA994" s="103"/>
      <c r="QRM994" s="104"/>
      <c r="QRN994" s="103"/>
      <c r="QRZ994" s="104"/>
      <c r="QSA994" s="103"/>
      <c r="QSM994" s="104"/>
      <c r="QSN994" s="103"/>
      <c r="QSZ994" s="104"/>
      <c r="QTA994" s="103"/>
      <c r="QTM994" s="104"/>
      <c r="QTN994" s="103"/>
      <c r="QTZ994" s="104"/>
      <c r="QUA994" s="103"/>
      <c r="QUM994" s="104"/>
      <c r="QUN994" s="103"/>
      <c r="QUZ994" s="104"/>
      <c r="QVA994" s="103"/>
      <c r="QVM994" s="104"/>
      <c r="QVN994" s="103"/>
      <c r="QVZ994" s="104"/>
      <c r="QWA994" s="103"/>
      <c r="QWM994" s="104"/>
      <c r="QWN994" s="103"/>
      <c r="QWZ994" s="104"/>
      <c r="QXA994" s="103"/>
      <c r="QXM994" s="104"/>
      <c r="QXN994" s="103"/>
      <c r="QXZ994" s="104"/>
      <c r="QYA994" s="103"/>
      <c r="QYM994" s="104"/>
      <c r="QYN994" s="103"/>
      <c r="QYZ994" s="104"/>
      <c r="QZA994" s="103"/>
      <c r="QZM994" s="104"/>
      <c r="QZN994" s="103"/>
      <c r="QZZ994" s="104"/>
      <c r="RAA994" s="103"/>
      <c r="RAM994" s="104"/>
      <c r="RAN994" s="103"/>
      <c r="RAZ994" s="104"/>
      <c r="RBA994" s="103"/>
      <c r="RBM994" s="104"/>
      <c r="RBN994" s="103"/>
      <c r="RBZ994" s="104"/>
      <c r="RCA994" s="103"/>
      <c r="RCM994" s="104"/>
      <c r="RCN994" s="103"/>
      <c r="RCZ994" s="104"/>
      <c r="RDA994" s="103"/>
      <c r="RDM994" s="104"/>
      <c r="RDN994" s="103"/>
      <c r="RDZ994" s="104"/>
      <c r="REA994" s="103"/>
      <c r="REM994" s="104"/>
      <c r="REN994" s="103"/>
      <c r="REZ994" s="104"/>
      <c r="RFA994" s="103"/>
      <c r="RFM994" s="104"/>
      <c r="RFN994" s="103"/>
      <c r="RFZ994" s="104"/>
      <c r="RGA994" s="103"/>
      <c r="RGM994" s="104"/>
      <c r="RGN994" s="103"/>
      <c r="RGZ994" s="104"/>
      <c r="RHA994" s="103"/>
      <c r="RHM994" s="104"/>
      <c r="RHN994" s="103"/>
      <c r="RHZ994" s="104"/>
      <c r="RIA994" s="103"/>
      <c r="RIM994" s="104"/>
      <c r="RIN994" s="103"/>
      <c r="RIZ994" s="104"/>
      <c r="RJA994" s="103"/>
      <c r="RJM994" s="104"/>
      <c r="RJN994" s="103"/>
      <c r="RJZ994" s="104"/>
      <c r="RKA994" s="103"/>
      <c r="RKM994" s="104"/>
      <c r="RKN994" s="103"/>
      <c r="RKZ994" s="104"/>
      <c r="RLA994" s="103"/>
      <c r="RLM994" s="104"/>
      <c r="RLN994" s="103"/>
      <c r="RLZ994" s="104"/>
      <c r="RMA994" s="103"/>
      <c r="RMM994" s="104"/>
      <c r="RMN994" s="103"/>
      <c r="RMZ994" s="104"/>
      <c r="RNA994" s="103"/>
      <c r="RNM994" s="104"/>
      <c r="RNN994" s="103"/>
      <c r="RNZ994" s="104"/>
      <c r="ROA994" s="103"/>
      <c r="ROM994" s="104"/>
      <c r="RON994" s="103"/>
      <c r="ROZ994" s="104"/>
      <c r="RPA994" s="103"/>
      <c r="RPM994" s="104"/>
      <c r="RPN994" s="103"/>
      <c r="RPZ994" s="104"/>
      <c r="RQA994" s="103"/>
      <c r="RQM994" s="104"/>
      <c r="RQN994" s="103"/>
      <c r="RQZ994" s="104"/>
      <c r="RRA994" s="103"/>
      <c r="RRM994" s="104"/>
      <c r="RRN994" s="103"/>
      <c r="RRZ994" s="104"/>
      <c r="RSA994" s="103"/>
      <c r="RSM994" s="104"/>
      <c r="RSN994" s="103"/>
      <c r="RSZ994" s="104"/>
      <c r="RTA994" s="103"/>
      <c r="RTM994" s="104"/>
      <c r="RTN994" s="103"/>
      <c r="RTZ994" s="104"/>
      <c r="RUA994" s="103"/>
      <c r="RUM994" s="104"/>
      <c r="RUN994" s="103"/>
      <c r="RUZ994" s="104"/>
      <c r="RVA994" s="103"/>
      <c r="RVM994" s="104"/>
      <c r="RVN994" s="103"/>
      <c r="RVZ994" s="104"/>
      <c r="RWA994" s="103"/>
      <c r="RWM994" s="104"/>
      <c r="RWN994" s="103"/>
      <c r="RWZ994" s="104"/>
      <c r="RXA994" s="103"/>
      <c r="RXM994" s="104"/>
      <c r="RXN994" s="103"/>
      <c r="RXZ994" s="104"/>
      <c r="RYA994" s="103"/>
      <c r="RYM994" s="104"/>
      <c r="RYN994" s="103"/>
      <c r="RYZ994" s="104"/>
      <c r="RZA994" s="103"/>
      <c r="RZM994" s="104"/>
      <c r="RZN994" s="103"/>
      <c r="RZZ994" s="104"/>
      <c r="SAA994" s="103"/>
      <c r="SAM994" s="104"/>
      <c r="SAN994" s="103"/>
      <c r="SAZ994" s="104"/>
      <c r="SBA994" s="103"/>
      <c r="SBM994" s="104"/>
      <c r="SBN994" s="103"/>
      <c r="SBZ994" s="104"/>
      <c r="SCA994" s="103"/>
      <c r="SCM994" s="104"/>
      <c r="SCN994" s="103"/>
      <c r="SCZ994" s="104"/>
      <c r="SDA994" s="103"/>
      <c r="SDM994" s="104"/>
      <c r="SDN994" s="103"/>
      <c r="SDZ994" s="104"/>
      <c r="SEA994" s="103"/>
      <c r="SEM994" s="104"/>
      <c r="SEN994" s="103"/>
      <c r="SEZ994" s="104"/>
      <c r="SFA994" s="103"/>
      <c r="SFM994" s="104"/>
      <c r="SFN994" s="103"/>
      <c r="SFZ994" s="104"/>
      <c r="SGA994" s="103"/>
      <c r="SGM994" s="104"/>
      <c r="SGN994" s="103"/>
      <c r="SGZ994" s="104"/>
      <c r="SHA994" s="103"/>
      <c r="SHM994" s="104"/>
      <c r="SHN994" s="103"/>
      <c r="SHZ994" s="104"/>
      <c r="SIA994" s="103"/>
      <c r="SIM994" s="104"/>
      <c r="SIN994" s="103"/>
      <c r="SIZ994" s="104"/>
      <c r="SJA994" s="103"/>
      <c r="SJM994" s="104"/>
      <c r="SJN994" s="103"/>
      <c r="SJZ994" s="104"/>
      <c r="SKA994" s="103"/>
      <c r="SKM994" s="104"/>
      <c r="SKN994" s="103"/>
      <c r="SKZ994" s="104"/>
      <c r="SLA994" s="103"/>
      <c r="SLM994" s="104"/>
      <c r="SLN994" s="103"/>
      <c r="SLZ994" s="104"/>
      <c r="SMA994" s="103"/>
      <c r="SMM994" s="104"/>
      <c r="SMN994" s="103"/>
      <c r="SMZ994" s="104"/>
      <c r="SNA994" s="103"/>
      <c r="SNM994" s="104"/>
      <c r="SNN994" s="103"/>
      <c r="SNZ994" s="104"/>
      <c r="SOA994" s="103"/>
      <c r="SOM994" s="104"/>
      <c r="SON994" s="103"/>
      <c r="SOZ994" s="104"/>
      <c r="SPA994" s="103"/>
      <c r="SPM994" s="104"/>
      <c r="SPN994" s="103"/>
      <c r="SPZ994" s="104"/>
      <c r="SQA994" s="103"/>
      <c r="SQM994" s="104"/>
      <c r="SQN994" s="103"/>
      <c r="SQZ994" s="104"/>
      <c r="SRA994" s="103"/>
      <c r="SRM994" s="104"/>
      <c r="SRN994" s="103"/>
      <c r="SRZ994" s="104"/>
      <c r="SSA994" s="103"/>
      <c r="SSM994" s="104"/>
      <c r="SSN994" s="103"/>
      <c r="SSZ994" s="104"/>
      <c r="STA994" s="103"/>
      <c r="STM994" s="104"/>
      <c r="STN994" s="103"/>
      <c r="STZ994" s="104"/>
      <c r="SUA994" s="103"/>
      <c r="SUM994" s="104"/>
      <c r="SUN994" s="103"/>
      <c r="SUZ994" s="104"/>
      <c r="SVA994" s="103"/>
      <c r="SVM994" s="104"/>
      <c r="SVN994" s="103"/>
      <c r="SVZ994" s="104"/>
      <c r="SWA994" s="103"/>
      <c r="SWM994" s="104"/>
      <c r="SWN994" s="103"/>
      <c r="SWZ994" s="104"/>
      <c r="SXA994" s="103"/>
      <c r="SXM994" s="104"/>
      <c r="SXN994" s="103"/>
      <c r="SXZ994" s="104"/>
      <c r="SYA994" s="103"/>
      <c r="SYM994" s="104"/>
      <c r="SYN994" s="103"/>
      <c r="SYZ994" s="104"/>
      <c r="SZA994" s="103"/>
      <c r="SZM994" s="104"/>
      <c r="SZN994" s="103"/>
      <c r="SZZ994" s="104"/>
      <c r="TAA994" s="103"/>
      <c r="TAM994" s="104"/>
      <c r="TAN994" s="103"/>
      <c r="TAZ994" s="104"/>
      <c r="TBA994" s="103"/>
      <c r="TBM994" s="104"/>
      <c r="TBN994" s="103"/>
      <c r="TBZ994" s="104"/>
      <c r="TCA994" s="103"/>
      <c r="TCM994" s="104"/>
      <c r="TCN994" s="103"/>
      <c r="TCZ994" s="104"/>
      <c r="TDA994" s="103"/>
      <c r="TDM994" s="104"/>
      <c r="TDN994" s="103"/>
      <c r="TDZ994" s="104"/>
      <c r="TEA994" s="103"/>
      <c r="TEM994" s="104"/>
      <c r="TEN994" s="103"/>
      <c r="TEZ994" s="104"/>
      <c r="TFA994" s="103"/>
      <c r="TFM994" s="104"/>
      <c r="TFN994" s="103"/>
      <c r="TFZ994" s="104"/>
      <c r="TGA994" s="103"/>
      <c r="TGM994" s="104"/>
      <c r="TGN994" s="103"/>
      <c r="TGZ994" s="104"/>
      <c r="THA994" s="103"/>
      <c r="THM994" s="104"/>
      <c r="THN994" s="103"/>
      <c r="THZ994" s="104"/>
      <c r="TIA994" s="103"/>
      <c r="TIM994" s="104"/>
      <c r="TIN994" s="103"/>
      <c r="TIZ994" s="104"/>
      <c r="TJA994" s="103"/>
      <c r="TJM994" s="104"/>
      <c r="TJN994" s="103"/>
      <c r="TJZ994" s="104"/>
      <c r="TKA994" s="103"/>
      <c r="TKM994" s="104"/>
      <c r="TKN994" s="103"/>
      <c r="TKZ994" s="104"/>
      <c r="TLA994" s="103"/>
      <c r="TLM994" s="104"/>
      <c r="TLN994" s="103"/>
      <c r="TLZ994" s="104"/>
      <c r="TMA994" s="103"/>
      <c r="TMM994" s="104"/>
      <c r="TMN994" s="103"/>
      <c r="TMZ994" s="104"/>
      <c r="TNA994" s="103"/>
      <c r="TNM994" s="104"/>
      <c r="TNN994" s="103"/>
      <c r="TNZ994" s="104"/>
      <c r="TOA994" s="103"/>
      <c r="TOM994" s="104"/>
      <c r="TON994" s="103"/>
      <c r="TOZ994" s="104"/>
      <c r="TPA994" s="103"/>
      <c r="TPM994" s="104"/>
      <c r="TPN994" s="103"/>
      <c r="TPZ994" s="104"/>
      <c r="TQA994" s="103"/>
      <c r="TQM994" s="104"/>
      <c r="TQN994" s="103"/>
      <c r="TQZ994" s="104"/>
      <c r="TRA994" s="103"/>
      <c r="TRM994" s="104"/>
      <c r="TRN994" s="103"/>
      <c r="TRZ994" s="104"/>
      <c r="TSA994" s="103"/>
      <c r="TSM994" s="104"/>
      <c r="TSN994" s="103"/>
      <c r="TSZ994" s="104"/>
      <c r="TTA994" s="103"/>
      <c r="TTM994" s="104"/>
      <c r="TTN994" s="103"/>
      <c r="TTZ994" s="104"/>
      <c r="TUA994" s="103"/>
      <c r="TUM994" s="104"/>
      <c r="TUN994" s="103"/>
      <c r="TUZ994" s="104"/>
      <c r="TVA994" s="103"/>
      <c r="TVM994" s="104"/>
      <c r="TVN994" s="103"/>
      <c r="TVZ994" s="104"/>
      <c r="TWA994" s="103"/>
      <c r="TWM994" s="104"/>
      <c r="TWN994" s="103"/>
      <c r="TWZ994" s="104"/>
      <c r="TXA994" s="103"/>
      <c r="TXM994" s="104"/>
      <c r="TXN994" s="103"/>
      <c r="TXZ994" s="104"/>
      <c r="TYA994" s="103"/>
      <c r="TYM994" s="104"/>
      <c r="TYN994" s="103"/>
      <c r="TYZ994" s="104"/>
      <c r="TZA994" s="103"/>
      <c r="TZM994" s="104"/>
      <c r="TZN994" s="103"/>
      <c r="TZZ994" s="104"/>
      <c r="UAA994" s="103"/>
      <c r="UAM994" s="104"/>
      <c r="UAN994" s="103"/>
      <c r="UAZ994" s="104"/>
      <c r="UBA994" s="103"/>
      <c r="UBM994" s="104"/>
      <c r="UBN994" s="103"/>
      <c r="UBZ994" s="104"/>
      <c r="UCA994" s="103"/>
      <c r="UCM994" s="104"/>
      <c r="UCN994" s="103"/>
      <c r="UCZ994" s="104"/>
      <c r="UDA994" s="103"/>
      <c r="UDM994" s="104"/>
      <c r="UDN994" s="103"/>
      <c r="UDZ994" s="104"/>
      <c r="UEA994" s="103"/>
      <c r="UEM994" s="104"/>
      <c r="UEN994" s="103"/>
      <c r="UEZ994" s="104"/>
      <c r="UFA994" s="103"/>
      <c r="UFM994" s="104"/>
      <c r="UFN994" s="103"/>
      <c r="UFZ994" s="104"/>
      <c r="UGA994" s="103"/>
      <c r="UGM994" s="104"/>
      <c r="UGN994" s="103"/>
      <c r="UGZ994" s="104"/>
      <c r="UHA994" s="103"/>
      <c r="UHM994" s="104"/>
      <c r="UHN994" s="103"/>
      <c r="UHZ994" s="104"/>
      <c r="UIA994" s="103"/>
      <c r="UIM994" s="104"/>
      <c r="UIN994" s="103"/>
      <c r="UIZ994" s="104"/>
      <c r="UJA994" s="103"/>
      <c r="UJM994" s="104"/>
      <c r="UJN994" s="103"/>
      <c r="UJZ994" s="104"/>
      <c r="UKA994" s="103"/>
      <c r="UKM994" s="104"/>
      <c r="UKN994" s="103"/>
      <c r="UKZ994" s="104"/>
      <c r="ULA994" s="103"/>
      <c r="ULM994" s="104"/>
      <c r="ULN994" s="103"/>
      <c r="ULZ994" s="104"/>
      <c r="UMA994" s="103"/>
      <c r="UMM994" s="104"/>
      <c r="UMN994" s="103"/>
      <c r="UMZ994" s="104"/>
      <c r="UNA994" s="103"/>
      <c r="UNM994" s="104"/>
      <c r="UNN994" s="103"/>
      <c r="UNZ994" s="104"/>
      <c r="UOA994" s="103"/>
      <c r="UOM994" s="104"/>
      <c r="UON994" s="103"/>
      <c r="UOZ994" s="104"/>
      <c r="UPA994" s="103"/>
      <c r="UPM994" s="104"/>
      <c r="UPN994" s="103"/>
      <c r="UPZ994" s="104"/>
      <c r="UQA994" s="103"/>
      <c r="UQM994" s="104"/>
      <c r="UQN994" s="103"/>
      <c r="UQZ994" s="104"/>
      <c r="URA994" s="103"/>
      <c r="URM994" s="104"/>
      <c r="URN994" s="103"/>
      <c r="URZ994" s="104"/>
      <c r="USA994" s="103"/>
      <c r="USM994" s="104"/>
      <c r="USN994" s="103"/>
      <c r="USZ994" s="104"/>
      <c r="UTA994" s="103"/>
      <c r="UTM994" s="104"/>
      <c r="UTN994" s="103"/>
      <c r="UTZ994" s="104"/>
      <c r="UUA994" s="103"/>
      <c r="UUM994" s="104"/>
      <c r="UUN994" s="103"/>
      <c r="UUZ994" s="104"/>
      <c r="UVA994" s="103"/>
      <c r="UVM994" s="104"/>
      <c r="UVN994" s="103"/>
      <c r="UVZ994" s="104"/>
      <c r="UWA994" s="103"/>
      <c r="UWM994" s="104"/>
      <c r="UWN994" s="103"/>
      <c r="UWZ994" s="104"/>
      <c r="UXA994" s="103"/>
      <c r="UXM994" s="104"/>
      <c r="UXN994" s="103"/>
      <c r="UXZ994" s="104"/>
      <c r="UYA994" s="103"/>
      <c r="UYM994" s="104"/>
      <c r="UYN994" s="103"/>
      <c r="UYZ994" s="104"/>
      <c r="UZA994" s="103"/>
      <c r="UZM994" s="104"/>
      <c r="UZN994" s="103"/>
      <c r="UZZ994" s="104"/>
      <c r="VAA994" s="103"/>
      <c r="VAM994" s="104"/>
      <c r="VAN994" s="103"/>
      <c r="VAZ994" s="104"/>
      <c r="VBA994" s="103"/>
      <c r="VBM994" s="104"/>
      <c r="VBN994" s="103"/>
      <c r="VBZ994" s="104"/>
      <c r="VCA994" s="103"/>
      <c r="VCM994" s="104"/>
      <c r="VCN994" s="103"/>
      <c r="VCZ994" s="104"/>
      <c r="VDA994" s="103"/>
      <c r="VDM994" s="104"/>
      <c r="VDN994" s="103"/>
      <c r="VDZ994" s="104"/>
      <c r="VEA994" s="103"/>
      <c r="VEM994" s="104"/>
      <c r="VEN994" s="103"/>
      <c r="VEZ994" s="104"/>
      <c r="VFA994" s="103"/>
      <c r="VFM994" s="104"/>
      <c r="VFN994" s="103"/>
      <c r="VFZ994" s="104"/>
      <c r="VGA994" s="103"/>
      <c r="VGM994" s="104"/>
      <c r="VGN994" s="103"/>
      <c r="VGZ994" s="104"/>
      <c r="VHA994" s="103"/>
      <c r="VHM994" s="104"/>
      <c r="VHN994" s="103"/>
      <c r="VHZ994" s="104"/>
      <c r="VIA994" s="103"/>
      <c r="VIM994" s="104"/>
      <c r="VIN994" s="103"/>
      <c r="VIZ994" s="104"/>
      <c r="VJA994" s="103"/>
      <c r="VJM994" s="104"/>
      <c r="VJN994" s="103"/>
      <c r="VJZ994" s="104"/>
      <c r="VKA994" s="103"/>
      <c r="VKM994" s="104"/>
      <c r="VKN994" s="103"/>
      <c r="VKZ994" s="104"/>
      <c r="VLA994" s="103"/>
      <c r="VLM994" s="104"/>
      <c r="VLN994" s="103"/>
      <c r="VLZ994" s="104"/>
      <c r="VMA994" s="103"/>
      <c r="VMM994" s="104"/>
      <c r="VMN994" s="103"/>
      <c r="VMZ994" s="104"/>
      <c r="VNA994" s="103"/>
      <c r="VNM994" s="104"/>
      <c r="VNN994" s="103"/>
      <c r="VNZ994" s="104"/>
      <c r="VOA994" s="103"/>
      <c r="VOM994" s="104"/>
      <c r="VON994" s="103"/>
      <c r="VOZ994" s="104"/>
      <c r="VPA994" s="103"/>
      <c r="VPM994" s="104"/>
      <c r="VPN994" s="103"/>
      <c r="VPZ994" s="104"/>
      <c r="VQA994" s="103"/>
      <c r="VQM994" s="104"/>
      <c r="VQN994" s="103"/>
      <c r="VQZ994" s="104"/>
      <c r="VRA994" s="103"/>
      <c r="VRM994" s="104"/>
      <c r="VRN994" s="103"/>
      <c r="VRZ994" s="104"/>
      <c r="VSA994" s="103"/>
      <c r="VSM994" s="104"/>
      <c r="VSN994" s="103"/>
      <c r="VSZ994" s="104"/>
      <c r="VTA994" s="103"/>
      <c r="VTM994" s="104"/>
      <c r="VTN994" s="103"/>
      <c r="VTZ994" s="104"/>
      <c r="VUA994" s="103"/>
      <c r="VUM994" s="104"/>
      <c r="VUN994" s="103"/>
      <c r="VUZ994" s="104"/>
      <c r="VVA994" s="103"/>
      <c r="VVM994" s="104"/>
      <c r="VVN994" s="103"/>
      <c r="VVZ994" s="104"/>
      <c r="VWA994" s="103"/>
      <c r="VWM994" s="104"/>
      <c r="VWN994" s="103"/>
      <c r="VWZ994" s="104"/>
      <c r="VXA994" s="103"/>
      <c r="VXM994" s="104"/>
      <c r="VXN994" s="103"/>
      <c r="VXZ994" s="104"/>
      <c r="VYA994" s="103"/>
      <c r="VYM994" s="104"/>
      <c r="VYN994" s="103"/>
      <c r="VYZ994" s="104"/>
      <c r="VZA994" s="103"/>
      <c r="VZM994" s="104"/>
      <c r="VZN994" s="103"/>
      <c r="VZZ994" s="104"/>
      <c r="WAA994" s="103"/>
      <c r="WAM994" s="104"/>
      <c r="WAN994" s="103"/>
      <c r="WAZ994" s="104"/>
      <c r="WBA994" s="103"/>
      <c r="WBM994" s="104"/>
      <c r="WBN994" s="103"/>
      <c r="WBZ994" s="104"/>
      <c r="WCA994" s="103"/>
      <c r="WCM994" s="104"/>
      <c r="WCN994" s="103"/>
      <c r="WCZ994" s="104"/>
      <c r="WDA994" s="103"/>
      <c r="WDM994" s="104"/>
      <c r="WDN994" s="103"/>
      <c r="WDZ994" s="104"/>
      <c r="WEA994" s="103"/>
      <c r="WEM994" s="104"/>
      <c r="WEN994" s="103"/>
      <c r="WEZ994" s="104"/>
      <c r="WFA994" s="103"/>
      <c r="WFM994" s="104"/>
      <c r="WFN994" s="103"/>
      <c r="WFZ994" s="104"/>
      <c r="WGA994" s="103"/>
      <c r="WGM994" s="104"/>
      <c r="WGN994" s="103"/>
      <c r="WGZ994" s="104"/>
      <c r="WHA994" s="103"/>
      <c r="WHM994" s="104"/>
      <c r="WHN994" s="103"/>
      <c r="WHZ994" s="104"/>
      <c r="WIA994" s="103"/>
      <c r="WIM994" s="104"/>
      <c r="WIN994" s="103"/>
      <c r="WIZ994" s="104"/>
      <c r="WJA994" s="103"/>
      <c r="WJM994" s="104"/>
      <c r="WJN994" s="103"/>
      <c r="WJZ994" s="104"/>
      <c r="WKA994" s="103"/>
      <c r="WKM994" s="104"/>
      <c r="WKN994" s="103"/>
      <c r="WKZ994" s="104"/>
      <c r="WLA994" s="103"/>
      <c r="WLM994" s="104"/>
      <c r="WLN994" s="103"/>
      <c r="WLZ994" s="104"/>
      <c r="WMA994" s="103"/>
      <c r="WMM994" s="104"/>
      <c r="WMN994" s="103"/>
      <c r="WMZ994" s="104"/>
      <c r="WNA994" s="103"/>
      <c r="WNM994" s="104"/>
      <c r="WNN994" s="103"/>
      <c r="WNZ994" s="104"/>
      <c r="WOA994" s="103"/>
      <c r="WOM994" s="104"/>
      <c r="WON994" s="103"/>
      <c r="WOZ994" s="104"/>
      <c r="WPA994" s="103"/>
      <c r="WPM994" s="104"/>
      <c r="WPN994" s="103"/>
      <c r="WPZ994" s="104"/>
      <c r="WQA994" s="103"/>
      <c r="WQM994" s="104"/>
      <c r="WQN994" s="103"/>
      <c r="WQZ994" s="104"/>
      <c r="WRA994" s="103"/>
      <c r="WRM994" s="104"/>
      <c r="WRN994" s="103"/>
      <c r="WRZ994" s="104"/>
      <c r="WSA994" s="103"/>
      <c r="WSM994" s="104"/>
      <c r="WSN994" s="103"/>
      <c r="WSZ994" s="104"/>
      <c r="WTA994" s="103"/>
      <c r="WTM994" s="104"/>
      <c r="WTN994" s="103"/>
      <c r="WTZ994" s="104"/>
      <c r="WUA994" s="103"/>
      <c r="WUM994" s="104"/>
      <c r="WUN994" s="103"/>
      <c r="WUZ994" s="104"/>
      <c r="WVA994" s="103"/>
      <c r="WVM994" s="104"/>
      <c r="WVN994" s="103"/>
      <c r="WVZ994" s="104"/>
      <c r="WWA994" s="103"/>
      <c r="WWM994" s="104"/>
      <c r="WWN994" s="103"/>
      <c r="WWZ994" s="104"/>
      <c r="WXA994" s="103"/>
      <c r="WXM994" s="104"/>
      <c r="WXN994" s="103"/>
      <c r="WXZ994" s="104"/>
      <c r="WYA994" s="103"/>
      <c r="WYM994" s="104"/>
      <c r="WYN994" s="103"/>
      <c r="WYZ994" s="104"/>
      <c r="WZA994" s="103"/>
      <c r="WZM994" s="104"/>
      <c r="WZN994" s="103"/>
      <c r="WZZ994" s="104"/>
      <c r="XAA994" s="103"/>
      <c r="XAM994" s="104"/>
      <c r="XAN994" s="103"/>
      <c r="XAZ994" s="104"/>
      <c r="XBA994" s="103"/>
      <c r="XBM994" s="104"/>
      <c r="XBN994" s="103"/>
      <c r="XBZ994" s="104"/>
      <c r="XCA994" s="103"/>
      <c r="XCM994" s="104"/>
      <c r="XCN994" s="103"/>
      <c r="XCZ994" s="104"/>
      <c r="XDA994" s="103"/>
      <c r="XDM994" s="104"/>
      <c r="XDN994" s="103"/>
      <c r="XDZ994" s="104"/>
      <c r="XEA994" s="103"/>
      <c r="XEM994" s="104"/>
      <c r="XEN994" s="103"/>
      <c r="XEZ994" s="104"/>
      <c r="XFA994" s="103"/>
    </row>
    <row r="995" spans="1:1015 1027:2042 2054:3069 3081:4096 4108:5110 5122:6137 6149:7164 7176:8191 8203:9205 9217:10232 10244:11259 11271:12286 12298:14327 14339:15354 15366:16381">
      <c r="B995" s="134">
        <v>2026</v>
      </c>
      <c r="C995" s="135">
        <v>14205</v>
      </c>
      <c r="D995" s="136">
        <f t="shared" si="38"/>
        <v>242.19948849104861</v>
      </c>
      <c r="E995" s="135">
        <v>821</v>
      </c>
      <c r="F995" s="136">
        <f t="shared" si="39"/>
        <v>13.998294970161979</v>
      </c>
      <c r="G995" s="136">
        <f t="shared" si="36"/>
        <v>15026</v>
      </c>
      <c r="H995" s="136">
        <f t="shared" si="37"/>
        <v>256.19778346121058</v>
      </c>
      <c r="AM995" s="104"/>
      <c r="AN995" s="103"/>
      <c r="AZ995" s="104"/>
      <c r="BA995" s="103"/>
      <c r="BM995" s="104"/>
      <c r="BN995" s="103"/>
      <c r="BZ995" s="104"/>
      <c r="CA995" s="103"/>
      <c r="CM995" s="104"/>
      <c r="CN995" s="103"/>
      <c r="CZ995" s="104"/>
      <c r="DA995" s="103"/>
      <c r="DM995" s="104"/>
      <c r="DN995" s="103"/>
      <c r="DZ995" s="104"/>
      <c r="EA995" s="103"/>
      <c r="EM995" s="104"/>
      <c r="EN995" s="103"/>
      <c r="EZ995" s="104"/>
      <c r="FA995" s="103"/>
      <c r="FM995" s="104"/>
      <c r="FN995" s="103"/>
      <c r="FZ995" s="104"/>
      <c r="GA995" s="103"/>
      <c r="GM995" s="104"/>
      <c r="GN995" s="103"/>
      <c r="GZ995" s="104"/>
      <c r="HA995" s="103"/>
      <c r="HM995" s="104"/>
      <c r="HN995" s="103"/>
      <c r="HZ995" s="104"/>
      <c r="IA995" s="103"/>
      <c r="IM995" s="104"/>
      <c r="IN995" s="103"/>
      <c r="IZ995" s="104"/>
      <c r="JA995" s="103"/>
      <c r="JM995" s="104"/>
      <c r="JN995" s="103"/>
      <c r="JZ995" s="104"/>
      <c r="KA995" s="103"/>
      <c r="KM995" s="104"/>
      <c r="KN995" s="103"/>
      <c r="KZ995" s="104"/>
      <c r="LA995" s="103"/>
      <c r="LM995" s="104"/>
      <c r="LN995" s="103"/>
      <c r="LZ995" s="104"/>
      <c r="MA995" s="103"/>
      <c r="MM995" s="104"/>
      <c r="MN995" s="103"/>
      <c r="MZ995" s="104"/>
      <c r="NA995" s="103"/>
      <c r="NM995" s="104"/>
      <c r="NN995" s="103"/>
      <c r="NZ995" s="104"/>
      <c r="OA995" s="103"/>
      <c r="OM995" s="104"/>
      <c r="ON995" s="103"/>
      <c r="OZ995" s="104"/>
      <c r="PA995" s="103"/>
      <c r="PM995" s="104"/>
      <c r="PN995" s="103"/>
      <c r="PZ995" s="104"/>
      <c r="QA995" s="103"/>
      <c r="QM995" s="104"/>
      <c r="QN995" s="103"/>
      <c r="QZ995" s="104"/>
      <c r="RA995" s="103"/>
      <c r="RM995" s="104"/>
      <c r="RN995" s="103"/>
      <c r="RZ995" s="104"/>
      <c r="SA995" s="103"/>
      <c r="SM995" s="104"/>
      <c r="SN995" s="103"/>
      <c r="SZ995" s="104"/>
      <c r="TA995" s="103"/>
      <c r="TM995" s="104"/>
      <c r="TN995" s="103"/>
      <c r="TZ995" s="104"/>
      <c r="UA995" s="103"/>
      <c r="UM995" s="104"/>
      <c r="UN995" s="103"/>
      <c r="UZ995" s="104"/>
      <c r="VA995" s="103"/>
      <c r="VM995" s="104"/>
      <c r="VN995" s="103"/>
      <c r="VZ995" s="104"/>
      <c r="WA995" s="103"/>
      <c r="WM995" s="104"/>
      <c r="WN995" s="103"/>
      <c r="WZ995" s="104"/>
      <c r="XA995" s="103"/>
      <c r="XM995" s="104"/>
      <c r="XN995" s="103"/>
      <c r="XZ995" s="104"/>
      <c r="YA995" s="103"/>
      <c r="YM995" s="104"/>
      <c r="YN995" s="103"/>
      <c r="YZ995" s="104"/>
      <c r="ZA995" s="103"/>
      <c r="ZM995" s="104"/>
      <c r="ZN995" s="103"/>
      <c r="ZZ995" s="104"/>
      <c r="AAA995" s="103"/>
      <c r="AAM995" s="104"/>
      <c r="AAN995" s="103"/>
      <c r="AAZ995" s="104"/>
      <c r="ABA995" s="103"/>
      <c r="ABM995" s="104"/>
      <c r="ABN995" s="103"/>
      <c r="ABZ995" s="104"/>
      <c r="ACA995" s="103"/>
      <c r="ACM995" s="104"/>
      <c r="ACN995" s="103"/>
      <c r="ACZ995" s="104"/>
      <c r="ADA995" s="103"/>
      <c r="ADM995" s="104"/>
      <c r="ADN995" s="103"/>
      <c r="ADZ995" s="104"/>
      <c r="AEA995" s="103"/>
      <c r="AEM995" s="104"/>
      <c r="AEN995" s="103"/>
      <c r="AEZ995" s="104"/>
      <c r="AFA995" s="103"/>
      <c r="AFM995" s="104"/>
      <c r="AFN995" s="103"/>
      <c r="AFZ995" s="104"/>
      <c r="AGA995" s="103"/>
      <c r="AGM995" s="104"/>
      <c r="AGN995" s="103"/>
      <c r="AGZ995" s="104"/>
      <c r="AHA995" s="103"/>
      <c r="AHM995" s="104"/>
      <c r="AHN995" s="103"/>
      <c r="AHZ995" s="104"/>
      <c r="AIA995" s="103"/>
      <c r="AIM995" s="104"/>
      <c r="AIN995" s="103"/>
      <c r="AIZ995" s="104"/>
      <c r="AJA995" s="103"/>
      <c r="AJM995" s="104"/>
      <c r="AJN995" s="103"/>
      <c r="AJZ995" s="104"/>
      <c r="AKA995" s="103"/>
      <c r="AKM995" s="104"/>
      <c r="AKN995" s="103"/>
      <c r="AKZ995" s="104"/>
      <c r="ALA995" s="103"/>
      <c r="ALM995" s="104"/>
      <c r="ALN995" s="103"/>
      <c r="ALZ995" s="104"/>
      <c r="AMA995" s="103"/>
      <c r="AMM995" s="104"/>
      <c r="AMN995" s="103"/>
      <c r="AMZ995" s="104"/>
      <c r="ANA995" s="103"/>
      <c r="ANM995" s="104"/>
      <c r="ANN995" s="103"/>
      <c r="ANZ995" s="104"/>
      <c r="AOA995" s="103"/>
      <c r="AOM995" s="104"/>
      <c r="AON995" s="103"/>
      <c r="AOZ995" s="104"/>
      <c r="APA995" s="103"/>
      <c r="APM995" s="104"/>
      <c r="APN995" s="103"/>
      <c r="APZ995" s="104"/>
      <c r="AQA995" s="103"/>
      <c r="AQM995" s="104"/>
      <c r="AQN995" s="103"/>
      <c r="AQZ995" s="104"/>
      <c r="ARA995" s="103"/>
      <c r="ARM995" s="104"/>
      <c r="ARN995" s="103"/>
      <c r="ARZ995" s="104"/>
      <c r="ASA995" s="103"/>
      <c r="ASM995" s="104"/>
      <c r="ASN995" s="103"/>
      <c r="ASZ995" s="104"/>
      <c r="ATA995" s="103"/>
      <c r="ATM995" s="104"/>
      <c r="ATN995" s="103"/>
      <c r="ATZ995" s="104"/>
      <c r="AUA995" s="103"/>
      <c r="AUM995" s="104"/>
      <c r="AUN995" s="103"/>
      <c r="AUZ995" s="104"/>
      <c r="AVA995" s="103"/>
      <c r="AVM995" s="104"/>
      <c r="AVN995" s="103"/>
      <c r="AVZ995" s="104"/>
      <c r="AWA995" s="103"/>
      <c r="AWM995" s="104"/>
      <c r="AWN995" s="103"/>
      <c r="AWZ995" s="104"/>
      <c r="AXA995" s="103"/>
      <c r="AXM995" s="104"/>
      <c r="AXN995" s="103"/>
      <c r="AXZ995" s="104"/>
      <c r="AYA995" s="103"/>
      <c r="AYM995" s="104"/>
      <c r="AYN995" s="103"/>
      <c r="AYZ995" s="104"/>
      <c r="AZA995" s="103"/>
      <c r="AZM995" s="104"/>
      <c r="AZN995" s="103"/>
      <c r="AZZ995" s="104"/>
      <c r="BAA995" s="103"/>
      <c r="BAM995" s="104"/>
      <c r="BAN995" s="103"/>
      <c r="BAZ995" s="104"/>
      <c r="BBA995" s="103"/>
      <c r="BBM995" s="104"/>
      <c r="BBN995" s="103"/>
      <c r="BBZ995" s="104"/>
      <c r="BCA995" s="103"/>
      <c r="BCM995" s="104"/>
      <c r="BCN995" s="103"/>
      <c r="BCZ995" s="104"/>
      <c r="BDA995" s="103"/>
      <c r="BDM995" s="104"/>
      <c r="BDN995" s="103"/>
      <c r="BDZ995" s="104"/>
      <c r="BEA995" s="103"/>
      <c r="BEM995" s="104"/>
      <c r="BEN995" s="103"/>
      <c r="BEZ995" s="104"/>
      <c r="BFA995" s="103"/>
      <c r="BFM995" s="104"/>
      <c r="BFN995" s="103"/>
      <c r="BFZ995" s="104"/>
      <c r="BGA995" s="103"/>
      <c r="BGM995" s="104"/>
      <c r="BGN995" s="103"/>
      <c r="BGZ995" s="104"/>
      <c r="BHA995" s="103"/>
      <c r="BHM995" s="104"/>
      <c r="BHN995" s="103"/>
      <c r="BHZ995" s="104"/>
      <c r="BIA995" s="103"/>
      <c r="BIM995" s="104"/>
      <c r="BIN995" s="103"/>
      <c r="BIZ995" s="104"/>
      <c r="BJA995" s="103"/>
      <c r="BJM995" s="104"/>
      <c r="BJN995" s="103"/>
      <c r="BJZ995" s="104"/>
      <c r="BKA995" s="103"/>
      <c r="BKM995" s="104"/>
      <c r="BKN995" s="103"/>
      <c r="BKZ995" s="104"/>
      <c r="BLA995" s="103"/>
      <c r="BLM995" s="104"/>
      <c r="BLN995" s="103"/>
      <c r="BLZ995" s="104"/>
      <c r="BMA995" s="103"/>
      <c r="BMM995" s="104"/>
      <c r="BMN995" s="103"/>
      <c r="BMZ995" s="104"/>
      <c r="BNA995" s="103"/>
      <c r="BNM995" s="104"/>
      <c r="BNN995" s="103"/>
      <c r="BNZ995" s="104"/>
      <c r="BOA995" s="103"/>
      <c r="BOM995" s="104"/>
      <c r="BON995" s="103"/>
      <c r="BOZ995" s="104"/>
      <c r="BPA995" s="103"/>
      <c r="BPM995" s="104"/>
      <c r="BPN995" s="103"/>
      <c r="BPZ995" s="104"/>
      <c r="BQA995" s="103"/>
      <c r="BQM995" s="104"/>
      <c r="BQN995" s="103"/>
      <c r="BQZ995" s="104"/>
      <c r="BRA995" s="103"/>
      <c r="BRM995" s="104"/>
      <c r="BRN995" s="103"/>
      <c r="BRZ995" s="104"/>
      <c r="BSA995" s="103"/>
      <c r="BSM995" s="104"/>
      <c r="BSN995" s="103"/>
      <c r="BSZ995" s="104"/>
      <c r="BTA995" s="103"/>
      <c r="BTM995" s="104"/>
      <c r="BTN995" s="103"/>
      <c r="BTZ995" s="104"/>
      <c r="BUA995" s="103"/>
      <c r="BUM995" s="104"/>
      <c r="BUN995" s="103"/>
      <c r="BUZ995" s="104"/>
      <c r="BVA995" s="103"/>
      <c r="BVM995" s="104"/>
      <c r="BVN995" s="103"/>
      <c r="BVZ995" s="104"/>
      <c r="BWA995" s="103"/>
      <c r="BWM995" s="104"/>
      <c r="BWN995" s="103"/>
      <c r="BWZ995" s="104"/>
      <c r="BXA995" s="103"/>
      <c r="BXM995" s="104"/>
      <c r="BXN995" s="103"/>
      <c r="BXZ995" s="104"/>
      <c r="BYA995" s="103"/>
      <c r="BYM995" s="104"/>
      <c r="BYN995" s="103"/>
      <c r="BYZ995" s="104"/>
      <c r="BZA995" s="103"/>
      <c r="BZM995" s="104"/>
      <c r="BZN995" s="103"/>
      <c r="BZZ995" s="104"/>
      <c r="CAA995" s="103"/>
      <c r="CAM995" s="104"/>
      <c r="CAN995" s="103"/>
      <c r="CAZ995" s="104"/>
      <c r="CBA995" s="103"/>
      <c r="CBM995" s="104"/>
      <c r="CBN995" s="103"/>
      <c r="CBZ995" s="104"/>
      <c r="CCA995" s="103"/>
      <c r="CCM995" s="104"/>
      <c r="CCN995" s="103"/>
      <c r="CCZ995" s="104"/>
      <c r="CDA995" s="103"/>
      <c r="CDM995" s="104"/>
      <c r="CDN995" s="103"/>
      <c r="CDZ995" s="104"/>
      <c r="CEA995" s="103"/>
      <c r="CEM995" s="104"/>
      <c r="CEN995" s="103"/>
      <c r="CEZ995" s="104"/>
      <c r="CFA995" s="103"/>
      <c r="CFM995" s="104"/>
      <c r="CFN995" s="103"/>
      <c r="CFZ995" s="104"/>
      <c r="CGA995" s="103"/>
      <c r="CGM995" s="104"/>
      <c r="CGN995" s="103"/>
      <c r="CGZ995" s="104"/>
      <c r="CHA995" s="103"/>
      <c r="CHM995" s="104"/>
      <c r="CHN995" s="103"/>
      <c r="CHZ995" s="104"/>
      <c r="CIA995" s="103"/>
      <c r="CIM995" s="104"/>
      <c r="CIN995" s="103"/>
      <c r="CIZ995" s="104"/>
      <c r="CJA995" s="103"/>
      <c r="CJM995" s="104"/>
      <c r="CJN995" s="103"/>
      <c r="CJZ995" s="104"/>
      <c r="CKA995" s="103"/>
      <c r="CKM995" s="104"/>
      <c r="CKN995" s="103"/>
      <c r="CKZ995" s="104"/>
      <c r="CLA995" s="103"/>
      <c r="CLM995" s="104"/>
      <c r="CLN995" s="103"/>
      <c r="CLZ995" s="104"/>
      <c r="CMA995" s="103"/>
      <c r="CMM995" s="104"/>
      <c r="CMN995" s="103"/>
      <c r="CMZ995" s="104"/>
      <c r="CNA995" s="103"/>
      <c r="CNM995" s="104"/>
      <c r="CNN995" s="103"/>
      <c r="CNZ995" s="104"/>
      <c r="COA995" s="103"/>
      <c r="COM995" s="104"/>
      <c r="CON995" s="103"/>
      <c r="COZ995" s="104"/>
      <c r="CPA995" s="103"/>
      <c r="CPM995" s="104"/>
      <c r="CPN995" s="103"/>
      <c r="CPZ995" s="104"/>
      <c r="CQA995" s="103"/>
      <c r="CQM995" s="104"/>
      <c r="CQN995" s="103"/>
      <c r="CQZ995" s="104"/>
      <c r="CRA995" s="103"/>
      <c r="CRM995" s="104"/>
      <c r="CRN995" s="103"/>
      <c r="CRZ995" s="104"/>
      <c r="CSA995" s="103"/>
      <c r="CSM995" s="104"/>
      <c r="CSN995" s="103"/>
      <c r="CSZ995" s="104"/>
      <c r="CTA995" s="103"/>
      <c r="CTM995" s="104"/>
      <c r="CTN995" s="103"/>
      <c r="CTZ995" s="104"/>
      <c r="CUA995" s="103"/>
      <c r="CUM995" s="104"/>
      <c r="CUN995" s="103"/>
      <c r="CUZ995" s="104"/>
      <c r="CVA995" s="103"/>
      <c r="CVM995" s="104"/>
      <c r="CVN995" s="103"/>
      <c r="CVZ995" s="104"/>
      <c r="CWA995" s="103"/>
      <c r="CWM995" s="104"/>
      <c r="CWN995" s="103"/>
      <c r="CWZ995" s="104"/>
      <c r="CXA995" s="103"/>
      <c r="CXM995" s="104"/>
      <c r="CXN995" s="103"/>
      <c r="CXZ995" s="104"/>
      <c r="CYA995" s="103"/>
      <c r="CYM995" s="104"/>
      <c r="CYN995" s="103"/>
      <c r="CYZ995" s="104"/>
      <c r="CZA995" s="103"/>
      <c r="CZM995" s="104"/>
      <c r="CZN995" s="103"/>
      <c r="CZZ995" s="104"/>
      <c r="DAA995" s="103"/>
      <c r="DAM995" s="104"/>
      <c r="DAN995" s="103"/>
      <c r="DAZ995" s="104"/>
      <c r="DBA995" s="103"/>
      <c r="DBM995" s="104"/>
      <c r="DBN995" s="103"/>
      <c r="DBZ995" s="104"/>
      <c r="DCA995" s="103"/>
      <c r="DCM995" s="104"/>
      <c r="DCN995" s="103"/>
      <c r="DCZ995" s="104"/>
      <c r="DDA995" s="103"/>
      <c r="DDM995" s="104"/>
      <c r="DDN995" s="103"/>
      <c r="DDZ995" s="104"/>
      <c r="DEA995" s="103"/>
      <c r="DEM995" s="104"/>
      <c r="DEN995" s="103"/>
      <c r="DEZ995" s="104"/>
      <c r="DFA995" s="103"/>
      <c r="DFM995" s="104"/>
      <c r="DFN995" s="103"/>
      <c r="DFZ995" s="104"/>
      <c r="DGA995" s="103"/>
      <c r="DGM995" s="104"/>
      <c r="DGN995" s="103"/>
      <c r="DGZ995" s="104"/>
      <c r="DHA995" s="103"/>
      <c r="DHM995" s="104"/>
      <c r="DHN995" s="103"/>
      <c r="DHZ995" s="104"/>
      <c r="DIA995" s="103"/>
      <c r="DIM995" s="104"/>
      <c r="DIN995" s="103"/>
      <c r="DIZ995" s="104"/>
      <c r="DJA995" s="103"/>
      <c r="DJM995" s="104"/>
      <c r="DJN995" s="103"/>
      <c r="DJZ995" s="104"/>
      <c r="DKA995" s="103"/>
      <c r="DKM995" s="104"/>
      <c r="DKN995" s="103"/>
      <c r="DKZ995" s="104"/>
      <c r="DLA995" s="103"/>
      <c r="DLM995" s="104"/>
      <c r="DLN995" s="103"/>
      <c r="DLZ995" s="104"/>
      <c r="DMA995" s="103"/>
      <c r="DMM995" s="104"/>
      <c r="DMN995" s="103"/>
      <c r="DMZ995" s="104"/>
      <c r="DNA995" s="103"/>
      <c r="DNM995" s="104"/>
      <c r="DNN995" s="103"/>
      <c r="DNZ995" s="104"/>
      <c r="DOA995" s="103"/>
      <c r="DOM995" s="104"/>
      <c r="DON995" s="103"/>
      <c r="DOZ995" s="104"/>
      <c r="DPA995" s="103"/>
      <c r="DPM995" s="104"/>
      <c r="DPN995" s="103"/>
      <c r="DPZ995" s="104"/>
      <c r="DQA995" s="103"/>
      <c r="DQM995" s="104"/>
      <c r="DQN995" s="103"/>
      <c r="DQZ995" s="104"/>
      <c r="DRA995" s="103"/>
      <c r="DRM995" s="104"/>
      <c r="DRN995" s="103"/>
      <c r="DRZ995" s="104"/>
      <c r="DSA995" s="103"/>
      <c r="DSM995" s="104"/>
      <c r="DSN995" s="103"/>
      <c r="DSZ995" s="104"/>
      <c r="DTA995" s="103"/>
      <c r="DTM995" s="104"/>
      <c r="DTN995" s="103"/>
      <c r="DTZ995" s="104"/>
      <c r="DUA995" s="103"/>
      <c r="DUM995" s="104"/>
      <c r="DUN995" s="103"/>
      <c r="DUZ995" s="104"/>
      <c r="DVA995" s="103"/>
      <c r="DVM995" s="104"/>
      <c r="DVN995" s="103"/>
      <c r="DVZ995" s="104"/>
      <c r="DWA995" s="103"/>
      <c r="DWM995" s="104"/>
      <c r="DWN995" s="103"/>
      <c r="DWZ995" s="104"/>
      <c r="DXA995" s="103"/>
      <c r="DXM995" s="104"/>
      <c r="DXN995" s="103"/>
      <c r="DXZ995" s="104"/>
      <c r="DYA995" s="103"/>
      <c r="DYM995" s="104"/>
      <c r="DYN995" s="103"/>
      <c r="DYZ995" s="104"/>
      <c r="DZA995" s="103"/>
      <c r="DZM995" s="104"/>
      <c r="DZN995" s="103"/>
      <c r="DZZ995" s="104"/>
      <c r="EAA995" s="103"/>
      <c r="EAM995" s="104"/>
      <c r="EAN995" s="103"/>
      <c r="EAZ995" s="104"/>
      <c r="EBA995" s="103"/>
      <c r="EBM995" s="104"/>
      <c r="EBN995" s="103"/>
      <c r="EBZ995" s="104"/>
      <c r="ECA995" s="103"/>
      <c r="ECM995" s="104"/>
      <c r="ECN995" s="103"/>
      <c r="ECZ995" s="104"/>
      <c r="EDA995" s="103"/>
      <c r="EDM995" s="104"/>
      <c r="EDN995" s="103"/>
      <c r="EDZ995" s="104"/>
      <c r="EEA995" s="103"/>
      <c r="EEM995" s="104"/>
      <c r="EEN995" s="103"/>
      <c r="EEZ995" s="104"/>
      <c r="EFA995" s="103"/>
      <c r="EFM995" s="104"/>
      <c r="EFN995" s="103"/>
      <c r="EFZ995" s="104"/>
      <c r="EGA995" s="103"/>
      <c r="EGM995" s="104"/>
      <c r="EGN995" s="103"/>
      <c r="EGZ995" s="104"/>
      <c r="EHA995" s="103"/>
      <c r="EHM995" s="104"/>
      <c r="EHN995" s="103"/>
      <c r="EHZ995" s="104"/>
      <c r="EIA995" s="103"/>
      <c r="EIM995" s="104"/>
      <c r="EIN995" s="103"/>
      <c r="EIZ995" s="104"/>
      <c r="EJA995" s="103"/>
      <c r="EJM995" s="104"/>
      <c r="EJN995" s="103"/>
      <c r="EJZ995" s="104"/>
      <c r="EKA995" s="103"/>
      <c r="EKM995" s="104"/>
      <c r="EKN995" s="103"/>
      <c r="EKZ995" s="104"/>
      <c r="ELA995" s="103"/>
      <c r="ELM995" s="104"/>
      <c r="ELN995" s="103"/>
      <c r="ELZ995" s="104"/>
      <c r="EMA995" s="103"/>
      <c r="EMM995" s="104"/>
      <c r="EMN995" s="103"/>
      <c r="EMZ995" s="104"/>
      <c r="ENA995" s="103"/>
      <c r="ENM995" s="104"/>
      <c r="ENN995" s="103"/>
      <c r="ENZ995" s="104"/>
      <c r="EOA995" s="103"/>
      <c r="EOM995" s="104"/>
      <c r="EON995" s="103"/>
      <c r="EOZ995" s="104"/>
      <c r="EPA995" s="103"/>
      <c r="EPM995" s="104"/>
      <c r="EPN995" s="103"/>
      <c r="EPZ995" s="104"/>
      <c r="EQA995" s="103"/>
      <c r="EQM995" s="104"/>
      <c r="EQN995" s="103"/>
      <c r="EQZ995" s="104"/>
      <c r="ERA995" s="103"/>
      <c r="ERM995" s="104"/>
      <c r="ERN995" s="103"/>
      <c r="ERZ995" s="104"/>
      <c r="ESA995" s="103"/>
      <c r="ESM995" s="104"/>
      <c r="ESN995" s="103"/>
      <c r="ESZ995" s="104"/>
      <c r="ETA995" s="103"/>
      <c r="ETM995" s="104"/>
      <c r="ETN995" s="103"/>
      <c r="ETZ995" s="104"/>
      <c r="EUA995" s="103"/>
      <c r="EUM995" s="104"/>
      <c r="EUN995" s="103"/>
      <c r="EUZ995" s="104"/>
      <c r="EVA995" s="103"/>
      <c r="EVM995" s="104"/>
      <c r="EVN995" s="103"/>
      <c r="EVZ995" s="104"/>
      <c r="EWA995" s="103"/>
      <c r="EWM995" s="104"/>
      <c r="EWN995" s="103"/>
      <c r="EWZ995" s="104"/>
      <c r="EXA995" s="103"/>
      <c r="EXM995" s="104"/>
      <c r="EXN995" s="103"/>
      <c r="EXZ995" s="104"/>
      <c r="EYA995" s="103"/>
      <c r="EYM995" s="104"/>
      <c r="EYN995" s="103"/>
      <c r="EYZ995" s="104"/>
      <c r="EZA995" s="103"/>
      <c r="EZM995" s="104"/>
      <c r="EZN995" s="103"/>
      <c r="EZZ995" s="104"/>
      <c r="FAA995" s="103"/>
      <c r="FAM995" s="104"/>
      <c r="FAN995" s="103"/>
      <c r="FAZ995" s="104"/>
      <c r="FBA995" s="103"/>
      <c r="FBM995" s="104"/>
      <c r="FBN995" s="103"/>
      <c r="FBZ995" s="104"/>
      <c r="FCA995" s="103"/>
      <c r="FCM995" s="104"/>
      <c r="FCN995" s="103"/>
      <c r="FCZ995" s="104"/>
      <c r="FDA995" s="103"/>
      <c r="FDM995" s="104"/>
      <c r="FDN995" s="103"/>
      <c r="FDZ995" s="104"/>
      <c r="FEA995" s="103"/>
      <c r="FEM995" s="104"/>
      <c r="FEN995" s="103"/>
      <c r="FEZ995" s="104"/>
      <c r="FFA995" s="103"/>
      <c r="FFM995" s="104"/>
      <c r="FFN995" s="103"/>
      <c r="FFZ995" s="104"/>
      <c r="FGA995" s="103"/>
      <c r="FGM995" s="104"/>
      <c r="FGN995" s="103"/>
      <c r="FGZ995" s="104"/>
      <c r="FHA995" s="103"/>
      <c r="FHM995" s="104"/>
      <c r="FHN995" s="103"/>
      <c r="FHZ995" s="104"/>
      <c r="FIA995" s="103"/>
      <c r="FIM995" s="104"/>
      <c r="FIN995" s="103"/>
      <c r="FIZ995" s="104"/>
      <c r="FJA995" s="103"/>
      <c r="FJM995" s="104"/>
      <c r="FJN995" s="103"/>
      <c r="FJZ995" s="104"/>
      <c r="FKA995" s="103"/>
      <c r="FKM995" s="104"/>
      <c r="FKN995" s="103"/>
      <c r="FKZ995" s="104"/>
      <c r="FLA995" s="103"/>
      <c r="FLM995" s="104"/>
      <c r="FLN995" s="103"/>
      <c r="FLZ995" s="104"/>
      <c r="FMA995" s="103"/>
      <c r="FMM995" s="104"/>
      <c r="FMN995" s="103"/>
      <c r="FMZ995" s="104"/>
      <c r="FNA995" s="103"/>
      <c r="FNM995" s="104"/>
      <c r="FNN995" s="103"/>
      <c r="FNZ995" s="104"/>
      <c r="FOA995" s="103"/>
      <c r="FOM995" s="104"/>
      <c r="FON995" s="103"/>
      <c r="FOZ995" s="104"/>
      <c r="FPA995" s="103"/>
      <c r="FPM995" s="104"/>
      <c r="FPN995" s="103"/>
      <c r="FPZ995" s="104"/>
      <c r="FQA995" s="103"/>
      <c r="FQM995" s="104"/>
      <c r="FQN995" s="103"/>
      <c r="FQZ995" s="104"/>
      <c r="FRA995" s="103"/>
      <c r="FRM995" s="104"/>
      <c r="FRN995" s="103"/>
      <c r="FRZ995" s="104"/>
      <c r="FSA995" s="103"/>
      <c r="FSM995" s="104"/>
      <c r="FSN995" s="103"/>
      <c r="FSZ995" s="104"/>
      <c r="FTA995" s="103"/>
      <c r="FTM995" s="104"/>
      <c r="FTN995" s="103"/>
      <c r="FTZ995" s="104"/>
      <c r="FUA995" s="103"/>
      <c r="FUM995" s="104"/>
      <c r="FUN995" s="103"/>
      <c r="FUZ995" s="104"/>
      <c r="FVA995" s="103"/>
      <c r="FVM995" s="104"/>
      <c r="FVN995" s="103"/>
      <c r="FVZ995" s="104"/>
      <c r="FWA995" s="103"/>
      <c r="FWM995" s="104"/>
      <c r="FWN995" s="103"/>
      <c r="FWZ995" s="104"/>
      <c r="FXA995" s="103"/>
      <c r="FXM995" s="104"/>
      <c r="FXN995" s="103"/>
      <c r="FXZ995" s="104"/>
      <c r="FYA995" s="103"/>
      <c r="FYM995" s="104"/>
      <c r="FYN995" s="103"/>
      <c r="FYZ995" s="104"/>
      <c r="FZA995" s="103"/>
      <c r="FZM995" s="104"/>
      <c r="FZN995" s="103"/>
      <c r="FZZ995" s="104"/>
      <c r="GAA995" s="103"/>
      <c r="GAM995" s="104"/>
      <c r="GAN995" s="103"/>
      <c r="GAZ995" s="104"/>
      <c r="GBA995" s="103"/>
      <c r="GBM995" s="104"/>
      <c r="GBN995" s="103"/>
      <c r="GBZ995" s="104"/>
      <c r="GCA995" s="103"/>
      <c r="GCM995" s="104"/>
      <c r="GCN995" s="103"/>
      <c r="GCZ995" s="104"/>
      <c r="GDA995" s="103"/>
      <c r="GDM995" s="104"/>
      <c r="GDN995" s="103"/>
      <c r="GDZ995" s="104"/>
      <c r="GEA995" s="103"/>
      <c r="GEM995" s="104"/>
      <c r="GEN995" s="103"/>
      <c r="GEZ995" s="104"/>
      <c r="GFA995" s="103"/>
      <c r="GFM995" s="104"/>
      <c r="GFN995" s="103"/>
      <c r="GFZ995" s="104"/>
      <c r="GGA995" s="103"/>
      <c r="GGM995" s="104"/>
      <c r="GGN995" s="103"/>
      <c r="GGZ995" s="104"/>
      <c r="GHA995" s="103"/>
      <c r="GHM995" s="104"/>
      <c r="GHN995" s="103"/>
      <c r="GHZ995" s="104"/>
      <c r="GIA995" s="103"/>
      <c r="GIM995" s="104"/>
      <c r="GIN995" s="103"/>
      <c r="GIZ995" s="104"/>
      <c r="GJA995" s="103"/>
      <c r="GJM995" s="104"/>
      <c r="GJN995" s="103"/>
      <c r="GJZ995" s="104"/>
      <c r="GKA995" s="103"/>
      <c r="GKM995" s="104"/>
      <c r="GKN995" s="103"/>
      <c r="GKZ995" s="104"/>
      <c r="GLA995" s="103"/>
      <c r="GLM995" s="104"/>
      <c r="GLN995" s="103"/>
      <c r="GLZ995" s="104"/>
      <c r="GMA995" s="103"/>
      <c r="GMM995" s="104"/>
      <c r="GMN995" s="103"/>
      <c r="GMZ995" s="104"/>
      <c r="GNA995" s="103"/>
      <c r="GNM995" s="104"/>
      <c r="GNN995" s="103"/>
      <c r="GNZ995" s="104"/>
      <c r="GOA995" s="103"/>
      <c r="GOM995" s="104"/>
      <c r="GON995" s="103"/>
      <c r="GOZ995" s="104"/>
      <c r="GPA995" s="103"/>
      <c r="GPM995" s="104"/>
      <c r="GPN995" s="103"/>
      <c r="GPZ995" s="104"/>
      <c r="GQA995" s="103"/>
      <c r="GQM995" s="104"/>
      <c r="GQN995" s="103"/>
      <c r="GQZ995" s="104"/>
      <c r="GRA995" s="103"/>
      <c r="GRM995" s="104"/>
      <c r="GRN995" s="103"/>
      <c r="GRZ995" s="104"/>
      <c r="GSA995" s="103"/>
      <c r="GSM995" s="104"/>
      <c r="GSN995" s="103"/>
      <c r="GSZ995" s="104"/>
      <c r="GTA995" s="103"/>
      <c r="GTM995" s="104"/>
      <c r="GTN995" s="103"/>
      <c r="GTZ995" s="104"/>
      <c r="GUA995" s="103"/>
      <c r="GUM995" s="104"/>
      <c r="GUN995" s="103"/>
      <c r="GUZ995" s="104"/>
      <c r="GVA995" s="103"/>
      <c r="GVM995" s="104"/>
      <c r="GVN995" s="103"/>
      <c r="GVZ995" s="104"/>
      <c r="GWA995" s="103"/>
      <c r="GWM995" s="104"/>
      <c r="GWN995" s="103"/>
      <c r="GWZ995" s="104"/>
      <c r="GXA995" s="103"/>
      <c r="GXM995" s="104"/>
      <c r="GXN995" s="103"/>
      <c r="GXZ995" s="104"/>
      <c r="GYA995" s="103"/>
      <c r="GYM995" s="104"/>
      <c r="GYN995" s="103"/>
      <c r="GYZ995" s="104"/>
      <c r="GZA995" s="103"/>
      <c r="GZM995" s="104"/>
      <c r="GZN995" s="103"/>
      <c r="GZZ995" s="104"/>
      <c r="HAA995" s="103"/>
      <c r="HAM995" s="104"/>
      <c r="HAN995" s="103"/>
      <c r="HAZ995" s="104"/>
      <c r="HBA995" s="103"/>
      <c r="HBM995" s="104"/>
      <c r="HBN995" s="103"/>
      <c r="HBZ995" s="104"/>
      <c r="HCA995" s="103"/>
      <c r="HCM995" s="104"/>
      <c r="HCN995" s="103"/>
      <c r="HCZ995" s="104"/>
      <c r="HDA995" s="103"/>
      <c r="HDM995" s="104"/>
      <c r="HDN995" s="103"/>
      <c r="HDZ995" s="104"/>
      <c r="HEA995" s="103"/>
      <c r="HEM995" s="104"/>
      <c r="HEN995" s="103"/>
      <c r="HEZ995" s="104"/>
      <c r="HFA995" s="103"/>
      <c r="HFM995" s="104"/>
      <c r="HFN995" s="103"/>
      <c r="HFZ995" s="104"/>
      <c r="HGA995" s="103"/>
      <c r="HGM995" s="104"/>
      <c r="HGN995" s="103"/>
      <c r="HGZ995" s="104"/>
      <c r="HHA995" s="103"/>
      <c r="HHM995" s="104"/>
      <c r="HHN995" s="103"/>
      <c r="HHZ995" s="104"/>
      <c r="HIA995" s="103"/>
      <c r="HIM995" s="104"/>
      <c r="HIN995" s="103"/>
      <c r="HIZ995" s="104"/>
      <c r="HJA995" s="103"/>
      <c r="HJM995" s="104"/>
      <c r="HJN995" s="103"/>
      <c r="HJZ995" s="104"/>
      <c r="HKA995" s="103"/>
      <c r="HKM995" s="104"/>
      <c r="HKN995" s="103"/>
      <c r="HKZ995" s="104"/>
      <c r="HLA995" s="103"/>
      <c r="HLM995" s="104"/>
      <c r="HLN995" s="103"/>
      <c r="HLZ995" s="104"/>
      <c r="HMA995" s="103"/>
      <c r="HMM995" s="104"/>
      <c r="HMN995" s="103"/>
      <c r="HMZ995" s="104"/>
      <c r="HNA995" s="103"/>
      <c r="HNM995" s="104"/>
      <c r="HNN995" s="103"/>
      <c r="HNZ995" s="104"/>
      <c r="HOA995" s="103"/>
      <c r="HOM995" s="104"/>
      <c r="HON995" s="103"/>
      <c r="HOZ995" s="104"/>
      <c r="HPA995" s="103"/>
      <c r="HPM995" s="104"/>
      <c r="HPN995" s="103"/>
      <c r="HPZ995" s="104"/>
      <c r="HQA995" s="103"/>
      <c r="HQM995" s="104"/>
      <c r="HQN995" s="103"/>
      <c r="HQZ995" s="104"/>
      <c r="HRA995" s="103"/>
      <c r="HRM995" s="104"/>
      <c r="HRN995" s="103"/>
      <c r="HRZ995" s="104"/>
      <c r="HSA995" s="103"/>
      <c r="HSM995" s="104"/>
      <c r="HSN995" s="103"/>
      <c r="HSZ995" s="104"/>
      <c r="HTA995" s="103"/>
      <c r="HTM995" s="104"/>
      <c r="HTN995" s="103"/>
      <c r="HTZ995" s="104"/>
      <c r="HUA995" s="103"/>
      <c r="HUM995" s="104"/>
      <c r="HUN995" s="103"/>
      <c r="HUZ995" s="104"/>
      <c r="HVA995" s="103"/>
      <c r="HVM995" s="104"/>
      <c r="HVN995" s="103"/>
      <c r="HVZ995" s="104"/>
      <c r="HWA995" s="103"/>
      <c r="HWM995" s="104"/>
      <c r="HWN995" s="103"/>
      <c r="HWZ995" s="104"/>
      <c r="HXA995" s="103"/>
      <c r="HXM995" s="104"/>
      <c r="HXN995" s="103"/>
      <c r="HXZ995" s="104"/>
      <c r="HYA995" s="103"/>
      <c r="HYM995" s="104"/>
      <c r="HYN995" s="103"/>
      <c r="HYZ995" s="104"/>
      <c r="HZA995" s="103"/>
      <c r="HZM995" s="104"/>
      <c r="HZN995" s="103"/>
      <c r="HZZ995" s="104"/>
      <c r="IAA995" s="103"/>
      <c r="IAM995" s="104"/>
      <c r="IAN995" s="103"/>
      <c r="IAZ995" s="104"/>
      <c r="IBA995" s="103"/>
      <c r="IBM995" s="104"/>
      <c r="IBN995" s="103"/>
      <c r="IBZ995" s="104"/>
      <c r="ICA995" s="103"/>
      <c r="ICM995" s="104"/>
      <c r="ICN995" s="103"/>
      <c r="ICZ995" s="104"/>
      <c r="IDA995" s="103"/>
      <c r="IDM995" s="104"/>
      <c r="IDN995" s="103"/>
      <c r="IDZ995" s="104"/>
      <c r="IEA995" s="103"/>
      <c r="IEM995" s="104"/>
      <c r="IEN995" s="103"/>
      <c r="IEZ995" s="104"/>
      <c r="IFA995" s="103"/>
      <c r="IFM995" s="104"/>
      <c r="IFN995" s="103"/>
      <c r="IFZ995" s="104"/>
      <c r="IGA995" s="103"/>
      <c r="IGM995" s="104"/>
      <c r="IGN995" s="103"/>
      <c r="IGZ995" s="104"/>
      <c r="IHA995" s="103"/>
      <c r="IHM995" s="104"/>
      <c r="IHN995" s="103"/>
      <c r="IHZ995" s="104"/>
      <c r="IIA995" s="103"/>
      <c r="IIM995" s="104"/>
      <c r="IIN995" s="103"/>
      <c r="IIZ995" s="104"/>
      <c r="IJA995" s="103"/>
      <c r="IJM995" s="104"/>
      <c r="IJN995" s="103"/>
      <c r="IJZ995" s="104"/>
      <c r="IKA995" s="103"/>
      <c r="IKM995" s="104"/>
      <c r="IKN995" s="103"/>
      <c r="IKZ995" s="104"/>
      <c r="ILA995" s="103"/>
      <c r="ILM995" s="104"/>
      <c r="ILN995" s="103"/>
      <c r="ILZ995" s="104"/>
      <c r="IMA995" s="103"/>
      <c r="IMM995" s="104"/>
      <c r="IMN995" s="103"/>
      <c r="IMZ995" s="104"/>
      <c r="INA995" s="103"/>
      <c r="INM995" s="104"/>
      <c r="INN995" s="103"/>
      <c r="INZ995" s="104"/>
      <c r="IOA995" s="103"/>
      <c r="IOM995" s="104"/>
      <c r="ION995" s="103"/>
      <c r="IOZ995" s="104"/>
      <c r="IPA995" s="103"/>
      <c r="IPM995" s="104"/>
      <c r="IPN995" s="103"/>
      <c r="IPZ995" s="104"/>
      <c r="IQA995" s="103"/>
      <c r="IQM995" s="104"/>
      <c r="IQN995" s="103"/>
      <c r="IQZ995" s="104"/>
      <c r="IRA995" s="103"/>
      <c r="IRM995" s="104"/>
      <c r="IRN995" s="103"/>
      <c r="IRZ995" s="104"/>
      <c r="ISA995" s="103"/>
      <c r="ISM995" s="104"/>
      <c r="ISN995" s="103"/>
      <c r="ISZ995" s="104"/>
      <c r="ITA995" s="103"/>
      <c r="ITM995" s="104"/>
      <c r="ITN995" s="103"/>
      <c r="ITZ995" s="104"/>
      <c r="IUA995" s="103"/>
      <c r="IUM995" s="104"/>
      <c r="IUN995" s="103"/>
      <c r="IUZ995" s="104"/>
      <c r="IVA995" s="103"/>
      <c r="IVM995" s="104"/>
      <c r="IVN995" s="103"/>
      <c r="IVZ995" s="104"/>
      <c r="IWA995" s="103"/>
      <c r="IWM995" s="104"/>
      <c r="IWN995" s="103"/>
      <c r="IWZ995" s="104"/>
      <c r="IXA995" s="103"/>
      <c r="IXM995" s="104"/>
      <c r="IXN995" s="103"/>
      <c r="IXZ995" s="104"/>
      <c r="IYA995" s="103"/>
      <c r="IYM995" s="104"/>
      <c r="IYN995" s="103"/>
      <c r="IYZ995" s="104"/>
      <c r="IZA995" s="103"/>
      <c r="IZM995" s="104"/>
      <c r="IZN995" s="103"/>
      <c r="IZZ995" s="104"/>
      <c r="JAA995" s="103"/>
      <c r="JAM995" s="104"/>
      <c r="JAN995" s="103"/>
      <c r="JAZ995" s="104"/>
      <c r="JBA995" s="103"/>
      <c r="JBM995" s="104"/>
      <c r="JBN995" s="103"/>
      <c r="JBZ995" s="104"/>
      <c r="JCA995" s="103"/>
      <c r="JCM995" s="104"/>
      <c r="JCN995" s="103"/>
      <c r="JCZ995" s="104"/>
      <c r="JDA995" s="103"/>
      <c r="JDM995" s="104"/>
      <c r="JDN995" s="103"/>
      <c r="JDZ995" s="104"/>
      <c r="JEA995" s="103"/>
      <c r="JEM995" s="104"/>
      <c r="JEN995" s="103"/>
      <c r="JEZ995" s="104"/>
      <c r="JFA995" s="103"/>
      <c r="JFM995" s="104"/>
      <c r="JFN995" s="103"/>
      <c r="JFZ995" s="104"/>
      <c r="JGA995" s="103"/>
      <c r="JGM995" s="104"/>
      <c r="JGN995" s="103"/>
      <c r="JGZ995" s="104"/>
      <c r="JHA995" s="103"/>
      <c r="JHM995" s="104"/>
      <c r="JHN995" s="103"/>
      <c r="JHZ995" s="104"/>
      <c r="JIA995" s="103"/>
      <c r="JIM995" s="104"/>
      <c r="JIN995" s="103"/>
      <c r="JIZ995" s="104"/>
      <c r="JJA995" s="103"/>
      <c r="JJM995" s="104"/>
      <c r="JJN995" s="103"/>
      <c r="JJZ995" s="104"/>
      <c r="JKA995" s="103"/>
      <c r="JKM995" s="104"/>
      <c r="JKN995" s="103"/>
      <c r="JKZ995" s="104"/>
      <c r="JLA995" s="103"/>
      <c r="JLM995" s="104"/>
      <c r="JLN995" s="103"/>
      <c r="JLZ995" s="104"/>
      <c r="JMA995" s="103"/>
      <c r="JMM995" s="104"/>
      <c r="JMN995" s="103"/>
      <c r="JMZ995" s="104"/>
      <c r="JNA995" s="103"/>
      <c r="JNM995" s="104"/>
      <c r="JNN995" s="103"/>
      <c r="JNZ995" s="104"/>
      <c r="JOA995" s="103"/>
      <c r="JOM995" s="104"/>
      <c r="JON995" s="103"/>
      <c r="JOZ995" s="104"/>
      <c r="JPA995" s="103"/>
      <c r="JPM995" s="104"/>
      <c r="JPN995" s="103"/>
      <c r="JPZ995" s="104"/>
      <c r="JQA995" s="103"/>
      <c r="JQM995" s="104"/>
      <c r="JQN995" s="103"/>
      <c r="JQZ995" s="104"/>
      <c r="JRA995" s="103"/>
      <c r="JRM995" s="104"/>
      <c r="JRN995" s="103"/>
      <c r="JRZ995" s="104"/>
      <c r="JSA995" s="103"/>
      <c r="JSM995" s="104"/>
      <c r="JSN995" s="103"/>
      <c r="JSZ995" s="104"/>
      <c r="JTA995" s="103"/>
      <c r="JTM995" s="104"/>
      <c r="JTN995" s="103"/>
      <c r="JTZ995" s="104"/>
      <c r="JUA995" s="103"/>
      <c r="JUM995" s="104"/>
      <c r="JUN995" s="103"/>
      <c r="JUZ995" s="104"/>
      <c r="JVA995" s="103"/>
      <c r="JVM995" s="104"/>
      <c r="JVN995" s="103"/>
      <c r="JVZ995" s="104"/>
      <c r="JWA995" s="103"/>
      <c r="JWM995" s="104"/>
      <c r="JWN995" s="103"/>
      <c r="JWZ995" s="104"/>
      <c r="JXA995" s="103"/>
      <c r="JXM995" s="104"/>
      <c r="JXN995" s="103"/>
      <c r="JXZ995" s="104"/>
      <c r="JYA995" s="103"/>
      <c r="JYM995" s="104"/>
      <c r="JYN995" s="103"/>
      <c r="JYZ995" s="104"/>
      <c r="JZA995" s="103"/>
      <c r="JZM995" s="104"/>
      <c r="JZN995" s="103"/>
      <c r="JZZ995" s="104"/>
      <c r="KAA995" s="103"/>
      <c r="KAM995" s="104"/>
      <c r="KAN995" s="103"/>
      <c r="KAZ995" s="104"/>
      <c r="KBA995" s="103"/>
      <c r="KBM995" s="104"/>
      <c r="KBN995" s="103"/>
      <c r="KBZ995" s="104"/>
      <c r="KCA995" s="103"/>
      <c r="KCM995" s="104"/>
      <c r="KCN995" s="103"/>
      <c r="KCZ995" s="104"/>
      <c r="KDA995" s="103"/>
      <c r="KDM995" s="104"/>
      <c r="KDN995" s="103"/>
      <c r="KDZ995" s="104"/>
      <c r="KEA995" s="103"/>
      <c r="KEM995" s="104"/>
      <c r="KEN995" s="103"/>
      <c r="KEZ995" s="104"/>
      <c r="KFA995" s="103"/>
      <c r="KFM995" s="104"/>
      <c r="KFN995" s="103"/>
      <c r="KFZ995" s="104"/>
      <c r="KGA995" s="103"/>
      <c r="KGM995" s="104"/>
      <c r="KGN995" s="103"/>
      <c r="KGZ995" s="104"/>
      <c r="KHA995" s="103"/>
      <c r="KHM995" s="104"/>
      <c r="KHN995" s="103"/>
      <c r="KHZ995" s="104"/>
      <c r="KIA995" s="103"/>
      <c r="KIM995" s="104"/>
      <c r="KIN995" s="103"/>
      <c r="KIZ995" s="104"/>
      <c r="KJA995" s="103"/>
      <c r="KJM995" s="104"/>
      <c r="KJN995" s="103"/>
      <c r="KJZ995" s="104"/>
      <c r="KKA995" s="103"/>
      <c r="KKM995" s="104"/>
      <c r="KKN995" s="103"/>
      <c r="KKZ995" s="104"/>
      <c r="KLA995" s="103"/>
      <c r="KLM995" s="104"/>
      <c r="KLN995" s="103"/>
      <c r="KLZ995" s="104"/>
      <c r="KMA995" s="103"/>
      <c r="KMM995" s="104"/>
      <c r="KMN995" s="103"/>
      <c r="KMZ995" s="104"/>
      <c r="KNA995" s="103"/>
      <c r="KNM995" s="104"/>
      <c r="KNN995" s="103"/>
      <c r="KNZ995" s="104"/>
      <c r="KOA995" s="103"/>
      <c r="KOM995" s="104"/>
      <c r="KON995" s="103"/>
      <c r="KOZ995" s="104"/>
      <c r="KPA995" s="103"/>
      <c r="KPM995" s="104"/>
      <c r="KPN995" s="103"/>
      <c r="KPZ995" s="104"/>
      <c r="KQA995" s="103"/>
      <c r="KQM995" s="104"/>
      <c r="KQN995" s="103"/>
      <c r="KQZ995" s="104"/>
      <c r="KRA995" s="103"/>
      <c r="KRM995" s="104"/>
      <c r="KRN995" s="103"/>
      <c r="KRZ995" s="104"/>
      <c r="KSA995" s="103"/>
      <c r="KSM995" s="104"/>
      <c r="KSN995" s="103"/>
      <c r="KSZ995" s="104"/>
      <c r="KTA995" s="103"/>
      <c r="KTM995" s="104"/>
      <c r="KTN995" s="103"/>
      <c r="KTZ995" s="104"/>
      <c r="KUA995" s="103"/>
      <c r="KUM995" s="104"/>
      <c r="KUN995" s="103"/>
      <c r="KUZ995" s="104"/>
      <c r="KVA995" s="103"/>
      <c r="KVM995" s="104"/>
      <c r="KVN995" s="103"/>
      <c r="KVZ995" s="104"/>
      <c r="KWA995" s="103"/>
      <c r="KWM995" s="104"/>
      <c r="KWN995" s="103"/>
      <c r="KWZ995" s="104"/>
      <c r="KXA995" s="103"/>
      <c r="KXM995" s="104"/>
      <c r="KXN995" s="103"/>
      <c r="KXZ995" s="104"/>
      <c r="KYA995" s="103"/>
      <c r="KYM995" s="104"/>
      <c r="KYN995" s="103"/>
      <c r="KYZ995" s="104"/>
      <c r="KZA995" s="103"/>
      <c r="KZM995" s="104"/>
      <c r="KZN995" s="103"/>
      <c r="KZZ995" s="104"/>
      <c r="LAA995" s="103"/>
      <c r="LAM995" s="104"/>
      <c r="LAN995" s="103"/>
      <c r="LAZ995" s="104"/>
      <c r="LBA995" s="103"/>
      <c r="LBM995" s="104"/>
      <c r="LBN995" s="103"/>
      <c r="LBZ995" s="104"/>
      <c r="LCA995" s="103"/>
      <c r="LCM995" s="104"/>
      <c r="LCN995" s="103"/>
      <c r="LCZ995" s="104"/>
      <c r="LDA995" s="103"/>
      <c r="LDM995" s="104"/>
      <c r="LDN995" s="103"/>
      <c r="LDZ995" s="104"/>
      <c r="LEA995" s="103"/>
      <c r="LEM995" s="104"/>
      <c r="LEN995" s="103"/>
      <c r="LEZ995" s="104"/>
      <c r="LFA995" s="103"/>
      <c r="LFM995" s="104"/>
      <c r="LFN995" s="103"/>
      <c r="LFZ995" s="104"/>
      <c r="LGA995" s="103"/>
      <c r="LGM995" s="104"/>
      <c r="LGN995" s="103"/>
      <c r="LGZ995" s="104"/>
      <c r="LHA995" s="103"/>
      <c r="LHM995" s="104"/>
      <c r="LHN995" s="103"/>
      <c r="LHZ995" s="104"/>
      <c r="LIA995" s="103"/>
      <c r="LIM995" s="104"/>
      <c r="LIN995" s="103"/>
      <c r="LIZ995" s="104"/>
      <c r="LJA995" s="103"/>
      <c r="LJM995" s="104"/>
      <c r="LJN995" s="103"/>
      <c r="LJZ995" s="104"/>
      <c r="LKA995" s="103"/>
      <c r="LKM995" s="104"/>
      <c r="LKN995" s="103"/>
      <c r="LKZ995" s="104"/>
      <c r="LLA995" s="103"/>
      <c r="LLM995" s="104"/>
      <c r="LLN995" s="103"/>
      <c r="LLZ995" s="104"/>
      <c r="LMA995" s="103"/>
      <c r="LMM995" s="104"/>
      <c r="LMN995" s="103"/>
      <c r="LMZ995" s="104"/>
      <c r="LNA995" s="103"/>
      <c r="LNM995" s="104"/>
      <c r="LNN995" s="103"/>
      <c r="LNZ995" s="104"/>
      <c r="LOA995" s="103"/>
      <c r="LOM995" s="104"/>
      <c r="LON995" s="103"/>
      <c r="LOZ995" s="104"/>
      <c r="LPA995" s="103"/>
      <c r="LPM995" s="104"/>
      <c r="LPN995" s="103"/>
      <c r="LPZ995" s="104"/>
      <c r="LQA995" s="103"/>
      <c r="LQM995" s="104"/>
      <c r="LQN995" s="103"/>
      <c r="LQZ995" s="104"/>
      <c r="LRA995" s="103"/>
      <c r="LRM995" s="104"/>
      <c r="LRN995" s="103"/>
      <c r="LRZ995" s="104"/>
      <c r="LSA995" s="103"/>
      <c r="LSM995" s="104"/>
      <c r="LSN995" s="103"/>
      <c r="LSZ995" s="104"/>
      <c r="LTA995" s="103"/>
      <c r="LTM995" s="104"/>
      <c r="LTN995" s="103"/>
      <c r="LTZ995" s="104"/>
      <c r="LUA995" s="103"/>
      <c r="LUM995" s="104"/>
      <c r="LUN995" s="103"/>
      <c r="LUZ995" s="104"/>
      <c r="LVA995" s="103"/>
      <c r="LVM995" s="104"/>
      <c r="LVN995" s="103"/>
      <c r="LVZ995" s="104"/>
      <c r="LWA995" s="103"/>
      <c r="LWM995" s="104"/>
      <c r="LWN995" s="103"/>
      <c r="LWZ995" s="104"/>
      <c r="LXA995" s="103"/>
      <c r="LXM995" s="104"/>
      <c r="LXN995" s="103"/>
      <c r="LXZ995" s="104"/>
      <c r="LYA995" s="103"/>
      <c r="LYM995" s="104"/>
      <c r="LYN995" s="103"/>
      <c r="LYZ995" s="104"/>
      <c r="LZA995" s="103"/>
      <c r="LZM995" s="104"/>
      <c r="LZN995" s="103"/>
      <c r="LZZ995" s="104"/>
      <c r="MAA995" s="103"/>
      <c r="MAM995" s="104"/>
      <c r="MAN995" s="103"/>
      <c r="MAZ995" s="104"/>
      <c r="MBA995" s="103"/>
      <c r="MBM995" s="104"/>
      <c r="MBN995" s="103"/>
      <c r="MBZ995" s="104"/>
      <c r="MCA995" s="103"/>
      <c r="MCM995" s="104"/>
      <c r="MCN995" s="103"/>
      <c r="MCZ995" s="104"/>
      <c r="MDA995" s="103"/>
      <c r="MDM995" s="104"/>
      <c r="MDN995" s="103"/>
      <c r="MDZ995" s="104"/>
      <c r="MEA995" s="103"/>
      <c r="MEM995" s="104"/>
      <c r="MEN995" s="103"/>
      <c r="MEZ995" s="104"/>
      <c r="MFA995" s="103"/>
      <c r="MFM995" s="104"/>
      <c r="MFN995" s="103"/>
      <c r="MFZ995" s="104"/>
      <c r="MGA995" s="103"/>
      <c r="MGM995" s="104"/>
      <c r="MGN995" s="103"/>
      <c r="MGZ995" s="104"/>
      <c r="MHA995" s="103"/>
      <c r="MHM995" s="104"/>
      <c r="MHN995" s="103"/>
      <c r="MHZ995" s="104"/>
      <c r="MIA995" s="103"/>
      <c r="MIM995" s="104"/>
      <c r="MIN995" s="103"/>
      <c r="MIZ995" s="104"/>
      <c r="MJA995" s="103"/>
      <c r="MJM995" s="104"/>
      <c r="MJN995" s="103"/>
      <c r="MJZ995" s="104"/>
      <c r="MKA995" s="103"/>
      <c r="MKM995" s="104"/>
      <c r="MKN995" s="103"/>
      <c r="MKZ995" s="104"/>
      <c r="MLA995" s="103"/>
      <c r="MLM995" s="104"/>
      <c r="MLN995" s="103"/>
      <c r="MLZ995" s="104"/>
      <c r="MMA995" s="103"/>
      <c r="MMM995" s="104"/>
      <c r="MMN995" s="103"/>
      <c r="MMZ995" s="104"/>
      <c r="MNA995" s="103"/>
      <c r="MNM995" s="104"/>
      <c r="MNN995" s="103"/>
      <c r="MNZ995" s="104"/>
      <c r="MOA995" s="103"/>
      <c r="MOM995" s="104"/>
      <c r="MON995" s="103"/>
      <c r="MOZ995" s="104"/>
      <c r="MPA995" s="103"/>
      <c r="MPM995" s="104"/>
      <c r="MPN995" s="103"/>
      <c r="MPZ995" s="104"/>
      <c r="MQA995" s="103"/>
      <c r="MQM995" s="104"/>
      <c r="MQN995" s="103"/>
      <c r="MQZ995" s="104"/>
      <c r="MRA995" s="103"/>
      <c r="MRM995" s="104"/>
      <c r="MRN995" s="103"/>
      <c r="MRZ995" s="104"/>
      <c r="MSA995" s="103"/>
      <c r="MSM995" s="104"/>
      <c r="MSN995" s="103"/>
      <c r="MSZ995" s="104"/>
      <c r="MTA995" s="103"/>
      <c r="MTM995" s="104"/>
      <c r="MTN995" s="103"/>
      <c r="MTZ995" s="104"/>
      <c r="MUA995" s="103"/>
      <c r="MUM995" s="104"/>
      <c r="MUN995" s="103"/>
      <c r="MUZ995" s="104"/>
      <c r="MVA995" s="103"/>
      <c r="MVM995" s="104"/>
      <c r="MVN995" s="103"/>
      <c r="MVZ995" s="104"/>
      <c r="MWA995" s="103"/>
      <c r="MWM995" s="104"/>
      <c r="MWN995" s="103"/>
      <c r="MWZ995" s="104"/>
      <c r="MXA995" s="103"/>
      <c r="MXM995" s="104"/>
      <c r="MXN995" s="103"/>
      <c r="MXZ995" s="104"/>
      <c r="MYA995" s="103"/>
      <c r="MYM995" s="104"/>
      <c r="MYN995" s="103"/>
      <c r="MYZ995" s="104"/>
      <c r="MZA995" s="103"/>
      <c r="MZM995" s="104"/>
      <c r="MZN995" s="103"/>
      <c r="MZZ995" s="104"/>
      <c r="NAA995" s="103"/>
      <c r="NAM995" s="104"/>
      <c r="NAN995" s="103"/>
      <c r="NAZ995" s="104"/>
      <c r="NBA995" s="103"/>
      <c r="NBM995" s="104"/>
      <c r="NBN995" s="103"/>
      <c r="NBZ995" s="104"/>
      <c r="NCA995" s="103"/>
      <c r="NCM995" s="104"/>
      <c r="NCN995" s="103"/>
      <c r="NCZ995" s="104"/>
      <c r="NDA995" s="103"/>
      <c r="NDM995" s="104"/>
      <c r="NDN995" s="103"/>
      <c r="NDZ995" s="104"/>
      <c r="NEA995" s="103"/>
      <c r="NEM995" s="104"/>
      <c r="NEN995" s="103"/>
      <c r="NEZ995" s="104"/>
      <c r="NFA995" s="103"/>
      <c r="NFM995" s="104"/>
      <c r="NFN995" s="103"/>
      <c r="NFZ995" s="104"/>
      <c r="NGA995" s="103"/>
      <c r="NGM995" s="104"/>
      <c r="NGN995" s="103"/>
      <c r="NGZ995" s="104"/>
      <c r="NHA995" s="103"/>
      <c r="NHM995" s="104"/>
      <c r="NHN995" s="103"/>
      <c r="NHZ995" s="104"/>
      <c r="NIA995" s="103"/>
      <c r="NIM995" s="104"/>
      <c r="NIN995" s="103"/>
      <c r="NIZ995" s="104"/>
      <c r="NJA995" s="103"/>
      <c r="NJM995" s="104"/>
      <c r="NJN995" s="103"/>
      <c r="NJZ995" s="104"/>
      <c r="NKA995" s="103"/>
      <c r="NKM995" s="104"/>
      <c r="NKN995" s="103"/>
      <c r="NKZ995" s="104"/>
      <c r="NLA995" s="103"/>
      <c r="NLM995" s="104"/>
      <c r="NLN995" s="103"/>
      <c r="NLZ995" s="104"/>
      <c r="NMA995" s="103"/>
      <c r="NMM995" s="104"/>
      <c r="NMN995" s="103"/>
      <c r="NMZ995" s="104"/>
      <c r="NNA995" s="103"/>
      <c r="NNM995" s="104"/>
      <c r="NNN995" s="103"/>
      <c r="NNZ995" s="104"/>
      <c r="NOA995" s="103"/>
      <c r="NOM995" s="104"/>
      <c r="NON995" s="103"/>
      <c r="NOZ995" s="104"/>
      <c r="NPA995" s="103"/>
      <c r="NPM995" s="104"/>
      <c r="NPN995" s="103"/>
      <c r="NPZ995" s="104"/>
      <c r="NQA995" s="103"/>
      <c r="NQM995" s="104"/>
      <c r="NQN995" s="103"/>
      <c r="NQZ995" s="104"/>
      <c r="NRA995" s="103"/>
      <c r="NRM995" s="104"/>
      <c r="NRN995" s="103"/>
      <c r="NRZ995" s="104"/>
      <c r="NSA995" s="103"/>
      <c r="NSM995" s="104"/>
      <c r="NSN995" s="103"/>
      <c r="NSZ995" s="104"/>
      <c r="NTA995" s="103"/>
      <c r="NTM995" s="104"/>
      <c r="NTN995" s="103"/>
      <c r="NTZ995" s="104"/>
      <c r="NUA995" s="103"/>
      <c r="NUM995" s="104"/>
      <c r="NUN995" s="103"/>
      <c r="NUZ995" s="104"/>
      <c r="NVA995" s="103"/>
      <c r="NVM995" s="104"/>
      <c r="NVN995" s="103"/>
      <c r="NVZ995" s="104"/>
      <c r="NWA995" s="103"/>
      <c r="NWM995" s="104"/>
      <c r="NWN995" s="103"/>
      <c r="NWZ995" s="104"/>
      <c r="NXA995" s="103"/>
      <c r="NXM995" s="104"/>
      <c r="NXN995" s="103"/>
      <c r="NXZ995" s="104"/>
      <c r="NYA995" s="103"/>
      <c r="NYM995" s="104"/>
      <c r="NYN995" s="103"/>
      <c r="NYZ995" s="104"/>
      <c r="NZA995" s="103"/>
      <c r="NZM995" s="104"/>
      <c r="NZN995" s="103"/>
      <c r="NZZ995" s="104"/>
      <c r="OAA995" s="103"/>
      <c r="OAM995" s="104"/>
      <c r="OAN995" s="103"/>
      <c r="OAZ995" s="104"/>
      <c r="OBA995" s="103"/>
      <c r="OBM995" s="104"/>
      <c r="OBN995" s="103"/>
      <c r="OBZ995" s="104"/>
      <c r="OCA995" s="103"/>
      <c r="OCM995" s="104"/>
      <c r="OCN995" s="103"/>
      <c r="OCZ995" s="104"/>
      <c r="ODA995" s="103"/>
      <c r="ODM995" s="104"/>
      <c r="ODN995" s="103"/>
      <c r="ODZ995" s="104"/>
      <c r="OEA995" s="103"/>
      <c r="OEM995" s="104"/>
      <c r="OEN995" s="103"/>
      <c r="OEZ995" s="104"/>
      <c r="OFA995" s="103"/>
      <c r="OFM995" s="104"/>
      <c r="OFN995" s="103"/>
      <c r="OFZ995" s="104"/>
      <c r="OGA995" s="103"/>
      <c r="OGM995" s="104"/>
      <c r="OGN995" s="103"/>
      <c r="OGZ995" s="104"/>
      <c r="OHA995" s="103"/>
      <c r="OHM995" s="104"/>
      <c r="OHN995" s="103"/>
      <c r="OHZ995" s="104"/>
      <c r="OIA995" s="103"/>
      <c r="OIM995" s="104"/>
      <c r="OIN995" s="103"/>
      <c r="OIZ995" s="104"/>
      <c r="OJA995" s="103"/>
      <c r="OJM995" s="104"/>
      <c r="OJN995" s="103"/>
      <c r="OJZ995" s="104"/>
      <c r="OKA995" s="103"/>
      <c r="OKM995" s="104"/>
      <c r="OKN995" s="103"/>
      <c r="OKZ995" s="104"/>
      <c r="OLA995" s="103"/>
      <c r="OLM995" s="104"/>
      <c r="OLN995" s="103"/>
      <c r="OLZ995" s="104"/>
      <c r="OMA995" s="103"/>
      <c r="OMM995" s="104"/>
      <c r="OMN995" s="103"/>
      <c r="OMZ995" s="104"/>
      <c r="ONA995" s="103"/>
      <c r="ONM995" s="104"/>
      <c r="ONN995" s="103"/>
      <c r="ONZ995" s="104"/>
      <c r="OOA995" s="103"/>
      <c r="OOM995" s="104"/>
      <c r="OON995" s="103"/>
      <c r="OOZ995" s="104"/>
      <c r="OPA995" s="103"/>
      <c r="OPM995" s="104"/>
      <c r="OPN995" s="103"/>
      <c r="OPZ995" s="104"/>
      <c r="OQA995" s="103"/>
      <c r="OQM995" s="104"/>
      <c r="OQN995" s="103"/>
      <c r="OQZ995" s="104"/>
      <c r="ORA995" s="103"/>
      <c r="ORM995" s="104"/>
      <c r="ORN995" s="103"/>
      <c r="ORZ995" s="104"/>
      <c r="OSA995" s="103"/>
      <c r="OSM995" s="104"/>
      <c r="OSN995" s="103"/>
      <c r="OSZ995" s="104"/>
      <c r="OTA995" s="103"/>
      <c r="OTM995" s="104"/>
      <c r="OTN995" s="103"/>
      <c r="OTZ995" s="104"/>
      <c r="OUA995" s="103"/>
      <c r="OUM995" s="104"/>
      <c r="OUN995" s="103"/>
      <c r="OUZ995" s="104"/>
      <c r="OVA995" s="103"/>
      <c r="OVM995" s="104"/>
      <c r="OVN995" s="103"/>
      <c r="OVZ995" s="104"/>
      <c r="OWA995" s="103"/>
      <c r="OWM995" s="104"/>
      <c r="OWN995" s="103"/>
      <c r="OWZ995" s="104"/>
      <c r="OXA995" s="103"/>
      <c r="OXM995" s="104"/>
      <c r="OXN995" s="103"/>
      <c r="OXZ995" s="104"/>
      <c r="OYA995" s="103"/>
      <c r="OYM995" s="104"/>
      <c r="OYN995" s="103"/>
      <c r="OYZ995" s="104"/>
      <c r="OZA995" s="103"/>
      <c r="OZM995" s="104"/>
      <c r="OZN995" s="103"/>
      <c r="OZZ995" s="104"/>
      <c r="PAA995" s="103"/>
      <c r="PAM995" s="104"/>
      <c r="PAN995" s="103"/>
      <c r="PAZ995" s="104"/>
      <c r="PBA995" s="103"/>
      <c r="PBM995" s="104"/>
      <c r="PBN995" s="103"/>
      <c r="PBZ995" s="104"/>
      <c r="PCA995" s="103"/>
      <c r="PCM995" s="104"/>
      <c r="PCN995" s="103"/>
      <c r="PCZ995" s="104"/>
      <c r="PDA995" s="103"/>
      <c r="PDM995" s="104"/>
      <c r="PDN995" s="103"/>
      <c r="PDZ995" s="104"/>
      <c r="PEA995" s="103"/>
      <c r="PEM995" s="104"/>
      <c r="PEN995" s="103"/>
      <c r="PEZ995" s="104"/>
      <c r="PFA995" s="103"/>
      <c r="PFM995" s="104"/>
      <c r="PFN995" s="103"/>
      <c r="PFZ995" s="104"/>
      <c r="PGA995" s="103"/>
      <c r="PGM995" s="104"/>
      <c r="PGN995" s="103"/>
      <c r="PGZ995" s="104"/>
      <c r="PHA995" s="103"/>
      <c r="PHM995" s="104"/>
      <c r="PHN995" s="103"/>
      <c r="PHZ995" s="104"/>
      <c r="PIA995" s="103"/>
      <c r="PIM995" s="104"/>
      <c r="PIN995" s="103"/>
      <c r="PIZ995" s="104"/>
      <c r="PJA995" s="103"/>
      <c r="PJM995" s="104"/>
      <c r="PJN995" s="103"/>
      <c r="PJZ995" s="104"/>
      <c r="PKA995" s="103"/>
      <c r="PKM995" s="104"/>
      <c r="PKN995" s="103"/>
      <c r="PKZ995" s="104"/>
      <c r="PLA995" s="103"/>
      <c r="PLM995" s="104"/>
      <c r="PLN995" s="103"/>
      <c r="PLZ995" s="104"/>
      <c r="PMA995" s="103"/>
      <c r="PMM995" s="104"/>
      <c r="PMN995" s="103"/>
      <c r="PMZ995" s="104"/>
      <c r="PNA995" s="103"/>
      <c r="PNM995" s="104"/>
      <c r="PNN995" s="103"/>
      <c r="PNZ995" s="104"/>
      <c r="POA995" s="103"/>
      <c r="POM995" s="104"/>
      <c r="PON995" s="103"/>
      <c r="POZ995" s="104"/>
      <c r="PPA995" s="103"/>
      <c r="PPM995" s="104"/>
      <c r="PPN995" s="103"/>
      <c r="PPZ995" s="104"/>
      <c r="PQA995" s="103"/>
      <c r="PQM995" s="104"/>
      <c r="PQN995" s="103"/>
      <c r="PQZ995" s="104"/>
      <c r="PRA995" s="103"/>
      <c r="PRM995" s="104"/>
      <c r="PRN995" s="103"/>
      <c r="PRZ995" s="104"/>
      <c r="PSA995" s="103"/>
      <c r="PSM995" s="104"/>
      <c r="PSN995" s="103"/>
      <c r="PSZ995" s="104"/>
      <c r="PTA995" s="103"/>
      <c r="PTM995" s="104"/>
      <c r="PTN995" s="103"/>
      <c r="PTZ995" s="104"/>
      <c r="PUA995" s="103"/>
      <c r="PUM995" s="104"/>
      <c r="PUN995" s="103"/>
      <c r="PUZ995" s="104"/>
      <c r="PVA995" s="103"/>
      <c r="PVM995" s="104"/>
      <c r="PVN995" s="103"/>
      <c r="PVZ995" s="104"/>
      <c r="PWA995" s="103"/>
      <c r="PWM995" s="104"/>
      <c r="PWN995" s="103"/>
      <c r="PWZ995" s="104"/>
      <c r="PXA995" s="103"/>
      <c r="PXM995" s="104"/>
      <c r="PXN995" s="103"/>
      <c r="PXZ995" s="104"/>
      <c r="PYA995" s="103"/>
      <c r="PYM995" s="104"/>
      <c r="PYN995" s="103"/>
      <c r="PYZ995" s="104"/>
      <c r="PZA995" s="103"/>
      <c r="PZM995" s="104"/>
      <c r="PZN995" s="103"/>
      <c r="PZZ995" s="104"/>
      <c r="QAA995" s="103"/>
      <c r="QAM995" s="104"/>
      <c r="QAN995" s="103"/>
      <c r="QAZ995" s="104"/>
      <c r="QBA995" s="103"/>
      <c r="QBM995" s="104"/>
      <c r="QBN995" s="103"/>
      <c r="QBZ995" s="104"/>
      <c r="QCA995" s="103"/>
      <c r="QCM995" s="104"/>
      <c r="QCN995" s="103"/>
      <c r="QCZ995" s="104"/>
      <c r="QDA995" s="103"/>
      <c r="QDM995" s="104"/>
      <c r="QDN995" s="103"/>
      <c r="QDZ995" s="104"/>
      <c r="QEA995" s="103"/>
      <c r="QEM995" s="104"/>
      <c r="QEN995" s="103"/>
      <c r="QEZ995" s="104"/>
      <c r="QFA995" s="103"/>
      <c r="QFM995" s="104"/>
      <c r="QFN995" s="103"/>
      <c r="QFZ995" s="104"/>
      <c r="QGA995" s="103"/>
      <c r="QGM995" s="104"/>
      <c r="QGN995" s="103"/>
      <c r="QGZ995" s="104"/>
      <c r="QHA995" s="103"/>
      <c r="QHM995" s="104"/>
      <c r="QHN995" s="103"/>
      <c r="QHZ995" s="104"/>
      <c r="QIA995" s="103"/>
      <c r="QIM995" s="104"/>
      <c r="QIN995" s="103"/>
      <c r="QIZ995" s="104"/>
      <c r="QJA995" s="103"/>
      <c r="QJM995" s="104"/>
      <c r="QJN995" s="103"/>
      <c r="QJZ995" s="104"/>
      <c r="QKA995" s="103"/>
      <c r="QKM995" s="104"/>
      <c r="QKN995" s="103"/>
      <c r="QKZ995" s="104"/>
      <c r="QLA995" s="103"/>
      <c r="QLM995" s="104"/>
      <c r="QLN995" s="103"/>
      <c r="QLZ995" s="104"/>
      <c r="QMA995" s="103"/>
      <c r="QMM995" s="104"/>
      <c r="QMN995" s="103"/>
      <c r="QMZ995" s="104"/>
      <c r="QNA995" s="103"/>
      <c r="QNM995" s="104"/>
      <c r="QNN995" s="103"/>
      <c r="QNZ995" s="104"/>
      <c r="QOA995" s="103"/>
      <c r="QOM995" s="104"/>
      <c r="QON995" s="103"/>
      <c r="QOZ995" s="104"/>
      <c r="QPA995" s="103"/>
      <c r="QPM995" s="104"/>
      <c r="QPN995" s="103"/>
      <c r="QPZ995" s="104"/>
      <c r="QQA995" s="103"/>
      <c r="QQM995" s="104"/>
      <c r="QQN995" s="103"/>
      <c r="QQZ995" s="104"/>
      <c r="QRA995" s="103"/>
      <c r="QRM995" s="104"/>
      <c r="QRN995" s="103"/>
      <c r="QRZ995" s="104"/>
      <c r="QSA995" s="103"/>
      <c r="QSM995" s="104"/>
      <c r="QSN995" s="103"/>
      <c r="QSZ995" s="104"/>
      <c r="QTA995" s="103"/>
      <c r="QTM995" s="104"/>
      <c r="QTN995" s="103"/>
      <c r="QTZ995" s="104"/>
      <c r="QUA995" s="103"/>
      <c r="QUM995" s="104"/>
      <c r="QUN995" s="103"/>
      <c r="QUZ995" s="104"/>
      <c r="QVA995" s="103"/>
      <c r="QVM995" s="104"/>
      <c r="QVN995" s="103"/>
      <c r="QVZ995" s="104"/>
      <c r="QWA995" s="103"/>
      <c r="QWM995" s="104"/>
      <c r="QWN995" s="103"/>
      <c r="QWZ995" s="104"/>
      <c r="QXA995" s="103"/>
      <c r="QXM995" s="104"/>
      <c r="QXN995" s="103"/>
      <c r="QXZ995" s="104"/>
      <c r="QYA995" s="103"/>
      <c r="QYM995" s="104"/>
      <c r="QYN995" s="103"/>
      <c r="QYZ995" s="104"/>
      <c r="QZA995" s="103"/>
      <c r="QZM995" s="104"/>
      <c r="QZN995" s="103"/>
      <c r="QZZ995" s="104"/>
      <c r="RAA995" s="103"/>
      <c r="RAM995" s="104"/>
      <c r="RAN995" s="103"/>
      <c r="RAZ995" s="104"/>
      <c r="RBA995" s="103"/>
      <c r="RBM995" s="104"/>
      <c r="RBN995" s="103"/>
      <c r="RBZ995" s="104"/>
      <c r="RCA995" s="103"/>
      <c r="RCM995" s="104"/>
      <c r="RCN995" s="103"/>
      <c r="RCZ995" s="104"/>
      <c r="RDA995" s="103"/>
      <c r="RDM995" s="104"/>
      <c r="RDN995" s="103"/>
      <c r="RDZ995" s="104"/>
      <c r="REA995" s="103"/>
      <c r="REM995" s="104"/>
      <c r="REN995" s="103"/>
      <c r="REZ995" s="104"/>
      <c r="RFA995" s="103"/>
      <c r="RFM995" s="104"/>
      <c r="RFN995" s="103"/>
      <c r="RFZ995" s="104"/>
      <c r="RGA995" s="103"/>
      <c r="RGM995" s="104"/>
      <c r="RGN995" s="103"/>
      <c r="RGZ995" s="104"/>
      <c r="RHA995" s="103"/>
      <c r="RHM995" s="104"/>
      <c r="RHN995" s="103"/>
      <c r="RHZ995" s="104"/>
      <c r="RIA995" s="103"/>
      <c r="RIM995" s="104"/>
      <c r="RIN995" s="103"/>
      <c r="RIZ995" s="104"/>
      <c r="RJA995" s="103"/>
      <c r="RJM995" s="104"/>
      <c r="RJN995" s="103"/>
      <c r="RJZ995" s="104"/>
      <c r="RKA995" s="103"/>
      <c r="RKM995" s="104"/>
      <c r="RKN995" s="103"/>
      <c r="RKZ995" s="104"/>
      <c r="RLA995" s="103"/>
      <c r="RLM995" s="104"/>
      <c r="RLN995" s="103"/>
      <c r="RLZ995" s="104"/>
      <c r="RMA995" s="103"/>
      <c r="RMM995" s="104"/>
      <c r="RMN995" s="103"/>
      <c r="RMZ995" s="104"/>
      <c r="RNA995" s="103"/>
      <c r="RNM995" s="104"/>
      <c r="RNN995" s="103"/>
      <c r="RNZ995" s="104"/>
      <c r="ROA995" s="103"/>
      <c r="ROM995" s="104"/>
      <c r="RON995" s="103"/>
      <c r="ROZ995" s="104"/>
      <c r="RPA995" s="103"/>
      <c r="RPM995" s="104"/>
      <c r="RPN995" s="103"/>
      <c r="RPZ995" s="104"/>
      <c r="RQA995" s="103"/>
      <c r="RQM995" s="104"/>
      <c r="RQN995" s="103"/>
      <c r="RQZ995" s="104"/>
      <c r="RRA995" s="103"/>
      <c r="RRM995" s="104"/>
      <c r="RRN995" s="103"/>
      <c r="RRZ995" s="104"/>
      <c r="RSA995" s="103"/>
      <c r="RSM995" s="104"/>
      <c r="RSN995" s="103"/>
      <c r="RSZ995" s="104"/>
      <c r="RTA995" s="103"/>
      <c r="RTM995" s="104"/>
      <c r="RTN995" s="103"/>
      <c r="RTZ995" s="104"/>
      <c r="RUA995" s="103"/>
      <c r="RUM995" s="104"/>
      <c r="RUN995" s="103"/>
      <c r="RUZ995" s="104"/>
      <c r="RVA995" s="103"/>
      <c r="RVM995" s="104"/>
      <c r="RVN995" s="103"/>
      <c r="RVZ995" s="104"/>
      <c r="RWA995" s="103"/>
      <c r="RWM995" s="104"/>
      <c r="RWN995" s="103"/>
      <c r="RWZ995" s="104"/>
      <c r="RXA995" s="103"/>
      <c r="RXM995" s="104"/>
      <c r="RXN995" s="103"/>
      <c r="RXZ995" s="104"/>
      <c r="RYA995" s="103"/>
      <c r="RYM995" s="104"/>
      <c r="RYN995" s="103"/>
      <c r="RYZ995" s="104"/>
      <c r="RZA995" s="103"/>
      <c r="RZM995" s="104"/>
      <c r="RZN995" s="103"/>
      <c r="RZZ995" s="104"/>
      <c r="SAA995" s="103"/>
      <c r="SAM995" s="104"/>
      <c r="SAN995" s="103"/>
      <c r="SAZ995" s="104"/>
      <c r="SBA995" s="103"/>
      <c r="SBM995" s="104"/>
      <c r="SBN995" s="103"/>
      <c r="SBZ995" s="104"/>
      <c r="SCA995" s="103"/>
      <c r="SCM995" s="104"/>
      <c r="SCN995" s="103"/>
      <c r="SCZ995" s="104"/>
      <c r="SDA995" s="103"/>
      <c r="SDM995" s="104"/>
      <c r="SDN995" s="103"/>
      <c r="SDZ995" s="104"/>
      <c r="SEA995" s="103"/>
      <c r="SEM995" s="104"/>
      <c r="SEN995" s="103"/>
      <c r="SEZ995" s="104"/>
      <c r="SFA995" s="103"/>
      <c r="SFM995" s="104"/>
      <c r="SFN995" s="103"/>
      <c r="SFZ995" s="104"/>
      <c r="SGA995" s="103"/>
      <c r="SGM995" s="104"/>
      <c r="SGN995" s="103"/>
      <c r="SGZ995" s="104"/>
      <c r="SHA995" s="103"/>
      <c r="SHM995" s="104"/>
      <c r="SHN995" s="103"/>
      <c r="SHZ995" s="104"/>
      <c r="SIA995" s="103"/>
      <c r="SIM995" s="104"/>
      <c r="SIN995" s="103"/>
      <c r="SIZ995" s="104"/>
      <c r="SJA995" s="103"/>
      <c r="SJM995" s="104"/>
      <c r="SJN995" s="103"/>
      <c r="SJZ995" s="104"/>
      <c r="SKA995" s="103"/>
      <c r="SKM995" s="104"/>
      <c r="SKN995" s="103"/>
      <c r="SKZ995" s="104"/>
      <c r="SLA995" s="103"/>
      <c r="SLM995" s="104"/>
      <c r="SLN995" s="103"/>
      <c r="SLZ995" s="104"/>
      <c r="SMA995" s="103"/>
      <c r="SMM995" s="104"/>
      <c r="SMN995" s="103"/>
      <c r="SMZ995" s="104"/>
      <c r="SNA995" s="103"/>
      <c r="SNM995" s="104"/>
      <c r="SNN995" s="103"/>
      <c r="SNZ995" s="104"/>
      <c r="SOA995" s="103"/>
      <c r="SOM995" s="104"/>
      <c r="SON995" s="103"/>
      <c r="SOZ995" s="104"/>
      <c r="SPA995" s="103"/>
      <c r="SPM995" s="104"/>
      <c r="SPN995" s="103"/>
      <c r="SPZ995" s="104"/>
      <c r="SQA995" s="103"/>
      <c r="SQM995" s="104"/>
      <c r="SQN995" s="103"/>
      <c r="SQZ995" s="104"/>
      <c r="SRA995" s="103"/>
      <c r="SRM995" s="104"/>
      <c r="SRN995" s="103"/>
      <c r="SRZ995" s="104"/>
      <c r="SSA995" s="103"/>
      <c r="SSM995" s="104"/>
      <c r="SSN995" s="103"/>
      <c r="SSZ995" s="104"/>
      <c r="STA995" s="103"/>
      <c r="STM995" s="104"/>
      <c r="STN995" s="103"/>
      <c r="STZ995" s="104"/>
      <c r="SUA995" s="103"/>
      <c r="SUM995" s="104"/>
      <c r="SUN995" s="103"/>
      <c r="SUZ995" s="104"/>
      <c r="SVA995" s="103"/>
      <c r="SVM995" s="104"/>
      <c r="SVN995" s="103"/>
      <c r="SVZ995" s="104"/>
      <c r="SWA995" s="103"/>
      <c r="SWM995" s="104"/>
      <c r="SWN995" s="103"/>
      <c r="SWZ995" s="104"/>
      <c r="SXA995" s="103"/>
      <c r="SXM995" s="104"/>
      <c r="SXN995" s="103"/>
      <c r="SXZ995" s="104"/>
      <c r="SYA995" s="103"/>
      <c r="SYM995" s="104"/>
      <c r="SYN995" s="103"/>
      <c r="SYZ995" s="104"/>
      <c r="SZA995" s="103"/>
      <c r="SZM995" s="104"/>
      <c r="SZN995" s="103"/>
      <c r="SZZ995" s="104"/>
      <c r="TAA995" s="103"/>
      <c r="TAM995" s="104"/>
      <c r="TAN995" s="103"/>
      <c r="TAZ995" s="104"/>
      <c r="TBA995" s="103"/>
      <c r="TBM995" s="104"/>
      <c r="TBN995" s="103"/>
      <c r="TBZ995" s="104"/>
      <c r="TCA995" s="103"/>
      <c r="TCM995" s="104"/>
      <c r="TCN995" s="103"/>
      <c r="TCZ995" s="104"/>
      <c r="TDA995" s="103"/>
      <c r="TDM995" s="104"/>
      <c r="TDN995" s="103"/>
      <c r="TDZ995" s="104"/>
      <c r="TEA995" s="103"/>
      <c r="TEM995" s="104"/>
      <c r="TEN995" s="103"/>
      <c r="TEZ995" s="104"/>
      <c r="TFA995" s="103"/>
      <c r="TFM995" s="104"/>
      <c r="TFN995" s="103"/>
      <c r="TFZ995" s="104"/>
      <c r="TGA995" s="103"/>
      <c r="TGM995" s="104"/>
      <c r="TGN995" s="103"/>
      <c r="TGZ995" s="104"/>
      <c r="THA995" s="103"/>
      <c r="THM995" s="104"/>
      <c r="THN995" s="103"/>
      <c r="THZ995" s="104"/>
      <c r="TIA995" s="103"/>
      <c r="TIM995" s="104"/>
      <c r="TIN995" s="103"/>
      <c r="TIZ995" s="104"/>
      <c r="TJA995" s="103"/>
      <c r="TJM995" s="104"/>
      <c r="TJN995" s="103"/>
      <c r="TJZ995" s="104"/>
      <c r="TKA995" s="103"/>
      <c r="TKM995" s="104"/>
      <c r="TKN995" s="103"/>
      <c r="TKZ995" s="104"/>
      <c r="TLA995" s="103"/>
      <c r="TLM995" s="104"/>
      <c r="TLN995" s="103"/>
      <c r="TLZ995" s="104"/>
      <c r="TMA995" s="103"/>
      <c r="TMM995" s="104"/>
      <c r="TMN995" s="103"/>
      <c r="TMZ995" s="104"/>
      <c r="TNA995" s="103"/>
      <c r="TNM995" s="104"/>
      <c r="TNN995" s="103"/>
      <c r="TNZ995" s="104"/>
      <c r="TOA995" s="103"/>
      <c r="TOM995" s="104"/>
      <c r="TON995" s="103"/>
      <c r="TOZ995" s="104"/>
      <c r="TPA995" s="103"/>
      <c r="TPM995" s="104"/>
      <c r="TPN995" s="103"/>
      <c r="TPZ995" s="104"/>
      <c r="TQA995" s="103"/>
      <c r="TQM995" s="104"/>
      <c r="TQN995" s="103"/>
      <c r="TQZ995" s="104"/>
      <c r="TRA995" s="103"/>
      <c r="TRM995" s="104"/>
      <c r="TRN995" s="103"/>
      <c r="TRZ995" s="104"/>
      <c r="TSA995" s="103"/>
      <c r="TSM995" s="104"/>
      <c r="TSN995" s="103"/>
      <c r="TSZ995" s="104"/>
      <c r="TTA995" s="103"/>
      <c r="TTM995" s="104"/>
      <c r="TTN995" s="103"/>
      <c r="TTZ995" s="104"/>
      <c r="TUA995" s="103"/>
      <c r="TUM995" s="104"/>
      <c r="TUN995" s="103"/>
      <c r="TUZ995" s="104"/>
      <c r="TVA995" s="103"/>
      <c r="TVM995" s="104"/>
      <c r="TVN995" s="103"/>
      <c r="TVZ995" s="104"/>
      <c r="TWA995" s="103"/>
      <c r="TWM995" s="104"/>
      <c r="TWN995" s="103"/>
      <c r="TWZ995" s="104"/>
      <c r="TXA995" s="103"/>
      <c r="TXM995" s="104"/>
      <c r="TXN995" s="103"/>
      <c r="TXZ995" s="104"/>
      <c r="TYA995" s="103"/>
      <c r="TYM995" s="104"/>
      <c r="TYN995" s="103"/>
      <c r="TYZ995" s="104"/>
      <c r="TZA995" s="103"/>
      <c r="TZM995" s="104"/>
      <c r="TZN995" s="103"/>
      <c r="TZZ995" s="104"/>
      <c r="UAA995" s="103"/>
      <c r="UAM995" s="104"/>
      <c r="UAN995" s="103"/>
      <c r="UAZ995" s="104"/>
      <c r="UBA995" s="103"/>
      <c r="UBM995" s="104"/>
      <c r="UBN995" s="103"/>
      <c r="UBZ995" s="104"/>
      <c r="UCA995" s="103"/>
      <c r="UCM995" s="104"/>
      <c r="UCN995" s="103"/>
      <c r="UCZ995" s="104"/>
      <c r="UDA995" s="103"/>
      <c r="UDM995" s="104"/>
      <c r="UDN995" s="103"/>
      <c r="UDZ995" s="104"/>
      <c r="UEA995" s="103"/>
      <c r="UEM995" s="104"/>
      <c r="UEN995" s="103"/>
      <c r="UEZ995" s="104"/>
      <c r="UFA995" s="103"/>
      <c r="UFM995" s="104"/>
      <c r="UFN995" s="103"/>
      <c r="UFZ995" s="104"/>
      <c r="UGA995" s="103"/>
      <c r="UGM995" s="104"/>
      <c r="UGN995" s="103"/>
      <c r="UGZ995" s="104"/>
      <c r="UHA995" s="103"/>
      <c r="UHM995" s="104"/>
      <c r="UHN995" s="103"/>
      <c r="UHZ995" s="104"/>
      <c r="UIA995" s="103"/>
      <c r="UIM995" s="104"/>
      <c r="UIN995" s="103"/>
      <c r="UIZ995" s="104"/>
      <c r="UJA995" s="103"/>
      <c r="UJM995" s="104"/>
      <c r="UJN995" s="103"/>
      <c r="UJZ995" s="104"/>
      <c r="UKA995" s="103"/>
      <c r="UKM995" s="104"/>
      <c r="UKN995" s="103"/>
      <c r="UKZ995" s="104"/>
      <c r="ULA995" s="103"/>
      <c r="ULM995" s="104"/>
      <c r="ULN995" s="103"/>
      <c r="ULZ995" s="104"/>
      <c r="UMA995" s="103"/>
      <c r="UMM995" s="104"/>
      <c r="UMN995" s="103"/>
      <c r="UMZ995" s="104"/>
      <c r="UNA995" s="103"/>
      <c r="UNM995" s="104"/>
      <c r="UNN995" s="103"/>
      <c r="UNZ995" s="104"/>
      <c r="UOA995" s="103"/>
      <c r="UOM995" s="104"/>
      <c r="UON995" s="103"/>
      <c r="UOZ995" s="104"/>
      <c r="UPA995" s="103"/>
      <c r="UPM995" s="104"/>
      <c r="UPN995" s="103"/>
      <c r="UPZ995" s="104"/>
      <c r="UQA995" s="103"/>
      <c r="UQM995" s="104"/>
      <c r="UQN995" s="103"/>
      <c r="UQZ995" s="104"/>
      <c r="URA995" s="103"/>
      <c r="URM995" s="104"/>
      <c r="URN995" s="103"/>
      <c r="URZ995" s="104"/>
      <c r="USA995" s="103"/>
      <c r="USM995" s="104"/>
      <c r="USN995" s="103"/>
      <c r="USZ995" s="104"/>
      <c r="UTA995" s="103"/>
      <c r="UTM995" s="104"/>
      <c r="UTN995" s="103"/>
      <c r="UTZ995" s="104"/>
      <c r="UUA995" s="103"/>
      <c r="UUM995" s="104"/>
      <c r="UUN995" s="103"/>
      <c r="UUZ995" s="104"/>
      <c r="UVA995" s="103"/>
      <c r="UVM995" s="104"/>
      <c r="UVN995" s="103"/>
      <c r="UVZ995" s="104"/>
      <c r="UWA995" s="103"/>
      <c r="UWM995" s="104"/>
      <c r="UWN995" s="103"/>
      <c r="UWZ995" s="104"/>
      <c r="UXA995" s="103"/>
      <c r="UXM995" s="104"/>
      <c r="UXN995" s="103"/>
      <c r="UXZ995" s="104"/>
      <c r="UYA995" s="103"/>
      <c r="UYM995" s="104"/>
      <c r="UYN995" s="103"/>
      <c r="UYZ995" s="104"/>
      <c r="UZA995" s="103"/>
      <c r="UZM995" s="104"/>
      <c r="UZN995" s="103"/>
      <c r="UZZ995" s="104"/>
      <c r="VAA995" s="103"/>
      <c r="VAM995" s="104"/>
      <c r="VAN995" s="103"/>
      <c r="VAZ995" s="104"/>
      <c r="VBA995" s="103"/>
      <c r="VBM995" s="104"/>
      <c r="VBN995" s="103"/>
      <c r="VBZ995" s="104"/>
      <c r="VCA995" s="103"/>
      <c r="VCM995" s="104"/>
      <c r="VCN995" s="103"/>
      <c r="VCZ995" s="104"/>
      <c r="VDA995" s="103"/>
      <c r="VDM995" s="104"/>
      <c r="VDN995" s="103"/>
      <c r="VDZ995" s="104"/>
      <c r="VEA995" s="103"/>
      <c r="VEM995" s="104"/>
      <c r="VEN995" s="103"/>
      <c r="VEZ995" s="104"/>
      <c r="VFA995" s="103"/>
      <c r="VFM995" s="104"/>
      <c r="VFN995" s="103"/>
      <c r="VFZ995" s="104"/>
      <c r="VGA995" s="103"/>
      <c r="VGM995" s="104"/>
      <c r="VGN995" s="103"/>
      <c r="VGZ995" s="104"/>
      <c r="VHA995" s="103"/>
      <c r="VHM995" s="104"/>
      <c r="VHN995" s="103"/>
      <c r="VHZ995" s="104"/>
      <c r="VIA995" s="103"/>
      <c r="VIM995" s="104"/>
      <c r="VIN995" s="103"/>
      <c r="VIZ995" s="104"/>
      <c r="VJA995" s="103"/>
      <c r="VJM995" s="104"/>
      <c r="VJN995" s="103"/>
      <c r="VJZ995" s="104"/>
      <c r="VKA995" s="103"/>
      <c r="VKM995" s="104"/>
      <c r="VKN995" s="103"/>
      <c r="VKZ995" s="104"/>
      <c r="VLA995" s="103"/>
      <c r="VLM995" s="104"/>
      <c r="VLN995" s="103"/>
      <c r="VLZ995" s="104"/>
      <c r="VMA995" s="103"/>
      <c r="VMM995" s="104"/>
      <c r="VMN995" s="103"/>
      <c r="VMZ995" s="104"/>
      <c r="VNA995" s="103"/>
      <c r="VNM995" s="104"/>
      <c r="VNN995" s="103"/>
      <c r="VNZ995" s="104"/>
      <c r="VOA995" s="103"/>
      <c r="VOM995" s="104"/>
      <c r="VON995" s="103"/>
      <c r="VOZ995" s="104"/>
      <c r="VPA995" s="103"/>
      <c r="VPM995" s="104"/>
      <c r="VPN995" s="103"/>
      <c r="VPZ995" s="104"/>
      <c r="VQA995" s="103"/>
      <c r="VQM995" s="104"/>
      <c r="VQN995" s="103"/>
      <c r="VQZ995" s="104"/>
      <c r="VRA995" s="103"/>
      <c r="VRM995" s="104"/>
      <c r="VRN995" s="103"/>
      <c r="VRZ995" s="104"/>
      <c r="VSA995" s="103"/>
      <c r="VSM995" s="104"/>
      <c r="VSN995" s="103"/>
      <c r="VSZ995" s="104"/>
      <c r="VTA995" s="103"/>
      <c r="VTM995" s="104"/>
      <c r="VTN995" s="103"/>
      <c r="VTZ995" s="104"/>
      <c r="VUA995" s="103"/>
      <c r="VUM995" s="104"/>
      <c r="VUN995" s="103"/>
      <c r="VUZ995" s="104"/>
      <c r="VVA995" s="103"/>
      <c r="VVM995" s="104"/>
      <c r="VVN995" s="103"/>
      <c r="VVZ995" s="104"/>
      <c r="VWA995" s="103"/>
      <c r="VWM995" s="104"/>
      <c r="VWN995" s="103"/>
      <c r="VWZ995" s="104"/>
      <c r="VXA995" s="103"/>
      <c r="VXM995" s="104"/>
      <c r="VXN995" s="103"/>
      <c r="VXZ995" s="104"/>
      <c r="VYA995" s="103"/>
      <c r="VYM995" s="104"/>
      <c r="VYN995" s="103"/>
      <c r="VYZ995" s="104"/>
      <c r="VZA995" s="103"/>
      <c r="VZM995" s="104"/>
      <c r="VZN995" s="103"/>
      <c r="VZZ995" s="104"/>
      <c r="WAA995" s="103"/>
      <c r="WAM995" s="104"/>
      <c r="WAN995" s="103"/>
      <c r="WAZ995" s="104"/>
      <c r="WBA995" s="103"/>
      <c r="WBM995" s="104"/>
      <c r="WBN995" s="103"/>
      <c r="WBZ995" s="104"/>
      <c r="WCA995" s="103"/>
      <c r="WCM995" s="104"/>
      <c r="WCN995" s="103"/>
      <c r="WCZ995" s="104"/>
      <c r="WDA995" s="103"/>
      <c r="WDM995" s="104"/>
      <c r="WDN995" s="103"/>
      <c r="WDZ995" s="104"/>
      <c r="WEA995" s="103"/>
      <c r="WEM995" s="104"/>
      <c r="WEN995" s="103"/>
      <c r="WEZ995" s="104"/>
      <c r="WFA995" s="103"/>
      <c r="WFM995" s="104"/>
      <c r="WFN995" s="103"/>
      <c r="WFZ995" s="104"/>
      <c r="WGA995" s="103"/>
      <c r="WGM995" s="104"/>
      <c r="WGN995" s="103"/>
      <c r="WGZ995" s="104"/>
      <c r="WHA995" s="103"/>
      <c r="WHM995" s="104"/>
      <c r="WHN995" s="103"/>
      <c r="WHZ995" s="104"/>
      <c r="WIA995" s="103"/>
      <c r="WIM995" s="104"/>
      <c r="WIN995" s="103"/>
      <c r="WIZ995" s="104"/>
      <c r="WJA995" s="103"/>
      <c r="WJM995" s="104"/>
      <c r="WJN995" s="103"/>
      <c r="WJZ995" s="104"/>
      <c r="WKA995" s="103"/>
      <c r="WKM995" s="104"/>
      <c r="WKN995" s="103"/>
      <c r="WKZ995" s="104"/>
      <c r="WLA995" s="103"/>
      <c r="WLM995" s="104"/>
      <c r="WLN995" s="103"/>
      <c r="WLZ995" s="104"/>
      <c r="WMA995" s="103"/>
      <c r="WMM995" s="104"/>
      <c r="WMN995" s="103"/>
      <c r="WMZ995" s="104"/>
      <c r="WNA995" s="103"/>
      <c r="WNM995" s="104"/>
      <c r="WNN995" s="103"/>
      <c r="WNZ995" s="104"/>
      <c r="WOA995" s="103"/>
      <c r="WOM995" s="104"/>
      <c r="WON995" s="103"/>
      <c r="WOZ995" s="104"/>
      <c r="WPA995" s="103"/>
      <c r="WPM995" s="104"/>
      <c r="WPN995" s="103"/>
      <c r="WPZ995" s="104"/>
      <c r="WQA995" s="103"/>
      <c r="WQM995" s="104"/>
      <c r="WQN995" s="103"/>
      <c r="WQZ995" s="104"/>
      <c r="WRA995" s="103"/>
      <c r="WRM995" s="104"/>
      <c r="WRN995" s="103"/>
      <c r="WRZ995" s="104"/>
      <c r="WSA995" s="103"/>
      <c r="WSM995" s="104"/>
      <c r="WSN995" s="103"/>
      <c r="WSZ995" s="104"/>
      <c r="WTA995" s="103"/>
      <c r="WTM995" s="104"/>
      <c r="WTN995" s="103"/>
      <c r="WTZ995" s="104"/>
      <c r="WUA995" s="103"/>
      <c r="WUM995" s="104"/>
      <c r="WUN995" s="103"/>
      <c r="WUZ995" s="104"/>
      <c r="WVA995" s="103"/>
      <c r="WVM995" s="104"/>
      <c r="WVN995" s="103"/>
      <c r="WVZ995" s="104"/>
      <c r="WWA995" s="103"/>
      <c r="WWM995" s="104"/>
      <c r="WWN995" s="103"/>
      <c r="WWZ995" s="104"/>
      <c r="WXA995" s="103"/>
      <c r="WXM995" s="104"/>
      <c r="WXN995" s="103"/>
      <c r="WXZ995" s="104"/>
      <c r="WYA995" s="103"/>
      <c r="WYM995" s="104"/>
      <c r="WYN995" s="103"/>
      <c r="WYZ995" s="104"/>
      <c r="WZA995" s="103"/>
      <c r="WZM995" s="104"/>
      <c r="WZN995" s="103"/>
      <c r="WZZ995" s="104"/>
      <c r="XAA995" s="103"/>
      <c r="XAM995" s="104"/>
      <c r="XAN995" s="103"/>
      <c r="XAZ995" s="104"/>
      <c r="XBA995" s="103"/>
      <c r="XBM995" s="104"/>
      <c r="XBN995" s="103"/>
      <c r="XBZ995" s="104"/>
      <c r="XCA995" s="103"/>
      <c r="XCM995" s="104"/>
      <c r="XCN995" s="103"/>
      <c r="XCZ995" s="104"/>
      <c r="XDA995" s="103"/>
      <c r="XDM995" s="104"/>
      <c r="XDN995" s="103"/>
      <c r="XDZ995" s="104"/>
      <c r="XEA995" s="103"/>
      <c r="XEM995" s="104"/>
      <c r="XEN995" s="103"/>
      <c r="XEZ995" s="104"/>
      <c r="XFA995" s="103"/>
    </row>
    <row r="996" spans="1:1015 1027:2042 2054:3069 3081:4096 4108:5110 5122:6137 6149:7164 7176:8191 8203:9205 9217:10232 10244:11259 11271:12286 12298:14327 14339:15354 15366:16381">
      <c r="B996" s="134" t="s">
        <v>171</v>
      </c>
      <c r="C996" s="135">
        <v>133170</v>
      </c>
      <c r="D996" s="136">
        <f t="shared" si="38"/>
        <v>2270.5882352941176</v>
      </c>
      <c r="E996" s="135">
        <v>38472</v>
      </c>
      <c r="F996" s="136">
        <f t="shared" si="39"/>
        <v>655.95907928388749</v>
      </c>
      <c r="G996" s="136">
        <f t="shared" si="36"/>
        <v>171642</v>
      </c>
      <c r="H996" s="136">
        <f t="shared" si="37"/>
        <v>2926.5473145780052</v>
      </c>
      <c r="AM996" s="104"/>
      <c r="AN996" s="103"/>
      <c r="AZ996" s="104"/>
      <c r="BA996" s="103"/>
      <c r="BM996" s="104"/>
      <c r="BN996" s="103"/>
      <c r="BZ996" s="104"/>
      <c r="CA996" s="103"/>
      <c r="CM996" s="104"/>
      <c r="CN996" s="103"/>
      <c r="CZ996" s="104"/>
      <c r="DA996" s="103"/>
      <c r="DM996" s="104"/>
      <c r="DN996" s="103"/>
      <c r="DZ996" s="104"/>
      <c r="EA996" s="103"/>
      <c r="EM996" s="104"/>
      <c r="EN996" s="103"/>
      <c r="EZ996" s="104"/>
      <c r="FA996" s="103"/>
      <c r="FM996" s="104"/>
      <c r="FN996" s="103"/>
      <c r="FZ996" s="104"/>
      <c r="GA996" s="103"/>
      <c r="GM996" s="104"/>
      <c r="GN996" s="103"/>
      <c r="GZ996" s="104"/>
      <c r="HA996" s="103"/>
      <c r="HM996" s="104"/>
      <c r="HN996" s="103"/>
      <c r="HZ996" s="104"/>
      <c r="IA996" s="103"/>
      <c r="IM996" s="104"/>
      <c r="IN996" s="103"/>
      <c r="IZ996" s="104"/>
      <c r="JA996" s="103"/>
      <c r="JM996" s="104"/>
      <c r="JN996" s="103"/>
      <c r="JZ996" s="104"/>
      <c r="KA996" s="103"/>
      <c r="KM996" s="104"/>
      <c r="KN996" s="103"/>
      <c r="KZ996" s="104"/>
      <c r="LA996" s="103"/>
      <c r="LM996" s="104"/>
      <c r="LN996" s="103"/>
      <c r="LZ996" s="104"/>
      <c r="MA996" s="103"/>
      <c r="MM996" s="104"/>
      <c r="MN996" s="103"/>
      <c r="MZ996" s="104"/>
      <c r="NA996" s="103"/>
      <c r="NM996" s="104"/>
      <c r="NN996" s="103"/>
      <c r="NZ996" s="104"/>
      <c r="OA996" s="103"/>
      <c r="OM996" s="104"/>
      <c r="ON996" s="103"/>
      <c r="OZ996" s="104"/>
      <c r="PA996" s="103"/>
      <c r="PM996" s="104"/>
      <c r="PN996" s="103"/>
      <c r="PZ996" s="104"/>
      <c r="QA996" s="103"/>
      <c r="QM996" s="104"/>
      <c r="QN996" s="103"/>
      <c r="QZ996" s="104"/>
      <c r="RA996" s="103"/>
      <c r="RM996" s="104"/>
      <c r="RN996" s="103"/>
      <c r="RZ996" s="104"/>
      <c r="SA996" s="103"/>
      <c r="SM996" s="104"/>
      <c r="SN996" s="103"/>
      <c r="SZ996" s="104"/>
      <c r="TA996" s="103"/>
      <c r="TM996" s="104"/>
      <c r="TN996" s="103"/>
      <c r="TZ996" s="104"/>
      <c r="UA996" s="103"/>
      <c r="UM996" s="104"/>
      <c r="UN996" s="103"/>
      <c r="UZ996" s="104"/>
      <c r="VA996" s="103"/>
      <c r="VM996" s="104"/>
      <c r="VN996" s="103"/>
      <c r="VZ996" s="104"/>
      <c r="WA996" s="103"/>
      <c r="WM996" s="104"/>
      <c r="WN996" s="103"/>
      <c r="WZ996" s="104"/>
      <c r="XA996" s="103"/>
      <c r="XM996" s="104"/>
      <c r="XN996" s="103"/>
      <c r="XZ996" s="104"/>
      <c r="YA996" s="103"/>
      <c r="YM996" s="104"/>
      <c r="YN996" s="103"/>
      <c r="YZ996" s="104"/>
      <c r="ZA996" s="103"/>
      <c r="ZM996" s="104"/>
      <c r="ZN996" s="103"/>
      <c r="ZZ996" s="104"/>
      <c r="AAA996" s="103"/>
      <c r="AAM996" s="104"/>
      <c r="AAN996" s="103"/>
      <c r="AAZ996" s="104"/>
      <c r="ABA996" s="103"/>
      <c r="ABM996" s="104"/>
      <c r="ABN996" s="103"/>
      <c r="ABZ996" s="104"/>
      <c r="ACA996" s="103"/>
      <c r="ACM996" s="104"/>
      <c r="ACN996" s="103"/>
      <c r="ACZ996" s="104"/>
      <c r="ADA996" s="103"/>
      <c r="ADM996" s="104"/>
      <c r="ADN996" s="103"/>
      <c r="ADZ996" s="104"/>
      <c r="AEA996" s="103"/>
      <c r="AEM996" s="104"/>
      <c r="AEN996" s="103"/>
      <c r="AEZ996" s="104"/>
      <c r="AFA996" s="103"/>
      <c r="AFM996" s="104"/>
      <c r="AFN996" s="103"/>
      <c r="AFZ996" s="104"/>
      <c r="AGA996" s="103"/>
      <c r="AGM996" s="104"/>
      <c r="AGN996" s="103"/>
      <c r="AGZ996" s="104"/>
      <c r="AHA996" s="103"/>
      <c r="AHM996" s="104"/>
      <c r="AHN996" s="103"/>
      <c r="AHZ996" s="104"/>
      <c r="AIA996" s="103"/>
      <c r="AIM996" s="104"/>
      <c r="AIN996" s="103"/>
      <c r="AIZ996" s="104"/>
      <c r="AJA996" s="103"/>
      <c r="AJM996" s="104"/>
      <c r="AJN996" s="103"/>
      <c r="AJZ996" s="104"/>
      <c r="AKA996" s="103"/>
      <c r="AKM996" s="104"/>
      <c r="AKN996" s="103"/>
      <c r="AKZ996" s="104"/>
      <c r="ALA996" s="103"/>
      <c r="ALM996" s="104"/>
      <c r="ALN996" s="103"/>
      <c r="ALZ996" s="104"/>
      <c r="AMA996" s="103"/>
      <c r="AMM996" s="104"/>
      <c r="AMN996" s="103"/>
      <c r="AMZ996" s="104"/>
      <c r="ANA996" s="103"/>
      <c r="ANM996" s="104"/>
      <c r="ANN996" s="103"/>
      <c r="ANZ996" s="104"/>
      <c r="AOA996" s="103"/>
      <c r="AOM996" s="104"/>
      <c r="AON996" s="103"/>
      <c r="AOZ996" s="104"/>
      <c r="APA996" s="103"/>
      <c r="APM996" s="104"/>
      <c r="APN996" s="103"/>
      <c r="APZ996" s="104"/>
      <c r="AQA996" s="103"/>
      <c r="AQM996" s="104"/>
      <c r="AQN996" s="103"/>
      <c r="AQZ996" s="104"/>
      <c r="ARA996" s="103"/>
      <c r="ARM996" s="104"/>
      <c r="ARN996" s="103"/>
      <c r="ARZ996" s="104"/>
      <c r="ASA996" s="103"/>
      <c r="ASM996" s="104"/>
      <c r="ASN996" s="103"/>
      <c r="ASZ996" s="104"/>
      <c r="ATA996" s="103"/>
      <c r="ATM996" s="104"/>
      <c r="ATN996" s="103"/>
      <c r="ATZ996" s="104"/>
      <c r="AUA996" s="103"/>
      <c r="AUM996" s="104"/>
      <c r="AUN996" s="103"/>
      <c r="AUZ996" s="104"/>
      <c r="AVA996" s="103"/>
      <c r="AVM996" s="104"/>
      <c r="AVN996" s="103"/>
      <c r="AVZ996" s="104"/>
      <c r="AWA996" s="103"/>
      <c r="AWM996" s="104"/>
      <c r="AWN996" s="103"/>
      <c r="AWZ996" s="104"/>
      <c r="AXA996" s="103"/>
      <c r="AXM996" s="104"/>
      <c r="AXN996" s="103"/>
      <c r="AXZ996" s="104"/>
      <c r="AYA996" s="103"/>
      <c r="AYM996" s="104"/>
      <c r="AYN996" s="103"/>
      <c r="AYZ996" s="104"/>
      <c r="AZA996" s="103"/>
      <c r="AZM996" s="104"/>
      <c r="AZN996" s="103"/>
      <c r="AZZ996" s="104"/>
      <c r="BAA996" s="103"/>
      <c r="BAM996" s="104"/>
      <c r="BAN996" s="103"/>
      <c r="BAZ996" s="104"/>
      <c r="BBA996" s="103"/>
      <c r="BBM996" s="104"/>
      <c r="BBN996" s="103"/>
      <c r="BBZ996" s="104"/>
      <c r="BCA996" s="103"/>
      <c r="BCM996" s="104"/>
      <c r="BCN996" s="103"/>
      <c r="BCZ996" s="104"/>
      <c r="BDA996" s="103"/>
      <c r="BDM996" s="104"/>
      <c r="BDN996" s="103"/>
      <c r="BDZ996" s="104"/>
      <c r="BEA996" s="103"/>
      <c r="BEM996" s="104"/>
      <c r="BEN996" s="103"/>
      <c r="BEZ996" s="104"/>
      <c r="BFA996" s="103"/>
      <c r="BFM996" s="104"/>
      <c r="BFN996" s="103"/>
      <c r="BFZ996" s="104"/>
      <c r="BGA996" s="103"/>
      <c r="BGM996" s="104"/>
      <c r="BGN996" s="103"/>
      <c r="BGZ996" s="104"/>
      <c r="BHA996" s="103"/>
      <c r="BHM996" s="104"/>
      <c r="BHN996" s="103"/>
      <c r="BHZ996" s="104"/>
      <c r="BIA996" s="103"/>
      <c r="BIM996" s="104"/>
      <c r="BIN996" s="103"/>
      <c r="BIZ996" s="104"/>
      <c r="BJA996" s="103"/>
      <c r="BJM996" s="104"/>
      <c r="BJN996" s="103"/>
      <c r="BJZ996" s="104"/>
      <c r="BKA996" s="103"/>
      <c r="BKM996" s="104"/>
      <c r="BKN996" s="103"/>
      <c r="BKZ996" s="104"/>
      <c r="BLA996" s="103"/>
      <c r="BLM996" s="104"/>
      <c r="BLN996" s="103"/>
      <c r="BLZ996" s="104"/>
      <c r="BMA996" s="103"/>
      <c r="BMM996" s="104"/>
      <c r="BMN996" s="103"/>
      <c r="BMZ996" s="104"/>
      <c r="BNA996" s="103"/>
      <c r="BNM996" s="104"/>
      <c r="BNN996" s="103"/>
      <c r="BNZ996" s="104"/>
      <c r="BOA996" s="103"/>
      <c r="BOM996" s="104"/>
      <c r="BON996" s="103"/>
      <c r="BOZ996" s="104"/>
      <c r="BPA996" s="103"/>
      <c r="BPM996" s="104"/>
      <c r="BPN996" s="103"/>
      <c r="BPZ996" s="104"/>
      <c r="BQA996" s="103"/>
      <c r="BQM996" s="104"/>
      <c r="BQN996" s="103"/>
      <c r="BQZ996" s="104"/>
      <c r="BRA996" s="103"/>
      <c r="BRM996" s="104"/>
      <c r="BRN996" s="103"/>
      <c r="BRZ996" s="104"/>
      <c r="BSA996" s="103"/>
      <c r="BSM996" s="104"/>
      <c r="BSN996" s="103"/>
      <c r="BSZ996" s="104"/>
      <c r="BTA996" s="103"/>
      <c r="BTM996" s="104"/>
      <c r="BTN996" s="103"/>
      <c r="BTZ996" s="104"/>
      <c r="BUA996" s="103"/>
      <c r="BUM996" s="104"/>
      <c r="BUN996" s="103"/>
      <c r="BUZ996" s="104"/>
      <c r="BVA996" s="103"/>
      <c r="BVM996" s="104"/>
      <c r="BVN996" s="103"/>
      <c r="BVZ996" s="104"/>
      <c r="BWA996" s="103"/>
      <c r="BWM996" s="104"/>
      <c r="BWN996" s="103"/>
      <c r="BWZ996" s="104"/>
      <c r="BXA996" s="103"/>
      <c r="BXM996" s="104"/>
      <c r="BXN996" s="103"/>
      <c r="BXZ996" s="104"/>
      <c r="BYA996" s="103"/>
      <c r="BYM996" s="104"/>
      <c r="BYN996" s="103"/>
      <c r="BYZ996" s="104"/>
      <c r="BZA996" s="103"/>
      <c r="BZM996" s="104"/>
      <c r="BZN996" s="103"/>
      <c r="BZZ996" s="104"/>
      <c r="CAA996" s="103"/>
      <c r="CAM996" s="104"/>
      <c r="CAN996" s="103"/>
      <c r="CAZ996" s="104"/>
      <c r="CBA996" s="103"/>
      <c r="CBM996" s="104"/>
      <c r="CBN996" s="103"/>
      <c r="CBZ996" s="104"/>
      <c r="CCA996" s="103"/>
      <c r="CCM996" s="104"/>
      <c r="CCN996" s="103"/>
      <c r="CCZ996" s="104"/>
      <c r="CDA996" s="103"/>
      <c r="CDM996" s="104"/>
      <c r="CDN996" s="103"/>
      <c r="CDZ996" s="104"/>
      <c r="CEA996" s="103"/>
      <c r="CEM996" s="104"/>
      <c r="CEN996" s="103"/>
      <c r="CEZ996" s="104"/>
      <c r="CFA996" s="103"/>
      <c r="CFM996" s="104"/>
      <c r="CFN996" s="103"/>
      <c r="CFZ996" s="104"/>
      <c r="CGA996" s="103"/>
      <c r="CGM996" s="104"/>
      <c r="CGN996" s="103"/>
      <c r="CGZ996" s="104"/>
      <c r="CHA996" s="103"/>
      <c r="CHM996" s="104"/>
      <c r="CHN996" s="103"/>
      <c r="CHZ996" s="104"/>
      <c r="CIA996" s="103"/>
      <c r="CIM996" s="104"/>
      <c r="CIN996" s="103"/>
      <c r="CIZ996" s="104"/>
      <c r="CJA996" s="103"/>
      <c r="CJM996" s="104"/>
      <c r="CJN996" s="103"/>
      <c r="CJZ996" s="104"/>
      <c r="CKA996" s="103"/>
      <c r="CKM996" s="104"/>
      <c r="CKN996" s="103"/>
      <c r="CKZ996" s="104"/>
      <c r="CLA996" s="103"/>
      <c r="CLM996" s="104"/>
      <c r="CLN996" s="103"/>
      <c r="CLZ996" s="104"/>
      <c r="CMA996" s="103"/>
      <c r="CMM996" s="104"/>
      <c r="CMN996" s="103"/>
      <c r="CMZ996" s="104"/>
      <c r="CNA996" s="103"/>
      <c r="CNM996" s="104"/>
      <c r="CNN996" s="103"/>
      <c r="CNZ996" s="104"/>
      <c r="COA996" s="103"/>
      <c r="COM996" s="104"/>
      <c r="CON996" s="103"/>
      <c r="COZ996" s="104"/>
      <c r="CPA996" s="103"/>
      <c r="CPM996" s="104"/>
      <c r="CPN996" s="103"/>
      <c r="CPZ996" s="104"/>
      <c r="CQA996" s="103"/>
      <c r="CQM996" s="104"/>
      <c r="CQN996" s="103"/>
      <c r="CQZ996" s="104"/>
      <c r="CRA996" s="103"/>
      <c r="CRM996" s="104"/>
      <c r="CRN996" s="103"/>
      <c r="CRZ996" s="104"/>
      <c r="CSA996" s="103"/>
      <c r="CSM996" s="104"/>
      <c r="CSN996" s="103"/>
      <c r="CSZ996" s="104"/>
      <c r="CTA996" s="103"/>
      <c r="CTM996" s="104"/>
      <c r="CTN996" s="103"/>
      <c r="CTZ996" s="104"/>
      <c r="CUA996" s="103"/>
      <c r="CUM996" s="104"/>
      <c r="CUN996" s="103"/>
      <c r="CUZ996" s="104"/>
      <c r="CVA996" s="103"/>
      <c r="CVM996" s="104"/>
      <c r="CVN996" s="103"/>
      <c r="CVZ996" s="104"/>
      <c r="CWA996" s="103"/>
      <c r="CWM996" s="104"/>
      <c r="CWN996" s="103"/>
      <c r="CWZ996" s="104"/>
      <c r="CXA996" s="103"/>
      <c r="CXM996" s="104"/>
      <c r="CXN996" s="103"/>
      <c r="CXZ996" s="104"/>
      <c r="CYA996" s="103"/>
      <c r="CYM996" s="104"/>
      <c r="CYN996" s="103"/>
      <c r="CYZ996" s="104"/>
      <c r="CZA996" s="103"/>
      <c r="CZM996" s="104"/>
      <c r="CZN996" s="103"/>
      <c r="CZZ996" s="104"/>
      <c r="DAA996" s="103"/>
      <c r="DAM996" s="104"/>
      <c r="DAN996" s="103"/>
      <c r="DAZ996" s="104"/>
      <c r="DBA996" s="103"/>
      <c r="DBM996" s="104"/>
      <c r="DBN996" s="103"/>
      <c r="DBZ996" s="104"/>
      <c r="DCA996" s="103"/>
      <c r="DCM996" s="104"/>
      <c r="DCN996" s="103"/>
      <c r="DCZ996" s="104"/>
      <c r="DDA996" s="103"/>
      <c r="DDM996" s="104"/>
      <c r="DDN996" s="103"/>
      <c r="DDZ996" s="104"/>
      <c r="DEA996" s="103"/>
      <c r="DEM996" s="104"/>
      <c r="DEN996" s="103"/>
      <c r="DEZ996" s="104"/>
      <c r="DFA996" s="103"/>
      <c r="DFM996" s="104"/>
      <c r="DFN996" s="103"/>
      <c r="DFZ996" s="104"/>
      <c r="DGA996" s="103"/>
      <c r="DGM996" s="104"/>
      <c r="DGN996" s="103"/>
      <c r="DGZ996" s="104"/>
      <c r="DHA996" s="103"/>
      <c r="DHM996" s="104"/>
      <c r="DHN996" s="103"/>
      <c r="DHZ996" s="104"/>
      <c r="DIA996" s="103"/>
      <c r="DIM996" s="104"/>
      <c r="DIN996" s="103"/>
      <c r="DIZ996" s="104"/>
      <c r="DJA996" s="103"/>
      <c r="DJM996" s="104"/>
      <c r="DJN996" s="103"/>
      <c r="DJZ996" s="104"/>
      <c r="DKA996" s="103"/>
      <c r="DKM996" s="104"/>
      <c r="DKN996" s="103"/>
      <c r="DKZ996" s="104"/>
      <c r="DLA996" s="103"/>
      <c r="DLM996" s="104"/>
      <c r="DLN996" s="103"/>
      <c r="DLZ996" s="104"/>
      <c r="DMA996" s="103"/>
      <c r="DMM996" s="104"/>
      <c r="DMN996" s="103"/>
      <c r="DMZ996" s="104"/>
      <c r="DNA996" s="103"/>
      <c r="DNM996" s="104"/>
      <c r="DNN996" s="103"/>
      <c r="DNZ996" s="104"/>
      <c r="DOA996" s="103"/>
      <c r="DOM996" s="104"/>
      <c r="DON996" s="103"/>
      <c r="DOZ996" s="104"/>
      <c r="DPA996" s="103"/>
      <c r="DPM996" s="104"/>
      <c r="DPN996" s="103"/>
      <c r="DPZ996" s="104"/>
      <c r="DQA996" s="103"/>
      <c r="DQM996" s="104"/>
      <c r="DQN996" s="103"/>
      <c r="DQZ996" s="104"/>
      <c r="DRA996" s="103"/>
      <c r="DRM996" s="104"/>
      <c r="DRN996" s="103"/>
      <c r="DRZ996" s="104"/>
      <c r="DSA996" s="103"/>
      <c r="DSM996" s="104"/>
      <c r="DSN996" s="103"/>
      <c r="DSZ996" s="104"/>
      <c r="DTA996" s="103"/>
      <c r="DTM996" s="104"/>
      <c r="DTN996" s="103"/>
      <c r="DTZ996" s="104"/>
      <c r="DUA996" s="103"/>
      <c r="DUM996" s="104"/>
      <c r="DUN996" s="103"/>
      <c r="DUZ996" s="104"/>
      <c r="DVA996" s="103"/>
      <c r="DVM996" s="104"/>
      <c r="DVN996" s="103"/>
      <c r="DVZ996" s="104"/>
      <c r="DWA996" s="103"/>
      <c r="DWM996" s="104"/>
      <c r="DWN996" s="103"/>
      <c r="DWZ996" s="104"/>
      <c r="DXA996" s="103"/>
      <c r="DXM996" s="104"/>
      <c r="DXN996" s="103"/>
      <c r="DXZ996" s="104"/>
      <c r="DYA996" s="103"/>
      <c r="DYM996" s="104"/>
      <c r="DYN996" s="103"/>
      <c r="DYZ996" s="104"/>
      <c r="DZA996" s="103"/>
      <c r="DZM996" s="104"/>
      <c r="DZN996" s="103"/>
      <c r="DZZ996" s="104"/>
      <c r="EAA996" s="103"/>
      <c r="EAM996" s="104"/>
      <c r="EAN996" s="103"/>
      <c r="EAZ996" s="104"/>
      <c r="EBA996" s="103"/>
      <c r="EBM996" s="104"/>
      <c r="EBN996" s="103"/>
      <c r="EBZ996" s="104"/>
      <c r="ECA996" s="103"/>
      <c r="ECM996" s="104"/>
      <c r="ECN996" s="103"/>
      <c r="ECZ996" s="104"/>
      <c r="EDA996" s="103"/>
      <c r="EDM996" s="104"/>
      <c r="EDN996" s="103"/>
      <c r="EDZ996" s="104"/>
      <c r="EEA996" s="103"/>
      <c r="EEM996" s="104"/>
      <c r="EEN996" s="103"/>
      <c r="EEZ996" s="104"/>
      <c r="EFA996" s="103"/>
      <c r="EFM996" s="104"/>
      <c r="EFN996" s="103"/>
      <c r="EFZ996" s="104"/>
      <c r="EGA996" s="103"/>
      <c r="EGM996" s="104"/>
      <c r="EGN996" s="103"/>
      <c r="EGZ996" s="104"/>
      <c r="EHA996" s="103"/>
      <c r="EHM996" s="104"/>
      <c r="EHN996" s="103"/>
      <c r="EHZ996" s="104"/>
      <c r="EIA996" s="103"/>
      <c r="EIM996" s="104"/>
      <c r="EIN996" s="103"/>
      <c r="EIZ996" s="104"/>
      <c r="EJA996" s="103"/>
      <c r="EJM996" s="104"/>
      <c r="EJN996" s="103"/>
      <c r="EJZ996" s="104"/>
      <c r="EKA996" s="103"/>
      <c r="EKM996" s="104"/>
      <c r="EKN996" s="103"/>
      <c r="EKZ996" s="104"/>
      <c r="ELA996" s="103"/>
      <c r="ELM996" s="104"/>
      <c r="ELN996" s="103"/>
      <c r="ELZ996" s="104"/>
      <c r="EMA996" s="103"/>
      <c r="EMM996" s="104"/>
      <c r="EMN996" s="103"/>
      <c r="EMZ996" s="104"/>
      <c r="ENA996" s="103"/>
      <c r="ENM996" s="104"/>
      <c r="ENN996" s="103"/>
      <c r="ENZ996" s="104"/>
      <c r="EOA996" s="103"/>
      <c r="EOM996" s="104"/>
      <c r="EON996" s="103"/>
      <c r="EOZ996" s="104"/>
      <c r="EPA996" s="103"/>
      <c r="EPM996" s="104"/>
      <c r="EPN996" s="103"/>
      <c r="EPZ996" s="104"/>
      <c r="EQA996" s="103"/>
      <c r="EQM996" s="104"/>
      <c r="EQN996" s="103"/>
      <c r="EQZ996" s="104"/>
      <c r="ERA996" s="103"/>
      <c r="ERM996" s="104"/>
      <c r="ERN996" s="103"/>
      <c r="ERZ996" s="104"/>
      <c r="ESA996" s="103"/>
      <c r="ESM996" s="104"/>
      <c r="ESN996" s="103"/>
      <c r="ESZ996" s="104"/>
      <c r="ETA996" s="103"/>
      <c r="ETM996" s="104"/>
      <c r="ETN996" s="103"/>
      <c r="ETZ996" s="104"/>
      <c r="EUA996" s="103"/>
      <c r="EUM996" s="104"/>
      <c r="EUN996" s="103"/>
      <c r="EUZ996" s="104"/>
      <c r="EVA996" s="103"/>
      <c r="EVM996" s="104"/>
      <c r="EVN996" s="103"/>
      <c r="EVZ996" s="104"/>
      <c r="EWA996" s="103"/>
      <c r="EWM996" s="104"/>
      <c r="EWN996" s="103"/>
      <c r="EWZ996" s="104"/>
      <c r="EXA996" s="103"/>
      <c r="EXM996" s="104"/>
      <c r="EXN996" s="103"/>
      <c r="EXZ996" s="104"/>
      <c r="EYA996" s="103"/>
      <c r="EYM996" s="104"/>
      <c r="EYN996" s="103"/>
      <c r="EYZ996" s="104"/>
      <c r="EZA996" s="103"/>
      <c r="EZM996" s="104"/>
      <c r="EZN996" s="103"/>
      <c r="EZZ996" s="104"/>
      <c r="FAA996" s="103"/>
      <c r="FAM996" s="104"/>
      <c r="FAN996" s="103"/>
      <c r="FAZ996" s="104"/>
      <c r="FBA996" s="103"/>
      <c r="FBM996" s="104"/>
      <c r="FBN996" s="103"/>
      <c r="FBZ996" s="104"/>
      <c r="FCA996" s="103"/>
      <c r="FCM996" s="104"/>
      <c r="FCN996" s="103"/>
      <c r="FCZ996" s="104"/>
      <c r="FDA996" s="103"/>
      <c r="FDM996" s="104"/>
      <c r="FDN996" s="103"/>
      <c r="FDZ996" s="104"/>
      <c r="FEA996" s="103"/>
      <c r="FEM996" s="104"/>
      <c r="FEN996" s="103"/>
      <c r="FEZ996" s="104"/>
      <c r="FFA996" s="103"/>
      <c r="FFM996" s="104"/>
      <c r="FFN996" s="103"/>
      <c r="FFZ996" s="104"/>
      <c r="FGA996" s="103"/>
      <c r="FGM996" s="104"/>
      <c r="FGN996" s="103"/>
      <c r="FGZ996" s="104"/>
      <c r="FHA996" s="103"/>
      <c r="FHM996" s="104"/>
      <c r="FHN996" s="103"/>
      <c r="FHZ996" s="104"/>
      <c r="FIA996" s="103"/>
      <c r="FIM996" s="104"/>
      <c r="FIN996" s="103"/>
      <c r="FIZ996" s="104"/>
      <c r="FJA996" s="103"/>
      <c r="FJM996" s="104"/>
      <c r="FJN996" s="103"/>
      <c r="FJZ996" s="104"/>
      <c r="FKA996" s="103"/>
      <c r="FKM996" s="104"/>
      <c r="FKN996" s="103"/>
      <c r="FKZ996" s="104"/>
      <c r="FLA996" s="103"/>
      <c r="FLM996" s="104"/>
      <c r="FLN996" s="103"/>
      <c r="FLZ996" s="104"/>
      <c r="FMA996" s="103"/>
      <c r="FMM996" s="104"/>
      <c r="FMN996" s="103"/>
      <c r="FMZ996" s="104"/>
      <c r="FNA996" s="103"/>
      <c r="FNM996" s="104"/>
      <c r="FNN996" s="103"/>
      <c r="FNZ996" s="104"/>
      <c r="FOA996" s="103"/>
      <c r="FOM996" s="104"/>
      <c r="FON996" s="103"/>
      <c r="FOZ996" s="104"/>
      <c r="FPA996" s="103"/>
      <c r="FPM996" s="104"/>
      <c r="FPN996" s="103"/>
      <c r="FPZ996" s="104"/>
      <c r="FQA996" s="103"/>
      <c r="FQM996" s="104"/>
      <c r="FQN996" s="103"/>
      <c r="FQZ996" s="104"/>
      <c r="FRA996" s="103"/>
      <c r="FRM996" s="104"/>
      <c r="FRN996" s="103"/>
      <c r="FRZ996" s="104"/>
      <c r="FSA996" s="103"/>
      <c r="FSM996" s="104"/>
      <c r="FSN996" s="103"/>
      <c r="FSZ996" s="104"/>
      <c r="FTA996" s="103"/>
      <c r="FTM996" s="104"/>
      <c r="FTN996" s="103"/>
      <c r="FTZ996" s="104"/>
      <c r="FUA996" s="103"/>
      <c r="FUM996" s="104"/>
      <c r="FUN996" s="103"/>
      <c r="FUZ996" s="104"/>
      <c r="FVA996" s="103"/>
      <c r="FVM996" s="104"/>
      <c r="FVN996" s="103"/>
      <c r="FVZ996" s="104"/>
      <c r="FWA996" s="103"/>
      <c r="FWM996" s="104"/>
      <c r="FWN996" s="103"/>
      <c r="FWZ996" s="104"/>
      <c r="FXA996" s="103"/>
      <c r="FXM996" s="104"/>
      <c r="FXN996" s="103"/>
      <c r="FXZ996" s="104"/>
      <c r="FYA996" s="103"/>
      <c r="FYM996" s="104"/>
      <c r="FYN996" s="103"/>
      <c r="FYZ996" s="104"/>
      <c r="FZA996" s="103"/>
      <c r="FZM996" s="104"/>
      <c r="FZN996" s="103"/>
      <c r="FZZ996" s="104"/>
      <c r="GAA996" s="103"/>
      <c r="GAM996" s="104"/>
      <c r="GAN996" s="103"/>
      <c r="GAZ996" s="104"/>
      <c r="GBA996" s="103"/>
      <c r="GBM996" s="104"/>
      <c r="GBN996" s="103"/>
      <c r="GBZ996" s="104"/>
      <c r="GCA996" s="103"/>
      <c r="GCM996" s="104"/>
      <c r="GCN996" s="103"/>
      <c r="GCZ996" s="104"/>
      <c r="GDA996" s="103"/>
      <c r="GDM996" s="104"/>
      <c r="GDN996" s="103"/>
      <c r="GDZ996" s="104"/>
      <c r="GEA996" s="103"/>
      <c r="GEM996" s="104"/>
      <c r="GEN996" s="103"/>
      <c r="GEZ996" s="104"/>
      <c r="GFA996" s="103"/>
      <c r="GFM996" s="104"/>
      <c r="GFN996" s="103"/>
      <c r="GFZ996" s="104"/>
      <c r="GGA996" s="103"/>
      <c r="GGM996" s="104"/>
      <c r="GGN996" s="103"/>
      <c r="GGZ996" s="104"/>
      <c r="GHA996" s="103"/>
      <c r="GHM996" s="104"/>
      <c r="GHN996" s="103"/>
      <c r="GHZ996" s="104"/>
      <c r="GIA996" s="103"/>
      <c r="GIM996" s="104"/>
      <c r="GIN996" s="103"/>
      <c r="GIZ996" s="104"/>
      <c r="GJA996" s="103"/>
      <c r="GJM996" s="104"/>
      <c r="GJN996" s="103"/>
      <c r="GJZ996" s="104"/>
      <c r="GKA996" s="103"/>
      <c r="GKM996" s="104"/>
      <c r="GKN996" s="103"/>
      <c r="GKZ996" s="104"/>
      <c r="GLA996" s="103"/>
      <c r="GLM996" s="104"/>
      <c r="GLN996" s="103"/>
      <c r="GLZ996" s="104"/>
      <c r="GMA996" s="103"/>
      <c r="GMM996" s="104"/>
      <c r="GMN996" s="103"/>
      <c r="GMZ996" s="104"/>
      <c r="GNA996" s="103"/>
      <c r="GNM996" s="104"/>
      <c r="GNN996" s="103"/>
      <c r="GNZ996" s="104"/>
      <c r="GOA996" s="103"/>
      <c r="GOM996" s="104"/>
      <c r="GON996" s="103"/>
      <c r="GOZ996" s="104"/>
      <c r="GPA996" s="103"/>
      <c r="GPM996" s="104"/>
      <c r="GPN996" s="103"/>
      <c r="GPZ996" s="104"/>
      <c r="GQA996" s="103"/>
      <c r="GQM996" s="104"/>
      <c r="GQN996" s="103"/>
      <c r="GQZ996" s="104"/>
      <c r="GRA996" s="103"/>
      <c r="GRM996" s="104"/>
      <c r="GRN996" s="103"/>
      <c r="GRZ996" s="104"/>
      <c r="GSA996" s="103"/>
      <c r="GSM996" s="104"/>
      <c r="GSN996" s="103"/>
      <c r="GSZ996" s="104"/>
      <c r="GTA996" s="103"/>
      <c r="GTM996" s="104"/>
      <c r="GTN996" s="103"/>
      <c r="GTZ996" s="104"/>
      <c r="GUA996" s="103"/>
      <c r="GUM996" s="104"/>
      <c r="GUN996" s="103"/>
      <c r="GUZ996" s="104"/>
      <c r="GVA996" s="103"/>
      <c r="GVM996" s="104"/>
      <c r="GVN996" s="103"/>
      <c r="GVZ996" s="104"/>
      <c r="GWA996" s="103"/>
      <c r="GWM996" s="104"/>
      <c r="GWN996" s="103"/>
      <c r="GWZ996" s="104"/>
      <c r="GXA996" s="103"/>
      <c r="GXM996" s="104"/>
      <c r="GXN996" s="103"/>
      <c r="GXZ996" s="104"/>
      <c r="GYA996" s="103"/>
      <c r="GYM996" s="104"/>
      <c r="GYN996" s="103"/>
      <c r="GYZ996" s="104"/>
      <c r="GZA996" s="103"/>
      <c r="GZM996" s="104"/>
      <c r="GZN996" s="103"/>
      <c r="GZZ996" s="104"/>
      <c r="HAA996" s="103"/>
      <c r="HAM996" s="104"/>
      <c r="HAN996" s="103"/>
      <c r="HAZ996" s="104"/>
      <c r="HBA996" s="103"/>
      <c r="HBM996" s="104"/>
      <c r="HBN996" s="103"/>
      <c r="HBZ996" s="104"/>
      <c r="HCA996" s="103"/>
      <c r="HCM996" s="104"/>
      <c r="HCN996" s="103"/>
      <c r="HCZ996" s="104"/>
      <c r="HDA996" s="103"/>
      <c r="HDM996" s="104"/>
      <c r="HDN996" s="103"/>
      <c r="HDZ996" s="104"/>
      <c r="HEA996" s="103"/>
      <c r="HEM996" s="104"/>
      <c r="HEN996" s="103"/>
      <c r="HEZ996" s="104"/>
      <c r="HFA996" s="103"/>
      <c r="HFM996" s="104"/>
      <c r="HFN996" s="103"/>
      <c r="HFZ996" s="104"/>
      <c r="HGA996" s="103"/>
      <c r="HGM996" s="104"/>
      <c r="HGN996" s="103"/>
      <c r="HGZ996" s="104"/>
      <c r="HHA996" s="103"/>
      <c r="HHM996" s="104"/>
      <c r="HHN996" s="103"/>
      <c r="HHZ996" s="104"/>
      <c r="HIA996" s="103"/>
      <c r="HIM996" s="104"/>
      <c r="HIN996" s="103"/>
      <c r="HIZ996" s="104"/>
      <c r="HJA996" s="103"/>
      <c r="HJM996" s="104"/>
      <c r="HJN996" s="103"/>
      <c r="HJZ996" s="104"/>
      <c r="HKA996" s="103"/>
      <c r="HKM996" s="104"/>
      <c r="HKN996" s="103"/>
      <c r="HKZ996" s="104"/>
      <c r="HLA996" s="103"/>
      <c r="HLM996" s="104"/>
      <c r="HLN996" s="103"/>
      <c r="HLZ996" s="104"/>
      <c r="HMA996" s="103"/>
      <c r="HMM996" s="104"/>
      <c r="HMN996" s="103"/>
      <c r="HMZ996" s="104"/>
      <c r="HNA996" s="103"/>
      <c r="HNM996" s="104"/>
      <c r="HNN996" s="103"/>
      <c r="HNZ996" s="104"/>
      <c r="HOA996" s="103"/>
      <c r="HOM996" s="104"/>
      <c r="HON996" s="103"/>
      <c r="HOZ996" s="104"/>
      <c r="HPA996" s="103"/>
      <c r="HPM996" s="104"/>
      <c r="HPN996" s="103"/>
      <c r="HPZ996" s="104"/>
      <c r="HQA996" s="103"/>
      <c r="HQM996" s="104"/>
      <c r="HQN996" s="103"/>
      <c r="HQZ996" s="104"/>
      <c r="HRA996" s="103"/>
      <c r="HRM996" s="104"/>
      <c r="HRN996" s="103"/>
      <c r="HRZ996" s="104"/>
      <c r="HSA996" s="103"/>
      <c r="HSM996" s="104"/>
      <c r="HSN996" s="103"/>
      <c r="HSZ996" s="104"/>
      <c r="HTA996" s="103"/>
      <c r="HTM996" s="104"/>
      <c r="HTN996" s="103"/>
      <c r="HTZ996" s="104"/>
      <c r="HUA996" s="103"/>
      <c r="HUM996" s="104"/>
      <c r="HUN996" s="103"/>
      <c r="HUZ996" s="104"/>
      <c r="HVA996" s="103"/>
      <c r="HVM996" s="104"/>
      <c r="HVN996" s="103"/>
      <c r="HVZ996" s="104"/>
      <c r="HWA996" s="103"/>
      <c r="HWM996" s="104"/>
      <c r="HWN996" s="103"/>
      <c r="HWZ996" s="104"/>
      <c r="HXA996" s="103"/>
      <c r="HXM996" s="104"/>
      <c r="HXN996" s="103"/>
      <c r="HXZ996" s="104"/>
      <c r="HYA996" s="103"/>
      <c r="HYM996" s="104"/>
      <c r="HYN996" s="103"/>
      <c r="HYZ996" s="104"/>
      <c r="HZA996" s="103"/>
      <c r="HZM996" s="104"/>
      <c r="HZN996" s="103"/>
      <c r="HZZ996" s="104"/>
      <c r="IAA996" s="103"/>
      <c r="IAM996" s="104"/>
      <c r="IAN996" s="103"/>
      <c r="IAZ996" s="104"/>
      <c r="IBA996" s="103"/>
      <c r="IBM996" s="104"/>
      <c r="IBN996" s="103"/>
      <c r="IBZ996" s="104"/>
      <c r="ICA996" s="103"/>
      <c r="ICM996" s="104"/>
      <c r="ICN996" s="103"/>
      <c r="ICZ996" s="104"/>
      <c r="IDA996" s="103"/>
      <c r="IDM996" s="104"/>
      <c r="IDN996" s="103"/>
      <c r="IDZ996" s="104"/>
      <c r="IEA996" s="103"/>
      <c r="IEM996" s="104"/>
      <c r="IEN996" s="103"/>
      <c r="IEZ996" s="104"/>
      <c r="IFA996" s="103"/>
      <c r="IFM996" s="104"/>
      <c r="IFN996" s="103"/>
      <c r="IFZ996" s="104"/>
      <c r="IGA996" s="103"/>
      <c r="IGM996" s="104"/>
      <c r="IGN996" s="103"/>
      <c r="IGZ996" s="104"/>
      <c r="IHA996" s="103"/>
      <c r="IHM996" s="104"/>
      <c r="IHN996" s="103"/>
      <c r="IHZ996" s="104"/>
      <c r="IIA996" s="103"/>
      <c r="IIM996" s="104"/>
      <c r="IIN996" s="103"/>
      <c r="IIZ996" s="104"/>
      <c r="IJA996" s="103"/>
      <c r="IJM996" s="104"/>
      <c r="IJN996" s="103"/>
      <c r="IJZ996" s="104"/>
      <c r="IKA996" s="103"/>
      <c r="IKM996" s="104"/>
      <c r="IKN996" s="103"/>
      <c r="IKZ996" s="104"/>
      <c r="ILA996" s="103"/>
      <c r="ILM996" s="104"/>
      <c r="ILN996" s="103"/>
      <c r="ILZ996" s="104"/>
      <c r="IMA996" s="103"/>
      <c r="IMM996" s="104"/>
      <c r="IMN996" s="103"/>
      <c r="IMZ996" s="104"/>
      <c r="INA996" s="103"/>
      <c r="INM996" s="104"/>
      <c r="INN996" s="103"/>
      <c r="INZ996" s="104"/>
      <c r="IOA996" s="103"/>
      <c r="IOM996" s="104"/>
      <c r="ION996" s="103"/>
      <c r="IOZ996" s="104"/>
      <c r="IPA996" s="103"/>
      <c r="IPM996" s="104"/>
      <c r="IPN996" s="103"/>
      <c r="IPZ996" s="104"/>
      <c r="IQA996" s="103"/>
      <c r="IQM996" s="104"/>
      <c r="IQN996" s="103"/>
      <c r="IQZ996" s="104"/>
      <c r="IRA996" s="103"/>
      <c r="IRM996" s="104"/>
      <c r="IRN996" s="103"/>
      <c r="IRZ996" s="104"/>
      <c r="ISA996" s="103"/>
      <c r="ISM996" s="104"/>
      <c r="ISN996" s="103"/>
      <c r="ISZ996" s="104"/>
      <c r="ITA996" s="103"/>
      <c r="ITM996" s="104"/>
      <c r="ITN996" s="103"/>
      <c r="ITZ996" s="104"/>
      <c r="IUA996" s="103"/>
      <c r="IUM996" s="104"/>
      <c r="IUN996" s="103"/>
      <c r="IUZ996" s="104"/>
      <c r="IVA996" s="103"/>
      <c r="IVM996" s="104"/>
      <c r="IVN996" s="103"/>
      <c r="IVZ996" s="104"/>
      <c r="IWA996" s="103"/>
      <c r="IWM996" s="104"/>
      <c r="IWN996" s="103"/>
      <c r="IWZ996" s="104"/>
      <c r="IXA996" s="103"/>
      <c r="IXM996" s="104"/>
      <c r="IXN996" s="103"/>
      <c r="IXZ996" s="104"/>
      <c r="IYA996" s="103"/>
      <c r="IYM996" s="104"/>
      <c r="IYN996" s="103"/>
      <c r="IYZ996" s="104"/>
      <c r="IZA996" s="103"/>
      <c r="IZM996" s="104"/>
      <c r="IZN996" s="103"/>
      <c r="IZZ996" s="104"/>
      <c r="JAA996" s="103"/>
      <c r="JAM996" s="104"/>
      <c r="JAN996" s="103"/>
      <c r="JAZ996" s="104"/>
      <c r="JBA996" s="103"/>
      <c r="JBM996" s="104"/>
      <c r="JBN996" s="103"/>
      <c r="JBZ996" s="104"/>
      <c r="JCA996" s="103"/>
      <c r="JCM996" s="104"/>
      <c r="JCN996" s="103"/>
      <c r="JCZ996" s="104"/>
      <c r="JDA996" s="103"/>
      <c r="JDM996" s="104"/>
      <c r="JDN996" s="103"/>
      <c r="JDZ996" s="104"/>
      <c r="JEA996" s="103"/>
      <c r="JEM996" s="104"/>
      <c r="JEN996" s="103"/>
      <c r="JEZ996" s="104"/>
      <c r="JFA996" s="103"/>
      <c r="JFM996" s="104"/>
      <c r="JFN996" s="103"/>
      <c r="JFZ996" s="104"/>
      <c r="JGA996" s="103"/>
      <c r="JGM996" s="104"/>
      <c r="JGN996" s="103"/>
      <c r="JGZ996" s="104"/>
      <c r="JHA996" s="103"/>
      <c r="JHM996" s="104"/>
      <c r="JHN996" s="103"/>
      <c r="JHZ996" s="104"/>
      <c r="JIA996" s="103"/>
      <c r="JIM996" s="104"/>
      <c r="JIN996" s="103"/>
      <c r="JIZ996" s="104"/>
      <c r="JJA996" s="103"/>
      <c r="JJM996" s="104"/>
      <c r="JJN996" s="103"/>
      <c r="JJZ996" s="104"/>
      <c r="JKA996" s="103"/>
      <c r="JKM996" s="104"/>
      <c r="JKN996" s="103"/>
      <c r="JKZ996" s="104"/>
      <c r="JLA996" s="103"/>
      <c r="JLM996" s="104"/>
      <c r="JLN996" s="103"/>
      <c r="JLZ996" s="104"/>
      <c r="JMA996" s="103"/>
      <c r="JMM996" s="104"/>
      <c r="JMN996" s="103"/>
      <c r="JMZ996" s="104"/>
      <c r="JNA996" s="103"/>
      <c r="JNM996" s="104"/>
      <c r="JNN996" s="103"/>
      <c r="JNZ996" s="104"/>
      <c r="JOA996" s="103"/>
      <c r="JOM996" s="104"/>
      <c r="JON996" s="103"/>
      <c r="JOZ996" s="104"/>
      <c r="JPA996" s="103"/>
      <c r="JPM996" s="104"/>
      <c r="JPN996" s="103"/>
      <c r="JPZ996" s="104"/>
      <c r="JQA996" s="103"/>
      <c r="JQM996" s="104"/>
      <c r="JQN996" s="103"/>
      <c r="JQZ996" s="104"/>
      <c r="JRA996" s="103"/>
      <c r="JRM996" s="104"/>
      <c r="JRN996" s="103"/>
      <c r="JRZ996" s="104"/>
      <c r="JSA996" s="103"/>
      <c r="JSM996" s="104"/>
      <c r="JSN996" s="103"/>
      <c r="JSZ996" s="104"/>
      <c r="JTA996" s="103"/>
      <c r="JTM996" s="104"/>
      <c r="JTN996" s="103"/>
      <c r="JTZ996" s="104"/>
      <c r="JUA996" s="103"/>
      <c r="JUM996" s="104"/>
      <c r="JUN996" s="103"/>
      <c r="JUZ996" s="104"/>
      <c r="JVA996" s="103"/>
      <c r="JVM996" s="104"/>
      <c r="JVN996" s="103"/>
      <c r="JVZ996" s="104"/>
      <c r="JWA996" s="103"/>
      <c r="JWM996" s="104"/>
      <c r="JWN996" s="103"/>
      <c r="JWZ996" s="104"/>
      <c r="JXA996" s="103"/>
      <c r="JXM996" s="104"/>
      <c r="JXN996" s="103"/>
      <c r="JXZ996" s="104"/>
      <c r="JYA996" s="103"/>
      <c r="JYM996" s="104"/>
      <c r="JYN996" s="103"/>
      <c r="JYZ996" s="104"/>
      <c r="JZA996" s="103"/>
      <c r="JZM996" s="104"/>
      <c r="JZN996" s="103"/>
      <c r="JZZ996" s="104"/>
      <c r="KAA996" s="103"/>
      <c r="KAM996" s="104"/>
      <c r="KAN996" s="103"/>
      <c r="KAZ996" s="104"/>
      <c r="KBA996" s="103"/>
      <c r="KBM996" s="104"/>
      <c r="KBN996" s="103"/>
      <c r="KBZ996" s="104"/>
      <c r="KCA996" s="103"/>
      <c r="KCM996" s="104"/>
      <c r="KCN996" s="103"/>
      <c r="KCZ996" s="104"/>
      <c r="KDA996" s="103"/>
      <c r="KDM996" s="104"/>
      <c r="KDN996" s="103"/>
      <c r="KDZ996" s="104"/>
      <c r="KEA996" s="103"/>
      <c r="KEM996" s="104"/>
      <c r="KEN996" s="103"/>
      <c r="KEZ996" s="104"/>
      <c r="KFA996" s="103"/>
      <c r="KFM996" s="104"/>
      <c r="KFN996" s="103"/>
      <c r="KFZ996" s="104"/>
      <c r="KGA996" s="103"/>
      <c r="KGM996" s="104"/>
      <c r="KGN996" s="103"/>
      <c r="KGZ996" s="104"/>
      <c r="KHA996" s="103"/>
      <c r="KHM996" s="104"/>
      <c r="KHN996" s="103"/>
      <c r="KHZ996" s="104"/>
      <c r="KIA996" s="103"/>
      <c r="KIM996" s="104"/>
      <c r="KIN996" s="103"/>
      <c r="KIZ996" s="104"/>
      <c r="KJA996" s="103"/>
      <c r="KJM996" s="104"/>
      <c r="KJN996" s="103"/>
      <c r="KJZ996" s="104"/>
      <c r="KKA996" s="103"/>
      <c r="KKM996" s="104"/>
      <c r="KKN996" s="103"/>
      <c r="KKZ996" s="104"/>
      <c r="KLA996" s="103"/>
      <c r="KLM996" s="104"/>
      <c r="KLN996" s="103"/>
      <c r="KLZ996" s="104"/>
      <c r="KMA996" s="103"/>
      <c r="KMM996" s="104"/>
      <c r="KMN996" s="103"/>
      <c r="KMZ996" s="104"/>
      <c r="KNA996" s="103"/>
      <c r="KNM996" s="104"/>
      <c r="KNN996" s="103"/>
      <c r="KNZ996" s="104"/>
      <c r="KOA996" s="103"/>
      <c r="KOM996" s="104"/>
      <c r="KON996" s="103"/>
      <c r="KOZ996" s="104"/>
      <c r="KPA996" s="103"/>
      <c r="KPM996" s="104"/>
      <c r="KPN996" s="103"/>
      <c r="KPZ996" s="104"/>
      <c r="KQA996" s="103"/>
      <c r="KQM996" s="104"/>
      <c r="KQN996" s="103"/>
      <c r="KQZ996" s="104"/>
      <c r="KRA996" s="103"/>
      <c r="KRM996" s="104"/>
      <c r="KRN996" s="103"/>
      <c r="KRZ996" s="104"/>
      <c r="KSA996" s="103"/>
      <c r="KSM996" s="104"/>
      <c r="KSN996" s="103"/>
      <c r="KSZ996" s="104"/>
      <c r="KTA996" s="103"/>
      <c r="KTM996" s="104"/>
      <c r="KTN996" s="103"/>
      <c r="KTZ996" s="104"/>
      <c r="KUA996" s="103"/>
      <c r="KUM996" s="104"/>
      <c r="KUN996" s="103"/>
      <c r="KUZ996" s="104"/>
      <c r="KVA996" s="103"/>
      <c r="KVM996" s="104"/>
      <c r="KVN996" s="103"/>
      <c r="KVZ996" s="104"/>
      <c r="KWA996" s="103"/>
      <c r="KWM996" s="104"/>
      <c r="KWN996" s="103"/>
      <c r="KWZ996" s="104"/>
      <c r="KXA996" s="103"/>
      <c r="KXM996" s="104"/>
      <c r="KXN996" s="103"/>
      <c r="KXZ996" s="104"/>
      <c r="KYA996" s="103"/>
      <c r="KYM996" s="104"/>
      <c r="KYN996" s="103"/>
      <c r="KYZ996" s="104"/>
      <c r="KZA996" s="103"/>
      <c r="KZM996" s="104"/>
      <c r="KZN996" s="103"/>
      <c r="KZZ996" s="104"/>
      <c r="LAA996" s="103"/>
      <c r="LAM996" s="104"/>
      <c r="LAN996" s="103"/>
      <c r="LAZ996" s="104"/>
      <c r="LBA996" s="103"/>
      <c r="LBM996" s="104"/>
      <c r="LBN996" s="103"/>
      <c r="LBZ996" s="104"/>
      <c r="LCA996" s="103"/>
      <c r="LCM996" s="104"/>
      <c r="LCN996" s="103"/>
      <c r="LCZ996" s="104"/>
      <c r="LDA996" s="103"/>
      <c r="LDM996" s="104"/>
      <c r="LDN996" s="103"/>
      <c r="LDZ996" s="104"/>
      <c r="LEA996" s="103"/>
      <c r="LEM996" s="104"/>
      <c r="LEN996" s="103"/>
      <c r="LEZ996" s="104"/>
      <c r="LFA996" s="103"/>
      <c r="LFM996" s="104"/>
      <c r="LFN996" s="103"/>
      <c r="LFZ996" s="104"/>
      <c r="LGA996" s="103"/>
      <c r="LGM996" s="104"/>
      <c r="LGN996" s="103"/>
      <c r="LGZ996" s="104"/>
      <c r="LHA996" s="103"/>
      <c r="LHM996" s="104"/>
      <c r="LHN996" s="103"/>
      <c r="LHZ996" s="104"/>
      <c r="LIA996" s="103"/>
      <c r="LIM996" s="104"/>
      <c r="LIN996" s="103"/>
      <c r="LIZ996" s="104"/>
      <c r="LJA996" s="103"/>
      <c r="LJM996" s="104"/>
      <c r="LJN996" s="103"/>
      <c r="LJZ996" s="104"/>
      <c r="LKA996" s="103"/>
      <c r="LKM996" s="104"/>
      <c r="LKN996" s="103"/>
      <c r="LKZ996" s="104"/>
      <c r="LLA996" s="103"/>
      <c r="LLM996" s="104"/>
      <c r="LLN996" s="103"/>
      <c r="LLZ996" s="104"/>
      <c r="LMA996" s="103"/>
      <c r="LMM996" s="104"/>
      <c r="LMN996" s="103"/>
      <c r="LMZ996" s="104"/>
      <c r="LNA996" s="103"/>
      <c r="LNM996" s="104"/>
      <c r="LNN996" s="103"/>
      <c r="LNZ996" s="104"/>
      <c r="LOA996" s="103"/>
      <c r="LOM996" s="104"/>
      <c r="LON996" s="103"/>
      <c r="LOZ996" s="104"/>
      <c r="LPA996" s="103"/>
      <c r="LPM996" s="104"/>
      <c r="LPN996" s="103"/>
      <c r="LPZ996" s="104"/>
      <c r="LQA996" s="103"/>
      <c r="LQM996" s="104"/>
      <c r="LQN996" s="103"/>
      <c r="LQZ996" s="104"/>
      <c r="LRA996" s="103"/>
      <c r="LRM996" s="104"/>
      <c r="LRN996" s="103"/>
      <c r="LRZ996" s="104"/>
      <c r="LSA996" s="103"/>
      <c r="LSM996" s="104"/>
      <c r="LSN996" s="103"/>
      <c r="LSZ996" s="104"/>
      <c r="LTA996" s="103"/>
      <c r="LTM996" s="104"/>
      <c r="LTN996" s="103"/>
      <c r="LTZ996" s="104"/>
      <c r="LUA996" s="103"/>
      <c r="LUM996" s="104"/>
      <c r="LUN996" s="103"/>
      <c r="LUZ996" s="104"/>
      <c r="LVA996" s="103"/>
      <c r="LVM996" s="104"/>
      <c r="LVN996" s="103"/>
      <c r="LVZ996" s="104"/>
      <c r="LWA996" s="103"/>
      <c r="LWM996" s="104"/>
      <c r="LWN996" s="103"/>
      <c r="LWZ996" s="104"/>
      <c r="LXA996" s="103"/>
      <c r="LXM996" s="104"/>
      <c r="LXN996" s="103"/>
      <c r="LXZ996" s="104"/>
      <c r="LYA996" s="103"/>
      <c r="LYM996" s="104"/>
      <c r="LYN996" s="103"/>
      <c r="LYZ996" s="104"/>
      <c r="LZA996" s="103"/>
      <c r="LZM996" s="104"/>
      <c r="LZN996" s="103"/>
      <c r="LZZ996" s="104"/>
      <c r="MAA996" s="103"/>
      <c r="MAM996" s="104"/>
      <c r="MAN996" s="103"/>
      <c r="MAZ996" s="104"/>
      <c r="MBA996" s="103"/>
      <c r="MBM996" s="104"/>
      <c r="MBN996" s="103"/>
      <c r="MBZ996" s="104"/>
      <c r="MCA996" s="103"/>
      <c r="MCM996" s="104"/>
      <c r="MCN996" s="103"/>
      <c r="MCZ996" s="104"/>
      <c r="MDA996" s="103"/>
      <c r="MDM996" s="104"/>
      <c r="MDN996" s="103"/>
      <c r="MDZ996" s="104"/>
      <c r="MEA996" s="103"/>
      <c r="MEM996" s="104"/>
      <c r="MEN996" s="103"/>
      <c r="MEZ996" s="104"/>
      <c r="MFA996" s="103"/>
      <c r="MFM996" s="104"/>
      <c r="MFN996" s="103"/>
      <c r="MFZ996" s="104"/>
      <c r="MGA996" s="103"/>
      <c r="MGM996" s="104"/>
      <c r="MGN996" s="103"/>
      <c r="MGZ996" s="104"/>
      <c r="MHA996" s="103"/>
      <c r="MHM996" s="104"/>
      <c r="MHN996" s="103"/>
      <c r="MHZ996" s="104"/>
      <c r="MIA996" s="103"/>
      <c r="MIM996" s="104"/>
      <c r="MIN996" s="103"/>
      <c r="MIZ996" s="104"/>
      <c r="MJA996" s="103"/>
      <c r="MJM996" s="104"/>
      <c r="MJN996" s="103"/>
      <c r="MJZ996" s="104"/>
      <c r="MKA996" s="103"/>
      <c r="MKM996" s="104"/>
      <c r="MKN996" s="103"/>
      <c r="MKZ996" s="104"/>
      <c r="MLA996" s="103"/>
      <c r="MLM996" s="104"/>
      <c r="MLN996" s="103"/>
      <c r="MLZ996" s="104"/>
      <c r="MMA996" s="103"/>
      <c r="MMM996" s="104"/>
      <c r="MMN996" s="103"/>
      <c r="MMZ996" s="104"/>
      <c r="MNA996" s="103"/>
      <c r="MNM996" s="104"/>
      <c r="MNN996" s="103"/>
      <c r="MNZ996" s="104"/>
      <c r="MOA996" s="103"/>
      <c r="MOM996" s="104"/>
      <c r="MON996" s="103"/>
      <c r="MOZ996" s="104"/>
      <c r="MPA996" s="103"/>
      <c r="MPM996" s="104"/>
      <c r="MPN996" s="103"/>
      <c r="MPZ996" s="104"/>
      <c r="MQA996" s="103"/>
      <c r="MQM996" s="104"/>
      <c r="MQN996" s="103"/>
      <c r="MQZ996" s="104"/>
      <c r="MRA996" s="103"/>
      <c r="MRM996" s="104"/>
      <c r="MRN996" s="103"/>
      <c r="MRZ996" s="104"/>
      <c r="MSA996" s="103"/>
      <c r="MSM996" s="104"/>
      <c r="MSN996" s="103"/>
      <c r="MSZ996" s="104"/>
      <c r="MTA996" s="103"/>
      <c r="MTM996" s="104"/>
      <c r="MTN996" s="103"/>
      <c r="MTZ996" s="104"/>
      <c r="MUA996" s="103"/>
      <c r="MUM996" s="104"/>
      <c r="MUN996" s="103"/>
      <c r="MUZ996" s="104"/>
      <c r="MVA996" s="103"/>
      <c r="MVM996" s="104"/>
      <c r="MVN996" s="103"/>
      <c r="MVZ996" s="104"/>
      <c r="MWA996" s="103"/>
      <c r="MWM996" s="104"/>
      <c r="MWN996" s="103"/>
      <c r="MWZ996" s="104"/>
      <c r="MXA996" s="103"/>
      <c r="MXM996" s="104"/>
      <c r="MXN996" s="103"/>
      <c r="MXZ996" s="104"/>
      <c r="MYA996" s="103"/>
      <c r="MYM996" s="104"/>
      <c r="MYN996" s="103"/>
      <c r="MYZ996" s="104"/>
      <c r="MZA996" s="103"/>
      <c r="MZM996" s="104"/>
      <c r="MZN996" s="103"/>
      <c r="MZZ996" s="104"/>
      <c r="NAA996" s="103"/>
      <c r="NAM996" s="104"/>
      <c r="NAN996" s="103"/>
      <c r="NAZ996" s="104"/>
      <c r="NBA996" s="103"/>
      <c r="NBM996" s="104"/>
      <c r="NBN996" s="103"/>
      <c r="NBZ996" s="104"/>
      <c r="NCA996" s="103"/>
      <c r="NCM996" s="104"/>
      <c r="NCN996" s="103"/>
      <c r="NCZ996" s="104"/>
      <c r="NDA996" s="103"/>
      <c r="NDM996" s="104"/>
      <c r="NDN996" s="103"/>
      <c r="NDZ996" s="104"/>
      <c r="NEA996" s="103"/>
      <c r="NEM996" s="104"/>
      <c r="NEN996" s="103"/>
      <c r="NEZ996" s="104"/>
      <c r="NFA996" s="103"/>
      <c r="NFM996" s="104"/>
      <c r="NFN996" s="103"/>
      <c r="NFZ996" s="104"/>
      <c r="NGA996" s="103"/>
      <c r="NGM996" s="104"/>
      <c r="NGN996" s="103"/>
      <c r="NGZ996" s="104"/>
      <c r="NHA996" s="103"/>
      <c r="NHM996" s="104"/>
      <c r="NHN996" s="103"/>
      <c r="NHZ996" s="104"/>
      <c r="NIA996" s="103"/>
      <c r="NIM996" s="104"/>
      <c r="NIN996" s="103"/>
      <c r="NIZ996" s="104"/>
      <c r="NJA996" s="103"/>
      <c r="NJM996" s="104"/>
      <c r="NJN996" s="103"/>
      <c r="NJZ996" s="104"/>
      <c r="NKA996" s="103"/>
      <c r="NKM996" s="104"/>
      <c r="NKN996" s="103"/>
      <c r="NKZ996" s="104"/>
      <c r="NLA996" s="103"/>
      <c r="NLM996" s="104"/>
      <c r="NLN996" s="103"/>
      <c r="NLZ996" s="104"/>
      <c r="NMA996" s="103"/>
      <c r="NMM996" s="104"/>
      <c r="NMN996" s="103"/>
      <c r="NMZ996" s="104"/>
      <c r="NNA996" s="103"/>
      <c r="NNM996" s="104"/>
      <c r="NNN996" s="103"/>
      <c r="NNZ996" s="104"/>
      <c r="NOA996" s="103"/>
      <c r="NOM996" s="104"/>
      <c r="NON996" s="103"/>
      <c r="NOZ996" s="104"/>
      <c r="NPA996" s="103"/>
      <c r="NPM996" s="104"/>
      <c r="NPN996" s="103"/>
      <c r="NPZ996" s="104"/>
      <c r="NQA996" s="103"/>
      <c r="NQM996" s="104"/>
      <c r="NQN996" s="103"/>
      <c r="NQZ996" s="104"/>
      <c r="NRA996" s="103"/>
      <c r="NRM996" s="104"/>
      <c r="NRN996" s="103"/>
      <c r="NRZ996" s="104"/>
      <c r="NSA996" s="103"/>
      <c r="NSM996" s="104"/>
      <c r="NSN996" s="103"/>
      <c r="NSZ996" s="104"/>
      <c r="NTA996" s="103"/>
      <c r="NTM996" s="104"/>
      <c r="NTN996" s="103"/>
      <c r="NTZ996" s="104"/>
      <c r="NUA996" s="103"/>
      <c r="NUM996" s="104"/>
      <c r="NUN996" s="103"/>
      <c r="NUZ996" s="104"/>
      <c r="NVA996" s="103"/>
      <c r="NVM996" s="104"/>
      <c r="NVN996" s="103"/>
      <c r="NVZ996" s="104"/>
      <c r="NWA996" s="103"/>
      <c r="NWM996" s="104"/>
      <c r="NWN996" s="103"/>
      <c r="NWZ996" s="104"/>
      <c r="NXA996" s="103"/>
      <c r="NXM996" s="104"/>
      <c r="NXN996" s="103"/>
      <c r="NXZ996" s="104"/>
      <c r="NYA996" s="103"/>
      <c r="NYM996" s="104"/>
      <c r="NYN996" s="103"/>
      <c r="NYZ996" s="104"/>
      <c r="NZA996" s="103"/>
      <c r="NZM996" s="104"/>
      <c r="NZN996" s="103"/>
      <c r="NZZ996" s="104"/>
      <c r="OAA996" s="103"/>
      <c r="OAM996" s="104"/>
      <c r="OAN996" s="103"/>
      <c r="OAZ996" s="104"/>
      <c r="OBA996" s="103"/>
      <c r="OBM996" s="104"/>
      <c r="OBN996" s="103"/>
      <c r="OBZ996" s="104"/>
      <c r="OCA996" s="103"/>
      <c r="OCM996" s="104"/>
      <c r="OCN996" s="103"/>
      <c r="OCZ996" s="104"/>
      <c r="ODA996" s="103"/>
      <c r="ODM996" s="104"/>
      <c r="ODN996" s="103"/>
      <c r="ODZ996" s="104"/>
      <c r="OEA996" s="103"/>
      <c r="OEM996" s="104"/>
      <c r="OEN996" s="103"/>
      <c r="OEZ996" s="104"/>
      <c r="OFA996" s="103"/>
      <c r="OFM996" s="104"/>
      <c r="OFN996" s="103"/>
      <c r="OFZ996" s="104"/>
      <c r="OGA996" s="103"/>
      <c r="OGM996" s="104"/>
      <c r="OGN996" s="103"/>
      <c r="OGZ996" s="104"/>
      <c r="OHA996" s="103"/>
      <c r="OHM996" s="104"/>
      <c r="OHN996" s="103"/>
      <c r="OHZ996" s="104"/>
      <c r="OIA996" s="103"/>
      <c r="OIM996" s="104"/>
      <c r="OIN996" s="103"/>
      <c r="OIZ996" s="104"/>
      <c r="OJA996" s="103"/>
      <c r="OJM996" s="104"/>
      <c r="OJN996" s="103"/>
      <c r="OJZ996" s="104"/>
      <c r="OKA996" s="103"/>
      <c r="OKM996" s="104"/>
      <c r="OKN996" s="103"/>
      <c r="OKZ996" s="104"/>
      <c r="OLA996" s="103"/>
      <c r="OLM996" s="104"/>
      <c r="OLN996" s="103"/>
      <c r="OLZ996" s="104"/>
      <c r="OMA996" s="103"/>
      <c r="OMM996" s="104"/>
      <c r="OMN996" s="103"/>
      <c r="OMZ996" s="104"/>
      <c r="ONA996" s="103"/>
      <c r="ONM996" s="104"/>
      <c r="ONN996" s="103"/>
      <c r="ONZ996" s="104"/>
      <c r="OOA996" s="103"/>
      <c r="OOM996" s="104"/>
      <c r="OON996" s="103"/>
      <c r="OOZ996" s="104"/>
      <c r="OPA996" s="103"/>
      <c r="OPM996" s="104"/>
      <c r="OPN996" s="103"/>
      <c r="OPZ996" s="104"/>
      <c r="OQA996" s="103"/>
      <c r="OQM996" s="104"/>
      <c r="OQN996" s="103"/>
      <c r="OQZ996" s="104"/>
      <c r="ORA996" s="103"/>
      <c r="ORM996" s="104"/>
      <c r="ORN996" s="103"/>
      <c r="ORZ996" s="104"/>
      <c r="OSA996" s="103"/>
      <c r="OSM996" s="104"/>
      <c r="OSN996" s="103"/>
      <c r="OSZ996" s="104"/>
      <c r="OTA996" s="103"/>
      <c r="OTM996" s="104"/>
      <c r="OTN996" s="103"/>
      <c r="OTZ996" s="104"/>
      <c r="OUA996" s="103"/>
      <c r="OUM996" s="104"/>
      <c r="OUN996" s="103"/>
      <c r="OUZ996" s="104"/>
      <c r="OVA996" s="103"/>
      <c r="OVM996" s="104"/>
      <c r="OVN996" s="103"/>
      <c r="OVZ996" s="104"/>
      <c r="OWA996" s="103"/>
      <c r="OWM996" s="104"/>
      <c r="OWN996" s="103"/>
      <c r="OWZ996" s="104"/>
      <c r="OXA996" s="103"/>
      <c r="OXM996" s="104"/>
      <c r="OXN996" s="103"/>
      <c r="OXZ996" s="104"/>
      <c r="OYA996" s="103"/>
      <c r="OYM996" s="104"/>
      <c r="OYN996" s="103"/>
      <c r="OYZ996" s="104"/>
      <c r="OZA996" s="103"/>
      <c r="OZM996" s="104"/>
      <c r="OZN996" s="103"/>
      <c r="OZZ996" s="104"/>
      <c r="PAA996" s="103"/>
      <c r="PAM996" s="104"/>
      <c r="PAN996" s="103"/>
      <c r="PAZ996" s="104"/>
      <c r="PBA996" s="103"/>
      <c r="PBM996" s="104"/>
      <c r="PBN996" s="103"/>
      <c r="PBZ996" s="104"/>
      <c r="PCA996" s="103"/>
      <c r="PCM996" s="104"/>
      <c r="PCN996" s="103"/>
      <c r="PCZ996" s="104"/>
      <c r="PDA996" s="103"/>
      <c r="PDM996" s="104"/>
      <c r="PDN996" s="103"/>
      <c r="PDZ996" s="104"/>
      <c r="PEA996" s="103"/>
      <c r="PEM996" s="104"/>
      <c r="PEN996" s="103"/>
      <c r="PEZ996" s="104"/>
      <c r="PFA996" s="103"/>
      <c r="PFM996" s="104"/>
      <c r="PFN996" s="103"/>
      <c r="PFZ996" s="104"/>
      <c r="PGA996" s="103"/>
      <c r="PGM996" s="104"/>
      <c r="PGN996" s="103"/>
      <c r="PGZ996" s="104"/>
      <c r="PHA996" s="103"/>
      <c r="PHM996" s="104"/>
      <c r="PHN996" s="103"/>
      <c r="PHZ996" s="104"/>
      <c r="PIA996" s="103"/>
      <c r="PIM996" s="104"/>
      <c r="PIN996" s="103"/>
      <c r="PIZ996" s="104"/>
      <c r="PJA996" s="103"/>
      <c r="PJM996" s="104"/>
      <c r="PJN996" s="103"/>
      <c r="PJZ996" s="104"/>
      <c r="PKA996" s="103"/>
      <c r="PKM996" s="104"/>
      <c r="PKN996" s="103"/>
      <c r="PKZ996" s="104"/>
      <c r="PLA996" s="103"/>
      <c r="PLM996" s="104"/>
      <c r="PLN996" s="103"/>
      <c r="PLZ996" s="104"/>
      <c r="PMA996" s="103"/>
      <c r="PMM996" s="104"/>
      <c r="PMN996" s="103"/>
      <c r="PMZ996" s="104"/>
      <c r="PNA996" s="103"/>
      <c r="PNM996" s="104"/>
      <c r="PNN996" s="103"/>
      <c r="PNZ996" s="104"/>
      <c r="POA996" s="103"/>
      <c r="POM996" s="104"/>
      <c r="PON996" s="103"/>
      <c r="POZ996" s="104"/>
      <c r="PPA996" s="103"/>
      <c r="PPM996" s="104"/>
      <c r="PPN996" s="103"/>
      <c r="PPZ996" s="104"/>
      <c r="PQA996" s="103"/>
      <c r="PQM996" s="104"/>
      <c r="PQN996" s="103"/>
      <c r="PQZ996" s="104"/>
      <c r="PRA996" s="103"/>
      <c r="PRM996" s="104"/>
      <c r="PRN996" s="103"/>
      <c r="PRZ996" s="104"/>
      <c r="PSA996" s="103"/>
      <c r="PSM996" s="104"/>
      <c r="PSN996" s="103"/>
      <c r="PSZ996" s="104"/>
      <c r="PTA996" s="103"/>
      <c r="PTM996" s="104"/>
      <c r="PTN996" s="103"/>
      <c r="PTZ996" s="104"/>
      <c r="PUA996" s="103"/>
      <c r="PUM996" s="104"/>
      <c r="PUN996" s="103"/>
      <c r="PUZ996" s="104"/>
      <c r="PVA996" s="103"/>
      <c r="PVM996" s="104"/>
      <c r="PVN996" s="103"/>
      <c r="PVZ996" s="104"/>
      <c r="PWA996" s="103"/>
      <c r="PWM996" s="104"/>
      <c r="PWN996" s="103"/>
      <c r="PWZ996" s="104"/>
      <c r="PXA996" s="103"/>
      <c r="PXM996" s="104"/>
      <c r="PXN996" s="103"/>
      <c r="PXZ996" s="104"/>
      <c r="PYA996" s="103"/>
      <c r="PYM996" s="104"/>
      <c r="PYN996" s="103"/>
      <c r="PYZ996" s="104"/>
      <c r="PZA996" s="103"/>
      <c r="PZM996" s="104"/>
      <c r="PZN996" s="103"/>
      <c r="PZZ996" s="104"/>
      <c r="QAA996" s="103"/>
      <c r="QAM996" s="104"/>
      <c r="QAN996" s="103"/>
      <c r="QAZ996" s="104"/>
      <c r="QBA996" s="103"/>
      <c r="QBM996" s="104"/>
      <c r="QBN996" s="103"/>
      <c r="QBZ996" s="104"/>
      <c r="QCA996" s="103"/>
      <c r="QCM996" s="104"/>
      <c r="QCN996" s="103"/>
      <c r="QCZ996" s="104"/>
      <c r="QDA996" s="103"/>
      <c r="QDM996" s="104"/>
      <c r="QDN996" s="103"/>
      <c r="QDZ996" s="104"/>
      <c r="QEA996" s="103"/>
      <c r="QEM996" s="104"/>
      <c r="QEN996" s="103"/>
      <c r="QEZ996" s="104"/>
      <c r="QFA996" s="103"/>
      <c r="QFM996" s="104"/>
      <c r="QFN996" s="103"/>
      <c r="QFZ996" s="104"/>
      <c r="QGA996" s="103"/>
      <c r="QGM996" s="104"/>
      <c r="QGN996" s="103"/>
      <c r="QGZ996" s="104"/>
      <c r="QHA996" s="103"/>
      <c r="QHM996" s="104"/>
      <c r="QHN996" s="103"/>
      <c r="QHZ996" s="104"/>
      <c r="QIA996" s="103"/>
      <c r="QIM996" s="104"/>
      <c r="QIN996" s="103"/>
      <c r="QIZ996" s="104"/>
      <c r="QJA996" s="103"/>
      <c r="QJM996" s="104"/>
      <c r="QJN996" s="103"/>
      <c r="QJZ996" s="104"/>
      <c r="QKA996" s="103"/>
      <c r="QKM996" s="104"/>
      <c r="QKN996" s="103"/>
      <c r="QKZ996" s="104"/>
      <c r="QLA996" s="103"/>
      <c r="QLM996" s="104"/>
      <c r="QLN996" s="103"/>
      <c r="QLZ996" s="104"/>
      <c r="QMA996" s="103"/>
      <c r="QMM996" s="104"/>
      <c r="QMN996" s="103"/>
      <c r="QMZ996" s="104"/>
      <c r="QNA996" s="103"/>
      <c r="QNM996" s="104"/>
      <c r="QNN996" s="103"/>
      <c r="QNZ996" s="104"/>
      <c r="QOA996" s="103"/>
      <c r="QOM996" s="104"/>
      <c r="QON996" s="103"/>
      <c r="QOZ996" s="104"/>
      <c r="QPA996" s="103"/>
      <c r="QPM996" s="104"/>
      <c r="QPN996" s="103"/>
      <c r="QPZ996" s="104"/>
      <c r="QQA996" s="103"/>
      <c r="QQM996" s="104"/>
      <c r="QQN996" s="103"/>
      <c r="QQZ996" s="104"/>
      <c r="QRA996" s="103"/>
      <c r="QRM996" s="104"/>
      <c r="QRN996" s="103"/>
      <c r="QRZ996" s="104"/>
      <c r="QSA996" s="103"/>
      <c r="QSM996" s="104"/>
      <c r="QSN996" s="103"/>
      <c r="QSZ996" s="104"/>
      <c r="QTA996" s="103"/>
      <c r="QTM996" s="104"/>
      <c r="QTN996" s="103"/>
      <c r="QTZ996" s="104"/>
      <c r="QUA996" s="103"/>
      <c r="QUM996" s="104"/>
      <c r="QUN996" s="103"/>
      <c r="QUZ996" s="104"/>
      <c r="QVA996" s="103"/>
      <c r="QVM996" s="104"/>
      <c r="QVN996" s="103"/>
      <c r="QVZ996" s="104"/>
      <c r="QWA996" s="103"/>
      <c r="QWM996" s="104"/>
      <c r="QWN996" s="103"/>
      <c r="QWZ996" s="104"/>
      <c r="QXA996" s="103"/>
      <c r="QXM996" s="104"/>
      <c r="QXN996" s="103"/>
      <c r="QXZ996" s="104"/>
      <c r="QYA996" s="103"/>
      <c r="QYM996" s="104"/>
      <c r="QYN996" s="103"/>
      <c r="QYZ996" s="104"/>
      <c r="QZA996" s="103"/>
      <c r="QZM996" s="104"/>
      <c r="QZN996" s="103"/>
      <c r="QZZ996" s="104"/>
      <c r="RAA996" s="103"/>
      <c r="RAM996" s="104"/>
      <c r="RAN996" s="103"/>
      <c r="RAZ996" s="104"/>
      <c r="RBA996" s="103"/>
      <c r="RBM996" s="104"/>
      <c r="RBN996" s="103"/>
      <c r="RBZ996" s="104"/>
      <c r="RCA996" s="103"/>
      <c r="RCM996" s="104"/>
      <c r="RCN996" s="103"/>
      <c r="RCZ996" s="104"/>
      <c r="RDA996" s="103"/>
      <c r="RDM996" s="104"/>
      <c r="RDN996" s="103"/>
      <c r="RDZ996" s="104"/>
      <c r="REA996" s="103"/>
      <c r="REM996" s="104"/>
      <c r="REN996" s="103"/>
      <c r="REZ996" s="104"/>
      <c r="RFA996" s="103"/>
      <c r="RFM996" s="104"/>
      <c r="RFN996" s="103"/>
      <c r="RFZ996" s="104"/>
      <c r="RGA996" s="103"/>
      <c r="RGM996" s="104"/>
      <c r="RGN996" s="103"/>
      <c r="RGZ996" s="104"/>
      <c r="RHA996" s="103"/>
      <c r="RHM996" s="104"/>
      <c r="RHN996" s="103"/>
      <c r="RHZ996" s="104"/>
      <c r="RIA996" s="103"/>
      <c r="RIM996" s="104"/>
      <c r="RIN996" s="103"/>
      <c r="RIZ996" s="104"/>
      <c r="RJA996" s="103"/>
      <c r="RJM996" s="104"/>
      <c r="RJN996" s="103"/>
      <c r="RJZ996" s="104"/>
      <c r="RKA996" s="103"/>
      <c r="RKM996" s="104"/>
      <c r="RKN996" s="103"/>
      <c r="RKZ996" s="104"/>
      <c r="RLA996" s="103"/>
      <c r="RLM996" s="104"/>
      <c r="RLN996" s="103"/>
      <c r="RLZ996" s="104"/>
      <c r="RMA996" s="103"/>
      <c r="RMM996" s="104"/>
      <c r="RMN996" s="103"/>
      <c r="RMZ996" s="104"/>
      <c r="RNA996" s="103"/>
      <c r="RNM996" s="104"/>
      <c r="RNN996" s="103"/>
      <c r="RNZ996" s="104"/>
      <c r="ROA996" s="103"/>
      <c r="ROM996" s="104"/>
      <c r="RON996" s="103"/>
      <c r="ROZ996" s="104"/>
      <c r="RPA996" s="103"/>
      <c r="RPM996" s="104"/>
      <c r="RPN996" s="103"/>
      <c r="RPZ996" s="104"/>
      <c r="RQA996" s="103"/>
      <c r="RQM996" s="104"/>
      <c r="RQN996" s="103"/>
      <c r="RQZ996" s="104"/>
      <c r="RRA996" s="103"/>
      <c r="RRM996" s="104"/>
      <c r="RRN996" s="103"/>
      <c r="RRZ996" s="104"/>
      <c r="RSA996" s="103"/>
      <c r="RSM996" s="104"/>
      <c r="RSN996" s="103"/>
      <c r="RSZ996" s="104"/>
      <c r="RTA996" s="103"/>
      <c r="RTM996" s="104"/>
      <c r="RTN996" s="103"/>
      <c r="RTZ996" s="104"/>
      <c r="RUA996" s="103"/>
      <c r="RUM996" s="104"/>
      <c r="RUN996" s="103"/>
      <c r="RUZ996" s="104"/>
      <c r="RVA996" s="103"/>
      <c r="RVM996" s="104"/>
      <c r="RVN996" s="103"/>
      <c r="RVZ996" s="104"/>
      <c r="RWA996" s="103"/>
      <c r="RWM996" s="104"/>
      <c r="RWN996" s="103"/>
      <c r="RWZ996" s="104"/>
      <c r="RXA996" s="103"/>
      <c r="RXM996" s="104"/>
      <c r="RXN996" s="103"/>
      <c r="RXZ996" s="104"/>
      <c r="RYA996" s="103"/>
      <c r="RYM996" s="104"/>
      <c r="RYN996" s="103"/>
      <c r="RYZ996" s="104"/>
      <c r="RZA996" s="103"/>
      <c r="RZM996" s="104"/>
      <c r="RZN996" s="103"/>
      <c r="RZZ996" s="104"/>
      <c r="SAA996" s="103"/>
      <c r="SAM996" s="104"/>
      <c r="SAN996" s="103"/>
      <c r="SAZ996" s="104"/>
      <c r="SBA996" s="103"/>
      <c r="SBM996" s="104"/>
      <c r="SBN996" s="103"/>
      <c r="SBZ996" s="104"/>
      <c r="SCA996" s="103"/>
      <c r="SCM996" s="104"/>
      <c r="SCN996" s="103"/>
      <c r="SCZ996" s="104"/>
      <c r="SDA996" s="103"/>
      <c r="SDM996" s="104"/>
      <c r="SDN996" s="103"/>
      <c r="SDZ996" s="104"/>
      <c r="SEA996" s="103"/>
      <c r="SEM996" s="104"/>
      <c r="SEN996" s="103"/>
      <c r="SEZ996" s="104"/>
      <c r="SFA996" s="103"/>
      <c r="SFM996" s="104"/>
      <c r="SFN996" s="103"/>
      <c r="SFZ996" s="104"/>
      <c r="SGA996" s="103"/>
      <c r="SGM996" s="104"/>
      <c r="SGN996" s="103"/>
      <c r="SGZ996" s="104"/>
      <c r="SHA996" s="103"/>
      <c r="SHM996" s="104"/>
      <c r="SHN996" s="103"/>
      <c r="SHZ996" s="104"/>
      <c r="SIA996" s="103"/>
      <c r="SIM996" s="104"/>
      <c r="SIN996" s="103"/>
      <c r="SIZ996" s="104"/>
      <c r="SJA996" s="103"/>
      <c r="SJM996" s="104"/>
      <c r="SJN996" s="103"/>
      <c r="SJZ996" s="104"/>
      <c r="SKA996" s="103"/>
      <c r="SKM996" s="104"/>
      <c r="SKN996" s="103"/>
      <c r="SKZ996" s="104"/>
      <c r="SLA996" s="103"/>
      <c r="SLM996" s="104"/>
      <c r="SLN996" s="103"/>
      <c r="SLZ996" s="104"/>
      <c r="SMA996" s="103"/>
      <c r="SMM996" s="104"/>
      <c r="SMN996" s="103"/>
      <c r="SMZ996" s="104"/>
      <c r="SNA996" s="103"/>
      <c r="SNM996" s="104"/>
      <c r="SNN996" s="103"/>
      <c r="SNZ996" s="104"/>
      <c r="SOA996" s="103"/>
      <c r="SOM996" s="104"/>
      <c r="SON996" s="103"/>
      <c r="SOZ996" s="104"/>
      <c r="SPA996" s="103"/>
      <c r="SPM996" s="104"/>
      <c r="SPN996" s="103"/>
      <c r="SPZ996" s="104"/>
      <c r="SQA996" s="103"/>
      <c r="SQM996" s="104"/>
      <c r="SQN996" s="103"/>
      <c r="SQZ996" s="104"/>
      <c r="SRA996" s="103"/>
      <c r="SRM996" s="104"/>
      <c r="SRN996" s="103"/>
      <c r="SRZ996" s="104"/>
      <c r="SSA996" s="103"/>
      <c r="SSM996" s="104"/>
      <c r="SSN996" s="103"/>
      <c r="SSZ996" s="104"/>
      <c r="STA996" s="103"/>
      <c r="STM996" s="104"/>
      <c r="STN996" s="103"/>
      <c r="STZ996" s="104"/>
      <c r="SUA996" s="103"/>
      <c r="SUM996" s="104"/>
      <c r="SUN996" s="103"/>
      <c r="SUZ996" s="104"/>
      <c r="SVA996" s="103"/>
      <c r="SVM996" s="104"/>
      <c r="SVN996" s="103"/>
      <c r="SVZ996" s="104"/>
      <c r="SWA996" s="103"/>
      <c r="SWM996" s="104"/>
      <c r="SWN996" s="103"/>
      <c r="SWZ996" s="104"/>
      <c r="SXA996" s="103"/>
      <c r="SXM996" s="104"/>
      <c r="SXN996" s="103"/>
      <c r="SXZ996" s="104"/>
      <c r="SYA996" s="103"/>
      <c r="SYM996" s="104"/>
      <c r="SYN996" s="103"/>
      <c r="SYZ996" s="104"/>
      <c r="SZA996" s="103"/>
      <c r="SZM996" s="104"/>
      <c r="SZN996" s="103"/>
      <c r="SZZ996" s="104"/>
      <c r="TAA996" s="103"/>
      <c r="TAM996" s="104"/>
      <c r="TAN996" s="103"/>
      <c r="TAZ996" s="104"/>
      <c r="TBA996" s="103"/>
      <c r="TBM996" s="104"/>
      <c r="TBN996" s="103"/>
      <c r="TBZ996" s="104"/>
      <c r="TCA996" s="103"/>
      <c r="TCM996" s="104"/>
      <c r="TCN996" s="103"/>
      <c r="TCZ996" s="104"/>
      <c r="TDA996" s="103"/>
      <c r="TDM996" s="104"/>
      <c r="TDN996" s="103"/>
      <c r="TDZ996" s="104"/>
      <c r="TEA996" s="103"/>
      <c r="TEM996" s="104"/>
      <c r="TEN996" s="103"/>
      <c r="TEZ996" s="104"/>
      <c r="TFA996" s="103"/>
      <c r="TFM996" s="104"/>
      <c r="TFN996" s="103"/>
      <c r="TFZ996" s="104"/>
      <c r="TGA996" s="103"/>
      <c r="TGM996" s="104"/>
      <c r="TGN996" s="103"/>
      <c r="TGZ996" s="104"/>
      <c r="THA996" s="103"/>
      <c r="THM996" s="104"/>
      <c r="THN996" s="103"/>
      <c r="THZ996" s="104"/>
      <c r="TIA996" s="103"/>
      <c r="TIM996" s="104"/>
      <c r="TIN996" s="103"/>
      <c r="TIZ996" s="104"/>
      <c r="TJA996" s="103"/>
      <c r="TJM996" s="104"/>
      <c r="TJN996" s="103"/>
      <c r="TJZ996" s="104"/>
      <c r="TKA996" s="103"/>
      <c r="TKM996" s="104"/>
      <c r="TKN996" s="103"/>
      <c r="TKZ996" s="104"/>
      <c r="TLA996" s="103"/>
      <c r="TLM996" s="104"/>
      <c r="TLN996" s="103"/>
      <c r="TLZ996" s="104"/>
      <c r="TMA996" s="103"/>
      <c r="TMM996" s="104"/>
      <c r="TMN996" s="103"/>
      <c r="TMZ996" s="104"/>
      <c r="TNA996" s="103"/>
      <c r="TNM996" s="104"/>
      <c r="TNN996" s="103"/>
      <c r="TNZ996" s="104"/>
      <c r="TOA996" s="103"/>
      <c r="TOM996" s="104"/>
      <c r="TON996" s="103"/>
      <c r="TOZ996" s="104"/>
      <c r="TPA996" s="103"/>
      <c r="TPM996" s="104"/>
      <c r="TPN996" s="103"/>
      <c r="TPZ996" s="104"/>
      <c r="TQA996" s="103"/>
      <c r="TQM996" s="104"/>
      <c r="TQN996" s="103"/>
      <c r="TQZ996" s="104"/>
      <c r="TRA996" s="103"/>
      <c r="TRM996" s="104"/>
      <c r="TRN996" s="103"/>
      <c r="TRZ996" s="104"/>
      <c r="TSA996" s="103"/>
      <c r="TSM996" s="104"/>
      <c r="TSN996" s="103"/>
      <c r="TSZ996" s="104"/>
      <c r="TTA996" s="103"/>
      <c r="TTM996" s="104"/>
      <c r="TTN996" s="103"/>
      <c r="TTZ996" s="104"/>
      <c r="TUA996" s="103"/>
      <c r="TUM996" s="104"/>
      <c r="TUN996" s="103"/>
      <c r="TUZ996" s="104"/>
      <c r="TVA996" s="103"/>
      <c r="TVM996" s="104"/>
      <c r="TVN996" s="103"/>
      <c r="TVZ996" s="104"/>
      <c r="TWA996" s="103"/>
      <c r="TWM996" s="104"/>
      <c r="TWN996" s="103"/>
      <c r="TWZ996" s="104"/>
      <c r="TXA996" s="103"/>
      <c r="TXM996" s="104"/>
      <c r="TXN996" s="103"/>
      <c r="TXZ996" s="104"/>
      <c r="TYA996" s="103"/>
      <c r="TYM996" s="104"/>
      <c r="TYN996" s="103"/>
      <c r="TYZ996" s="104"/>
      <c r="TZA996" s="103"/>
      <c r="TZM996" s="104"/>
      <c r="TZN996" s="103"/>
      <c r="TZZ996" s="104"/>
      <c r="UAA996" s="103"/>
      <c r="UAM996" s="104"/>
      <c r="UAN996" s="103"/>
      <c r="UAZ996" s="104"/>
      <c r="UBA996" s="103"/>
      <c r="UBM996" s="104"/>
      <c r="UBN996" s="103"/>
      <c r="UBZ996" s="104"/>
      <c r="UCA996" s="103"/>
      <c r="UCM996" s="104"/>
      <c r="UCN996" s="103"/>
      <c r="UCZ996" s="104"/>
      <c r="UDA996" s="103"/>
      <c r="UDM996" s="104"/>
      <c r="UDN996" s="103"/>
      <c r="UDZ996" s="104"/>
      <c r="UEA996" s="103"/>
      <c r="UEM996" s="104"/>
      <c r="UEN996" s="103"/>
      <c r="UEZ996" s="104"/>
      <c r="UFA996" s="103"/>
      <c r="UFM996" s="104"/>
      <c r="UFN996" s="103"/>
      <c r="UFZ996" s="104"/>
      <c r="UGA996" s="103"/>
      <c r="UGM996" s="104"/>
      <c r="UGN996" s="103"/>
      <c r="UGZ996" s="104"/>
      <c r="UHA996" s="103"/>
      <c r="UHM996" s="104"/>
      <c r="UHN996" s="103"/>
      <c r="UHZ996" s="104"/>
      <c r="UIA996" s="103"/>
      <c r="UIM996" s="104"/>
      <c r="UIN996" s="103"/>
      <c r="UIZ996" s="104"/>
      <c r="UJA996" s="103"/>
      <c r="UJM996" s="104"/>
      <c r="UJN996" s="103"/>
      <c r="UJZ996" s="104"/>
      <c r="UKA996" s="103"/>
      <c r="UKM996" s="104"/>
      <c r="UKN996" s="103"/>
      <c r="UKZ996" s="104"/>
      <c r="ULA996" s="103"/>
      <c r="ULM996" s="104"/>
      <c r="ULN996" s="103"/>
      <c r="ULZ996" s="104"/>
      <c r="UMA996" s="103"/>
      <c r="UMM996" s="104"/>
      <c r="UMN996" s="103"/>
      <c r="UMZ996" s="104"/>
      <c r="UNA996" s="103"/>
      <c r="UNM996" s="104"/>
      <c r="UNN996" s="103"/>
      <c r="UNZ996" s="104"/>
      <c r="UOA996" s="103"/>
      <c r="UOM996" s="104"/>
      <c r="UON996" s="103"/>
      <c r="UOZ996" s="104"/>
      <c r="UPA996" s="103"/>
      <c r="UPM996" s="104"/>
      <c r="UPN996" s="103"/>
      <c r="UPZ996" s="104"/>
      <c r="UQA996" s="103"/>
      <c r="UQM996" s="104"/>
      <c r="UQN996" s="103"/>
      <c r="UQZ996" s="104"/>
      <c r="URA996" s="103"/>
      <c r="URM996" s="104"/>
      <c r="URN996" s="103"/>
      <c r="URZ996" s="104"/>
      <c r="USA996" s="103"/>
      <c r="USM996" s="104"/>
      <c r="USN996" s="103"/>
      <c r="USZ996" s="104"/>
      <c r="UTA996" s="103"/>
      <c r="UTM996" s="104"/>
      <c r="UTN996" s="103"/>
      <c r="UTZ996" s="104"/>
      <c r="UUA996" s="103"/>
      <c r="UUM996" s="104"/>
      <c r="UUN996" s="103"/>
      <c r="UUZ996" s="104"/>
      <c r="UVA996" s="103"/>
      <c r="UVM996" s="104"/>
      <c r="UVN996" s="103"/>
      <c r="UVZ996" s="104"/>
      <c r="UWA996" s="103"/>
      <c r="UWM996" s="104"/>
      <c r="UWN996" s="103"/>
      <c r="UWZ996" s="104"/>
      <c r="UXA996" s="103"/>
      <c r="UXM996" s="104"/>
      <c r="UXN996" s="103"/>
      <c r="UXZ996" s="104"/>
      <c r="UYA996" s="103"/>
      <c r="UYM996" s="104"/>
      <c r="UYN996" s="103"/>
      <c r="UYZ996" s="104"/>
      <c r="UZA996" s="103"/>
      <c r="UZM996" s="104"/>
      <c r="UZN996" s="103"/>
      <c r="UZZ996" s="104"/>
      <c r="VAA996" s="103"/>
      <c r="VAM996" s="104"/>
      <c r="VAN996" s="103"/>
      <c r="VAZ996" s="104"/>
      <c r="VBA996" s="103"/>
      <c r="VBM996" s="104"/>
      <c r="VBN996" s="103"/>
      <c r="VBZ996" s="104"/>
      <c r="VCA996" s="103"/>
      <c r="VCM996" s="104"/>
      <c r="VCN996" s="103"/>
      <c r="VCZ996" s="104"/>
      <c r="VDA996" s="103"/>
      <c r="VDM996" s="104"/>
      <c r="VDN996" s="103"/>
      <c r="VDZ996" s="104"/>
      <c r="VEA996" s="103"/>
      <c r="VEM996" s="104"/>
      <c r="VEN996" s="103"/>
      <c r="VEZ996" s="104"/>
      <c r="VFA996" s="103"/>
      <c r="VFM996" s="104"/>
      <c r="VFN996" s="103"/>
      <c r="VFZ996" s="104"/>
      <c r="VGA996" s="103"/>
      <c r="VGM996" s="104"/>
      <c r="VGN996" s="103"/>
      <c r="VGZ996" s="104"/>
      <c r="VHA996" s="103"/>
      <c r="VHM996" s="104"/>
      <c r="VHN996" s="103"/>
      <c r="VHZ996" s="104"/>
      <c r="VIA996" s="103"/>
      <c r="VIM996" s="104"/>
      <c r="VIN996" s="103"/>
      <c r="VIZ996" s="104"/>
      <c r="VJA996" s="103"/>
      <c r="VJM996" s="104"/>
      <c r="VJN996" s="103"/>
      <c r="VJZ996" s="104"/>
      <c r="VKA996" s="103"/>
      <c r="VKM996" s="104"/>
      <c r="VKN996" s="103"/>
      <c r="VKZ996" s="104"/>
      <c r="VLA996" s="103"/>
      <c r="VLM996" s="104"/>
      <c r="VLN996" s="103"/>
      <c r="VLZ996" s="104"/>
      <c r="VMA996" s="103"/>
      <c r="VMM996" s="104"/>
      <c r="VMN996" s="103"/>
      <c r="VMZ996" s="104"/>
      <c r="VNA996" s="103"/>
      <c r="VNM996" s="104"/>
      <c r="VNN996" s="103"/>
      <c r="VNZ996" s="104"/>
      <c r="VOA996" s="103"/>
      <c r="VOM996" s="104"/>
      <c r="VON996" s="103"/>
      <c r="VOZ996" s="104"/>
      <c r="VPA996" s="103"/>
      <c r="VPM996" s="104"/>
      <c r="VPN996" s="103"/>
      <c r="VPZ996" s="104"/>
      <c r="VQA996" s="103"/>
      <c r="VQM996" s="104"/>
      <c r="VQN996" s="103"/>
      <c r="VQZ996" s="104"/>
      <c r="VRA996" s="103"/>
      <c r="VRM996" s="104"/>
      <c r="VRN996" s="103"/>
      <c r="VRZ996" s="104"/>
      <c r="VSA996" s="103"/>
      <c r="VSM996" s="104"/>
      <c r="VSN996" s="103"/>
      <c r="VSZ996" s="104"/>
      <c r="VTA996" s="103"/>
      <c r="VTM996" s="104"/>
      <c r="VTN996" s="103"/>
      <c r="VTZ996" s="104"/>
      <c r="VUA996" s="103"/>
      <c r="VUM996" s="104"/>
      <c r="VUN996" s="103"/>
      <c r="VUZ996" s="104"/>
      <c r="VVA996" s="103"/>
      <c r="VVM996" s="104"/>
      <c r="VVN996" s="103"/>
      <c r="VVZ996" s="104"/>
      <c r="VWA996" s="103"/>
      <c r="VWM996" s="104"/>
      <c r="VWN996" s="103"/>
      <c r="VWZ996" s="104"/>
      <c r="VXA996" s="103"/>
      <c r="VXM996" s="104"/>
      <c r="VXN996" s="103"/>
      <c r="VXZ996" s="104"/>
      <c r="VYA996" s="103"/>
      <c r="VYM996" s="104"/>
      <c r="VYN996" s="103"/>
      <c r="VYZ996" s="104"/>
      <c r="VZA996" s="103"/>
      <c r="VZM996" s="104"/>
      <c r="VZN996" s="103"/>
      <c r="VZZ996" s="104"/>
      <c r="WAA996" s="103"/>
      <c r="WAM996" s="104"/>
      <c r="WAN996" s="103"/>
      <c r="WAZ996" s="104"/>
      <c r="WBA996" s="103"/>
      <c r="WBM996" s="104"/>
      <c r="WBN996" s="103"/>
      <c r="WBZ996" s="104"/>
      <c r="WCA996" s="103"/>
      <c r="WCM996" s="104"/>
      <c r="WCN996" s="103"/>
      <c r="WCZ996" s="104"/>
      <c r="WDA996" s="103"/>
      <c r="WDM996" s="104"/>
      <c r="WDN996" s="103"/>
      <c r="WDZ996" s="104"/>
      <c r="WEA996" s="103"/>
      <c r="WEM996" s="104"/>
      <c r="WEN996" s="103"/>
      <c r="WEZ996" s="104"/>
      <c r="WFA996" s="103"/>
      <c r="WFM996" s="104"/>
      <c r="WFN996" s="103"/>
      <c r="WFZ996" s="104"/>
      <c r="WGA996" s="103"/>
      <c r="WGM996" s="104"/>
      <c r="WGN996" s="103"/>
      <c r="WGZ996" s="104"/>
      <c r="WHA996" s="103"/>
      <c r="WHM996" s="104"/>
      <c r="WHN996" s="103"/>
      <c r="WHZ996" s="104"/>
      <c r="WIA996" s="103"/>
      <c r="WIM996" s="104"/>
      <c r="WIN996" s="103"/>
      <c r="WIZ996" s="104"/>
      <c r="WJA996" s="103"/>
      <c r="WJM996" s="104"/>
      <c r="WJN996" s="103"/>
      <c r="WJZ996" s="104"/>
      <c r="WKA996" s="103"/>
      <c r="WKM996" s="104"/>
      <c r="WKN996" s="103"/>
      <c r="WKZ996" s="104"/>
      <c r="WLA996" s="103"/>
      <c r="WLM996" s="104"/>
      <c r="WLN996" s="103"/>
      <c r="WLZ996" s="104"/>
      <c r="WMA996" s="103"/>
      <c r="WMM996" s="104"/>
      <c r="WMN996" s="103"/>
      <c r="WMZ996" s="104"/>
      <c r="WNA996" s="103"/>
      <c r="WNM996" s="104"/>
      <c r="WNN996" s="103"/>
      <c r="WNZ996" s="104"/>
      <c r="WOA996" s="103"/>
      <c r="WOM996" s="104"/>
      <c r="WON996" s="103"/>
      <c r="WOZ996" s="104"/>
      <c r="WPA996" s="103"/>
      <c r="WPM996" s="104"/>
      <c r="WPN996" s="103"/>
      <c r="WPZ996" s="104"/>
      <c r="WQA996" s="103"/>
      <c r="WQM996" s="104"/>
      <c r="WQN996" s="103"/>
      <c r="WQZ996" s="104"/>
      <c r="WRA996" s="103"/>
      <c r="WRM996" s="104"/>
      <c r="WRN996" s="103"/>
      <c r="WRZ996" s="104"/>
      <c r="WSA996" s="103"/>
      <c r="WSM996" s="104"/>
      <c r="WSN996" s="103"/>
      <c r="WSZ996" s="104"/>
      <c r="WTA996" s="103"/>
      <c r="WTM996" s="104"/>
      <c r="WTN996" s="103"/>
      <c r="WTZ996" s="104"/>
      <c r="WUA996" s="103"/>
      <c r="WUM996" s="104"/>
      <c r="WUN996" s="103"/>
      <c r="WUZ996" s="104"/>
      <c r="WVA996" s="103"/>
      <c r="WVM996" s="104"/>
      <c r="WVN996" s="103"/>
      <c r="WVZ996" s="104"/>
      <c r="WWA996" s="103"/>
      <c r="WWM996" s="104"/>
      <c r="WWN996" s="103"/>
      <c r="WWZ996" s="104"/>
      <c r="WXA996" s="103"/>
      <c r="WXM996" s="104"/>
      <c r="WXN996" s="103"/>
      <c r="WXZ996" s="104"/>
      <c r="WYA996" s="103"/>
      <c r="WYM996" s="104"/>
      <c r="WYN996" s="103"/>
      <c r="WYZ996" s="104"/>
      <c r="WZA996" s="103"/>
      <c r="WZM996" s="104"/>
      <c r="WZN996" s="103"/>
      <c r="WZZ996" s="104"/>
      <c r="XAA996" s="103"/>
      <c r="XAM996" s="104"/>
      <c r="XAN996" s="103"/>
      <c r="XAZ996" s="104"/>
      <c r="XBA996" s="103"/>
      <c r="XBM996" s="104"/>
      <c r="XBN996" s="103"/>
      <c r="XBZ996" s="104"/>
      <c r="XCA996" s="103"/>
      <c r="XCM996" s="104"/>
      <c r="XCN996" s="103"/>
      <c r="XCZ996" s="104"/>
      <c r="XDA996" s="103"/>
      <c r="XDM996" s="104"/>
      <c r="XDN996" s="103"/>
      <c r="XDZ996" s="104"/>
      <c r="XEA996" s="103"/>
      <c r="XEM996" s="104"/>
      <c r="XEN996" s="103"/>
      <c r="XEZ996" s="104"/>
      <c r="XFA996" s="103"/>
    </row>
    <row r="997" spans="1:1015 1027:2042 2054:3069 3081:4096 4108:5110 5122:6137 6149:7164 7176:8191 8203:9205 9217:10232 10244:11259 11271:12286 12298:14327 14339:15354 15366:16381">
      <c r="B997" s="137" t="s">
        <v>44</v>
      </c>
      <c r="C997" s="138">
        <f t="shared" ref="C997:H997" si="40">+SUM(C991:C996)</f>
        <v>213510</v>
      </c>
      <c r="D997" s="138">
        <f t="shared" si="40"/>
        <v>3640.4092071611253</v>
      </c>
      <c r="E997" s="138">
        <f t="shared" si="40"/>
        <v>45345</v>
      </c>
      <c r="F997" s="138">
        <f t="shared" si="40"/>
        <v>773.14578005115095</v>
      </c>
      <c r="G997" s="138">
        <f t="shared" si="40"/>
        <v>258855</v>
      </c>
      <c r="H997" s="138">
        <f t="shared" si="40"/>
        <v>4413.5549872122765</v>
      </c>
      <c r="M997" s="139"/>
      <c r="AM997" s="104"/>
      <c r="AN997" s="103"/>
      <c r="AZ997" s="104"/>
      <c r="BA997" s="103"/>
      <c r="BM997" s="104"/>
      <c r="BN997" s="103"/>
      <c r="BZ997" s="104"/>
      <c r="CA997" s="103"/>
      <c r="CM997" s="104"/>
      <c r="CN997" s="103"/>
      <c r="CZ997" s="104"/>
      <c r="DA997" s="103"/>
      <c r="DM997" s="104"/>
      <c r="DN997" s="103"/>
      <c r="DZ997" s="104"/>
      <c r="EA997" s="103"/>
      <c r="EM997" s="104"/>
      <c r="EN997" s="103"/>
      <c r="EZ997" s="104"/>
      <c r="FA997" s="103"/>
      <c r="FM997" s="104"/>
      <c r="FN997" s="103"/>
      <c r="FZ997" s="104"/>
      <c r="GA997" s="103"/>
      <c r="GM997" s="104"/>
      <c r="GN997" s="103"/>
      <c r="GZ997" s="104"/>
      <c r="HA997" s="103"/>
      <c r="HM997" s="104"/>
      <c r="HN997" s="103"/>
      <c r="HZ997" s="104"/>
      <c r="IA997" s="103"/>
      <c r="IM997" s="104"/>
      <c r="IN997" s="103"/>
      <c r="IZ997" s="104"/>
      <c r="JA997" s="103"/>
      <c r="JM997" s="104"/>
      <c r="JN997" s="103"/>
      <c r="JZ997" s="104"/>
      <c r="KA997" s="103"/>
      <c r="KM997" s="104"/>
      <c r="KN997" s="103"/>
      <c r="KZ997" s="104"/>
      <c r="LA997" s="103"/>
      <c r="LM997" s="104"/>
      <c r="LN997" s="103"/>
      <c r="LZ997" s="104"/>
      <c r="MA997" s="103"/>
      <c r="MM997" s="104"/>
      <c r="MN997" s="103"/>
      <c r="MZ997" s="104"/>
      <c r="NA997" s="103"/>
      <c r="NM997" s="104"/>
      <c r="NN997" s="103"/>
      <c r="NZ997" s="104"/>
      <c r="OA997" s="103"/>
      <c r="OM997" s="104"/>
      <c r="ON997" s="103"/>
      <c r="OZ997" s="104"/>
      <c r="PA997" s="103"/>
      <c r="PM997" s="104"/>
      <c r="PN997" s="103"/>
      <c r="PZ997" s="104"/>
      <c r="QA997" s="103"/>
      <c r="QM997" s="104"/>
      <c r="QN997" s="103"/>
      <c r="QZ997" s="104"/>
      <c r="RA997" s="103"/>
      <c r="RM997" s="104"/>
      <c r="RN997" s="103"/>
      <c r="RZ997" s="104"/>
      <c r="SA997" s="103"/>
      <c r="SM997" s="104"/>
      <c r="SN997" s="103"/>
      <c r="SZ997" s="104"/>
      <c r="TA997" s="103"/>
      <c r="TM997" s="104"/>
      <c r="TN997" s="103"/>
      <c r="TZ997" s="104"/>
      <c r="UA997" s="103"/>
      <c r="UM997" s="104"/>
      <c r="UN997" s="103"/>
      <c r="UZ997" s="104"/>
      <c r="VA997" s="103"/>
      <c r="VM997" s="104"/>
      <c r="VN997" s="103"/>
      <c r="VZ997" s="104"/>
      <c r="WA997" s="103"/>
      <c r="WM997" s="104"/>
      <c r="WN997" s="103"/>
      <c r="WZ997" s="104"/>
      <c r="XA997" s="103"/>
      <c r="XM997" s="104"/>
      <c r="XN997" s="103"/>
      <c r="XZ997" s="104"/>
      <c r="YA997" s="103"/>
      <c r="YM997" s="104"/>
      <c r="YN997" s="103"/>
      <c r="YZ997" s="104"/>
      <c r="ZA997" s="103"/>
      <c r="ZM997" s="104"/>
      <c r="ZN997" s="103"/>
      <c r="ZZ997" s="104"/>
      <c r="AAA997" s="103"/>
      <c r="AAM997" s="104"/>
      <c r="AAN997" s="103"/>
      <c r="AAZ997" s="104"/>
      <c r="ABA997" s="103"/>
      <c r="ABM997" s="104"/>
      <c r="ABN997" s="103"/>
      <c r="ABZ997" s="104"/>
      <c r="ACA997" s="103"/>
      <c r="ACM997" s="104"/>
      <c r="ACN997" s="103"/>
      <c r="ACZ997" s="104"/>
      <c r="ADA997" s="103"/>
      <c r="ADM997" s="104"/>
      <c r="ADN997" s="103"/>
      <c r="ADZ997" s="104"/>
      <c r="AEA997" s="103"/>
      <c r="AEM997" s="104"/>
      <c r="AEN997" s="103"/>
      <c r="AEZ997" s="104"/>
      <c r="AFA997" s="103"/>
      <c r="AFM997" s="104"/>
      <c r="AFN997" s="103"/>
      <c r="AFZ997" s="104"/>
      <c r="AGA997" s="103"/>
      <c r="AGM997" s="104"/>
      <c r="AGN997" s="103"/>
      <c r="AGZ997" s="104"/>
      <c r="AHA997" s="103"/>
      <c r="AHM997" s="104"/>
      <c r="AHN997" s="103"/>
      <c r="AHZ997" s="104"/>
      <c r="AIA997" s="103"/>
      <c r="AIM997" s="104"/>
      <c r="AIN997" s="103"/>
      <c r="AIZ997" s="104"/>
      <c r="AJA997" s="103"/>
      <c r="AJM997" s="104"/>
      <c r="AJN997" s="103"/>
      <c r="AJZ997" s="104"/>
      <c r="AKA997" s="103"/>
      <c r="AKM997" s="104"/>
      <c r="AKN997" s="103"/>
      <c r="AKZ997" s="104"/>
      <c r="ALA997" s="103"/>
      <c r="ALM997" s="104"/>
      <c r="ALN997" s="103"/>
      <c r="ALZ997" s="104"/>
      <c r="AMA997" s="103"/>
      <c r="AMM997" s="104"/>
      <c r="AMN997" s="103"/>
      <c r="AMZ997" s="104"/>
      <c r="ANA997" s="103"/>
      <c r="ANM997" s="104"/>
      <c r="ANN997" s="103"/>
      <c r="ANZ997" s="104"/>
      <c r="AOA997" s="103"/>
      <c r="AOM997" s="104"/>
      <c r="AON997" s="103"/>
      <c r="AOZ997" s="104"/>
      <c r="APA997" s="103"/>
      <c r="APM997" s="104"/>
      <c r="APN997" s="103"/>
      <c r="APZ997" s="104"/>
      <c r="AQA997" s="103"/>
      <c r="AQM997" s="104"/>
      <c r="AQN997" s="103"/>
      <c r="AQZ997" s="104"/>
      <c r="ARA997" s="103"/>
      <c r="ARM997" s="104"/>
      <c r="ARN997" s="103"/>
      <c r="ARZ997" s="104"/>
      <c r="ASA997" s="103"/>
      <c r="ASM997" s="104"/>
      <c r="ASN997" s="103"/>
      <c r="ASZ997" s="104"/>
      <c r="ATA997" s="103"/>
      <c r="ATM997" s="104"/>
      <c r="ATN997" s="103"/>
      <c r="ATZ997" s="104"/>
      <c r="AUA997" s="103"/>
      <c r="AUM997" s="104"/>
      <c r="AUN997" s="103"/>
      <c r="AUZ997" s="104"/>
      <c r="AVA997" s="103"/>
      <c r="AVM997" s="104"/>
      <c r="AVN997" s="103"/>
      <c r="AVZ997" s="104"/>
      <c r="AWA997" s="103"/>
      <c r="AWM997" s="104"/>
      <c r="AWN997" s="103"/>
      <c r="AWZ997" s="104"/>
      <c r="AXA997" s="103"/>
      <c r="AXM997" s="104"/>
      <c r="AXN997" s="103"/>
      <c r="AXZ997" s="104"/>
      <c r="AYA997" s="103"/>
      <c r="AYM997" s="104"/>
      <c r="AYN997" s="103"/>
      <c r="AYZ997" s="104"/>
      <c r="AZA997" s="103"/>
      <c r="AZM997" s="104"/>
      <c r="AZN997" s="103"/>
      <c r="AZZ997" s="104"/>
      <c r="BAA997" s="103"/>
      <c r="BAM997" s="104"/>
      <c r="BAN997" s="103"/>
      <c r="BAZ997" s="104"/>
      <c r="BBA997" s="103"/>
      <c r="BBM997" s="104"/>
      <c r="BBN997" s="103"/>
      <c r="BBZ997" s="104"/>
      <c r="BCA997" s="103"/>
      <c r="BCM997" s="104"/>
      <c r="BCN997" s="103"/>
      <c r="BCZ997" s="104"/>
      <c r="BDA997" s="103"/>
      <c r="BDM997" s="104"/>
      <c r="BDN997" s="103"/>
      <c r="BDZ997" s="104"/>
      <c r="BEA997" s="103"/>
      <c r="BEM997" s="104"/>
      <c r="BEN997" s="103"/>
      <c r="BEZ997" s="104"/>
      <c r="BFA997" s="103"/>
      <c r="BFM997" s="104"/>
      <c r="BFN997" s="103"/>
      <c r="BFZ997" s="104"/>
      <c r="BGA997" s="103"/>
      <c r="BGM997" s="104"/>
      <c r="BGN997" s="103"/>
      <c r="BGZ997" s="104"/>
      <c r="BHA997" s="103"/>
      <c r="BHM997" s="104"/>
      <c r="BHN997" s="103"/>
      <c r="BHZ997" s="104"/>
      <c r="BIA997" s="103"/>
      <c r="BIM997" s="104"/>
      <c r="BIN997" s="103"/>
      <c r="BIZ997" s="104"/>
      <c r="BJA997" s="103"/>
      <c r="BJM997" s="104"/>
      <c r="BJN997" s="103"/>
      <c r="BJZ997" s="104"/>
      <c r="BKA997" s="103"/>
      <c r="BKM997" s="104"/>
      <c r="BKN997" s="103"/>
      <c r="BKZ997" s="104"/>
      <c r="BLA997" s="103"/>
      <c r="BLM997" s="104"/>
      <c r="BLN997" s="103"/>
      <c r="BLZ997" s="104"/>
      <c r="BMA997" s="103"/>
      <c r="BMM997" s="104"/>
      <c r="BMN997" s="103"/>
      <c r="BMZ997" s="104"/>
      <c r="BNA997" s="103"/>
      <c r="BNM997" s="104"/>
      <c r="BNN997" s="103"/>
      <c r="BNZ997" s="104"/>
      <c r="BOA997" s="103"/>
      <c r="BOM997" s="104"/>
      <c r="BON997" s="103"/>
      <c r="BOZ997" s="104"/>
      <c r="BPA997" s="103"/>
      <c r="BPM997" s="104"/>
      <c r="BPN997" s="103"/>
      <c r="BPZ997" s="104"/>
      <c r="BQA997" s="103"/>
      <c r="BQM997" s="104"/>
      <c r="BQN997" s="103"/>
      <c r="BQZ997" s="104"/>
      <c r="BRA997" s="103"/>
      <c r="BRM997" s="104"/>
      <c r="BRN997" s="103"/>
      <c r="BRZ997" s="104"/>
      <c r="BSA997" s="103"/>
      <c r="BSM997" s="104"/>
      <c r="BSN997" s="103"/>
      <c r="BSZ997" s="104"/>
      <c r="BTA997" s="103"/>
      <c r="BTM997" s="104"/>
      <c r="BTN997" s="103"/>
      <c r="BTZ997" s="104"/>
      <c r="BUA997" s="103"/>
      <c r="BUM997" s="104"/>
      <c r="BUN997" s="103"/>
      <c r="BUZ997" s="104"/>
      <c r="BVA997" s="103"/>
      <c r="BVM997" s="104"/>
      <c r="BVN997" s="103"/>
      <c r="BVZ997" s="104"/>
      <c r="BWA997" s="103"/>
      <c r="BWM997" s="104"/>
      <c r="BWN997" s="103"/>
      <c r="BWZ997" s="104"/>
      <c r="BXA997" s="103"/>
      <c r="BXM997" s="104"/>
      <c r="BXN997" s="103"/>
      <c r="BXZ997" s="104"/>
      <c r="BYA997" s="103"/>
      <c r="BYM997" s="104"/>
      <c r="BYN997" s="103"/>
      <c r="BYZ997" s="104"/>
      <c r="BZA997" s="103"/>
      <c r="BZM997" s="104"/>
      <c r="BZN997" s="103"/>
      <c r="BZZ997" s="104"/>
      <c r="CAA997" s="103"/>
      <c r="CAM997" s="104"/>
      <c r="CAN997" s="103"/>
      <c r="CAZ997" s="104"/>
      <c r="CBA997" s="103"/>
      <c r="CBM997" s="104"/>
      <c r="CBN997" s="103"/>
      <c r="CBZ997" s="104"/>
      <c r="CCA997" s="103"/>
      <c r="CCM997" s="104"/>
      <c r="CCN997" s="103"/>
      <c r="CCZ997" s="104"/>
      <c r="CDA997" s="103"/>
      <c r="CDM997" s="104"/>
      <c r="CDN997" s="103"/>
      <c r="CDZ997" s="104"/>
      <c r="CEA997" s="103"/>
      <c r="CEM997" s="104"/>
      <c r="CEN997" s="103"/>
      <c r="CEZ997" s="104"/>
      <c r="CFA997" s="103"/>
      <c r="CFM997" s="104"/>
      <c r="CFN997" s="103"/>
      <c r="CFZ997" s="104"/>
      <c r="CGA997" s="103"/>
      <c r="CGM997" s="104"/>
      <c r="CGN997" s="103"/>
      <c r="CGZ997" s="104"/>
      <c r="CHA997" s="103"/>
      <c r="CHM997" s="104"/>
      <c r="CHN997" s="103"/>
      <c r="CHZ997" s="104"/>
      <c r="CIA997" s="103"/>
      <c r="CIM997" s="104"/>
      <c r="CIN997" s="103"/>
      <c r="CIZ997" s="104"/>
      <c r="CJA997" s="103"/>
      <c r="CJM997" s="104"/>
      <c r="CJN997" s="103"/>
      <c r="CJZ997" s="104"/>
      <c r="CKA997" s="103"/>
      <c r="CKM997" s="104"/>
      <c r="CKN997" s="103"/>
      <c r="CKZ997" s="104"/>
      <c r="CLA997" s="103"/>
      <c r="CLM997" s="104"/>
      <c r="CLN997" s="103"/>
      <c r="CLZ997" s="104"/>
      <c r="CMA997" s="103"/>
      <c r="CMM997" s="104"/>
      <c r="CMN997" s="103"/>
      <c r="CMZ997" s="104"/>
      <c r="CNA997" s="103"/>
      <c r="CNM997" s="104"/>
      <c r="CNN997" s="103"/>
      <c r="CNZ997" s="104"/>
      <c r="COA997" s="103"/>
      <c r="COM997" s="104"/>
      <c r="CON997" s="103"/>
      <c r="COZ997" s="104"/>
      <c r="CPA997" s="103"/>
      <c r="CPM997" s="104"/>
      <c r="CPN997" s="103"/>
      <c r="CPZ997" s="104"/>
      <c r="CQA997" s="103"/>
      <c r="CQM997" s="104"/>
      <c r="CQN997" s="103"/>
      <c r="CQZ997" s="104"/>
      <c r="CRA997" s="103"/>
      <c r="CRM997" s="104"/>
      <c r="CRN997" s="103"/>
      <c r="CRZ997" s="104"/>
      <c r="CSA997" s="103"/>
      <c r="CSM997" s="104"/>
      <c r="CSN997" s="103"/>
      <c r="CSZ997" s="104"/>
      <c r="CTA997" s="103"/>
      <c r="CTM997" s="104"/>
      <c r="CTN997" s="103"/>
      <c r="CTZ997" s="104"/>
      <c r="CUA997" s="103"/>
      <c r="CUM997" s="104"/>
      <c r="CUN997" s="103"/>
      <c r="CUZ997" s="104"/>
      <c r="CVA997" s="103"/>
      <c r="CVM997" s="104"/>
      <c r="CVN997" s="103"/>
      <c r="CVZ997" s="104"/>
      <c r="CWA997" s="103"/>
      <c r="CWM997" s="104"/>
      <c r="CWN997" s="103"/>
      <c r="CWZ997" s="104"/>
      <c r="CXA997" s="103"/>
      <c r="CXM997" s="104"/>
      <c r="CXN997" s="103"/>
      <c r="CXZ997" s="104"/>
      <c r="CYA997" s="103"/>
      <c r="CYM997" s="104"/>
      <c r="CYN997" s="103"/>
      <c r="CYZ997" s="104"/>
      <c r="CZA997" s="103"/>
      <c r="CZM997" s="104"/>
      <c r="CZN997" s="103"/>
      <c r="CZZ997" s="104"/>
      <c r="DAA997" s="103"/>
      <c r="DAM997" s="104"/>
      <c r="DAN997" s="103"/>
      <c r="DAZ997" s="104"/>
      <c r="DBA997" s="103"/>
      <c r="DBM997" s="104"/>
      <c r="DBN997" s="103"/>
      <c r="DBZ997" s="104"/>
      <c r="DCA997" s="103"/>
      <c r="DCM997" s="104"/>
      <c r="DCN997" s="103"/>
      <c r="DCZ997" s="104"/>
      <c r="DDA997" s="103"/>
      <c r="DDM997" s="104"/>
      <c r="DDN997" s="103"/>
      <c r="DDZ997" s="104"/>
      <c r="DEA997" s="103"/>
      <c r="DEM997" s="104"/>
      <c r="DEN997" s="103"/>
      <c r="DEZ997" s="104"/>
      <c r="DFA997" s="103"/>
      <c r="DFM997" s="104"/>
      <c r="DFN997" s="103"/>
      <c r="DFZ997" s="104"/>
      <c r="DGA997" s="103"/>
      <c r="DGM997" s="104"/>
      <c r="DGN997" s="103"/>
      <c r="DGZ997" s="104"/>
      <c r="DHA997" s="103"/>
      <c r="DHM997" s="104"/>
      <c r="DHN997" s="103"/>
      <c r="DHZ997" s="104"/>
      <c r="DIA997" s="103"/>
      <c r="DIM997" s="104"/>
      <c r="DIN997" s="103"/>
      <c r="DIZ997" s="104"/>
      <c r="DJA997" s="103"/>
      <c r="DJM997" s="104"/>
      <c r="DJN997" s="103"/>
      <c r="DJZ997" s="104"/>
      <c r="DKA997" s="103"/>
      <c r="DKM997" s="104"/>
      <c r="DKN997" s="103"/>
      <c r="DKZ997" s="104"/>
      <c r="DLA997" s="103"/>
      <c r="DLM997" s="104"/>
      <c r="DLN997" s="103"/>
      <c r="DLZ997" s="104"/>
      <c r="DMA997" s="103"/>
      <c r="DMM997" s="104"/>
      <c r="DMN997" s="103"/>
      <c r="DMZ997" s="104"/>
      <c r="DNA997" s="103"/>
      <c r="DNM997" s="104"/>
      <c r="DNN997" s="103"/>
      <c r="DNZ997" s="104"/>
      <c r="DOA997" s="103"/>
      <c r="DOM997" s="104"/>
      <c r="DON997" s="103"/>
      <c r="DOZ997" s="104"/>
      <c r="DPA997" s="103"/>
      <c r="DPM997" s="104"/>
      <c r="DPN997" s="103"/>
      <c r="DPZ997" s="104"/>
      <c r="DQA997" s="103"/>
      <c r="DQM997" s="104"/>
      <c r="DQN997" s="103"/>
      <c r="DQZ997" s="104"/>
      <c r="DRA997" s="103"/>
      <c r="DRM997" s="104"/>
      <c r="DRN997" s="103"/>
      <c r="DRZ997" s="104"/>
      <c r="DSA997" s="103"/>
      <c r="DSM997" s="104"/>
      <c r="DSN997" s="103"/>
      <c r="DSZ997" s="104"/>
      <c r="DTA997" s="103"/>
      <c r="DTM997" s="104"/>
      <c r="DTN997" s="103"/>
      <c r="DTZ997" s="104"/>
      <c r="DUA997" s="103"/>
      <c r="DUM997" s="104"/>
      <c r="DUN997" s="103"/>
      <c r="DUZ997" s="104"/>
      <c r="DVA997" s="103"/>
      <c r="DVM997" s="104"/>
      <c r="DVN997" s="103"/>
      <c r="DVZ997" s="104"/>
      <c r="DWA997" s="103"/>
      <c r="DWM997" s="104"/>
      <c r="DWN997" s="103"/>
      <c r="DWZ997" s="104"/>
      <c r="DXA997" s="103"/>
      <c r="DXM997" s="104"/>
      <c r="DXN997" s="103"/>
      <c r="DXZ997" s="104"/>
      <c r="DYA997" s="103"/>
      <c r="DYM997" s="104"/>
      <c r="DYN997" s="103"/>
      <c r="DYZ997" s="104"/>
      <c r="DZA997" s="103"/>
      <c r="DZM997" s="104"/>
      <c r="DZN997" s="103"/>
      <c r="DZZ997" s="104"/>
      <c r="EAA997" s="103"/>
      <c r="EAM997" s="104"/>
      <c r="EAN997" s="103"/>
      <c r="EAZ997" s="104"/>
      <c r="EBA997" s="103"/>
      <c r="EBM997" s="104"/>
      <c r="EBN997" s="103"/>
      <c r="EBZ997" s="104"/>
      <c r="ECA997" s="103"/>
      <c r="ECM997" s="104"/>
      <c r="ECN997" s="103"/>
      <c r="ECZ997" s="104"/>
      <c r="EDA997" s="103"/>
      <c r="EDM997" s="104"/>
      <c r="EDN997" s="103"/>
      <c r="EDZ997" s="104"/>
      <c r="EEA997" s="103"/>
      <c r="EEM997" s="104"/>
      <c r="EEN997" s="103"/>
      <c r="EEZ997" s="104"/>
      <c r="EFA997" s="103"/>
      <c r="EFM997" s="104"/>
      <c r="EFN997" s="103"/>
      <c r="EFZ997" s="104"/>
      <c r="EGA997" s="103"/>
      <c r="EGM997" s="104"/>
      <c r="EGN997" s="103"/>
      <c r="EGZ997" s="104"/>
      <c r="EHA997" s="103"/>
      <c r="EHM997" s="104"/>
      <c r="EHN997" s="103"/>
      <c r="EHZ997" s="104"/>
      <c r="EIA997" s="103"/>
      <c r="EIM997" s="104"/>
      <c r="EIN997" s="103"/>
      <c r="EIZ997" s="104"/>
      <c r="EJA997" s="103"/>
      <c r="EJM997" s="104"/>
      <c r="EJN997" s="103"/>
      <c r="EJZ997" s="104"/>
      <c r="EKA997" s="103"/>
      <c r="EKM997" s="104"/>
      <c r="EKN997" s="103"/>
      <c r="EKZ997" s="104"/>
      <c r="ELA997" s="103"/>
      <c r="ELM997" s="104"/>
      <c r="ELN997" s="103"/>
      <c r="ELZ997" s="104"/>
      <c r="EMA997" s="103"/>
      <c r="EMM997" s="104"/>
      <c r="EMN997" s="103"/>
      <c r="EMZ997" s="104"/>
      <c r="ENA997" s="103"/>
      <c r="ENM997" s="104"/>
      <c r="ENN997" s="103"/>
      <c r="ENZ997" s="104"/>
      <c r="EOA997" s="103"/>
      <c r="EOM997" s="104"/>
      <c r="EON997" s="103"/>
      <c r="EOZ997" s="104"/>
      <c r="EPA997" s="103"/>
      <c r="EPM997" s="104"/>
      <c r="EPN997" s="103"/>
      <c r="EPZ997" s="104"/>
      <c r="EQA997" s="103"/>
      <c r="EQM997" s="104"/>
      <c r="EQN997" s="103"/>
      <c r="EQZ997" s="104"/>
      <c r="ERA997" s="103"/>
      <c r="ERM997" s="104"/>
      <c r="ERN997" s="103"/>
      <c r="ERZ997" s="104"/>
      <c r="ESA997" s="103"/>
      <c r="ESM997" s="104"/>
      <c r="ESN997" s="103"/>
      <c r="ESZ997" s="104"/>
      <c r="ETA997" s="103"/>
      <c r="ETM997" s="104"/>
      <c r="ETN997" s="103"/>
      <c r="ETZ997" s="104"/>
      <c r="EUA997" s="103"/>
      <c r="EUM997" s="104"/>
      <c r="EUN997" s="103"/>
      <c r="EUZ997" s="104"/>
      <c r="EVA997" s="103"/>
      <c r="EVM997" s="104"/>
      <c r="EVN997" s="103"/>
      <c r="EVZ997" s="104"/>
      <c r="EWA997" s="103"/>
      <c r="EWM997" s="104"/>
      <c r="EWN997" s="103"/>
      <c r="EWZ997" s="104"/>
      <c r="EXA997" s="103"/>
      <c r="EXM997" s="104"/>
      <c r="EXN997" s="103"/>
      <c r="EXZ997" s="104"/>
      <c r="EYA997" s="103"/>
      <c r="EYM997" s="104"/>
      <c r="EYN997" s="103"/>
      <c r="EYZ997" s="104"/>
      <c r="EZA997" s="103"/>
      <c r="EZM997" s="104"/>
      <c r="EZN997" s="103"/>
      <c r="EZZ997" s="104"/>
      <c r="FAA997" s="103"/>
      <c r="FAM997" s="104"/>
      <c r="FAN997" s="103"/>
      <c r="FAZ997" s="104"/>
      <c r="FBA997" s="103"/>
      <c r="FBM997" s="104"/>
      <c r="FBN997" s="103"/>
      <c r="FBZ997" s="104"/>
      <c r="FCA997" s="103"/>
      <c r="FCM997" s="104"/>
      <c r="FCN997" s="103"/>
      <c r="FCZ997" s="104"/>
      <c r="FDA997" s="103"/>
      <c r="FDM997" s="104"/>
      <c r="FDN997" s="103"/>
      <c r="FDZ997" s="104"/>
      <c r="FEA997" s="103"/>
      <c r="FEM997" s="104"/>
      <c r="FEN997" s="103"/>
      <c r="FEZ997" s="104"/>
      <c r="FFA997" s="103"/>
      <c r="FFM997" s="104"/>
      <c r="FFN997" s="103"/>
      <c r="FFZ997" s="104"/>
      <c r="FGA997" s="103"/>
      <c r="FGM997" s="104"/>
      <c r="FGN997" s="103"/>
      <c r="FGZ997" s="104"/>
      <c r="FHA997" s="103"/>
      <c r="FHM997" s="104"/>
      <c r="FHN997" s="103"/>
      <c r="FHZ997" s="104"/>
      <c r="FIA997" s="103"/>
      <c r="FIM997" s="104"/>
      <c r="FIN997" s="103"/>
      <c r="FIZ997" s="104"/>
      <c r="FJA997" s="103"/>
      <c r="FJM997" s="104"/>
      <c r="FJN997" s="103"/>
      <c r="FJZ997" s="104"/>
      <c r="FKA997" s="103"/>
      <c r="FKM997" s="104"/>
      <c r="FKN997" s="103"/>
      <c r="FKZ997" s="104"/>
      <c r="FLA997" s="103"/>
      <c r="FLM997" s="104"/>
      <c r="FLN997" s="103"/>
      <c r="FLZ997" s="104"/>
      <c r="FMA997" s="103"/>
      <c r="FMM997" s="104"/>
      <c r="FMN997" s="103"/>
      <c r="FMZ997" s="104"/>
      <c r="FNA997" s="103"/>
      <c r="FNM997" s="104"/>
      <c r="FNN997" s="103"/>
      <c r="FNZ997" s="104"/>
      <c r="FOA997" s="103"/>
      <c r="FOM997" s="104"/>
      <c r="FON997" s="103"/>
      <c r="FOZ997" s="104"/>
      <c r="FPA997" s="103"/>
      <c r="FPM997" s="104"/>
      <c r="FPN997" s="103"/>
      <c r="FPZ997" s="104"/>
      <c r="FQA997" s="103"/>
      <c r="FQM997" s="104"/>
      <c r="FQN997" s="103"/>
      <c r="FQZ997" s="104"/>
      <c r="FRA997" s="103"/>
      <c r="FRM997" s="104"/>
      <c r="FRN997" s="103"/>
      <c r="FRZ997" s="104"/>
      <c r="FSA997" s="103"/>
      <c r="FSM997" s="104"/>
      <c r="FSN997" s="103"/>
      <c r="FSZ997" s="104"/>
      <c r="FTA997" s="103"/>
      <c r="FTM997" s="104"/>
      <c r="FTN997" s="103"/>
      <c r="FTZ997" s="104"/>
      <c r="FUA997" s="103"/>
      <c r="FUM997" s="104"/>
      <c r="FUN997" s="103"/>
      <c r="FUZ997" s="104"/>
      <c r="FVA997" s="103"/>
      <c r="FVM997" s="104"/>
      <c r="FVN997" s="103"/>
      <c r="FVZ997" s="104"/>
      <c r="FWA997" s="103"/>
      <c r="FWM997" s="104"/>
      <c r="FWN997" s="103"/>
      <c r="FWZ997" s="104"/>
      <c r="FXA997" s="103"/>
      <c r="FXM997" s="104"/>
      <c r="FXN997" s="103"/>
      <c r="FXZ997" s="104"/>
      <c r="FYA997" s="103"/>
      <c r="FYM997" s="104"/>
      <c r="FYN997" s="103"/>
      <c r="FYZ997" s="104"/>
      <c r="FZA997" s="103"/>
      <c r="FZM997" s="104"/>
      <c r="FZN997" s="103"/>
      <c r="FZZ997" s="104"/>
      <c r="GAA997" s="103"/>
      <c r="GAM997" s="104"/>
      <c r="GAN997" s="103"/>
      <c r="GAZ997" s="104"/>
      <c r="GBA997" s="103"/>
      <c r="GBM997" s="104"/>
      <c r="GBN997" s="103"/>
      <c r="GBZ997" s="104"/>
      <c r="GCA997" s="103"/>
      <c r="GCM997" s="104"/>
      <c r="GCN997" s="103"/>
      <c r="GCZ997" s="104"/>
      <c r="GDA997" s="103"/>
      <c r="GDM997" s="104"/>
      <c r="GDN997" s="103"/>
      <c r="GDZ997" s="104"/>
      <c r="GEA997" s="103"/>
      <c r="GEM997" s="104"/>
      <c r="GEN997" s="103"/>
      <c r="GEZ997" s="104"/>
      <c r="GFA997" s="103"/>
      <c r="GFM997" s="104"/>
      <c r="GFN997" s="103"/>
      <c r="GFZ997" s="104"/>
      <c r="GGA997" s="103"/>
      <c r="GGM997" s="104"/>
      <c r="GGN997" s="103"/>
      <c r="GGZ997" s="104"/>
      <c r="GHA997" s="103"/>
      <c r="GHM997" s="104"/>
      <c r="GHN997" s="103"/>
      <c r="GHZ997" s="104"/>
      <c r="GIA997" s="103"/>
      <c r="GIM997" s="104"/>
      <c r="GIN997" s="103"/>
      <c r="GIZ997" s="104"/>
      <c r="GJA997" s="103"/>
      <c r="GJM997" s="104"/>
      <c r="GJN997" s="103"/>
      <c r="GJZ997" s="104"/>
      <c r="GKA997" s="103"/>
      <c r="GKM997" s="104"/>
      <c r="GKN997" s="103"/>
      <c r="GKZ997" s="104"/>
      <c r="GLA997" s="103"/>
      <c r="GLM997" s="104"/>
      <c r="GLN997" s="103"/>
      <c r="GLZ997" s="104"/>
      <c r="GMA997" s="103"/>
      <c r="GMM997" s="104"/>
      <c r="GMN997" s="103"/>
      <c r="GMZ997" s="104"/>
      <c r="GNA997" s="103"/>
      <c r="GNM997" s="104"/>
      <c r="GNN997" s="103"/>
      <c r="GNZ997" s="104"/>
      <c r="GOA997" s="103"/>
      <c r="GOM997" s="104"/>
      <c r="GON997" s="103"/>
      <c r="GOZ997" s="104"/>
      <c r="GPA997" s="103"/>
      <c r="GPM997" s="104"/>
      <c r="GPN997" s="103"/>
      <c r="GPZ997" s="104"/>
      <c r="GQA997" s="103"/>
      <c r="GQM997" s="104"/>
      <c r="GQN997" s="103"/>
      <c r="GQZ997" s="104"/>
      <c r="GRA997" s="103"/>
      <c r="GRM997" s="104"/>
      <c r="GRN997" s="103"/>
      <c r="GRZ997" s="104"/>
      <c r="GSA997" s="103"/>
      <c r="GSM997" s="104"/>
      <c r="GSN997" s="103"/>
      <c r="GSZ997" s="104"/>
      <c r="GTA997" s="103"/>
      <c r="GTM997" s="104"/>
      <c r="GTN997" s="103"/>
      <c r="GTZ997" s="104"/>
      <c r="GUA997" s="103"/>
      <c r="GUM997" s="104"/>
      <c r="GUN997" s="103"/>
      <c r="GUZ997" s="104"/>
      <c r="GVA997" s="103"/>
      <c r="GVM997" s="104"/>
      <c r="GVN997" s="103"/>
      <c r="GVZ997" s="104"/>
      <c r="GWA997" s="103"/>
      <c r="GWM997" s="104"/>
      <c r="GWN997" s="103"/>
      <c r="GWZ997" s="104"/>
      <c r="GXA997" s="103"/>
      <c r="GXM997" s="104"/>
      <c r="GXN997" s="103"/>
      <c r="GXZ997" s="104"/>
      <c r="GYA997" s="103"/>
      <c r="GYM997" s="104"/>
      <c r="GYN997" s="103"/>
      <c r="GYZ997" s="104"/>
      <c r="GZA997" s="103"/>
      <c r="GZM997" s="104"/>
      <c r="GZN997" s="103"/>
      <c r="GZZ997" s="104"/>
      <c r="HAA997" s="103"/>
      <c r="HAM997" s="104"/>
      <c r="HAN997" s="103"/>
      <c r="HAZ997" s="104"/>
      <c r="HBA997" s="103"/>
      <c r="HBM997" s="104"/>
      <c r="HBN997" s="103"/>
      <c r="HBZ997" s="104"/>
      <c r="HCA997" s="103"/>
      <c r="HCM997" s="104"/>
      <c r="HCN997" s="103"/>
      <c r="HCZ997" s="104"/>
      <c r="HDA997" s="103"/>
      <c r="HDM997" s="104"/>
      <c r="HDN997" s="103"/>
      <c r="HDZ997" s="104"/>
      <c r="HEA997" s="103"/>
      <c r="HEM997" s="104"/>
      <c r="HEN997" s="103"/>
      <c r="HEZ997" s="104"/>
      <c r="HFA997" s="103"/>
      <c r="HFM997" s="104"/>
      <c r="HFN997" s="103"/>
      <c r="HFZ997" s="104"/>
      <c r="HGA997" s="103"/>
      <c r="HGM997" s="104"/>
      <c r="HGN997" s="103"/>
      <c r="HGZ997" s="104"/>
      <c r="HHA997" s="103"/>
      <c r="HHM997" s="104"/>
      <c r="HHN997" s="103"/>
      <c r="HHZ997" s="104"/>
      <c r="HIA997" s="103"/>
      <c r="HIM997" s="104"/>
      <c r="HIN997" s="103"/>
      <c r="HIZ997" s="104"/>
      <c r="HJA997" s="103"/>
      <c r="HJM997" s="104"/>
      <c r="HJN997" s="103"/>
      <c r="HJZ997" s="104"/>
      <c r="HKA997" s="103"/>
      <c r="HKM997" s="104"/>
      <c r="HKN997" s="103"/>
      <c r="HKZ997" s="104"/>
      <c r="HLA997" s="103"/>
      <c r="HLM997" s="104"/>
      <c r="HLN997" s="103"/>
      <c r="HLZ997" s="104"/>
      <c r="HMA997" s="103"/>
      <c r="HMM997" s="104"/>
      <c r="HMN997" s="103"/>
      <c r="HMZ997" s="104"/>
      <c r="HNA997" s="103"/>
      <c r="HNM997" s="104"/>
      <c r="HNN997" s="103"/>
      <c r="HNZ997" s="104"/>
      <c r="HOA997" s="103"/>
      <c r="HOM997" s="104"/>
      <c r="HON997" s="103"/>
      <c r="HOZ997" s="104"/>
      <c r="HPA997" s="103"/>
      <c r="HPM997" s="104"/>
      <c r="HPN997" s="103"/>
      <c r="HPZ997" s="104"/>
      <c r="HQA997" s="103"/>
      <c r="HQM997" s="104"/>
      <c r="HQN997" s="103"/>
      <c r="HQZ997" s="104"/>
      <c r="HRA997" s="103"/>
      <c r="HRM997" s="104"/>
      <c r="HRN997" s="103"/>
      <c r="HRZ997" s="104"/>
      <c r="HSA997" s="103"/>
      <c r="HSM997" s="104"/>
      <c r="HSN997" s="103"/>
      <c r="HSZ997" s="104"/>
      <c r="HTA997" s="103"/>
      <c r="HTM997" s="104"/>
      <c r="HTN997" s="103"/>
      <c r="HTZ997" s="104"/>
      <c r="HUA997" s="103"/>
      <c r="HUM997" s="104"/>
      <c r="HUN997" s="103"/>
      <c r="HUZ997" s="104"/>
      <c r="HVA997" s="103"/>
      <c r="HVM997" s="104"/>
      <c r="HVN997" s="103"/>
      <c r="HVZ997" s="104"/>
      <c r="HWA997" s="103"/>
      <c r="HWM997" s="104"/>
      <c r="HWN997" s="103"/>
      <c r="HWZ997" s="104"/>
      <c r="HXA997" s="103"/>
      <c r="HXM997" s="104"/>
      <c r="HXN997" s="103"/>
      <c r="HXZ997" s="104"/>
      <c r="HYA997" s="103"/>
      <c r="HYM997" s="104"/>
      <c r="HYN997" s="103"/>
      <c r="HYZ997" s="104"/>
      <c r="HZA997" s="103"/>
      <c r="HZM997" s="104"/>
      <c r="HZN997" s="103"/>
      <c r="HZZ997" s="104"/>
      <c r="IAA997" s="103"/>
      <c r="IAM997" s="104"/>
      <c r="IAN997" s="103"/>
      <c r="IAZ997" s="104"/>
      <c r="IBA997" s="103"/>
      <c r="IBM997" s="104"/>
      <c r="IBN997" s="103"/>
      <c r="IBZ997" s="104"/>
      <c r="ICA997" s="103"/>
      <c r="ICM997" s="104"/>
      <c r="ICN997" s="103"/>
      <c r="ICZ997" s="104"/>
      <c r="IDA997" s="103"/>
      <c r="IDM997" s="104"/>
      <c r="IDN997" s="103"/>
      <c r="IDZ997" s="104"/>
      <c r="IEA997" s="103"/>
      <c r="IEM997" s="104"/>
      <c r="IEN997" s="103"/>
      <c r="IEZ997" s="104"/>
      <c r="IFA997" s="103"/>
      <c r="IFM997" s="104"/>
      <c r="IFN997" s="103"/>
      <c r="IFZ997" s="104"/>
      <c r="IGA997" s="103"/>
      <c r="IGM997" s="104"/>
      <c r="IGN997" s="103"/>
      <c r="IGZ997" s="104"/>
      <c r="IHA997" s="103"/>
      <c r="IHM997" s="104"/>
      <c r="IHN997" s="103"/>
      <c r="IHZ997" s="104"/>
      <c r="IIA997" s="103"/>
      <c r="IIM997" s="104"/>
      <c r="IIN997" s="103"/>
      <c r="IIZ997" s="104"/>
      <c r="IJA997" s="103"/>
      <c r="IJM997" s="104"/>
      <c r="IJN997" s="103"/>
      <c r="IJZ997" s="104"/>
      <c r="IKA997" s="103"/>
      <c r="IKM997" s="104"/>
      <c r="IKN997" s="103"/>
      <c r="IKZ997" s="104"/>
      <c r="ILA997" s="103"/>
      <c r="ILM997" s="104"/>
      <c r="ILN997" s="103"/>
      <c r="ILZ997" s="104"/>
      <c r="IMA997" s="103"/>
      <c r="IMM997" s="104"/>
      <c r="IMN997" s="103"/>
      <c r="IMZ997" s="104"/>
      <c r="INA997" s="103"/>
      <c r="INM997" s="104"/>
      <c r="INN997" s="103"/>
      <c r="INZ997" s="104"/>
      <c r="IOA997" s="103"/>
      <c r="IOM997" s="104"/>
      <c r="ION997" s="103"/>
      <c r="IOZ997" s="104"/>
      <c r="IPA997" s="103"/>
      <c r="IPM997" s="104"/>
      <c r="IPN997" s="103"/>
      <c r="IPZ997" s="104"/>
      <c r="IQA997" s="103"/>
      <c r="IQM997" s="104"/>
      <c r="IQN997" s="103"/>
      <c r="IQZ997" s="104"/>
      <c r="IRA997" s="103"/>
      <c r="IRM997" s="104"/>
      <c r="IRN997" s="103"/>
      <c r="IRZ997" s="104"/>
      <c r="ISA997" s="103"/>
      <c r="ISM997" s="104"/>
      <c r="ISN997" s="103"/>
      <c r="ISZ997" s="104"/>
      <c r="ITA997" s="103"/>
      <c r="ITM997" s="104"/>
      <c r="ITN997" s="103"/>
      <c r="ITZ997" s="104"/>
      <c r="IUA997" s="103"/>
      <c r="IUM997" s="104"/>
      <c r="IUN997" s="103"/>
      <c r="IUZ997" s="104"/>
      <c r="IVA997" s="103"/>
      <c r="IVM997" s="104"/>
      <c r="IVN997" s="103"/>
      <c r="IVZ997" s="104"/>
      <c r="IWA997" s="103"/>
      <c r="IWM997" s="104"/>
      <c r="IWN997" s="103"/>
      <c r="IWZ997" s="104"/>
      <c r="IXA997" s="103"/>
      <c r="IXM997" s="104"/>
      <c r="IXN997" s="103"/>
      <c r="IXZ997" s="104"/>
      <c r="IYA997" s="103"/>
      <c r="IYM997" s="104"/>
      <c r="IYN997" s="103"/>
      <c r="IYZ997" s="104"/>
      <c r="IZA997" s="103"/>
      <c r="IZM997" s="104"/>
      <c r="IZN997" s="103"/>
      <c r="IZZ997" s="104"/>
      <c r="JAA997" s="103"/>
      <c r="JAM997" s="104"/>
      <c r="JAN997" s="103"/>
      <c r="JAZ997" s="104"/>
      <c r="JBA997" s="103"/>
      <c r="JBM997" s="104"/>
      <c r="JBN997" s="103"/>
      <c r="JBZ997" s="104"/>
      <c r="JCA997" s="103"/>
      <c r="JCM997" s="104"/>
      <c r="JCN997" s="103"/>
      <c r="JCZ997" s="104"/>
      <c r="JDA997" s="103"/>
      <c r="JDM997" s="104"/>
      <c r="JDN997" s="103"/>
      <c r="JDZ997" s="104"/>
      <c r="JEA997" s="103"/>
      <c r="JEM997" s="104"/>
      <c r="JEN997" s="103"/>
      <c r="JEZ997" s="104"/>
      <c r="JFA997" s="103"/>
      <c r="JFM997" s="104"/>
      <c r="JFN997" s="103"/>
      <c r="JFZ997" s="104"/>
      <c r="JGA997" s="103"/>
      <c r="JGM997" s="104"/>
      <c r="JGN997" s="103"/>
      <c r="JGZ997" s="104"/>
      <c r="JHA997" s="103"/>
      <c r="JHM997" s="104"/>
      <c r="JHN997" s="103"/>
      <c r="JHZ997" s="104"/>
      <c r="JIA997" s="103"/>
      <c r="JIM997" s="104"/>
      <c r="JIN997" s="103"/>
      <c r="JIZ997" s="104"/>
      <c r="JJA997" s="103"/>
      <c r="JJM997" s="104"/>
      <c r="JJN997" s="103"/>
      <c r="JJZ997" s="104"/>
      <c r="JKA997" s="103"/>
      <c r="JKM997" s="104"/>
      <c r="JKN997" s="103"/>
      <c r="JKZ997" s="104"/>
      <c r="JLA997" s="103"/>
      <c r="JLM997" s="104"/>
      <c r="JLN997" s="103"/>
      <c r="JLZ997" s="104"/>
      <c r="JMA997" s="103"/>
      <c r="JMM997" s="104"/>
      <c r="JMN997" s="103"/>
      <c r="JMZ997" s="104"/>
      <c r="JNA997" s="103"/>
      <c r="JNM997" s="104"/>
      <c r="JNN997" s="103"/>
      <c r="JNZ997" s="104"/>
      <c r="JOA997" s="103"/>
      <c r="JOM997" s="104"/>
      <c r="JON997" s="103"/>
      <c r="JOZ997" s="104"/>
      <c r="JPA997" s="103"/>
      <c r="JPM997" s="104"/>
      <c r="JPN997" s="103"/>
      <c r="JPZ997" s="104"/>
      <c r="JQA997" s="103"/>
      <c r="JQM997" s="104"/>
      <c r="JQN997" s="103"/>
      <c r="JQZ997" s="104"/>
      <c r="JRA997" s="103"/>
      <c r="JRM997" s="104"/>
      <c r="JRN997" s="103"/>
      <c r="JRZ997" s="104"/>
      <c r="JSA997" s="103"/>
      <c r="JSM997" s="104"/>
      <c r="JSN997" s="103"/>
      <c r="JSZ997" s="104"/>
      <c r="JTA997" s="103"/>
      <c r="JTM997" s="104"/>
      <c r="JTN997" s="103"/>
      <c r="JTZ997" s="104"/>
      <c r="JUA997" s="103"/>
      <c r="JUM997" s="104"/>
      <c r="JUN997" s="103"/>
      <c r="JUZ997" s="104"/>
      <c r="JVA997" s="103"/>
      <c r="JVM997" s="104"/>
      <c r="JVN997" s="103"/>
      <c r="JVZ997" s="104"/>
      <c r="JWA997" s="103"/>
      <c r="JWM997" s="104"/>
      <c r="JWN997" s="103"/>
      <c r="JWZ997" s="104"/>
      <c r="JXA997" s="103"/>
      <c r="JXM997" s="104"/>
      <c r="JXN997" s="103"/>
      <c r="JXZ997" s="104"/>
      <c r="JYA997" s="103"/>
      <c r="JYM997" s="104"/>
      <c r="JYN997" s="103"/>
      <c r="JYZ997" s="104"/>
      <c r="JZA997" s="103"/>
      <c r="JZM997" s="104"/>
      <c r="JZN997" s="103"/>
      <c r="JZZ997" s="104"/>
      <c r="KAA997" s="103"/>
      <c r="KAM997" s="104"/>
      <c r="KAN997" s="103"/>
      <c r="KAZ997" s="104"/>
      <c r="KBA997" s="103"/>
      <c r="KBM997" s="104"/>
      <c r="KBN997" s="103"/>
      <c r="KBZ997" s="104"/>
      <c r="KCA997" s="103"/>
      <c r="KCM997" s="104"/>
      <c r="KCN997" s="103"/>
      <c r="KCZ997" s="104"/>
      <c r="KDA997" s="103"/>
      <c r="KDM997" s="104"/>
      <c r="KDN997" s="103"/>
      <c r="KDZ997" s="104"/>
      <c r="KEA997" s="103"/>
      <c r="KEM997" s="104"/>
      <c r="KEN997" s="103"/>
      <c r="KEZ997" s="104"/>
      <c r="KFA997" s="103"/>
      <c r="KFM997" s="104"/>
      <c r="KFN997" s="103"/>
      <c r="KFZ997" s="104"/>
      <c r="KGA997" s="103"/>
      <c r="KGM997" s="104"/>
      <c r="KGN997" s="103"/>
      <c r="KGZ997" s="104"/>
      <c r="KHA997" s="103"/>
      <c r="KHM997" s="104"/>
      <c r="KHN997" s="103"/>
      <c r="KHZ997" s="104"/>
      <c r="KIA997" s="103"/>
      <c r="KIM997" s="104"/>
      <c r="KIN997" s="103"/>
      <c r="KIZ997" s="104"/>
      <c r="KJA997" s="103"/>
      <c r="KJM997" s="104"/>
      <c r="KJN997" s="103"/>
      <c r="KJZ997" s="104"/>
      <c r="KKA997" s="103"/>
      <c r="KKM997" s="104"/>
      <c r="KKN997" s="103"/>
      <c r="KKZ997" s="104"/>
      <c r="KLA997" s="103"/>
      <c r="KLM997" s="104"/>
      <c r="KLN997" s="103"/>
      <c r="KLZ997" s="104"/>
      <c r="KMA997" s="103"/>
      <c r="KMM997" s="104"/>
      <c r="KMN997" s="103"/>
      <c r="KMZ997" s="104"/>
      <c r="KNA997" s="103"/>
      <c r="KNM997" s="104"/>
      <c r="KNN997" s="103"/>
      <c r="KNZ997" s="104"/>
      <c r="KOA997" s="103"/>
      <c r="KOM997" s="104"/>
      <c r="KON997" s="103"/>
      <c r="KOZ997" s="104"/>
      <c r="KPA997" s="103"/>
      <c r="KPM997" s="104"/>
      <c r="KPN997" s="103"/>
      <c r="KPZ997" s="104"/>
      <c r="KQA997" s="103"/>
      <c r="KQM997" s="104"/>
      <c r="KQN997" s="103"/>
      <c r="KQZ997" s="104"/>
      <c r="KRA997" s="103"/>
      <c r="KRM997" s="104"/>
      <c r="KRN997" s="103"/>
      <c r="KRZ997" s="104"/>
      <c r="KSA997" s="103"/>
      <c r="KSM997" s="104"/>
      <c r="KSN997" s="103"/>
      <c r="KSZ997" s="104"/>
      <c r="KTA997" s="103"/>
      <c r="KTM997" s="104"/>
      <c r="KTN997" s="103"/>
      <c r="KTZ997" s="104"/>
      <c r="KUA997" s="103"/>
      <c r="KUM997" s="104"/>
      <c r="KUN997" s="103"/>
      <c r="KUZ997" s="104"/>
      <c r="KVA997" s="103"/>
      <c r="KVM997" s="104"/>
      <c r="KVN997" s="103"/>
      <c r="KVZ997" s="104"/>
      <c r="KWA997" s="103"/>
      <c r="KWM997" s="104"/>
      <c r="KWN997" s="103"/>
      <c r="KWZ997" s="104"/>
      <c r="KXA997" s="103"/>
      <c r="KXM997" s="104"/>
      <c r="KXN997" s="103"/>
      <c r="KXZ997" s="104"/>
      <c r="KYA997" s="103"/>
      <c r="KYM997" s="104"/>
      <c r="KYN997" s="103"/>
      <c r="KYZ997" s="104"/>
      <c r="KZA997" s="103"/>
      <c r="KZM997" s="104"/>
      <c r="KZN997" s="103"/>
      <c r="KZZ997" s="104"/>
      <c r="LAA997" s="103"/>
      <c r="LAM997" s="104"/>
      <c r="LAN997" s="103"/>
      <c r="LAZ997" s="104"/>
      <c r="LBA997" s="103"/>
      <c r="LBM997" s="104"/>
      <c r="LBN997" s="103"/>
      <c r="LBZ997" s="104"/>
      <c r="LCA997" s="103"/>
      <c r="LCM997" s="104"/>
      <c r="LCN997" s="103"/>
      <c r="LCZ997" s="104"/>
      <c r="LDA997" s="103"/>
      <c r="LDM997" s="104"/>
      <c r="LDN997" s="103"/>
      <c r="LDZ997" s="104"/>
      <c r="LEA997" s="103"/>
      <c r="LEM997" s="104"/>
      <c r="LEN997" s="103"/>
      <c r="LEZ997" s="104"/>
      <c r="LFA997" s="103"/>
      <c r="LFM997" s="104"/>
      <c r="LFN997" s="103"/>
      <c r="LFZ997" s="104"/>
      <c r="LGA997" s="103"/>
      <c r="LGM997" s="104"/>
      <c r="LGN997" s="103"/>
      <c r="LGZ997" s="104"/>
      <c r="LHA997" s="103"/>
      <c r="LHM997" s="104"/>
      <c r="LHN997" s="103"/>
      <c r="LHZ997" s="104"/>
      <c r="LIA997" s="103"/>
      <c r="LIM997" s="104"/>
      <c r="LIN997" s="103"/>
      <c r="LIZ997" s="104"/>
      <c r="LJA997" s="103"/>
      <c r="LJM997" s="104"/>
      <c r="LJN997" s="103"/>
      <c r="LJZ997" s="104"/>
      <c r="LKA997" s="103"/>
      <c r="LKM997" s="104"/>
      <c r="LKN997" s="103"/>
      <c r="LKZ997" s="104"/>
      <c r="LLA997" s="103"/>
      <c r="LLM997" s="104"/>
      <c r="LLN997" s="103"/>
      <c r="LLZ997" s="104"/>
      <c r="LMA997" s="103"/>
      <c r="LMM997" s="104"/>
      <c r="LMN997" s="103"/>
      <c r="LMZ997" s="104"/>
      <c r="LNA997" s="103"/>
      <c r="LNM997" s="104"/>
      <c r="LNN997" s="103"/>
      <c r="LNZ997" s="104"/>
      <c r="LOA997" s="103"/>
      <c r="LOM997" s="104"/>
      <c r="LON997" s="103"/>
      <c r="LOZ997" s="104"/>
      <c r="LPA997" s="103"/>
      <c r="LPM997" s="104"/>
      <c r="LPN997" s="103"/>
      <c r="LPZ997" s="104"/>
      <c r="LQA997" s="103"/>
      <c r="LQM997" s="104"/>
      <c r="LQN997" s="103"/>
      <c r="LQZ997" s="104"/>
      <c r="LRA997" s="103"/>
      <c r="LRM997" s="104"/>
      <c r="LRN997" s="103"/>
      <c r="LRZ997" s="104"/>
      <c r="LSA997" s="103"/>
      <c r="LSM997" s="104"/>
      <c r="LSN997" s="103"/>
      <c r="LSZ997" s="104"/>
      <c r="LTA997" s="103"/>
      <c r="LTM997" s="104"/>
      <c r="LTN997" s="103"/>
      <c r="LTZ997" s="104"/>
      <c r="LUA997" s="103"/>
      <c r="LUM997" s="104"/>
      <c r="LUN997" s="103"/>
      <c r="LUZ997" s="104"/>
      <c r="LVA997" s="103"/>
      <c r="LVM997" s="104"/>
      <c r="LVN997" s="103"/>
      <c r="LVZ997" s="104"/>
      <c r="LWA997" s="103"/>
      <c r="LWM997" s="104"/>
      <c r="LWN997" s="103"/>
      <c r="LWZ997" s="104"/>
      <c r="LXA997" s="103"/>
      <c r="LXM997" s="104"/>
      <c r="LXN997" s="103"/>
      <c r="LXZ997" s="104"/>
      <c r="LYA997" s="103"/>
      <c r="LYM997" s="104"/>
      <c r="LYN997" s="103"/>
      <c r="LYZ997" s="104"/>
      <c r="LZA997" s="103"/>
      <c r="LZM997" s="104"/>
      <c r="LZN997" s="103"/>
      <c r="LZZ997" s="104"/>
      <c r="MAA997" s="103"/>
      <c r="MAM997" s="104"/>
      <c r="MAN997" s="103"/>
      <c r="MAZ997" s="104"/>
      <c r="MBA997" s="103"/>
      <c r="MBM997" s="104"/>
      <c r="MBN997" s="103"/>
      <c r="MBZ997" s="104"/>
      <c r="MCA997" s="103"/>
      <c r="MCM997" s="104"/>
      <c r="MCN997" s="103"/>
      <c r="MCZ997" s="104"/>
      <c r="MDA997" s="103"/>
      <c r="MDM997" s="104"/>
      <c r="MDN997" s="103"/>
      <c r="MDZ997" s="104"/>
      <c r="MEA997" s="103"/>
      <c r="MEM997" s="104"/>
      <c r="MEN997" s="103"/>
      <c r="MEZ997" s="104"/>
      <c r="MFA997" s="103"/>
      <c r="MFM997" s="104"/>
      <c r="MFN997" s="103"/>
      <c r="MFZ997" s="104"/>
      <c r="MGA997" s="103"/>
      <c r="MGM997" s="104"/>
      <c r="MGN997" s="103"/>
      <c r="MGZ997" s="104"/>
      <c r="MHA997" s="103"/>
      <c r="MHM997" s="104"/>
      <c r="MHN997" s="103"/>
      <c r="MHZ997" s="104"/>
      <c r="MIA997" s="103"/>
      <c r="MIM997" s="104"/>
      <c r="MIN997" s="103"/>
      <c r="MIZ997" s="104"/>
      <c r="MJA997" s="103"/>
      <c r="MJM997" s="104"/>
      <c r="MJN997" s="103"/>
      <c r="MJZ997" s="104"/>
      <c r="MKA997" s="103"/>
      <c r="MKM997" s="104"/>
      <c r="MKN997" s="103"/>
      <c r="MKZ997" s="104"/>
      <c r="MLA997" s="103"/>
      <c r="MLM997" s="104"/>
      <c r="MLN997" s="103"/>
      <c r="MLZ997" s="104"/>
      <c r="MMA997" s="103"/>
      <c r="MMM997" s="104"/>
      <c r="MMN997" s="103"/>
      <c r="MMZ997" s="104"/>
      <c r="MNA997" s="103"/>
      <c r="MNM997" s="104"/>
      <c r="MNN997" s="103"/>
      <c r="MNZ997" s="104"/>
      <c r="MOA997" s="103"/>
      <c r="MOM997" s="104"/>
      <c r="MON997" s="103"/>
      <c r="MOZ997" s="104"/>
      <c r="MPA997" s="103"/>
      <c r="MPM997" s="104"/>
      <c r="MPN997" s="103"/>
      <c r="MPZ997" s="104"/>
      <c r="MQA997" s="103"/>
      <c r="MQM997" s="104"/>
      <c r="MQN997" s="103"/>
      <c r="MQZ997" s="104"/>
      <c r="MRA997" s="103"/>
      <c r="MRM997" s="104"/>
      <c r="MRN997" s="103"/>
      <c r="MRZ997" s="104"/>
      <c r="MSA997" s="103"/>
      <c r="MSM997" s="104"/>
      <c r="MSN997" s="103"/>
      <c r="MSZ997" s="104"/>
      <c r="MTA997" s="103"/>
      <c r="MTM997" s="104"/>
      <c r="MTN997" s="103"/>
      <c r="MTZ997" s="104"/>
      <c r="MUA997" s="103"/>
      <c r="MUM997" s="104"/>
      <c r="MUN997" s="103"/>
      <c r="MUZ997" s="104"/>
      <c r="MVA997" s="103"/>
      <c r="MVM997" s="104"/>
      <c r="MVN997" s="103"/>
      <c r="MVZ997" s="104"/>
      <c r="MWA997" s="103"/>
      <c r="MWM997" s="104"/>
      <c r="MWN997" s="103"/>
      <c r="MWZ997" s="104"/>
      <c r="MXA997" s="103"/>
      <c r="MXM997" s="104"/>
      <c r="MXN997" s="103"/>
      <c r="MXZ997" s="104"/>
      <c r="MYA997" s="103"/>
      <c r="MYM997" s="104"/>
      <c r="MYN997" s="103"/>
      <c r="MYZ997" s="104"/>
      <c r="MZA997" s="103"/>
      <c r="MZM997" s="104"/>
      <c r="MZN997" s="103"/>
      <c r="MZZ997" s="104"/>
      <c r="NAA997" s="103"/>
      <c r="NAM997" s="104"/>
      <c r="NAN997" s="103"/>
      <c r="NAZ997" s="104"/>
      <c r="NBA997" s="103"/>
      <c r="NBM997" s="104"/>
      <c r="NBN997" s="103"/>
      <c r="NBZ997" s="104"/>
      <c r="NCA997" s="103"/>
      <c r="NCM997" s="104"/>
      <c r="NCN997" s="103"/>
      <c r="NCZ997" s="104"/>
      <c r="NDA997" s="103"/>
      <c r="NDM997" s="104"/>
      <c r="NDN997" s="103"/>
      <c r="NDZ997" s="104"/>
      <c r="NEA997" s="103"/>
      <c r="NEM997" s="104"/>
      <c r="NEN997" s="103"/>
      <c r="NEZ997" s="104"/>
      <c r="NFA997" s="103"/>
      <c r="NFM997" s="104"/>
      <c r="NFN997" s="103"/>
      <c r="NFZ997" s="104"/>
      <c r="NGA997" s="103"/>
      <c r="NGM997" s="104"/>
      <c r="NGN997" s="103"/>
      <c r="NGZ997" s="104"/>
      <c r="NHA997" s="103"/>
      <c r="NHM997" s="104"/>
      <c r="NHN997" s="103"/>
      <c r="NHZ997" s="104"/>
      <c r="NIA997" s="103"/>
      <c r="NIM997" s="104"/>
      <c r="NIN997" s="103"/>
      <c r="NIZ997" s="104"/>
      <c r="NJA997" s="103"/>
      <c r="NJM997" s="104"/>
      <c r="NJN997" s="103"/>
      <c r="NJZ997" s="104"/>
      <c r="NKA997" s="103"/>
      <c r="NKM997" s="104"/>
      <c r="NKN997" s="103"/>
      <c r="NKZ997" s="104"/>
      <c r="NLA997" s="103"/>
      <c r="NLM997" s="104"/>
      <c r="NLN997" s="103"/>
      <c r="NLZ997" s="104"/>
      <c r="NMA997" s="103"/>
      <c r="NMM997" s="104"/>
      <c r="NMN997" s="103"/>
      <c r="NMZ997" s="104"/>
      <c r="NNA997" s="103"/>
      <c r="NNM997" s="104"/>
      <c r="NNN997" s="103"/>
      <c r="NNZ997" s="104"/>
      <c r="NOA997" s="103"/>
      <c r="NOM997" s="104"/>
      <c r="NON997" s="103"/>
      <c r="NOZ997" s="104"/>
      <c r="NPA997" s="103"/>
      <c r="NPM997" s="104"/>
      <c r="NPN997" s="103"/>
      <c r="NPZ997" s="104"/>
      <c r="NQA997" s="103"/>
      <c r="NQM997" s="104"/>
      <c r="NQN997" s="103"/>
      <c r="NQZ997" s="104"/>
      <c r="NRA997" s="103"/>
      <c r="NRM997" s="104"/>
      <c r="NRN997" s="103"/>
      <c r="NRZ997" s="104"/>
      <c r="NSA997" s="103"/>
      <c r="NSM997" s="104"/>
      <c r="NSN997" s="103"/>
      <c r="NSZ997" s="104"/>
      <c r="NTA997" s="103"/>
      <c r="NTM997" s="104"/>
      <c r="NTN997" s="103"/>
      <c r="NTZ997" s="104"/>
      <c r="NUA997" s="103"/>
      <c r="NUM997" s="104"/>
      <c r="NUN997" s="103"/>
      <c r="NUZ997" s="104"/>
      <c r="NVA997" s="103"/>
      <c r="NVM997" s="104"/>
      <c r="NVN997" s="103"/>
      <c r="NVZ997" s="104"/>
      <c r="NWA997" s="103"/>
      <c r="NWM997" s="104"/>
      <c r="NWN997" s="103"/>
      <c r="NWZ997" s="104"/>
      <c r="NXA997" s="103"/>
      <c r="NXM997" s="104"/>
      <c r="NXN997" s="103"/>
      <c r="NXZ997" s="104"/>
      <c r="NYA997" s="103"/>
      <c r="NYM997" s="104"/>
      <c r="NYN997" s="103"/>
      <c r="NYZ997" s="104"/>
      <c r="NZA997" s="103"/>
      <c r="NZM997" s="104"/>
      <c r="NZN997" s="103"/>
      <c r="NZZ997" s="104"/>
      <c r="OAA997" s="103"/>
      <c r="OAM997" s="104"/>
      <c r="OAN997" s="103"/>
      <c r="OAZ997" s="104"/>
      <c r="OBA997" s="103"/>
      <c r="OBM997" s="104"/>
      <c r="OBN997" s="103"/>
      <c r="OBZ997" s="104"/>
      <c r="OCA997" s="103"/>
      <c r="OCM997" s="104"/>
      <c r="OCN997" s="103"/>
      <c r="OCZ997" s="104"/>
      <c r="ODA997" s="103"/>
      <c r="ODM997" s="104"/>
      <c r="ODN997" s="103"/>
      <c r="ODZ997" s="104"/>
      <c r="OEA997" s="103"/>
      <c r="OEM997" s="104"/>
      <c r="OEN997" s="103"/>
      <c r="OEZ997" s="104"/>
      <c r="OFA997" s="103"/>
      <c r="OFM997" s="104"/>
      <c r="OFN997" s="103"/>
      <c r="OFZ997" s="104"/>
      <c r="OGA997" s="103"/>
      <c r="OGM997" s="104"/>
      <c r="OGN997" s="103"/>
      <c r="OGZ997" s="104"/>
      <c r="OHA997" s="103"/>
      <c r="OHM997" s="104"/>
      <c r="OHN997" s="103"/>
      <c r="OHZ997" s="104"/>
      <c r="OIA997" s="103"/>
      <c r="OIM997" s="104"/>
      <c r="OIN997" s="103"/>
      <c r="OIZ997" s="104"/>
      <c r="OJA997" s="103"/>
      <c r="OJM997" s="104"/>
      <c r="OJN997" s="103"/>
      <c r="OJZ997" s="104"/>
      <c r="OKA997" s="103"/>
      <c r="OKM997" s="104"/>
      <c r="OKN997" s="103"/>
      <c r="OKZ997" s="104"/>
      <c r="OLA997" s="103"/>
      <c r="OLM997" s="104"/>
      <c r="OLN997" s="103"/>
      <c r="OLZ997" s="104"/>
      <c r="OMA997" s="103"/>
      <c r="OMM997" s="104"/>
      <c r="OMN997" s="103"/>
      <c r="OMZ997" s="104"/>
      <c r="ONA997" s="103"/>
      <c r="ONM997" s="104"/>
      <c r="ONN997" s="103"/>
      <c r="ONZ997" s="104"/>
      <c r="OOA997" s="103"/>
      <c r="OOM997" s="104"/>
      <c r="OON997" s="103"/>
      <c r="OOZ997" s="104"/>
      <c r="OPA997" s="103"/>
      <c r="OPM997" s="104"/>
      <c r="OPN997" s="103"/>
      <c r="OPZ997" s="104"/>
      <c r="OQA997" s="103"/>
      <c r="OQM997" s="104"/>
      <c r="OQN997" s="103"/>
      <c r="OQZ997" s="104"/>
      <c r="ORA997" s="103"/>
      <c r="ORM997" s="104"/>
      <c r="ORN997" s="103"/>
      <c r="ORZ997" s="104"/>
      <c r="OSA997" s="103"/>
      <c r="OSM997" s="104"/>
      <c r="OSN997" s="103"/>
      <c r="OSZ997" s="104"/>
      <c r="OTA997" s="103"/>
      <c r="OTM997" s="104"/>
      <c r="OTN997" s="103"/>
      <c r="OTZ997" s="104"/>
      <c r="OUA997" s="103"/>
      <c r="OUM997" s="104"/>
      <c r="OUN997" s="103"/>
      <c r="OUZ997" s="104"/>
      <c r="OVA997" s="103"/>
      <c r="OVM997" s="104"/>
      <c r="OVN997" s="103"/>
      <c r="OVZ997" s="104"/>
      <c r="OWA997" s="103"/>
      <c r="OWM997" s="104"/>
      <c r="OWN997" s="103"/>
      <c r="OWZ997" s="104"/>
      <c r="OXA997" s="103"/>
      <c r="OXM997" s="104"/>
      <c r="OXN997" s="103"/>
      <c r="OXZ997" s="104"/>
      <c r="OYA997" s="103"/>
      <c r="OYM997" s="104"/>
      <c r="OYN997" s="103"/>
      <c r="OYZ997" s="104"/>
      <c r="OZA997" s="103"/>
      <c r="OZM997" s="104"/>
      <c r="OZN997" s="103"/>
      <c r="OZZ997" s="104"/>
      <c r="PAA997" s="103"/>
      <c r="PAM997" s="104"/>
      <c r="PAN997" s="103"/>
      <c r="PAZ997" s="104"/>
      <c r="PBA997" s="103"/>
      <c r="PBM997" s="104"/>
      <c r="PBN997" s="103"/>
      <c r="PBZ997" s="104"/>
      <c r="PCA997" s="103"/>
      <c r="PCM997" s="104"/>
      <c r="PCN997" s="103"/>
      <c r="PCZ997" s="104"/>
      <c r="PDA997" s="103"/>
      <c r="PDM997" s="104"/>
      <c r="PDN997" s="103"/>
      <c r="PDZ997" s="104"/>
      <c r="PEA997" s="103"/>
      <c r="PEM997" s="104"/>
      <c r="PEN997" s="103"/>
      <c r="PEZ997" s="104"/>
      <c r="PFA997" s="103"/>
      <c r="PFM997" s="104"/>
      <c r="PFN997" s="103"/>
      <c r="PFZ997" s="104"/>
      <c r="PGA997" s="103"/>
      <c r="PGM997" s="104"/>
      <c r="PGN997" s="103"/>
      <c r="PGZ997" s="104"/>
      <c r="PHA997" s="103"/>
      <c r="PHM997" s="104"/>
      <c r="PHN997" s="103"/>
      <c r="PHZ997" s="104"/>
      <c r="PIA997" s="103"/>
      <c r="PIM997" s="104"/>
      <c r="PIN997" s="103"/>
      <c r="PIZ997" s="104"/>
      <c r="PJA997" s="103"/>
      <c r="PJM997" s="104"/>
      <c r="PJN997" s="103"/>
      <c r="PJZ997" s="104"/>
      <c r="PKA997" s="103"/>
      <c r="PKM997" s="104"/>
      <c r="PKN997" s="103"/>
      <c r="PKZ997" s="104"/>
      <c r="PLA997" s="103"/>
      <c r="PLM997" s="104"/>
      <c r="PLN997" s="103"/>
      <c r="PLZ997" s="104"/>
      <c r="PMA997" s="103"/>
      <c r="PMM997" s="104"/>
      <c r="PMN997" s="103"/>
      <c r="PMZ997" s="104"/>
      <c r="PNA997" s="103"/>
      <c r="PNM997" s="104"/>
      <c r="PNN997" s="103"/>
      <c r="PNZ997" s="104"/>
      <c r="POA997" s="103"/>
      <c r="POM997" s="104"/>
      <c r="PON997" s="103"/>
      <c r="POZ997" s="104"/>
      <c r="PPA997" s="103"/>
      <c r="PPM997" s="104"/>
      <c r="PPN997" s="103"/>
      <c r="PPZ997" s="104"/>
      <c r="PQA997" s="103"/>
      <c r="PQM997" s="104"/>
      <c r="PQN997" s="103"/>
      <c r="PQZ997" s="104"/>
      <c r="PRA997" s="103"/>
      <c r="PRM997" s="104"/>
      <c r="PRN997" s="103"/>
      <c r="PRZ997" s="104"/>
      <c r="PSA997" s="103"/>
      <c r="PSM997" s="104"/>
      <c r="PSN997" s="103"/>
      <c r="PSZ997" s="104"/>
      <c r="PTA997" s="103"/>
      <c r="PTM997" s="104"/>
      <c r="PTN997" s="103"/>
      <c r="PTZ997" s="104"/>
      <c r="PUA997" s="103"/>
      <c r="PUM997" s="104"/>
      <c r="PUN997" s="103"/>
      <c r="PUZ997" s="104"/>
      <c r="PVA997" s="103"/>
      <c r="PVM997" s="104"/>
      <c r="PVN997" s="103"/>
      <c r="PVZ997" s="104"/>
      <c r="PWA997" s="103"/>
      <c r="PWM997" s="104"/>
      <c r="PWN997" s="103"/>
      <c r="PWZ997" s="104"/>
      <c r="PXA997" s="103"/>
      <c r="PXM997" s="104"/>
      <c r="PXN997" s="103"/>
      <c r="PXZ997" s="104"/>
      <c r="PYA997" s="103"/>
      <c r="PYM997" s="104"/>
      <c r="PYN997" s="103"/>
      <c r="PYZ997" s="104"/>
      <c r="PZA997" s="103"/>
      <c r="PZM997" s="104"/>
      <c r="PZN997" s="103"/>
      <c r="PZZ997" s="104"/>
      <c r="QAA997" s="103"/>
      <c r="QAM997" s="104"/>
      <c r="QAN997" s="103"/>
      <c r="QAZ997" s="104"/>
      <c r="QBA997" s="103"/>
      <c r="QBM997" s="104"/>
      <c r="QBN997" s="103"/>
      <c r="QBZ997" s="104"/>
      <c r="QCA997" s="103"/>
      <c r="QCM997" s="104"/>
      <c r="QCN997" s="103"/>
      <c r="QCZ997" s="104"/>
      <c r="QDA997" s="103"/>
      <c r="QDM997" s="104"/>
      <c r="QDN997" s="103"/>
      <c r="QDZ997" s="104"/>
      <c r="QEA997" s="103"/>
      <c r="QEM997" s="104"/>
      <c r="QEN997" s="103"/>
      <c r="QEZ997" s="104"/>
      <c r="QFA997" s="103"/>
      <c r="QFM997" s="104"/>
      <c r="QFN997" s="103"/>
      <c r="QFZ997" s="104"/>
      <c r="QGA997" s="103"/>
      <c r="QGM997" s="104"/>
      <c r="QGN997" s="103"/>
      <c r="QGZ997" s="104"/>
      <c r="QHA997" s="103"/>
      <c r="QHM997" s="104"/>
      <c r="QHN997" s="103"/>
      <c r="QHZ997" s="104"/>
      <c r="QIA997" s="103"/>
      <c r="QIM997" s="104"/>
      <c r="QIN997" s="103"/>
      <c r="QIZ997" s="104"/>
      <c r="QJA997" s="103"/>
      <c r="QJM997" s="104"/>
      <c r="QJN997" s="103"/>
      <c r="QJZ997" s="104"/>
      <c r="QKA997" s="103"/>
      <c r="QKM997" s="104"/>
      <c r="QKN997" s="103"/>
      <c r="QKZ997" s="104"/>
      <c r="QLA997" s="103"/>
      <c r="QLM997" s="104"/>
      <c r="QLN997" s="103"/>
      <c r="QLZ997" s="104"/>
      <c r="QMA997" s="103"/>
      <c r="QMM997" s="104"/>
      <c r="QMN997" s="103"/>
      <c r="QMZ997" s="104"/>
      <c r="QNA997" s="103"/>
      <c r="QNM997" s="104"/>
      <c r="QNN997" s="103"/>
      <c r="QNZ997" s="104"/>
      <c r="QOA997" s="103"/>
      <c r="QOM997" s="104"/>
      <c r="QON997" s="103"/>
      <c r="QOZ997" s="104"/>
      <c r="QPA997" s="103"/>
      <c r="QPM997" s="104"/>
      <c r="QPN997" s="103"/>
      <c r="QPZ997" s="104"/>
      <c r="QQA997" s="103"/>
      <c r="QQM997" s="104"/>
      <c r="QQN997" s="103"/>
      <c r="QQZ997" s="104"/>
      <c r="QRA997" s="103"/>
      <c r="QRM997" s="104"/>
      <c r="QRN997" s="103"/>
      <c r="QRZ997" s="104"/>
      <c r="QSA997" s="103"/>
      <c r="QSM997" s="104"/>
      <c r="QSN997" s="103"/>
      <c r="QSZ997" s="104"/>
      <c r="QTA997" s="103"/>
      <c r="QTM997" s="104"/>
      <c r="QTN997" s="103"/>
      <c r="QTZ997" s="104"/>
      <c r="QUA997" s="103"/>
      <c r="QUM997" s="104"/>
      <c r="QUN997" s="103"/>
      <c r="QUZ997" s="104"/>
      <c r="QVA997" s="103"/>
      <c r="QVM997" s="104"/>
      <c r="QVN997" s="103"/>
      <c r="QVZ997" s="104"/>
      <c r="QWA997" s="103"/>
      <c r="QWM997" s="104"/>
      <c r="QWN997" s="103"/>
      <c r="QWZ997" s="104"/>
      <c r="QXA997" s="103"/>
      <c r="QXM997" s="104"/>
      <c r="QXN997" s="103"/>
      <c r="QXZ997" s="104"/>
      <c r="QYA997" s="103"/>
      <c r="QYM997" s="104"/>
      <c r="QYN997" s="103"/>
      <c r="QYZ997" s="104"/>
      <c r="QZA997" s="103"/>
      <c r="QZM997" s="104"/>
      <c r="QZN997" s="103"/>
      <c r="QZZ997" s="104"/>
      <c r="RAA997" s="103"/>
      <c r="RAM997" s="104"/>
      <c r="RAN997" s="103"/>
      <c r="RAZ997" s="104"/>
      <c r="RBA997" s="103"/>
      <c r="RBM997" s="104"/>
      <c r="RBN997" s="103"/>
      <c r="RBZ997" s="104"/>
      <c r="RCA997" s="103"/>
      <c r="RCM997" s="104"/>
      <c r="RCN997" s="103"/>
      <c r="RCZ997" s="104"/>
      <c r="RDA997" s="103"/>
      <c r="RDM997" s="104"/>
      <c r="RDN997" s="103"/>
      <c r="RDZ997" s="104"/>
      <c r="REA997" s="103"/>
      <c r="REM997" s="104"/>
      <c r="REN997" s="103"/>
      <c r="REZ997" s="104"/>
      <c r="RFA997" s="103"/>
      <c r="RFM997" s="104"/>
      <c r="RFN997" s="103"/>
      <c r="RFZ997" s="104"/>
      <c r="RGA997" s="103"/>
      <c r="RGM997" s="104"/>
      <c r="RGN997" s="103"/>
      <c r="RGZ997" s="104"/>
      <c r="RHA997" s="103"/>
      <c r="RHM997" s="104"/>
      <c r="RHN997" s="103"/>
      <c r="RHZ997" s="104"/>
      <c r="RIA997" s="103"/>
      <c r="RIM997" s="104"/>
      <c r="RIN997" s="103"/>
      <c r="RIZ997" s="104"/>
      <c r="RJA997" s="103"/>
      <c r="RJM997" s="104"/>
      <c r="RJN997" s="103"/>
      <c r="RJZ997" s="104"/>
      <c r="RKA997" s="103"/>
      <c r="RKM997" s="104"/>
      <c r="RKN997" s="103"/>
      <c r="RKZ997" s="104"/>
      <c r="RLA997" s="103"/>
      <c r="RLM997" s="104"/>
      <c r="RLN997" s="103"/>
      <c r="RLZ997" s="104"/>
      <c r="RMA997" s="103"/>
      <c r="RMM997" s="104"/>
      <c r="RMN997" s="103"/>
      <c r="RMZ997" s="104"/>
      <c r="RNA997" s="103"/>
      <c r="RNM997" s="104"/>
      <c r="RNN997" s="103"/>
      <c r="RNZ997" s="104"/>
      <c r="ROA997" s="103"/>
      <c r="ROM997" s="104"/>
      <c r="RON997" s="103"/>
      <c r="ROZ997" s="104"/>
      <c r="RPA997" s="103"/>
      <c r="RPM997" s="104"/>
      <c r="RPN997" s="103"/>
      <c r="RPZ997" s="104"/>
      <c r="RQA997" s="103"/>
      <c r="RQM997" s="104"/>
      <c r="RQN997" s="103"/>
      <c r="RQZ997" s="104"/>
      <c r="RRA997" s="103"/>
      <c r="RRM997" s="104"/>
      <c r="RRN997" s="103"/>
      <c r="RRZ997" s="104"/>
      <c r="RSA997" s="103"/>
      <c r="RSM997" s="104"/>
      <c r="RSN997" s="103"/>
      <c r="RSZ997" s="104"/>
      <c r="RTA997" s="103"/>
      <c r="RTM997" s="104"/>
      <c r="RTN997" s="103"/>
      <c r="RTZ997" s="104"/>
      <c r="RUA997" s="103"/>
      <c r="RUM997" s="104"/>
      <c r="RUN997" s="103"/>
      <c r="RUZ997" s="104"/>
      <c r="RVA997" s="103"/>
      <c r="RVM997" s="104"/>
      <c r="RVN997" s="103"/>
      <c r="RVZ997" s="104"/>
      <c r="RWA997" s="103"/>
      <c r="RWM997" s="104"/>
      <c r="RWN997" s="103"/>
      <c r="RWZ997" s="104"/>
      <c r="RXA997" s="103"/>
      <c r="RXM997" s="104"/>
      <c r="RXN997" s="103"/>
      <c r="RXZ997" s="104"/>
      <c r="RYA997" s="103"/>
      <c r="RYM997" s="104"/>
      <c r="RYN997" s="103"/>
      <c r="RYZ997" s="104"/>
      <c r="RZA997" s="103"/>
      <c r="RZM997" s="104"/>
      <c r="RZN997" s="103"/>
      <c r="RZZ997" s="104"/>
      <c r="SAA997" s="103"/>
      <c r="SAM997" s="104"/>
      <c r="SAN997" s="103"/>
      <c r="SAZ997" s="104"/>
      <c r="SBA997" s="103"/>
      <c r="SBM997" s="104"/>
      <c r="SBN997" s="103"/>
      <c r="SBZ997" s="104"/>
      <c r="SCA997" s="103"/>
      <c r="SCM997" s="104"/>
      <c r="SCN997" s="103"/>
      <c r="SCZ997" s="104"/>
      <c r="SDA997" s="103"/>
      <c r="SDM997" s="104"/>
      <c r="SDN997" s="103"/>
      <c r="SDZ997" s="104"/>
      <c r="SEA997" s="103"/>
      <c r="SEM997" s="104"/>
      <c r="SEN997" s="103"/>
      <c r="SEZ997" s="104"/>
      <c r="SFA997" s="103"/>
      <c r="SFM997" s="104"/>
      <c r="SFN997" s="103"/>
      <c r="SFZ997" s="104"/>
      <c r="SGA997" s="103"/>
      <c r="SGM997" s="104"/>
      <c r="SGN997" s="103"/>
      <c r="SGZ997" s="104"/>
      <c r="SHA997" s="103"/>
      <c r="SHM997" s="104"/>
      <c r="SHN997" s="103"/>
      <c r="SHZ997" s="104"/>
      <c r="SIA997" s="103"/>
      <c r="SIM997" s="104"/>
      <c r="SIN997" s="103"/>
      <c r="SIZ997" s="104"/>
      <c r="SJA997" s="103"/>
      <c r="SJM997" s="104"/>
      <c r="SJN997" s="103"/>
      <c r="SJZ997" s="104"/>
      <c r="SKA997" s="103"/>
      <c r="SKM997" s="104"/>
      <c r="SKN997" s="103"/>
      <c r="SKZ997" s="104"/>
      <c r="SLA997" s="103"/>
      <c r="SLM997" s="104"/>
      <c r="SLN997" s="103"/>
      <c r="SLZ997" s="104"/>
      <c r="SMA997" s="103"/>
      <c r="SMM997" s="104"/>
      <c r="SMN997" s="103"/>
      <c r="SMZ997" s="104"/>
      <c r="SNA997" s="103"/>
      <c r="SNM997" s="104"/>
      <c r="SNN997" s="103"/>
      <c r="SNZ997" s="104"/>
      <c r="SOA997" s="103"/>
      <c r="SOM997" s="104"/>
      <c r="SON997" s="103"/>
      <c r="SOZ997" s="104"/>
      <c r="SPA997" s="103"/>
      <c r="SPM997" s="104"/>
      <c r="SPN997" s="103"/>
      <c r="SPZ997" s="104"/>
      <c r="SQA997" s="103"/>
      <c r="SQM997" s="104"/>
      <c r="SQN997" s="103"/>
      <c r="SQZ997" s="104"/>
      <c r="SRA997" s="103"/>
      <c r="SRM997" s="104"/>
      <c r="SRN997" s="103"/>
      <c r="SRZ997" s="104"/>
      <c r="SSA997" s="103"/>
      <c r="SSM997" s="104"/>
      <c r="SSN997" s="103"/>
      <c r="SSZ997" s="104"/>
      <c r="STA997" s="103"/>
      <c r="STM997" s="104"/>
      <c r="STN997" s="103"/>
      <c r="STZ997" s="104"/>
      <c r="SUA997" s="103"/>
      <c r="SUM997" s="104"/>
      <c r="SUN997" s="103"/>
      <c r="SUZ997" s="104"/>
      <c r="SVA997" s="103"/>
      <c r="SVM997" s="104"/>
      <c r="SVN997" s="103"/>
      <c r="SVZ997" s="104"/>
      <c r="SWA997" s="103"/>
      <c r="SWM997" s="104"/>
      <c r="SWN997" s="103"/>
      <c r="SWZ997" s="104"/>
      <c r="SXA997" s="103"/>
      <c r="SXM997" s="104"/>
      <c r="SXN997" s="103"/>
      <c r="SXZ997" s="104"/>
      <c r="SYA997" s="103"/>
      <c r="SYM997" s="104"/>
      <c r="SYN997" s="103"/>
      <c r="SYZ997" s="104"/>
      <c r="SZA997" s="103"/>
      <c r="SZM997" s="104"/>
      <c r="SZN997" s="103"/>
      <c r="SZZ997" s="104"/>
      <c r="TAA997" s="103"/>
      <c r="TAM997" s="104"/>
      <c r="TAN997" s="103"/>
      <c r="TAZ997" s="104"/>
      <c r="TBA997" s="103"/>
      <c r="TBM997" s="104"/>
      <c r="TBN997" s="103"/>
      <c r="TBZ997" s="104"/>
      <c r="TCA997" s="103"/>
      <c r="TCM997" s="104"/>
      <c r="TCN997" s="103"/>
      <c r="TCZ997" s="104"/>
      <c r="TDA997" s="103"/>
      <c r="TDM997" s="104"/>
      <c r="TDN997" s="103"/>
      <c r="TDZ997" s="104"/>
      <c r="TEA997" s="103"/>
      <c r="TEM997" s="104"/>
      <c r="TEN997" s="103"/>
      <c r="TEZ997" s="104"/>
      <c r="TFA997" s="103"/>
      <c r="TFM997" s="104"/>
      <c r="TFN997" s="103"/>
      <c r="TFZ997" s="104"/>
      <c r="TGA997" s="103"/>
      <c r="TGM997" s="104"/>
      <c r="TGN997" s="103"/>
      <c r="TGZ997" s="104"/>
      <c r="THA997" s="103"/>
      <c r="THM997" s="104"/>
      <c r="THN997" s="103"/>
      <c r="THZ997" s="104"/>
      <c r="TIA997" s="103"/>
      <c r="TIM997" s="104"/>
      <c r="TIN997" s="103"/>
      <c r="TIZ997" s="104"/>
      <c r="TJA997" s="103"/>
      <c r="TJM997" s="104"/>
      <c r="TJN997" s="103"/>
      <c r="TJZ997" s="104"/>
      <c r="TKA997" s="103"/>
      <c r="TKM997" s="104"/>
      <c r="TKN997" s="103"/>
      <c r="TKZ997" s="104"/>
      <c r="TLA997" s="103"/>
      <c r="TLM997" s="104"/>
      <c r="TLN997" s="103"/>
      <c r="TLZ997" s="104"/>
      <c r="TMA997" s="103"/>
      <c r="TMM997" s="104"/>
      <c r="TMN997" s="103"/>
      <c r="TMZ997" s="104"/>
      <c r="TNA997" s="103"/>
      <c r="TNM997" s="104"/>
      <c r="TNN997" s="103"/>
      <c r="TNZ997" s="104"/>
      <c r="TOA997" s="103"/>
      <c r="TOM997" s="104"/>
      <c r="TON997" s="103"/>
      <c r="TOZ997" s="104"/>
      <c r="TPA997" s="103"/>
      <c r="TPM997" s="104"/>
      <c r="TPN997" s="103"/>
      <c r="TPZ997" s="104"/>
      <c r="TQA997" s="103"/>
      <c r="TQM997" s="104"/>
      <c r="TQN997" s="103"/>
      <c r="TQZ997" s="104"/>
      <c r="TRA997" s="103"/>
      <c r="TRM997" s="104"/>
      <c r="TRN997" s="103"/>
      <c r="TRZ997" s="104"/>
      <c r="TSA997" s="103"/>
      <c r="TSM997" s="104"/>
      <c r="TSN997" s="103"/>
      <c r="TSZ997" s="104"/>
      <c r="TTA997" s="103"/>
      <c r="TTM997" s="104"/>
      <c r="TTN997" s="103"/>
      <c r="TTZ997" s="104"/>
      <c r="TUA997" s="103"/>
      <c r="TUM997" s="104"/>
      <c r="TUN997" s="103"/>
      <c r="TUZ997" s="104"/>
      <c r="TVA997" s="103"/>
      <c r="TVM997" s="104"/>
      <c r="TVN997" s="103"/>
      <c r="TVZ997" s="104"/>
      <c r="TWA997" s="103"/>
      <c r="TWM997" s="104"/>
      <c r="TWN997" s="103"/>
      <c r="TWZ997" s="104"/>
      <c r="TXA997" s="103"/>
      <c r="TXM997" s="104"/>
      <c r="TXN997" s="103"/>
      <c r="TXZ997" s="104"/>
      <c r="TYA997" s="103"/>
      <c r="TYM997" s="104"/>
      <c r="TYN997" s="103"/>
      <c r="TYZ997" s="104"/>
      <c r="TZA997" s="103"/>
      <c r="TZM997" s="104"/>
      <c r="TZN997" s="103"/>
      <c r="TZZ997" s="104"/>
      <c r="UAA997" s="103"/>
      <c r="UAM997" s="104"/>
      <c r="UAN997" s="103"/>
      <c r="UAZ997" s="104"/>
      <c r="UBA997" s="103"/>
      <c r="UBM997" s="104"/>
      <c r="UBN997" s="103"/>
      <c r="UBZ997" s="104"/>
      <c r="UCA997" s="103"/>
      <c r="UCM997" s="104"/>
      <c r="UCN997" s="103"/>
      <c r="UCZ997" s="104"/>
      <c r="UDA997" s="103"/>
      <c r="UDM997" s="104"/>
      <c r="UDN997" s="103"/>
      <c r="UDZ997" s="104"/>
      <c r="UEA997" s="103"/>
      <c r="UEM997" s="104"/>
      <c r="UEN997" s="103"/>
      <c r="UEZ997" s="104"/>
      <c r="UFA997" s="103"/>
      <c r="UFM997" s="104"/>
      <c r="UFN997" s="103"/>
      <c r="UFZ997" s="104"/>
      <c r="UGA997" s="103"/>
      <c r="UGM997" s="104"/>
      <c r="UGN997" s="103"/>
      <c r="UGZ997" s="104"/>
      <c r="UHA997" s="103"/>
      <c r="UHM997" s="104"/>
      <c r="UHN997" s="103"/>
      <c r="UHZ997" s="104"/>
      <c r="UIA997" s="103"/>
      <c r="UIM997" s="104"/>
      <c r="UIN997" s="103"/>
      <c r="UIZ997" s="104"/>
      <c r="UJA997" s="103"/>
      <c r="UJM997" s="104"/>
      <c r="UJN997" s="103"/>
      <c r="UJZ997" s="104"/>
      <c r="UKA997" s="103"/>
      <c r="UKM997" s="104"/>
      <c r="UKN997" s="103"/>
      <c r="UKZ997" s="104"/>
      <c r="ULA997" s="103"/>
      <c r="ULM997" s="104"/>
      <c r="ULN997" s="103"/>
      <c r="ULZ997" s="104"/>
      <c r="UMA997" s="103"/>
      <c r="UMM997" s="104"/>
      <c r="UMN997" s="103"/>
      <c r="UMZ997" s="104"/>
      <c r="UNA997" s="103"/>
      <c r="UNM997" s="104"/>
      <c r="UNN997" s="103"/>
      <c r="UNZ997" s="104"/>
      <c r="UOA997" s="103"/>
      <c r="UOM997" s="104"/>
      <c r="UON997" s="103"/>
      <c r="UOZ997" s="104"/>
      <c r="UPA997" s="103"/>
      <c r="UPM997" s="104"/>
      <c r="UPN997" s="103"/>
      <c r="UPZ997" s="104"/>
      <c r="UQA997" s="103"/>
      <c r="UQM997" s="104"/>
      <c r="UQN997" s="103"/>
      <c r="UQZ997" s="104"/>
      <c r="URA997" s="103"/>
      <c r="URM997" s="104"/>
      <c r="URN997" s="103"/>
      <c r="URZ997" s="104"/>
      <c r="USA997" s="103"/>
      <c r="USM997" s="104"/>
      <c r="USN997" s="103"/>
      <c r="USZ997" s="104"/>
      <c r="UTA997" s="103"/>
      <c r="UTM997" s="104"/>
      <c r="UTN997" s="103"/>
      <c r="UTZ997" s="104"/>
      <c r="UUA997" s="103"/>
      <c r="UUM997" s="104"/>
      <c r="UUN997" s="103"/>
      <c r="UUZ997" s="104"/>
      <c r="UVA997" s="103"/>
      <c r="UVM997" s="104"/>
      <c r="UVN997" s="103"/>
      <c r="UVZ997" s="104"/>
      <c r="UWA997" s="103"/>
      <c r="UWM997" s="104"/>
      <c r="UWN997" s="103"/>
      <c r="UWZ997" s="104"/>
      <c r="UXA997" s="103"/>
      <c r="UXM997" s="104"/>
      <c r="UXN997" s="103"/>
      <c r="UXZ997" s="104"/>
      <c r="UYA997" s="103"/>
      <c r="UYM997" s="104"/>
      <c r="UYN997" s="103"/>
      <c r="UYZ997" s="104"/>
      <c r="UZA997" s="103"/>
      <c r="UZM997" s="104"/>
      <c r="UZN997" s="103"/>
      <c r="UZZ997" s="104"/>
      <c r="VAA997" s="103"/>
      <c r="VAM997" s="104"/>
      <c r="VAN997" s="103"/>
      <c r="VAZ997" s="104"/>
      <c r="VBA997" s="103"/>
      <c r="VBM997" s="104"/>
      <c r="VBN997" s="103"/>
      <c r="VBZ997" s="104"/>
      <c r="VCA997" s="103"/>
      <c r="VCM997" s="104"/>
      <c r="VCN997" s="103"/>
      <c r="VCZ997" s="104"/>
      <c r="VDA997" s="103"/>
      <c r="VDM997" s="104"/>
      <c r="VDN997" s="103"/>
      <c r="VDZ997" s="104"/>
      <c r="VEA997" s="103"/>
      <c r="VEM997" s="104"/>
      <c r="VEN997" s="103"/>
      <c r="VEZ997" s="104"/>
      <c r="VFA997" s="103"/>
      <c r="VFM997" s="104"/>
      <c r="VFN997" s="103"/>
      <c r="VFZ997" s="104"/>
      <c r="VGA997" s="103"/>
      <c r="VGM997" s="104"/>
      <c r="VGN997" s="103"/>
      <c r="VGZ997" s="104"/>
      <c r="VHA997" s="103"/>
      <c r="VHM997" s="104"/>
      <c r="VHN997" s="103"/>
      <c r="VHZ997" s="104"/>
      <c r="VIA997" s="103"/>
      <c r="VIM997" s="104"/>
      <c r="VIN997" s="103"/>
      <c r="VIZ997" s="104"/>
      <c r="VJA997" s="103"/>
      <c r="VJM997" s="104"/>
      <c r="VJN997" s="103"/>
      <c r="VJZ997" s="104"/>
      <c r="VKA997" s="103"/>
      <c r="VKM997" s="104"/>
      <c r="VKN997" s="103"/>
      <c r="VKZ997" s="104"/>
      <c r="VLA997" s="103"/>
      <c r="VLM997" s="104"/>
      <c r="VLN997" s="103"/>
      <c r="VLZ997" s="104"/>
      <c r="VMA997" s="103"/>
      <c r="VMM997" s="104"/>
      <c r="VMN997" s="103"/>
      <c r="VMZ997" s="104"/>
      <c r="VNA997" s="103"/>
      <c r="VNM997" s="104"/>
      <c r="VNN997" s="103"/>
      <c r="VNZ997" s="104"/>
      <c r="VOA997" s="103"/>
      <c r="VOM997" s="104"/>
      <c r="VON997" s="103"/>
      <c r="VOZ997" s="104"/>
      <c r="VPA997" s="103"/>
      <c r="VPM997" s="104"/>
      <c r="VPN997" s="103"/>
      <c r="VPZ997" s="104"/>
      <c r="VQA997" s="103"/>
      <c r="VQM997" s="104"/>
      <c r="VQN997" s="103"/>
      <c r="VQZ997" s="104"/>
      <c r="VRA997" s="103"/>
      <c r="VRM997" s="104"/>
      <c r="VRN997" s="103"/>
      <c r="VRZ997" s="104"/>
      <c r="VSA997" s="103"/>
      <c r="VSM997" s="104"/>
      <c r="VSN997" s="103"/>
      <c r="VSZ997" s="104"/>
      <c r="VTA997" s="103"/>
      <c r="VTM997" s="104"/>
      <c r="VTN997" s="103"/>
      <c r="VTZ997" s="104"/>
      <c r="VUA997" s="103"/>
      <c r="VUM997" s="104"/>
      <c r="VUN997" s="103"/>
      <c r="VUZ997" s="104"/>
      <c r="VVA997" s="103"/>
      <c r="VVM997" s="104"/>
      <c r="VVN997" s="103"/>
      <c r="VVZ997" s="104"/>
      <c r="VWA997" s="103"/>
      <c r="VWM997" s="104"/>
      <c r="VWN997" s="103"/>
      <c r="VWZ997" s="104"/>
      <c r="VXA997" s="103"/>
      <c r="VXM997" s="104"/>
      <c r="VXN997" s="103"/>
      <c r="VXZ997" s="104"/>
      <c r="VYA997" s="103"/>
      <c r="VYM997" s="104"/>
      <c r="VYN997" s="103"/>
      <c r="VYZ997" s="104"/>
      <c r="VZA997" s="103"/>
      <c r="VZM997" s="104"/>
      <c r="VZN997" s="103"/>
      <c r="VZZ997" s="104"/>
      <c r="WAA997" s="103"/>
      <c r="WAM997" s="104"/>
      <c r="WAN997" s="103"/>
      <c r="WAZ997" s="104"/>
      <c r="WBA997" s="103"/>
      <c r="WBM997" s="104"/>
      <c r="WBN997" s="103"/>
      <c r="WBZ997" s="104"/>
      <c r="WCA997" s="103"/>
      <c r="WCM997" s="104"/>
      <c r="WCN997" s="103"/>
      <c r="WCZ997" s="104"/>
      <c r="WDA997" s="103"/>
      <c r="WDM997" s="104"/>
      <c r="WDN997" s="103"/>
      <c r="WDZ997" s="104"/>
      <c r="WEA997" s="103"/>
      <c r="WEM997" s="104"/>
      <c r="WEN997" s="103"/>
      <c r="WEZ997" s="104"/>
      <c r="WFA997" s="103"/>
      <c r="WFM997" s="104"/>
      <c r="WFN997" s="103"/>
      <c r="WFZ997" s="104"/>
      <c r="WGA997" s="103"/>
      <c r="WGM997" s="104"/>
      <c r="WGN997" s="103"/>
      <c r="WGZ997" s="104"/>
      <c r="WHA997" s="103"/>
      <c r="WHM997" s="104"/>
      <c r="WHN997" s="103"/>
      <c r="WHZ997" s="104"/>
      <c r="WIA997" s="103"/>
      <c r="WIM997" s="104"/>
      <c r="WIN997" s="103"/>
      <c r="WIZ997" s="104"/>
      <c r="WJA997" s="103"/>
      <c r="WJM997" s="104"/>
      <c r="WJN997" s="103"/>
      <c r="WJZ997" s="104"/>
      <c r="WKA997" s="103"/>
      <c r="WKM997" s="104"/>
      <c r="WKN997" s="103"/>
      <c r="WKZ997" s="104"/>
      <c r="WLA997" s="103"/>
      <c r="WLM997" s="104"/>
      <c r="WLN997" s="103"/>
      <c r="WLZ997" s="104"/>
      <c r="WMA997" s="103"/>
      <c r="WMM997" s="104"/>
      <c r="WMN997" s="103"/>
      <c r="WMZ997" s="104"/>
      <c r="WNA997" s="103"/>
      <c r="WNM997" s="104"/>
      <c r="WNN997" s="103"/>
      <c r="WNZ997" s="104"/>
      <c r="WOA997" s="103"/>
      <c r="WOM997" s="104"/>
      <c r="WON997" s="103"/>
      <c r="WOZ997" s="104"/>
      <c r="WPA997" s="103"/>
      <c r="WPM997" s="104"/>
      <c r="WPN997" s="103"/>
      <c r="WPZ997" s="104"/>
      <c r="WQA997" s="103"/>
      <c r="WQM997" s="104"/>
      <c r="WQN997" s="103"/>
      <c r="WQZ997" s="104"/>
      <c r="WRA997" s="103"/>
      <c r="WRM997" s="104"/>
      <c r="WRN997" s="103"/>
      <c r="WRZ997" s="104"/>
      <c r="WSA997" s="103"/>
      <c r="WSM997" s="104"/>
      <c r="WSN997" s="103"/>
      <c r="WSZ997" s="104"/>
      <c r="WTA997" s="103"/>
      <c r="WTM997" s="104"/>
      <c r="WTN997" s="103"/>
      <c r="WTZ997" s="104"/>
      <c r="WUA997" s="103"/>
      <c r="WUM997" s="104"/>
      <c r="WUN997" s="103"/>
      <c r="WUZ997" s="104"/>
      <c r="WVA997" s="103"/>
      <c r="WVM997" s="104"/>
      <c r="WVN997" s="103"/>
      <c r="WVZ997" s="104"/>
      <c r="WWA997" s="103"/>
      <c r="WWM997" s="104"/>
      <c r="WWN997" s="103"/>
      <c r="WWZ997" s="104"/>
      <c r="WXA997" s="103"/>
      <c r="WXM997" s="104"/>
      <c r="WXN997" s="103"/>
      <c r="WXZ997" s="104"/>
      <c r="WYA997" s="103"/>
      <c r="WYM997" s="104"/>
      <c r="WYN997" s="103"/>
      <c r="WYZ997" s="104"/>
      <c r="WZA997" s="103"/>
      <c r="WZM997" s="104"/>
      <c r="WZN997" s="103"/>
      <c r="WZZ997" s="104"/>
      <c r="XAA997" s="103"/>
      <c r="XAM997" s="104"/>
      <c r="XAN997" s="103"/>
      <c r="XAZ997" s="104"/>
      <c r="XBA997" s="103"/>
      <c r="XBM997" s="104"/>
      <c r="XBN997" s="103"/>
      <c r="XBZ997" s="104"/>
      <c r="XCA997" s="103"/>
      <c r="XCM997" s="104"/>
      <c r="XCN997" s="103"/>
      <c r="XCZ997" s="104"/>
      <c r="XDA997" s="103"/>
      <c r="XDM997" s="104"/>
      <c r="XDN997" s="103"/>
      <c r="XDZ997" s="104"/>
      <c r="XEA997" s="103"/>
      <c r="XEM997" s="104"/>
      <c r="XEN997" s="103"/>
      <c r="XEZ997" s="104"/>
      <c r="XFA997" s="103"/>
    </row>
    <row r="998" spans="1:1015 1027:2042 2054:3069 3081:4096 4108:5110 5122:6137 6149:7164 7176:8191 8203:9205 9217:10232 10244:11259 11271:12286 12298:14327 14339:15354 15366:16381">
      <c r="AM998" s="104"/>
      <c r="AN998" s="103"/>
      <c r="AZ998" s="104"/>
      <c r="BA998" s="103"/>
      <c r="BM998" s="104"/>
      <c r="BN998" s="103"/>
      <c r="BZ998" s="104"/>
      <c r="CA998" s="103"/>
      <c r="CM998" s="104"/>
      <c r="CN998" s="103"/>
      <c r="CZ998" s="104"/>
      <c r="DA998" s="103"/>
      <c r="DM998" s="104"/>
      <c r="DN998" s="103"/>
      <c r="DZ998" s="104"/>
      <c r="EA998" s="103"/>
      <c r="EM998" s="104"/>
      <c r="EN998" s="103"/>
      <c r="EZ998" s="104"/>
      <c r="FA998" s="103"/>
      <c r="FM998" s="104"/>
      <c r="FN998" s="103"/>
      <c r="FZ998" s="104"/>
      <c r="GA998" s="103"/>
      <c r="GM998" s="104"/>
      <c r="GN998" s="103"/>
      <c r="GZ998" s="104"/>
      <c r="HA998" s="103"/>
      <c r="HM998" s="104"/>
      <c r="HN998" s="103"/>
      <c r="HZ998" s="104"/>
      <c r="IA998" s="103"/>
      <c r="IM998" s="104"/>
      <c r="IN998" s="103"/>
      <c r="IZ998" s="104"/>
      <c r="JA998" s="103"/>
      <c r="JM998" s="104"/>
      <c r="JN998" s="103"/>
      <c r="JZ998" s="104"/>
      <c r="KA998" s="103"/>
      <c r="KM998" s="104"/>
      <c r="KN998" s="103"/>
      <c r="KZ998" s="104"/>
      <c r="LA998" s="103"/>
      <c r="LM998" s="104"/>
      <c r="LN998" s="103"/>
      <c r="LZ998" s="104"/>
      <c r="MA998" s="103"/>
      <c r="MM998" s="104"/>
      <c r="MN998" s="103"/>
      <c r="MZ998" s="104"/>
      <c r="NA998" s="103"/>
      <c r="NM998" s="104"/>
      <c r="NN998" s="103"/>
      <c r="NZ998" s="104"/>
      <c r="OA998" s="103"/>
      <c r="OM998" s="104"/>
      <c r="ON998" s="103"/>
      <c r="OZ998" s="104"/>
      <c r="PA998" s="103"/>
      <c r="PM998" s="104"/>
      <c r="PN998" s="103"/>
      <c r="PZ998" s="104"/>
      <c r="QA998" s="103"/>
      <c r="QM998" s="104"/>
      <c r="QN998" s="103"/>
      <c r="QZ998" s="104"/>
      <c r="RA998" s="103"/>
      <c r="RM998" s="104"/>
      <c r="RN998" s="103"/>
      <c r="RZ998" s="104"/>
      <c r="SA998" s="103"/>
      <c r="SM998" s="104"/>
      <c r="SN998" s="103"/>
      <c r="SZ998" s="104"/>
      <c r="TA998" s="103"/>
      <c r="TM998" s="104"/>
      <c r="TN998" s="103"/>
      <c r="TZ998" s="104"/>
      <c r="UA998" s="103"/>
      <c r="UM998" s="104"/>
      <c r="UN998" s="103"/>
      <c r="UZ998" s="104"/>
      <c r="VA998" s="103"/>
      <c r="VM998" s="104"/>
      <c r="VN998" s="103"/>
      <c r="VZ998" s="104"/>
      <c r="WA998" s="103"/>
      <c r="WM998" s="104"/>
      <c r="WN998" s="103"/>
      <c r="WZ998" s="104"/>
      <c r="XA998" s="103"/>
      <c r="XM998" s="104"/>
      <c r="XN998" s="103"/>
      <c r="XZ998" s="104"/>
      <c r="YA998" s="103"/>
      <c r="YM998" s="104"/>
      <c r="YN998" s="103"/>
      <c r="YZ998" s="104"/>
      <c r="ZA998" s="103"/>
      <c r="ZM998" s="104"/>
      <c r="ZN998" s="103"/>
      <c r="ZZ998" s="104"/>
      <c r="AAA998" s="103"/>
      <c r="AAM998" s="104"/>
      <c r="AAN998" s="103"/>
      <c r="AAZ998" s="104"/>
      <c r="ABA998" s="103"/>
      <c r="ABM998" s="104"/>
      <c r="ABN998" s="103"/>
      <c r="ABZ998" s="104"/>
      <c r="ACA998" s="103"/>
      <c r="ACM998" s="104"/>
      <c r="ACN998" s="103"/>
      <c r="ACZ998" s="104"/>
      <c r="ADA998" s="103"/>
      <c r="ADM998" s="104"/>
      <c r="ADN998" s="103"/>
      <c r="ADZ998" s="104"/>
      <c r="AEA998" s="103"/>
      <c r="AEM998" s="104"/>
      <c r="AEN998" s="103"/>
      <c r="AEZ998" s="104"/>
      <c r="AFA998" s="103"/>
      <c r="AFM998" s="104"/>
      <c r="AFN998" s="103"/>
      <c r="AFZ998" s="104"/>
      <c r="AGA998" s="103"/>
      <c r="AGM998" s="104"/>
      <c r="AGN998" s="103"/>
      <c r="AGZ998" s="104"/>
      <c r="AHA998" s="103"/>
      <c r="AHM998" s="104"/>
      <c r="AHN998" s="103"/>
      <c r="AHZ998" s="104"/>
      <c r="AIA998" s="103"/>
      <c r="AIM998" s="104"/>
      <c r="AIN998" s="103"/>
      <c r="AIZ998" s="104"/>
      <c r="AJA998" s="103"/>
      <c r="AJM998" s="104"/>
      <c r="AJN998" s="103"/>
      <c r="AJZ998" s="104"/>
      <c r="AKA998" s="103"/>
      <c r="AKM998" s="104"/>
      <c r="AKN998" s="103"/>
      <c r="AKZ998" s="104"/>
      <c r="ALA998" s="103"/>
      <c r="ALM998" s="104"/>
      <c r="ALN998" s="103"/>
      <c r="ALZ998" s="104"/>
      <c r="AMA998" s="103"/>
      <c r="AMM998" s="104"/>
      <c r="AMN998" s="103"/>
      <c r="AMZ998" s="104"/>
      <c r="ANA998" s="103"/>
      <c r="ANM998" s="104"/>
      <c r="ANN998" s="103"/>
      <c r="ANZ998" s="104"/>
      <c r="AOA998" s="103"/>
      <c r="AOM998" s="104"/>
      <c r="AON998" s="103"/>
      <c r="AOZ998" s="104"/>
      <c r="APA998" s="103"/>
      <c r="APM998" s="104"/>
      <c r="APN998" s="103"/>
      <c r="APZ998" s="104"/>
      <c r="AQA998" s="103"/>
      <c r="AQM998" s="104"/>
      <c r="AQN998" s="103"/>
      <c r="AQZ998" s="104"/>
      <c r="ARA998" s="103"/>
      <c r="ARM998" s="104"/>
      <c r="ARN998" s="103"/>
      <c r="ARZ998" s="104"/>
      <c r="ASA998" s="103"/>
      <c r="ASM998" s="104"/>
      <c r="ASN998" s="103"/>
      <c r="ASZ998" s="104"/>
      <c r="ATA998" s="103"/>
      <c r="ATM998" s="104"/>
      <c r="ATN998" s="103"/>
      <c r="ATZ998" s="104"/>
      <c r="AUA998" s="103"/>
      <c r="AUM998" s="104"/>
      <c r="AUN998" s="103"/>
      <c r="AUZ998" s="104"/>
      <c r="AVA998" s="103"/>
      <c r="AVM998" s="104"/>
      <c r="AVN998" s="103"/>
      <c r="AVZ998" s="104"/>
      <c r="AWA998" s="103"/>
      <c r="AWM998" s="104"/>
      <c r="AWN998" s="103"/>
      <c r="AWZ998" s="104"/>
      <c r="AXA998" s="103"/>
      <c r="AXM998" s="104"/>
      <c r="AXN998" s="103"/>
      <c r="AXZ998" s="104"/>
      <c r="AYA998" s="103"/>
      <c r="AYM998" s="104"/>
      <c r="AYN998" s="103"/>
      <c r="AYZ998" s="104"/>
      <c r="AZA998" s="103"/>
      <c r="AZM998" s="104"/>
      <c r="AZN998" s="103"/>
      <c r="AZZ998" s="104"/>
      <c r="BAA998" s="103"/>
      <c r="BAM998" s="104"/>
      <c r="BAN998" s="103"/>
      <c r="BAZ998" s="104"/>
      <c r="BBA998" s="103"/>
      <c r="BBM998" s="104"/>
      <c r="BBN998" s="103"/>
      <c r="BBZ998" s="104"/>
      <c r="BCA998" s="103"/>
      <c r="BCM998" s="104"/>
      <c r="BCN998" s="103"/>
      <c r="BCZ998" s="104"/>
      <c r="BDA998" s="103"/>
      <c r="BDM998" s="104"/>
      <c r="BDN998" s="103"/>
      <c r="BDZ998" s="104"/>
      <c r="BEA998" s="103"/>
      <c r="BEM998" s="104"/>
      <c r="BEN998" s="103"/>
      <c r="BEZ998" s="104"/>
      <c r="BFA998" s="103"/>
      <c r="BFM998" s="104"/>
      <c r="BFN998" s="103"/>
      <c r="BFZ998" s="104"/>
      <c r="BGA998" s="103"/>
      <c r="BGM998" s="104"/>
      <c r="BGN998" s="103"/>
      <c r="BGZ998" s="104"/>
      <c r="BHA998" s="103"/>
      <c r="BHM998" s="104"/>
      <c r="BHN998" s="103"/>
      <c r="BHZ998" s="104"/>
      <c r="BIA998" s="103"/>
      <c r="BIM998" s="104"/>
      <c r="BIN998" s="103"/>
      <c r="BIZ998" s="104"/>
      <c r="BJA998" s="103"/>
      <c r="BJM998" s="104"/>
      <c r="BJN998" s="103"/>
      <c r="BJZ998" s="104"/>
      <c r="BKA998" s="103"/>
      <c r="BKM998" s="104"/>
      <c r="BKN998" s="103"/>
      <c r="BKZ998" s="104"/>
      <c r="BLA998" s="103"/>
      <c r="BLM998" s="104"/>
      <c r="BLN998" s="103"/>
      <c r="BLZ998" s="104"/>
      <c r="BMA998" s="103"/>
      <c r="BMM998" s="104"/>
      <c r="BMN998" s="103"/>
      <c r="BMZ998" s="104"/>
      <c r="BNA998" s="103"/>
      <c r="BNM998" s="104"/>
      <c r="BNN998" s="103"/>
      <c r="BNZ998" s="104"/>
      <c r="BOA998" s="103"/>
      <c r="BOM998" s="104"/>
      <c r="BON998" s="103"/>
      <c r="BOZ998" s="104"/>
      <c r="BPA998" s="103"/>
      <c r="BPM998" s="104"/>
      <c r="BPN998" s="103"/>
      <c r="BPZ998" s="104"/>
      <c r="BQA998" s="103"/>
      <c r="BQM998" s="104"/>
      <c r="BQN998" s="103"/>
      <c r="BQZ998" s="104"/>
      <c r="BRA998" s="103"/>
      <c r="BRM998" s="104"/>
      <c r="BRN998" s="103"/>
      <c r="BRZ998" s="104"/>
      <c r="BSA998" s="103"/>
      <c r="BSM998" s="104"/>
      <c r="BSN998" s="103"/>
      <c r="BSZ998" s="104"/>
      <c r="BTA998" s="103"/>
      <c r="BTM998" s="104"/>
      <c r="BTN998" s="103"/>
      <c r="BTZ998" s="104"/>
      <c r="BUA998" s="103"/>
      <c r="BUM998" s="104"/>
      <c r="BUN998" s="103"/>
      <c r="BUZ998" s="104"/>
      <c r="BVA998" s="103"/>
      <c r="BVM998" s="104"/>
      <c r="BVN998" s="103"/>
      <c r="BVZ998" s="104"/>
      <c r="BWA998" s="103"/>
      <c r="BWM998" s="104"/>
      <c r="BWN998" s="103"/>
      <c r="BWZ998" s="104"/>
      <c r="BXA998" s="103"/>
      <c r="BXM998" s="104"/>
      <c r="BXN998" s="103"/>
      <c r="BXZ998" s="104"/>
      <c r="BYA998" s="103"/>
      <c r="BYM998" s="104"/>
      <c r="BYN998" s="103"/>
      <c r="BYZ998" s="104"/>
      <c r="BZA998" s="103"/>
      <c r="BZM998" s="104"/>
      <c r="BZN998" s="103"/>
      <c r="BZZ998" s="104"/>
      <c r="CAA998" s="103"/>
      <c r="CAM998" s="104"/>
      <c r="CAN998" s="103"/>
      <c r="CAZ998" s="104"/>
      <c r="CBA998" s="103"/>
      <c r="CBM998" s="104"/>
      <c r="CBN998" s="103"/>
      <c r="CBZ998" s="104"/>
      <c r="CCA998" s="103"/>
      <c r="CCM998" s="104"/>
      <c r="CCN998" s="103"/>
      <c r="CCZ998" s="104"/>
      <c r="CDA998" s="103"/>
      <c r="CDM998" s="104"/>
      <c r="CDN998" s="103"/>
      <c r="CDZ998" s="104"/>
      <c r="CEA998" s="103"/>
      <c r="CEM998" s="104"/>
      <c r="CEN998" s="103"/>
      <c r="CEZ998" s="104"/>
      <c r="CFA998" s="103"/>
      <c r="CFM998" s="104"/>
      <c r="CFN998" s="103"/>
      <c r="CFZ998" s="104"/>
      <c r="CGA998" s="103"/>
      <c r="CGM998" s="104"/>
      <c r="CGN998" s="103"/>
      <c r="CGZ998" s="104"/>
      <c r="CHA998" s="103"/>
      <c r="CHM998" s="104"/>
      <c r="CHN998" s="103"/>
      <c r="CHZ998" s="104"/>
      <c r="CIA998" s="103"/>
      <c r="CIM998" s="104"/>
      <c r="CIN998" s="103"/>
      <c r="CIZ998" s="104"/>
      <c r="CJA998" s="103"/>
      <c r="CJM998" s="104"/>
      <c r="CJN998" s="103"/>
      <c r="CJZ998" s="104"/>
      <c r="CKA998" s="103"/>
      <c r="CKM998" s="104"/>
      <c r="CKN998" s="103"/>
      <c r="CKZ998" s="104"/>
      <c r="CLA998" s="103"/>
      <c r="CLM998" s="104"/>
      <c r="CLN998" s="103"/>
      <c r="CLZ998" s="104"/>
      <c r="CMA998" s="103"/>
      <c r="CMM998" s="104"/>
      <c r="CMN998" s="103"/>
      <c r="CMZ998" s="104"/>
      <c r="CNA998" s="103"/>
      <c r="CNM998" s="104"/>
      <c r="CNN998" s="103"/>
      <c r="CNZ998" s="104"/>
      <c r="COA998" s="103"/>
      <c r="COM998" s="104"/>
      <c r="CON998" s="103"/>
      <c r="COZ998" s="104"/>
      <c r="CPA998" s="103"/>
      <c r="CPM998" s="104"/>
      <c r="CPN998" s="103"/>
      <c r="CPZ998" s="104"/>
      <c r="CQA998" s="103"/>
      <c r="CQM998" s="104"/>
      <c r="CQN998" s="103"/>
      <c r="CQZ998" s="104"/>
      <c r="CRA998" s="103"/>
      <c r="CRM998" s="104"/>
      <c r="CRN998" s="103"/>
      <c r="CRZ998" s="104"/>
      <c r="CSA998" s="103"/>
      <c r="CSM998" s="104"/>
      <c r="CSN998" s="103"/>
      <c r="CSZ998" s="104"/>
      <c r="CTA998" s="103"/>
      <c r="CTM998" s="104"/>
      <c r="CTN998" s="103"/>
      <c r="CTZ998" s="104"/>
      <c r="CUA998" s="103"/>
      <c r="CUM998" s="104"/>
      <c r="CUN998" s="103"/>
      <c r="CUZ998" s="104"/>
      <c r="CVA998" s="103"/>
      <c r="CVM998" s="104"/>
      <c r="CVN998" s="103"/>
      <c r="CVZ998" s="104"/>
      <c r="CWA998" s="103"/>
      <c r="CWM998" s="104"/>
      <c r="CWN998" s="103"/>
      <c r="CWZ998" s="104"/>
      <c r="CXA998" s="103"/>
      <c r="CXM998" s="104"/>
      <c r="CXN998" s="103"/>
      <c r="CXZ998" s="104"/>
      <c r="CYA998" s="103"/>
      <c r="CYM998" s="104"/>
      <c r="CYN998" s="103"/>
      <c r="CYZ998" s="104"/>
      <c r="CZA998" s="103"/>
      <c r="CZM998" s="104"/>
      <c r="CZN998" s="103"/>
      <c r="CZZ998" s="104"/>
      <c r="DAA998" s="103"/>
      <c r="DAM998" s="104"/>
      <c r="DAN998" s="103"/>
      <c r="DAZ998" s="104"/>
      <c r="DBA998" s="103"/>
      <c r="DBM998" s="104"/>
      <c r="DBN998" s="103"/>
      <c r="DBZ998" s="104"/>
      <c r="DCA998" s="103"/>
      <c r="DCM998" s="104"/>
      <c r="DCN998" s="103"/>
      <c r="DCZ998" s="104"/>
      <c r="DDA998" s="103"/>
      <c r="DDM998" s="104"/>
      <c r="DDN998" s="103"/>
      <c r="DDZ998" s="104"/>
      <c r="DEA998" s="103"/>
      <c r="DEM998" s="104"/>
      <c r="DEN998" s="103"/>
      <c r="DEZ998" s="104"/>
      <c r="DFA998" s="103"/>
      <c r="DFM998" s="104"/>
      <c r="DFN998" s="103"/>
      <c r="DFZ998" s="104"/>
      <c r="DGA998" s="103"/>
      <c r="DGM998" s="104"/>
      <c r="DGN998" s="103"/>
      <c r="DGZ998" s="104"/>
      <c r="DHA998" s="103"/>
      <c r="DHM998" s="104"/>
      <c r="DHN998" s="103"/>
      <c r="DHZ998" s="104"/>
      <c r="DIA998" s="103"/>
      <c r="DIM998" s="104"/>
      <c r="DIN998" s="103"/>
      <c r="DIZ998" s="104"/>
      <c r="DJA998" s="103"/>
      <c r="DJM998" s="104"/>
      <c r="DJN998" s="103"/>
      <c r="DJZ998" s="104"/>
      <c r="DKA998" s="103"/>
      <c r="DKM998" s="104"/>
      <c r="DKN998" s="103"/>
      <c r="DKZ998" s="104"/>
      <c r="DLA998" s="103"/>
      <c r="DLM998" s="104"/>
      <c r="DLN998" s="103"/>
      <c r="DLZ998" s="104"/>
      <c r="DMA998" s="103"/>
      <c r="DMM998" s="104"/>
      <c r="DMN998" s="103"/>
      <c r="DMZ998" s="104"/>
      <c r="DNA998" s="103"/>
      <c r="DNM998" s="104"/>
      <c r="DNN998" s="103"/>
      <c r="DNZ998" s="104"/>
      <c r="DOA998" s="103"/>
      <c r="DOM998" s="104"/>
      <c r="DON998" s="103"/>
      <c r="DOZ998" s="104"/>
      <c r="DPA998" s="103"/>
      <c r="DPM998" s="104"/>
      <c r="DPN998" s="103"/>
      <c r="DPZ998" s="104"/>
      <c r="DQA998" s="103"/>
      <c r="DQM998" s="104"/>
      <c r="DQN998" s="103"/>
      <c r="DQZ998" s="104"/>
      <c r="DRA998" s="103"/>
      <c r="DRM998" s="104"/>
      <c r="DRN998" s="103"/>
      <c r="DRZ998" s="104"/>
      <c r="DSA998" s="103"/>
      <c r="DSM998" s="104"/>
      <c r="DSN998" s="103"/>
      <c r="DSZ998" s="104"/>
      <c r="DTA998" s="103"/>
      <c r="DTM998" s="104"/>
      <c r="DTN998" s="103"/>
      <c r="DTZ998" s="104"/>
      <c r="DUA998" s="103"/>
      <c r="DUM998" s="104"/>
      <c r="DUN998" s="103"/>
      <c r="DUZ998" s="104"/>
      <c r="DVA998" s="103"/>
      <c r="DVM998" s="104"/>
      <c r="DVN998" s="103"/>
      <c r="DVZ998" s="104"/>
      <c r="DWA998" s="103"/>
      <c r="DWM998" s="104"/>
      <c r="DWN998" s="103"/>
      <c r="DWZ998" s="104"/>
      <c r="DXA998" s="103"/>
      <c r="DXM998" s="104"/>
      <c r="DXN998" s="103"/>
      <c r="DXZ998" s="104"/>
      <c r="DYA998" s="103"/>
      <c r="DYM998" s="104"/>
      <c r="DYN998" s="103"/>
      <c r="DYZ998" s="104"/>
      <c r="DZA998" s="103"/>
      <c r="DZM998" s="104"/>
      <c r="DZN998" s="103"/>
      <c r="DZZ998" s="104"/>
      <c r="EAA998" s="103"/>
      <c r="EAM998" s="104"/>
      <c r="EAN998" s="103"/>
      <c r="EAZ998" s="104"/>
      <c r="EBA998" s="103"/>
      <c r="EBM998" s="104"/>
      <c r="EBN998" s="103"/>
      <c r="EBZ998" s="104"/>
      <c r="ECA998" s="103"/>
      <c r="ECM998" s="104"/>
      <c r="ECN998" s="103"/>
      <c r="ECZ998" s="104"/>
      <c r="EDA998" s="103"/>
      <c r="EDM998" s="104"/>
      <c r="EDN998" s="103"/>
      <c r="EDZ998" s="104"/>
      <c r="EEA998" s="103"/>
      <c r="EEM998" s="104"/>
      <c r="EEN998" s="103"/>
      <c r="EEZ998" s="104"/>
      <c r="EFA998" s="103"/>
      <c r="EFM998" s="104"/>
      <c r="EFN998" s="103"/>
      <c r="EFZ998" s="104"/>
      <c r="EGA998" s="103"/>
      <c r="EGM998" s="104"/>
      <c r="EGN998" s="103"/>
      <c r="EGZ998" s="104"/>
      <c r="EHA998" s="103"/>
      <c r="EHM998" s="104"/>
      <c r="EHN998" s="103"/>
      <c r="EHZ998" s="104"/>
      <c r="EIA998" s="103"/>
      <c r="EIM998" s="104"/>
      <c r="EIN998" s="103"/>
      <c r="EIZ998" s="104"/>
      <c r="EJA998" s="103"/>
      <c r="EJM998" s="104"/>
      <c r="EJN998" s="103"/>
      <c r="EJZ998" s="104"/>
      <c r="EKA998" s="103"/>
      <c r="EKM998" s="104"/>
      <c r="EKN998" s="103"/>
      <c r="EKZ998" s="104"/>
      <c r="ELA998" s="103"/>
      <c r="ELM998" s="104"/>
      <c r="ELN998" s="103"/>
      <c r="ELZ998" s="104"/>
      <c r="EMA998" s="103"/>
      <c r="EMM998" s="104"/>
      <c r="EMN998" s="103"/>
      <c r="EMZ998" s="104"/>
      <c r="ENA998" s="103"/>
      <c r="ENM998" s="104"/>
      <c r="ENN998" s="103"/>
      <c r="ENZ998" s="104"/>
      <c r="EOA998" s="103"/>
      <c r="EOM998" s="104"/>
      <c r="EON998" s="103"/>
      <c r="EOZ998" s="104"/>
      <c r="EPA998" s="103"/>
      <c r="EPM998" s="104"/>
      <c r="EPN998" s="103"/>
      <c r="EPZ998" s="104"/>
      <c r="EQA998" s="103"/>
      <c r="EQM998" s="104"/>
      <c r="EQN998" s="103"/>
      <c r="EQZ998" s="104"/>
      <c r="ERA998" s="103"/>
      <c r="ERM998" s="104"/>
      <c r="ERN998" s="103"/>
      <c r="ERZ998" s="104"/>
      <c r="ESA998" s="103"/>
      <c r="ESM998" s="104"/>
      <c r="ESN998" s="103"/>
      <c r="ESZ998" s="104"/>
      <c r="ETA998" s="103"/>
      <c r="ETM998" s="104"/>
      <c r="ETN998" s="103"/>
      <c r="ETZ998" s="104"/>
      <c r="EUA998" s="103"/>
      <c r="EUM998" s="104"/>
      <c r="EUN998" s="103"/>
      <c r="EUZ998" s="104"/>
      <c r="EVA998" s="103"/>
      <c r="EVM998" s="104"/>
      <c r="EVN998" s="103"/>
      <c r="EVZ998" s="104"/>
      <c r="EWA998" s="103"/>
      <c r="EWM998" s="104"/>
      <c r="EWN998" s="103"/>
      <c r="EWZ998" s="104"/>
      <c r="EXA998" s="103"/>
      <c r="EXM998" s="104"/>
      <c r="EXN998" s="103"/>
      <c r="EXZ998" s="104"/>
      <c r="EYA998" s="103"/>
      <c r="EYM998" s="104"/>
      <c r="EYN998" s="103"/>
      <c r="EYZ998" s="104"/>
      <c r="EZA998" s="103"/>
      <c r="EZM998" s="104"/>
      <c r="EZN998" s="103"/>
      <c r="EZZ998" s="104"/>
      <c r="FAA998" s="103"/>
      <c r="FAM998" s="104"/>
      <c r="FAN998" s="103"/>
      <c r="FAZ998" s="104"/>
      <c r="FBA998" s="103"/>
      <c r="FBM998" s="104"/>
      <c r="FBN998" s="103"/>
      <c r="FBZ998" s="104"/>
      <c r="FCA998" s="103"/>
      <c r="FCM998" s="104"/>
      <c r="FCN998" s="103"/>
      <c r="FCZ998" s="104"/>
      <c r="FDA998" s="103"/>
      <c r="FDM998" s="104"/>
      <c r="FDN998" s="103"/>
      <c r="FDZ998" s="104"/>
      <c r="FEA998" s="103"/>
      <c r="FEM998" s="104"/>
      <c r="FEN998" s="103"/>
      <c r="FEZ998" s="104"/>
      <c r="FFA998" s="103"/>
      <c r="FFM998" s="104"/>
      <c r="FFN998" s="103"/>
      <c r="FFZ998" s="104"/>
      <c r="FGA998" s="103"/>
      <c r="FGM998" s="104"/>
      <c r="FGN998" s="103"/>
      <c r="FGZ998" s="104"/>
      <c r="FHA998" s="103"/>
      <c r="FHM998" s="104"/>
      <c r="FHN998" s="103"/>
      <c r="FHZ998" s="104"/>
      <c r="FIA998" s="103"/>
      <c r="FIM998" s="104"/>
      <c r="FIN998" s="103"/>
      <c r="FIZ998" s="104"/>
      <c r="FJA998" s="103"/>
      <c r="FJM998" s="104"/>
      <c r="FJN998" s="103"/>
      <c r="FJZ998" s="104"/>
      <c r="FKA998" s="103"/>
      <c r="FKM998" s="104"/>
      <c r="FKN998" s="103"/>
      <c r="FKZ998" s="104"/>
      <c r="FLA998" s="103"/>
      <c r="FLM998" s="104"/>
      <c r="FLN998" s="103"/>
      <c r="FLZ998" s="104"/>
      <c r="FMA998" s="103"/>
      <c r="FMM998" s="104"/>
      <c r="FMN998" s="103"/>
      <c r="FMZ998" s="104"/>
      <c r="FNA998" s="103"/>
      <c r="FNM998" s="104"/>
      <c r="FNN998" s="103"/>
      <c r="FNZ998" s="104"/>
      <c r="FOA998" s="103"/>
      <c r="FOM998" s="104"/>
      <c r="FON998" s="103"/>
      <c r="FOZ998" s="104"/>
      <c r="FPA998" s="103"/>
      <c r="FPM998" s="104"/>
      <c r="FPN998" s="103"/>
      <c r="FPZ998" s="104"/>
      <c r="FQA998" s="103"/>
      <c r="FQM998" s="104"/>
      <c r="FQN998" s="103"/>
      <c r="FQZ998" s="104"/>
      <c r="FRA998" s="103"/>
      <c r="FRM998" s="104"/>
      <c r="FRN998" s="103"/>
      <c r="FRZ998" s="104"/>
      <c r="FSA998" s="103"/>
      <c r="FSM998" s="104"/>
      <c r="FSN998" s="103"/>
      <c r="FSZ998" s="104"/>
      <c r="FTA998" s="103"/>
      <c r="FTM998" s="104"/>
      <c r="FTN998" s="103"/>
      <c r="FTZ998" s="104"/>
      <c r="FUA998" s="103"/>
      <c r="FUM998" s="104"/>
      <c r="FUN998" s="103"/>
      <c r="FUZ998" s="104"/>
      <c r="FVA998" s="103"/>
      <c r="FVM998" s="104"/>
      <c r="FVN998" s="103"/>
      <c r="FVZ998" s="104"/>
      <c r="FWA998" s="103"/>
      <c r="FWM998" s="104"/>
      <c r="FWN998" s="103"/>
      <c r="FWZ998" s="104"/>
      <c r="FXA998" s="103"/>
      <c r="FXM998" s="104"/>
      <c r="FXN998" s="103"/>
      <c r="FXZ998" s="104"/>
      <c r="FYA998" s="103"/>
      <c r="FYM998" s="104"/>
      <c r="FYN998" s="103"/>
      <c r="FYZ998" s="104"/>
      <c r="FZA998" s="103"/>
      <c r="FZM998" s="104"/>
      <c r="FZN998" s="103"/>
      <c r="FZZ998" s="104"/>
      <c r="GAA998" s="103"/>
      <c r="GAM998" s="104"/>
      <c r="GAN998" s="103"/>
      <c r="GAZ998" s="104"/>
      <c r="GBA998" s="103"/>
      <c r="GBM998" s="104"/>
      <c r="GBN998" s="103"/>
      <c r="GBZ998" s="104"/>
      <c r="GCA998" s="103"/>
      <c r="GCM998" s="104"/>
      <c r="GCN998" s="103"/>
      <c r="GCZ998" s="104"/>
      <c r="GDA998" s="103"/>
      <c r="GDM998" s="104"/>
      <c r="GDN998" s="103"/>
      <c r="GDZ998" s="104"/>
      <c r="GEA998" s="103"/>
      <c r="GEM998" s="104"/>
      <c r="GEN998" s="103"/>
      <c r="GEZ998" s="104"/>
      <c r="GFA998" s="103"/>
      <c r="GFM998" s="104"/>
      <c r="GFN998" s="103"/>
      <c r="GFZ998" s="104"/>
      <c r="GGA998" s="103"/>
      <c r="GGM998" s="104"/>
      <c r="GGN998" s="103"/>
      <c r="GGZ998" s="104"/>
      <c r="GHA998" s="103"/>
      <c r="GHM998" s="104"/>
      <c r="GHN998" s="103"/>
      <c r="GHZ998" s="104"/>
      <c r="GIA998" s="103"/>
      <c r="GIM998" s="104"/>
      <c r="GIN998" s="103"/>
      <c r="GIZ998" s="104"/>
      <c r="GJA998" s="103"/>
      <c r="GJM998" s="104"/>
      <c r="GJN998" s="103"/>
      <c r="GJZ998" s="104"/>
      <c r="GKA998" s="103"/>
      <c r="GKM998" s="104"/>
      <c r="GKN998" s="103"/>
      <c r="GKZ998" s="104"/>
      <c r="GLA998" s="103"/>
      <c r="GLM998" s="104"/>
      <c r="GLN998" s="103"/>
      <c r="GLZ998" s="104"/>
      <c r="GMA998" s="103"/>
      <c r="GMM998" s="104"/>
      <c r="GMN998" s="103"/>
      <c r="GMZ998" s="104"/>
      <c r="GNA998" s="103"/>
      <c r="GNM998" s="104"/>
      <c r="GNN998" s="103"/>
      <c r="GNZ998" s="104"/>
      <c r="GOA998" s="103"/>
      <c r="GOM998" s="104"/>
      <c r="GON998" s="103"/>
      <c r="GOZ998" s="104"/>
      <c r="GPA998" s="103"/>
      <c r="GPM998" s="104"/>
      <c r="GPN998" s="103"/>
      <c r="GPZ998" s="104"/>
      <c r="GQA998" s="103"/>
      <c r="GQM998" s="104"/>
      <c r="GQN998" s="103"/>
      <c r="GQZ998" s="104"/>
      <c r="GRA998" s="103"/>
      <c r="GRM998" s="104"/>
      <c r="GRN998" s="103"/>
      <c r="GRZ998" s="104"/>
      <c r="GSA998" s="103"/>
      <c r="GSM998" s="104"/>
      <c r="GSN998" s="103"/>
      <c r="GSZ998" s="104"/>
      <c r="GTA998" s="103"/>
      <c r="GTM998" s="104"/>
      <c r="GTN998" s="103"/>
      <c r="GTZ998" s="104"/>
      <c r="GUA998" s="103"/>
      <c r="GUM998" s="104"/>
      <c r="GUN998" s="103"/>
      <c r="GUZ998" s="104"/>
      <c r="GVA998" s="103"/>
      <c r="GVM998" s="104"/>
      <c r="GVN998" s="103"/>
      <c r="GVZ998" s="104"/>
      <c r="GWA998" s="103"/>
      <c r="GWM998" s="104"/>
      <c r="GWN998" s="103"/>
      <c r="GWZ998" s="104"/>
      <c r="GXA998" s="103"/>
      <c r="GXM998" s="104"/>
      <c r="GXN998" s="103"/>
      <c r="GXZ998" s="104"/>
      <c r="GYA998" s="103"/>
      <c r="GYM998" s="104"/>
      <c r="GYN998" s="103"/>
      <c r="GYZ998" s="104"/>
      <c r="GZA998" s="103"/>
      <c r="GZM998" s="104"/>
      <c r="GZN998" s="103"/>
      <c r="GZZ998" s="104"/>
      <c r="HAA998" s="103"/>
      <c r="HAM998" s="104"/>
      <c r="HAN998" s="103"/>
      <c r="HAZ998" s="104"/>
      <c r="HBA998" s="103"/>
      <c r="HBM998" s="104"/>
      <c r="HBN998" s="103"/>
      <c r="HBZ998" s="104"/>
      <c r="HCA998" s="103"/>
      <c r="HCM998" s="104"/>
      <c r="HCN998" s="103"/>
      <c r="HCZ998" s="104"/>
      <c r="HDA998" s="103"/>
      <c r="HDM998" s="104"/>
      <c r="HDN998" s="103"/>
      <c r="HDZ998" s="104"/>
      <c r="HEA998" s="103"/>
      <c r="HEM998" s="104"/>
      <c r="HEN998" s="103"/>
      <c r="HEZ998" s="104"/>
      <c r="HFA998" s="103"/>
      <c r="HFM998" s="104"/>
      <c r="HFN998" s="103"/>
      <c r="HFZ998" s="104"/>
      <c r="HGA998" s="103"/>
      <c r="HGM998" s="104"/>
      <c r="HGN998" s="103"/>
      <c r="HGZ998" s="104"/>
      <c r="HHA998" s="103"/>
      <c r="HHM998" s="104"/>
      <c r="HHN998" s="103"/>
      <c r="HHZ998" s="104"/>
      <c r="HIA998" s="103"/>
      <c r="HIM998" s="104"/>
      <c r="HIN998" s="103"/>
      <c r="HIZ998" s="104"/>
      <c r="HJA998" s="103"/>
      <c r="HJM998" s="104"/>
      <c r="HJN998" s="103"/>
      <c r="HJZ998" s="104"/>
      <c r="HKA998" s="103"/>
      <c r="HKM998" s="104"/>
      <c r="HKN998" s="103"/>
      <c r="HKZ998" s="104"/>
      <c r="HLA998" s="103"/>
      <c r="HLM998" s="104"/>
      <c r="HLN998" s="103"/>
      <c r="HLZ998" s="104"/>
      <c r="HMA998" s="103"/>
      <c r="HMM998" s="104"/>
      <c r="HMN998" s="103"/>
      <c r="HMZ998" s="104"/>
      <c r="HNA998" s="103"/>
      <c r="HNM998" s="104"/>
      <c r="HNN998" s="103"/>
      <c r="HNZ998" s="104"/>
      <c r="HOA998" s="103"/>
      <c r="HOM998" s="104"/>
      <c r="HON998" s="103"/>
      <c r="HOZ998" s="104"/>
      <c r="HPA998" s="103"/>
      <c r="HPM998" s="104"/>
      <c r="HPN998" s="103"/>
      <c r="HPZ998" s="104"/>
      <c r="HQA998" s="103"/>
      <c r="HQM998" s="104"/>
      <c r="HQN998" s="103"/>
      <c r="HQZ998" s="104"/>
      <c r="HRA998" s="103"/>
      <c r="HRM998" s="104"/>
      <c r="HRN998" s="103"/>
      <c r="HRZ998" s="104"/>
      <c r="HSA998" s="103"/>
      <c r="HSM998" s="104"/>
      <c r="HSN998" s="103"/>
      <c r="HSZ998" s="104"/>
      <c r="HTA998" s="103"/>
      <c r="HTM998" s="104"/>
      <c r="HTN998" s="103"/>
      <c r="HTZ998" s="104"/>
      <c r="HUA998" s="103"/>
      <c r="HUM998" s="104"/>
      <c r="HUN998" s="103"/>
      <c r="HUZ998" s="104"/>
      <c r="HVA998" s="103"/>
      <c r="HVM998" s="104"/>
      <c r="HVN998" s="103"/>
      <c r="HVZ998" s="104"/>
      <c r="HWA998" s="103"/>
      <c r="HWM998" s="104"/>
      <c r="HWN998" s="103"/>
      <c r="HWZ998" s="104"/>
      <c r="HXA998" s="103"/>
      <c r="HXM998" s="104"/>
      <c r="HXN998" s="103"/>
      <c r="HXZ998" s="104"/>
      <c r="HYA998" s="103"/>
      <c r="HYM998" s="104"/>
      <c r="HYN998" s="103"/>
      <c r="HYZ998" s="104"/>
      <c r="HZA998" s="103"/>
      <c r="HZM998" s="104"/>
      <c r="HZN998" s="103"/>
      <c r="HZZ998" s="104"/>
      <c r="IAA998" s="103"/>
      <c r="IAM998" s="104"/>
      <c r="IAN998" s="103"/>
      <c r="IAZ998" s="104"/>
      <c r="IBA998" s="103"/>
      <c r="IBM998" s="104"/>
      <c r="IBN998" s="103"/>
      <c r="IBZ998" s="104"/>
      <c r="ICA998" s="103"/>
      <c r="ICM998" s="104"/>
      <c r="ICN998" s="103"/>
      <c r="ICZ998" s="104"/>
      <c r="IDA998" s="103"/>
      <c r="IDM998" s="104"/>
      <c r="IDN998" s="103"/>
      <c r="IDZ998" s="104"/>
      <c r="IEA998" s="103"/>
      <c r="IEM998" s="104"/>
      <c r="IEN998" s="103"/>
      <c r="IEZ998" s="104"/>
      <c r="IFA998" s="103"/>
      <c r="IFM998" s="104"/>
      <c r="IFN998" s="103"/>
      <c r="IFZ998" s="104"/>
      <c r="IGA998" s="103"/>
      <c r="IGM998" s="104"/>
      <c r="IGN998" s="103"/>
      <c r="IGZ998" s="104"/>
      <c r="IHA998" s="103"/>
      <c r="IHM998" s="104"/>
      <c r="IHN998" s="103"/>
      <c r="IHZ998" s="104"/>
      <c r="IIA998" s="103"/>
      <c r="IIM998" s="104"/>
      <c r="IIN998" s="103"/>
      <c r="IIZ998" s="104"/>
      <c r="IJA998" s="103"/>
      <c r="IJM998" s="104"/>
      <c r="IJN998" s="103"/>
      <c r="IJZ998" s="104"/>
      <c r="IKA998" s="103"/>
      <c r="IKM998" s="104"/>
      <c r="IKN998" s="103"/>
      <c r="IKZ998" s="104"/>
      <c r="ILA998" s="103"/>
      <c r="ILM998" s="104"/>
      <c r="ILN998" s="103"/>
      <c r="ILZ998" s="104"/>
      <c r="IMA998" s="103"/>
      <c r="IMM998" s="104"/>
      <c r="IMN998" s="103"/>
      <c r="IMZ998" s="104"/>
      <c r="INA998" s="103"/>
      <c r="INM998" s="104"/>
      <c r="INN998" s="103"/>
      <c r="INZ998" s="104"/>
      <c r="IOA998" s="103"/>
      <c r="IOM998" s="104"/>
      <c r="ION998" s="103"/>
      <c r="IOZ998" s="104"/>
      <c r="IPA998" s="103"/>
      <c r="IPM998" s="104"/>
      <c r="IPN998" s="103"/>
      <c r="IPZ998" s="104"/>
      <c r="IQA998" s="103"/>
      <c r="IQM998" s="104"/>
      <c r="IQN998" s="103"/>
      <c r="IQZ998" s="104"/>
      <c r="IRA998" s="103"/>
      <c r="IRM998" s="104"/>
      <c r="IRN998" s="103"/>
      <c r="IRZ998" s="104"/>
      <c r="ISA998" s="103"/>
      <c r="ISM998" s="104"/>
      <c r="ISN998" s="103"/>
      <c r="ISZ998" s="104"/>
      <c r="ITA998" s="103"/>
      <c r="ITM998" s="104"/>
      <c r="ITN998" s="103"/>
      <c r="ITZ998" s="104"/>
      <c r="IUA998" s="103"/>
      <c r="IUM998" s="104"/>
      <c r="IUN998" s="103"/>
      <c r="IUZ998" s="104"/>
      <c r="IVA998" s="103"/>
      <c r="IVM998" s="104"/>
      <c r="IVN998" s="103"/>
      <c r="IVZ998" s="104"/>
      <c r="IWA998" s="103"/>
      <c r="IWM998" s="104"/>
      <c r="IWN998" s="103"/>
      <c r="IWZ998" s="104"/>
      <c r="IXA998" s="103"/>
      <c r="IXM998" s="104"/>
      <c r="IXN998" s="103"/>
      <c r="IXZ998" s="104"/>
      <c r="IYA998" s="103"/>
      <c r="IYM998" s="104"/>
      <c r="IYN998" s="103"/>
      <c r="IYZ998" s="104"/>
      <c r="IZA998" s="103"/>
      <c r="IZM998" s="104"/>
      <c r="IZN998" s="103"/>
      <c r="IZZ998" s="104"/>
      <c r="JAA998" s="103"/>
      <c r="JAM998" s="104"/>
      <c r="JAN998" s="103"/>
      <c r="JAZ998" s="104"/>
      <c r="JBA998" s="103"/>
      <c r="JBM998" s="104"/>
      <c r="JBN998" s="103"/>
      <c r="JBZ998" s="104"/>
      <c r="JCA998" s="103"/>
      <c r="JCM998" s="104"/>
      <c r="JCN998" s="103"/>
      <c r="JCZ998" s="104"/>
      <c r="JDA998" s="103"/>
      <c r="JDM998" s="104"/>
      <c r="JDN998" s="103"/>
      <c r="JDZ998" s="104"/>
      <c r="JEA998" s="103"/>
      <c r="JEM998" s="104"/>
      <c r="JEN998" s="103"/>
      <c r="JEZ998" s="104"/>
      <c r="JFA998" s="103"/>
      <c r="JFM998" s="104"/>
      <c r="JFN998" s="103"/>
      <c r="JFZ998" s="104"/>
      <c r="JGA998" s="103"/>
      <c r="JGM998" s="104"/>
      <c r="JGN998" s="103"/>
      <c r="JGZ998" s="104"/>
      <c r="JHA998" s="103"/>
      <c r="JHM998" s="104"/>
      <c r="JHN998" s="103"/>
      <c r="JHZ998" s="104"/>
      <c r="JIA998" s="103"/>
      <c r="JIM998" s="104"/>
      <c r="JIN998" s="103"/>
      <c r="JIZ998" s="104"/>
      <c r="JJA998" s="103"/>
      <c r="JJM998" s="104"/>
      <c r="JJN998" s="103"/>
      <c r="JJZ998" s="104"/>
      <c r="JKA998" s="103"/>
      <c r="JKM998" s="104"/>
      <c r="JKN998" s="103"/>
      <c r="JKZ998" s="104"/>
      <c r="JLA998" s="103"/>
      <c r="JLM998" s="104"/>
      <c r="JLN998" s="103"/>
      <c r="JLZ998" s="104"/>
      <c r="JMA998" s="103"/>
      <c r="JMM998" s="104"/>
      <c r="JMN998" s="103"/>
      <c r="JMZ998" s="104"/>
      <c r="JNA998" s="103"/>
      <c r="JNM998" s="104"/>
      <c r="JNN998" s="103"/>
      <c r="JNZ998" s="104"/>
      <c r="JOA998" s="103"/>
      <c r="JOM998" s="104"/>
      <c r="JON998" s="103"/>
      <c r="JOZ998" s="104"/>
      <c r="JPA998" s="103"/>
      <c r="JPM998" s="104"/>
      <c r="JPN998" s="103"/>
      <c r="JPZ998" s="104"/>
      <c r="JQA998" s="103"/>
      <c r="JQM998" s="104"/>
      <c r="JQN998" s="103"/>
      <c r="JQZ998" s="104"/>
      <c r="JRA998" s="103"/>
      <c r="JRM998" s="104"/>
      <c r="JRN998" s="103"/>
      <c r="JRZ998" s="104"/>
      <c r="JSA998" s="103"/>
      <c r="JSM998" s="104"/>
      <c r="JSN998" s="103"/>
      <c r="JSZ998" s="104"/>
      <c r="JTA998" s="103"/>
      <c r="JTM998" s="104"/>
      <c r="JTN998" s="103"/>
      <c r="JTZ998" s="104"/>
      <c r="JUA998" s="103"/>
      <c r="JUM998" s="104"/>
      <c r="JUN998" s="103"/>
      <c r="JUZ998" s="104"/>
      <c r="JVA998" s="103"/>
      <c r="JVM998" s="104"/>
      <c r="JVN998" s="103"/>
      <c r="JVZ998" s="104"/>
      <c r="JWA998" s="103"/>
      <c r="JWM998" s="104"/>
      <c r="JWN998" s="103"/>
      <c r="JWZ998" s="104"/>
      <c r="JXA998" s="103"/>
      <c r="JXM998" s="104"/>
      <c r="JXN998" s="103"/>
      <c r="JXZ998" s="104"/>
      <c r="JYA998" s="103"/>
      <c r="JYM998" s="104"/>
      <c r="JYN998" s="103"/>
      <c r="JYZ998" s="104"/>
      <c r="JZA998" s="103"/>
      <c r="JZM998" s="104"/>
      <c r="JZN998" s="103"/>
      <c r="JZZ998" s="104"/>
      <c r="KAA998" s="103"/>
      <c r="KAM998" s="104"/>
      <c r="KAN998" s="103"/>
      <c r="KAZ998" s="104"/>
      <c r="KBA998" s="103"/>
      <c r="KBM998" s="104"/>
      <c r="KBN998" s="103"/>
      <c r="KBZ998" s="104"/>
      <c r="KCA998" s="103"/>
      <c r="KCM998" s="104"/>
      <c r="KCN998" s="103"/>
      <c r="KCZ998" s="104"/>
      <c r="KDA998" s="103"/>
      <c r="KDM998" s="104"/>
      <c r="KDN998" s="103"/>
      <c r="KDZ998" s="104"/>
      <c r="KEA998" s="103"/>
      <c r="KEM998" s="104"/>
      <c r="KEN998" s="103"/>
      <c r="KEZ998" s="104"/>
      <c r="KFA998" s="103"/>
      <c r="KFM998" s="104"/>
      <c r="KFN998" s="103"/>
      <c r="KFZ998" s="104"/>
      <c r="KGA998" s="103"/>
      <c r="KGM998" s="104"/>
      <c r="KGN998" s="103"/>
      <c r="KGZ998" s="104"/>
      <c r="KHA998" s="103"/>
      <c r="KHM998" s="104"/>
      <c r="KHN998" s="103"/>
      <c r="KHZ998" s="104"/>
      <c r="KIA998" s="103"/>
      <c r="KIM998" s="104"/>
      <c r="KIN998" s="103"/>
      <c r="KIZ998" s="104"/>
      <c r="KJA998" s="103"/>
      <c r="KJM998" s="104"/>
      <c r="KJN998" s="103"/>
      <c r="KJZ998" s="104"/>
      <c r="KKA998" s="103"/>
      <c r="KKM998" s="104"/>
      <c r="KKN998" s="103"/>
      <c r="KKZ998" s="104"/>
      <c r="KLA998" s="103"/>
      <c r="KLM998" s="104"/>
      <c r="KLN998" s="103"/>
      <c r="KLZ998" s="104"/>
      <c r="KMA998" s="103"/>
      <c r="KMM998" s="104"/>
      <c r="KMN998" s="103"/>
      <c r="KMZ998" s="104"/>
      <c r="KNA998" s="103"/>
      <c r="KNM998" s="104"/>
      <c r="KNN998" s="103"/>
      <c r="KNZ998" s="104"/>
      <c r="KOA998" s="103"/>
      <c r="KOM998" s="104"/>
      <c r="KON998" s="103"/>
      <c r="KOZ998" s="104"/>
      <c r="KPA998" s="103"/>
      <c r="KPM998" s="104"/>
      <c r="KPN998" s="103"/>
      <c r="KPZ998" s="104"/>
      <c r="KQA998" s="103"/>
      <c r="KQM998" s="104"/>
      <c r="KQN998" s="103"/>
      <c r="KQZ998" s="104"/>
      <c r="KRA998" s="103"/>
      <c r="KRM998" s="104"/>
      <c r="KRN998" s="103"/>
      <c r="KRZ998" s="104"/>
      <c r="KSA998" s="103"/>
      <c r="KSM998" s="104"/>
      <c r="KSN998" s="103"/>
      <c r="KSZ998" s="104"/>
      <c r="KTA998" s="103"/>
      <c r="KTM998" s="104"/>
      <c r="KTN998" s="103"/>
      <c r="KTZ998" s="104"/>
      <c r="KUA998" s="103"/>
      <c r="KUM998" s="104"/>
      <c r="KUN998" s="103"/>
      <c r="KUZ998" s="104"/>
      <c r="KVA998" s="103"/>
      <c r="KVM998" s="104"/>
      <c r="KVN998" s="103"/>
      <c r="KVZ998" s="104"/>
      <c r="KWA998" s="103"/>
      <c r="KWM998" s="104"/>
      <c r="KWN998" s="103"/>
      <c r="KWZ998" s="104"/>
      <c r="KXA998" s="103"/>
      <c r="KXM998" s="104"/>
      <c r="KXN998" s="103"/>
      <c r="KXZ998" s="104"/>
      <c r="KYA998" s="103"/>
      <c r="KYM998" s="104"/>
      <c r="KYN998" s="103"/>
      <c r="KYZ998" s="104"/>
      <c r="KZA998" s="103"/>
      <c r="KZM998" s="104"/>
      <c r="KZN998" s="103"/>
      <c r="KZZ998" s="104"/>
      <c r="LAA998" s="103"/>
      <c r="LAM998" s="104"/>
      <c r="LAN998" s="103"/>
      <c r="LAZ998" s="104"/>
      <c r="LBA998" s="103"/>
      <c r="LBM998" s="104"/>
      <c r="LBN998" s="103"/>
      <c r="LBZ998" s="104"/>
      <c r="LCA998" s="103"/>
      <c r="LCM998" s="104"/>
      <c r="LCN998" s="103"/>
      <c r="LCZ998" s="104"/>
      <c r="LDA998" s="103"/>
      <c r="LDM998" s="104"/>
      <c r="LDN998" s="103"/>
      <c r="LDZ998" s="104"/>
      <c r="LEA998" s="103"/>
      <c r="LEM998" s="104"/>
      <c r="LEN998" s="103"/>
      <c r="LEZ998" s="104"/>
      <c r="LFA998" s="103"/>
      <c r="LFM998" s="104"/>
      <c r="LFN998" s="103"/>
      <c r="LFZ998" s="104"/>
      <c r="LGA998" s="103"/>
      <c r="LGM998" s="104"/>
      <c r="LGN998" s="103"/>
      <c r="LGZ998" s="104"/>
      <c r="LHA998" s="103"/>
      <c r="LHM998" s="104"/>
      <c r="LHN998" s="103"/>
      <c r="LHZ998" s="104"/>
      <c r="LIA998" s="103"/>
      <c r="LIM998" s="104"/>
      <c r="LIN998" s="103"/>
      <c r="LIZ998" s="104"/>
      <c r="LJA998" s="103"/>
      <c r="LJM998" s="104"/>
      <c r="LJN998" s="103"/>
      <c r="LJZ998" s="104"/>
      <c r="LKA998" s="103"/>
      <c r="LKM998" s="104"/>
      <c r="LKN998" s="103"/>
      <c r="LKZ998" s="104"/>
      <c r="LLA998" s="103"/>
      <c r="LLM998" s="104"/>
      <c r="LLN998" s="103"/>
      <c r="LLZ998" s="104"/>
      <c r="LMA998" s="103"/>
      <c r="LMM998" s="104"/>
      <c r="LMN998" s="103"/>
      <c r="LMZ998" s="104"/>
      <c r="LNA998" s="103"/>
      <c r="LNM998" s="104"/>
      <c r="LNN998" s="103"/>
      <c r="LNZ998" s="104"/>
      <c r="LOA998" s="103"/>
      <c r="LOM998" s="104"/>
      <c r="LON998" s="103"/>
      <c r="LOZ998" s="104"/>
      <c r="LPA998" s="103"/>
      <c r="LPM998" s="104"/>
      <c r="LPN998" s="103"/>
      <c r="LPZ998" s="104"/>
      <c r="LQA998" s="103"/>
      <c r="LQM998" s="104"/>
      <c r="LQN998" s="103"/>
      <c r="LQZ998" s="104"/>
      <c r="LRA998" s="103"/>
      <c r="LRM998" s="104"/>
      <c r="LRN998" s="103"/>
      <c r="LRZ998" s="104"/>
      <c r="LSA998" s="103"/>
      <c r="LSM998" s="104"/>
      <c r="LSN998" s="103"/>
      <c r="LSZ998" s="104"/>
      <c r="LTA998" s="103"/>
      <c r="LTM998" s="104"/>
      <c r="LTN998" s="103"/>
      <c r="LTZ998" s="104"/>
      <c r="LUA998" s="103"/>
      <c r="LUM998" s="104"/>
      <c r="LUN998" s="103"/>
      <c r="LUZ998" s="104"/>
      <c r="LVA998" s="103"/>
      <c r="LVM998" s="104"/>
      <c r="LVN998" s="103"/>
      <c r="LVZ998" s="104"/>
      <c r="LWA998" s="103"/>
      <c r="LWM998" s="104"/>
      <c r="LWN998" s="103"/>
      <c r="LWZ998" s="104"/>
      <c r="LXA998" s="103"/>
      <c r="LXM998" s="104"/>
      <c r="LXN998" s="103"/>
      <c r="LXZ998" s="104"/>
      <c r="LYA998" s="103"/>
      <c r="LYM998" s="104"/>
      <c r="LYN998" s="103"/>
      <c r="LYZ998" s="104"/>
      <c r="LZA998" s="103"/>
      <c r="LZM998" s="104"/>
      <c r="LZN998" s="103"/>
      <c r="LZZ998" s="104"/>
      <c r="MAA998" s="103"/>
      <c r="MAM998" s="104"/>
      <c r="MAN998" s="103"/>
      <c r="MAZ998" s="104"/>
      <c r="MBA998" s="103"/>
      <c r="MBM998" s="104"/>
      <c r="MBN998" s="103"/>
      <c r="MBZ998" s="104"/>
      <c r="MCA998" s="103"/>
      <c r="MCM998" s="104"/>
      <c r="MCN998" s="103"/>
      <c r="MCZ998" s="104"/>
      <c r="MDA998" s="103"/>
      <c r="MDM998" s="104"/>
      <c r="MDN998" s="103"/>
      <c r="MDZ998" s="104"/>
      <c r="MEA998" s="103"/>
      <c r="MEM998" s="104"/>
      <c r="MEN998" s="103"/>
      <c r="MEZ998" s="104"/>
      <c r="MFA998" s="103"/>
      <c r="MFM998" s="104"/>
      <c r="MFN998" s="103"/>
      <c r="MFZ998" s="104"/>
      <c r="MGA998" s="103"/>
      <c r="MGM998" s="104"/>
      <c r="MGN998" s="103"/>
      <c r="MGZ998" s="104"/>
      <c r="MHA998" s="103"/>
      <c r="MHM998" s="104"/>
      <c r="MHN998" s="103"/>
      <c r="MHZ998" s="104"/>
      <c r="MIA998" s="103"/>
      <c r="MIM998" s="104"/>
      <c r="MIN998" s="103"/>
      <c r="MIZ998" s="104"/>
      <c r="MJA998" s="103"/>
      <c r="MJM998" s="104"/>
      <c r="MJN998" s="103"/>
      <c r="MJZ998" s="104"/>
      <c r="MKA998" s="103"/>
      <c r="MKM998" s="104"/>
      <c r="MKN998" s="103"/>
      <c r="MKZ998" s="104"/>
      <c r="MLA998" s="103"/>
      <c r="MLM998" s="104"/>
      <c r="MLN998" s="103"/>
      <c r="MLZ998" s="104"/>
      <c r="MMA998" s="103"/>
      <c r="MMM998" s="104"/>
      <c r="MMN998" s="103"/>
      <c r="MMZ998" s="104"/>
      <c r="MNA998" s="103"/>
      <c r="MNM998" s="104"/>
      <c r="MNN998" s="103"/>
      <c r="MNZ998" s="104"/>
      <c r="MOA998" s="103"/>
      <c r="MOM998" s="104"/>
      <c r="MON998" s="103"/>
      <c r="MOZ998" s="104"/>
      <c r="MPA998" s="103"/>
      <c r="MPM998" s="104"/>
      <c r="MPN998" s="103"/>
      <c r="MPZ998" s="104"/>
      <c r="MQA998" s="103"/>
      <c r="MQM998" s="104"/>
      <c r="MQN998" s="103"/>
      <c r="MQZ998" s="104"/>
      <c r="MRA998" s="103"/>
      <c r="MRM998" s="104"/>
      <c r="MRN998" s="103"/>
      <c r="MRZ998" s="104"/>
      <c r="MSA998" s="103"/>
      <c r="MSM998" s="104"/>
      <c r="MSN998" s="103"/>
      <c r="MSZ998" s="104"/>
      <c r="MTA998" s="103"/>
      <c r="MTM998" s="104"/>
      <c r="MTN998" s="103"/>
      <c r="MTZ998" s="104"/>
      <c r="MUA998" s="103"/>
      <c r="MUM998" s="104"/>
      <c r="MUN998" s="103"/>
      <c r="MUZ998" s="104"/>
      <c r="MVA998" s="103"/>
      <c r="MVM998" s="104"/>
      <c r="MVN998" s="103"/>
      <c r="MVZ998" s="104"/>
      <c r="MWA998" s="103"/>
      <c r="MWM998" s="104"/>
      <c r="MWN998" s="103"/>
      <c r="MWZ998" s="104"/>
      <c r="MXA998" s="103"/>
      <c r="MXM998" s="104"/>
      <c r="MXN998" s="103"/>
      <c r="MXZ998" s="104"/>
      <c r="MYA998" s="103"/>
      <c r="MYM998" s="104"/>
      <c r="MYN998" s="103"/>
      <c r="MYZ998" s="104"/>
      <c r="MZA998" s="103"/>
      <c r="MZM998" s="104"/>
      <c r="MZN998" s="103"/>
      <c r="MZZ998" s="104"/>
      <c r="NAA998" s="103"/>
      <c r="NAM998" s="104"/>
      <c r="NAN998" s="103"/>
      <c r="NAZ998" s="104"/>
      <c r="NBA998" s="103"/>
      <c r="NBM998" s="104"/>
      <c r="NBN998" s="103"/>
      <c r="NBZ998" s="104"/>
      <c r="NCA998" s="103"/>
      <c r="NCM998" s="104"/>
      <c r="NCN998" s="103"/>
      <c r="NCZ998" s="104"/>
      <c r="NDA998" s="103"/>
      <c r="NDM998" s="104"/>
      <c r="NDN998" s="103"/>
      <c r="NDZ998" s="104"/>
      <c r="NEA998" s="103"/>
      <c r="NEM998" s="104"/>
      <c r="NEN998" s="103"/>
      <c r="NEZ998" s="104"/>
      <c r="NFA998" s="103"/>
      <c r="NFM998" s="104"/>
      <c r="NFN998" s="103"/>
      <c r="NFZ998" s="104"/>
      <c r="NGA998" s="103"/>
      <c r="NGM998" s="104"/>
      <c r="NGN998" s="103"/>
      <c r="NGZ998" s="104"/>
      <c r="NHA998" s="103"/>
      <c r="NHM998" s="104"/>
      <c r="NHN998" s="103"/>
      <c r="NHZ998" s="104"/>
      <c r="NIA998" s="103"/>
      <c r="NIM998" s="104"/>
      <c r="NIN998" s="103"/>
      <c r="NIZ998" s="104"/>
      <c r="NJA998" s="103"/>
      <c r="NJM998" s="104"/>
      <c r="NJN998" s="103"/>
      <c r="NJZ998" s="104"/>
      <c r="NKA998" s="103"/>
      <c r="NKM998" s="104"/>
      <c r="NKN998" s="103"/>
      <c r="NKZ998" s="104"/>
      <c r="NLA998" s="103"/>
      <c r="NLM998" s="104"/>
      <c r="NLN998" s="103"/>
      <c r="NLZ998" s="104"/>
      <c r="NMA998" s="103"/>
      <c r="NMM998" s="104"/>
      <c r="NMN998" s="103"/>
      <c r="NMZ998" s="104"/>
      <c r="NNA998" s="103"/>
      <c r="NNM998" s="104"/>
      <c r="NNN998" s="103"/>
      <c r="NNZ998" s="104"/>
      <c r="NOA998" s="103"/>
      <c r="NOM998" s="104"/>
      <c r="NON998" s="103"/>
      <c r="NOZ998" s="104"/>
      <c r="NPA998" s="103"/>
      <c r="NPM998" s="104"/>
      <c r="NPN998" s="103"/>
      <c r="NPZ998" s="104"/>
      <c r="NQA998" s="103"/>
      <c r="NQM998" s="104"/>
      <c r="NQN998" s="103"/>
      <c r="NQZ998" s="104"/>
      <c r="NRA998" s="103"/>
      <c r="NRM998" s="104"/>
      <c r="NRN998" s="103"/>
      <c r="NRZ998" s="104"/>
      <c r="NSA998" s="103"/>
      <c r="NSM998" s="104"/>
      <c r="NSN998" s="103"/>
      <c r="NSZ998" s="104"/>
      <c r="NTA998" s="103"/>
      <c r="NTM998" s="104"/>
      <c r="NTN998" s="103"/>
      <c r="NTZ998" s="104"/>
      <c r="NUA998" s="103"/>
      <c r="NUM998" s="104"/>
      <c r="NUN998" s="103"/>
      <c r="NUZ998" s="104"/>
      <c r="NVA998" s="103"/>
      <c r="NVM998" s="104"/>
      <c r="NVN998" s="103"/>
      <c r="NVZ998" s="104"/>
      <c r="NWA998" s="103"/>
      <c r="NWM998" s="104"/>
      <c r="NWN998" s="103"/>
      <c r="NWZ998" s="104"/>
      <c r="NXA998" s="103"/>
      <c r="NXM998" s="104"/>
      <c r="NXN998" s="103"/>
      <c r="NXZ998" s="104"/>
      <c r="NYA998" s="103"/>
      <c r="NYM998" s="104"/>
      <c r="NYN998" s="103"/>
      <c r="NYZ998" s="104"/>
      <c r="NZA998" s="103"/>
      <c r="NZM998" s="104"/>
      <c r="NZN998" s="103"/>
      <c r="NZZ998" s="104"/>
      <c r="OAA998" s="103"/>
      <c r="OAM998" s="104"/>
      <c r="OAN998" s="103"/>
      <c r="OAZ998" s="104"/>
      <c r="OBA998" s="103"/>
      <c r="OBM998" s="104"/>
      <c r="OBN998" s="103"/>
      <c r="OBZ998" s="104"/>
      <c r="OCA998" s="103"/>
      <c r="OCM998" s="104"/>
      <c r="OCN998" s="103"/>
      <c r="OCZ998" s="104"/>
      <c r="ODA998" s="103"/>
      <c r="ODM998" s="104"/>
      <c r="ODN998" s="103"/>
      <c r="ODZ998" s="104"/>
      <c r="OEA998" s="103"/>
      <c r="OEM998" s="104"/>
      <c r="OEN998" s="103"/>
      <c r="OEZ998" s="104"/>
      <c r="OFA998" s="103"/>
      <c r="OFM998" s="104"/>
      <c r="OFN998" s="103"/>
      <c r="OFZ998" s="104"/>
      <c r="OGA998" s="103"/>
      <c r="OGM998" s="104"/>
      <c r="OGN998" s="103"/>
      <c r="OGZ998" s="104"/>
      <c r="OHA998" s="103"/>
      <c r="OHM998" s="104"/>
      <c r="OHN998" s="103"/>
      <c r="OHZ998" s="104"/>
      <c r="OIA998" s="103"/>
      <c r="OIM998" s="104"/>
      <c r="OIN998" s="103"/>
      <c r="OIZ998" s="104"/>
      <c r="OJA998" s="103"/>
      <c r="OJM998" s="104"/>
      <c r="OJN998" s="103"/>
      <c r="OJZ998" s="104"/>
      <c r="OKA998" s="103"/>
      <c r="OKM998" s="104"/>
      <c r="OKN998" s="103"/>
      <c r="OKZ998" s="104"/>
      <c r="OLA998" s="103"/>
      <c r="OLM998" s="104"/>
      <c r="OLN998" s="103"/>
      <c r="OLZ998" s="104"/>
      <c r="OMA998" s="103"/>
      <c r="OMM998" s="104"/>
      <c r="OMN998" s="103"/>
      <c r="OMZ998" s="104"/>
      <c r="ONA998" s="103"/>
      <c r="ONM998" s="104"/>
      <c r="ONN998" s="103"/>
      <c r="ONZ998" s="104"/>
      <c r="OOA998" s="103"/>
      <c r="OOM998" s="104"/>
      <c r="OON998" s="103"/>
      <c r="OOZ998" s="104"/>
      <c r="OPA998" s="103"/>
      <c r="OPM998" s="104"/>
      <c r="OPN998" s="103"/>
      <c r="OPZ998" s="104"/>
      <c r="OQA998" s="103"/>
      <c r="OQM998" s="104"/>
      <c r="OQN998" s="103"/>
      <c r="OQZ998" s="104"/>
      <c r="ORA998" s="103"/>
      <c r="ORM998" s="104"/>
      <c r="ORN998" s="103"/>
      <c r="ORZ998" s="104"/>
      <c r="OSA998" s="103"/>
      <c r="OSM998" s="104"/>
      <c r="OSN998" s="103"/>
      <c r="OSZ998" s="104"/>
      <c r="OTA998" s="103"/>
      <c r="OTM998" s="104"/>
      <c r="OTN998" s="103"/>
      <c r="OTZ998" s="104"/>
      <c r="OUA998" s="103"/>
      <c r="OUM998" s="104"/>
      <c r="OUN998" s="103"/>
      <c r="OUZ998" s="104"/>
      <c r="OVA998" s="103"/>
      <c r="OVM998" s="104"/>
      <c r="OVN998" s="103"/>
      <c r="OVZ998" s="104"/>
      <c r="OWA998" s="103"/>
      <c r="OWM998" s="104"/>
      <c r="OWN998" s="103"/>
      <c r="OWZ998" s="104"/>
      <c r="OXA998" s="103"/>
      <c r="OXM998" s="104"/>
      <c r="OXN998" s="103"/>
      <c r="OXZ998" s="104"/>
      <c r="OYA998" s="103"/>
      <c r="OYM998" s="104"/>
      <c r="OYN998" s="103"/>
      <c r="OYZ998" s="104"/>
      <c r="OZA998" s="103"/>
      <c r="OZM998" s="104"/>
      <c r="OZN998" s="103"/>
      <c r="OZZ998" s="104"/>
      <c r="PAA998" s="103"/>
      <c r="PAM998" s="104"/>
      <c r="PAN998" s="103"/>
      <c r="PAZ998" s="104"/>
      <c r="PBA998" s="103"/>
      <c r="PBM998" s="104"/>
      <c r="PBN998" s="103"/>
      <c r="PBZ998" s="104"/>
      <c r="PCA998" s="103"/>
      <c r="PCM998" s="104"/>
      <c r="PCN998" s="103"/>
      <c r="PCZ998" s="104"/>
      <c r="PDA998" s="103"/>
      <c r="PDM998" s="104"/>
      <c r="PDN998" s="103"/>
      <c r="PDZ998" s="104"/>
      <c r="PEA998" s="103"/>
      <c r="PEM998" s="104"/>
      <c r="PEN998" s="103"/>
      <c r="PEZ998" s="104"/>
      <c r="PFA998" s="103"/>
      <c r="PFM998" s="104"/>
      <c r="PFN998" s="103"/>
      <c r="PFZ998" s="104"/>
      <c r="PGA998" s="103"/>
      <c r="PGM998" s="104"/>
      <c r="PGN998" s="103"/>
      <c r="PGZ998" s="104"/>
      <c r="PHA998" s="103"/>
      <c r="PHM998" s="104"/>
      <c r="PHN998" s="103"/>
      <c r="PHZ998" s="104"/>
      <c r="PIA998" s="103"/>
      <c r="PIM998" s="104"/>
      <c r="PIN998" s="103"/>
      <c r="PIZ998" s="104"/>
      <c r="PJA998" s="103"/>
      <c r="PJM998" s="104"/>
      <c r="PJN998" s="103"/>
      <c r="PJZ998" s="104"/>
      <c r="PKA998" s="103"/>
      <c r="PKM998" s="104"/>
      <c r="PKN998" s="103"/>
      <c r="PKZ998" s="104"/>
      <c r="PLA998" s="103"/>
      <c r="PLM998" s="104"/>
      <c r="PLN998" s="103"/>
      <c r="PLZ998" s="104"/>
      <c r="PMA998" s="103"/>
      <c r="PMM998" s="104"/>
      <c r="PMN998" s="103"/>
      <c r="PMZ998" s="104"/>
      <c r="PNA998" s="103"/>
      <c r="PNM998" s="104"/>
      <c r="PNN998" s="103"/>
      <c r="PNZ998" s="104"/>
      <c r="POA998" s="103"/>
      <c r="POM998" s="104"/>
      <c r="PON998" s="103"/>
      <c r="POZ998" s="104"/>
      <c r="PPA998" s="103"/>
      <c r="PPM998" s="104"/>
      <c r="PPN998" s="103"/>
      <c r="PPZ998" s="104"/>
      <c r="PQA998" s="103"/>
      <c r="PQM998" s="104"/>
      <c r="PQN998" s="103"/>
      <c r="PQZ998" s="104"/>
      <c r="PRA998" s="103"/>
      <c r="PRM998" s="104"/>
      <c r="PRN998" s="103"/>
      <c r="PRZ998" s="104"/>
      <c r="PSA998" s="103"/>
      <c r="PSM998" s="104"/>
      <c r="PSN998" s="103"/>
      <c r="PSZ998" s="104"/>
      <c r="PTA998" s="103"/>
      <c r="PTM998" s="104"/>
      <c r="PTN998" s="103"/>
      <c r="PTZ998" s="104"/>
      <c r="PUA998" s="103"/>
      <c r="PUM998" s="104"/>
      <c r="PUN998" s="103"/>
      <c r="PUZ998" s="104"/>
      <c r="PVA998" s="103"/>
      <c r="PVM998" s="104"/>
      <c r="PVN998" s="103"/>
      <c r="PVZ998" s="104"/>
      <c r="PWA998" s="103"/>
      <c r="PWM998" s="104"/>
      <c r="PWN998" s="103"/>
      <c r="PWZ998" s="104"/>
      <c r="PXA998" s="103"/>
      <c r="PXM998" s="104"/>
      <c r="PXN998" s="103"/>
      <c r="PXZ998" s="104"/>
      <c r="PYA998" s="103"/>
      <c r="PYM998" s="104"/>
      <c r="PYN998" s="103"/>
      <c r="PYZ998" s="104"/>
      <c r="PZA998" s="103"/>
      <c r="PZM998" s="104"/>
      <c r="PZN998" s="103"/>
      <c r="PZZ998" s="104"/>
      <c r="QAA998" s="103"/>
      <c r="QAM998" s="104"/>
      <c r="QAN998" s="103"/>
      <c r="QAZ998" s="104"/>
      <c r="QBA998" s="103"/>
      <c r="QBM998" s="104"/>
      <c r="QBN998" s="103"/>
      <c r="QBZ998" s="104"/>
      <c r="QCA998" s="103"/>
      <c r="QCM998" s="104"/>
      <c r="QCN998" s="103"/>
      <c r="QCZ998" s="104"/>
      <c r="QDA998" s="103"/>
      <c r="QDM998" s="104"/>
      <c r="QDN998" s="103"/>
      <c r="QDZ998" s="104"/>
      <c r="QEA998" s="103"/>
      <c r="QEM998" s="104"/>
      <c r="QEN998" s="103"/>
      <c r="QEZ998" s="104"/>
      <c r="QFA998" s="103"/>
      <c r="QFM998" s="104"/>
      <c r="QFN998" s="103"/>
      <c r="QFZ998" s="104"/>
      <c r="QGA998" s="103"/>
      <c r="QGM998" s="104"/>
      <c r="QGN998" s="103"/>
      <c r="QGZ998" s="104"/>
      <c r="QHA998" s="103"/>
      <c r="QHM998" s="104"/>
      <c r="QHN998" s="103"/>
      <c r="QHZ998" s="104"/>
      <c r="QIA998" s="103"/>
      <c r="QIM998" s="104"/>
      <c r="QIN998" s="103"/>
      <c r="QIZ998" s="104"/>
      <c r="QJA998" s="103"/>
      <c r="QJM998" s="104"/>
      <c r="QJN998" s="103"/>
      <c r="QJZ998" s="104"/>
      <c r="QKA998" s="103"/>
      <c r="QKM998" s="104"/>
      <c r="QKN998" s="103"/>
      <c r="QKZ998" s="104"/>
      <c r="QLA998" s="103"/>
      <c r="QLM998" s="104"/>
      <c r="QLN998" s="103"/>
      <c r="QLZ998" s="104"/>
      <c r="QMA998" s="103"/>
      <c r="QMM998" s="104"/>
      <c r="QMN998" s="103"/>
      <c r="QMZ998" s="104"/>
      <c r="QNA998" s="103"/>
      <c r="QNM998" s="104"/>
      <c r="QNN998" s="103"/>
      <c r="QNZ998" s="104"/>
      <c r="QOA998" s="103"/>
      <c r="QOM998" s="104"/>
      <c r="QON998" s="103"/>
      <c r="QOZ998" s="104"/>
      <c r="QPA998" s="103"/>
      <c r="QPM998" s="104"/>
      <c r="QPN998" s="103"/>
      <c r="QPZ998" s="104"/>
      <c r="QQA998" s="103"/>
      <c r="QQM998" s="104"/>
      <c r="QQN998" s="103"/>
      <c r="QQZ998" s="104"/>
      <c r="QRA998" s="103"/>
      <c r="QRM998" s="104"/>
      <c r="QRN998" s="103"/>
      <c r="QRZ998" s="104"/>
      <c r="QSA998" s="103"/>
      <c r="QSM998" s="104"/>
      <c r="QSN998" s="103"/>
      <c r="QSZ998" s="104"/>
      <c r="QTA998" s="103"/>
      <c r="QTM998" s="104"/>
      <c r="QTN998" s="103"/>
      <c r="QTZ998" s="104"/>
      <c r="QUA998" s="103"/>
      <c r="QUM998" s="104"/>
      <c r="QUN998" s="103"/>
      <c r="QUZ998" s="104"/>
      <c r="QVA998" s="103"/>
      <c r="QVM998" s="104"/>
      <c r="QVN998" s="103"/>
      <c r="QVZ998" s="104"/>
      <c r="QWA998" s="103"/>
      <c r="QWM998" s="104"/>
      <c r="QWN998" s="103"/>
      <c r="QWZ998" s="104"/>
      <c r="QXA998" s="103"/>
      <c r="QXM998" s="104"/>
      <c r="QXN998" s="103"/>
      <c r="QXZ998" s="104"/>
      <c r="QYA998" s="103"/>
      <c r="QYM998" s="104"/>
      <c r="QYN998" s="103"/>
      <c r="QYZ998" s="104"/>
      <c r="QZA998" s="103"/>
      <c r="QZM998" s="104"/>
      <c r="QZN998" s="103"/>
      <c r="QZZ998" s="104"/>
      <c r="RAA998" s="103"/>
      <c r="RAM998" s="104"/>
      <c r="RAN998" s="103"/>
      <c r="RAZ998" s="104"/>
      <c r="RBA998" s="103"/>
      <c r="RBM998" s="104"/>
      <c r="RBN998" s="103"/>
      <c r="RBZ998" s="104"/>
      <c r="RCA998" s="103"/>
      <c r="RCM998" s="104"/>
      <c r="RCN998" s="103"/>
      <c r="RCZ998" s="104"/>
      <c r="RDA998" s="103"/>
      <c r="RDM998" s="104"/>
      <c r="RDN998" s="103"/>
      <c r="RDZ998" s="104"/>
      <c r="REA998" s="103"/>
      <c r="REM998" s="104"/>
      <c r="REN998" s="103"/>
      <c r="REZ998" s="104"/>
      <c r="RFA998" s="103"/>
      <c r="RFM998" s="104"/>
      <c r="RFN998" s="103"/>
      <c r="RFZ998" s="104"/>
      <c r="RGA998" s="103"/>
      <c r="RGM998" s="104"/>
      <c r="RGN998" s="103"/>
      <c r="RGZ998" s="104"/>
      <c r="RHA998" s="103"/>
      <c r="RHM998" s="104"/>
      <c r="RHN998" s="103"/>
      <c r="RHZ998" s="104"/>
      <c r="RIA998" s="103"/>
      <c r="RIM998" s="104"/>
      <c r="RIN998" s="103"/>
      <c r="RIZ998" s="104"/>
      <c r="RJA998" s="103"/>
      <c r="RJM998" s="104"/>
      <c r="RJN998" s="103"/>
      <c r="RJZ998" s="104"/>
      <c r="RKA998" s="103"/>
      <c r="RKM998" s="104"/>
      <c r="RKN998" s="103"/>
      <c r="RKZ998" s="104"/>
      <c r="RLA998" s="103"/>
      <c r="RLM998" s="104"/>
      <c r="RLN998" s="103"/>
      <c r="RLZ998" s="104"/>
      <c r="RMA998" s="103"/>
      <c r="RMM998" s="104"/>
      <c r="RMN998" s="103"/>
      <c r="RMZ998" s="104"/>
      <c r="RNA998" s="103"/>
      <c r="RNM998" s="104"/>
      <c r="RNN998" s="103"/>
      <c r="RNZ998" s="104"/>
      <c r="ROA998" s="103"/>
      <c r="ROM998" s="104"/>
      <c r="RON998" s="103"/>
      <c r="ROZ998" s="104"/>
      <c r="RPA998" s="103"/>
      <c r="RPM998" s="104"/>
      <c r="RPN998" s="103"/>
      <c r="RPZ998" s="104"/>
      <c r="RQA998" s="103"/>
      <c r="RQM998" s="104"/>
      <c r="RQN998" s="103"/>
      <c r="RQZ998" s="104"/>
      <c r="RRA998" s="103"/>
      <c r="RRM998" s="104"/>
      <c r="RRN998" s="103"/>
      <c r="RRZ998" s="104"/>
      <c r="RSA998" s="103"/>
      <c r="RSM998" s="104"/>
      <c r="RSN998" s="103"/>
      <c r="RSZ998" s="104"/>
      <c r="RTA998" s="103"/>
      <c r="RTM998" s="104"/>
      <c r="RTN998" s="103"/>
      <c r="RTZ998" s="104"/>
      <c r="RUA998" s="103"/>
      <c r="RUM998" s="104"/>
      <c r="RUN998" s="103"/>
      <c r="RUZ998" s="104"/>
      <c r="RVA998" s="103"/>
      <c r="RVM998" s="104"/>
      <c r="RVN998" s="103"/>
      <c r="RVZ998" s="104"/>
      <c r="RWA998" s="103"/>
      <c r="RWM998" s="104"/>
      <c r="RWN998" s="103"/>
      <c r="RWZ998" s="104"/>
      <c r="RXA998" s="103"/>
      <c r="RXM998" s="104"/>
      <c r="RXN998" s="103"/>
      <c r="RXZ998" s="104"/>
      <c r="RYA998" s="103"/>
      <c r="RYM998" s="104"/>
      <c r="RYN998" s="103"/>
      <c r="RYZ998" s="104"/>
      <c r="RZA998" s="103"/>
      <c r="RZM998" s="104"/>
      <c r="RZN998" s="103"/>
      <c r="RZZ998" s="104"/>
      <c r="SAA998" s="103"/>
      <c r="SAM998" s="104"/>
      <c r="SAN998" s="103"/>
      <c r="SAZ998" s="104"/>
      <c r="SBA998" s="103"/>
      <c r="SBM998" s="104"/>
      <c r="SBN998" s="103"/>
      <c r="SBZ998" s="104"/>
      <c r="SCA998" s="103"/>
      <c r="SCM998" s="104"/>
      <c r="SCN998" s="103"/>
      <c r="SCZ998" s="104"/>
      <c r="SDA998" s="103"/>
      <c r="SDM998" s="104"/>
      <c r="SDN998" s="103"/>
      <c r="SDZ998" s="104"/>
      <c r="SEA998" s="103"/>
      <c r="SEM998" s="104"/>
      <c r="SEN998" s="103"/>
      <c r="SEZ998" s="104"/>
      <c r="SFA998" s="103"/>
      <c r="SFM998" s="104"/>
      <c r="SFN998" s="103"/>
      <c r="SFZ998" s="104"/>
      <c r="SGA998" s="103"/>
      <c r="SGM998" s="104"/>
      <c r="SGN998" s="103"/>
      <c r="SGZ998" s="104"/>
      <c r="SHA998" s="103"/>
      <c r="SHM998" s="104"/>
      <c r="SHN998" s="103"/>
      <c r="SHZ998" s="104"/>
      <c r="SIA998" s="103"/>
      <c r="SIM998" s="104"/>
      <c r="SIN998" s="103"/>
      <c r="SIZ998" s="104"/>
      <c r="SJA998" s="103"/>
      <c r="SJM998" s="104"/>
      <c r="SJN998" s="103"/>
      <c r="SJZ998" s="104"/>
      <c r="SKA998" s="103"/>
      <c r="SKM998" s="104"/>
      <c r="SKN998" s="103"/>
      <c r="SKZ998" s="104"/>
      <c r="SLA998" s="103"/>
      <c r="SLM998" s="104"/>
      <c r="SLN998" s="103"/>
      <c r="SLZ998" s="104"/>
      <c r="SMA998" s="103"/>
      <c r="SMM998" s="104"/>
      <c r="SMN998" s="103"/>
      <c r="SMZ998" s="104"/>
      <c r="SNA998" s="103"/>
      <c r="SNM998" s="104"/>
      <c r="SNN998" s="103"/>
      <c r="SNZ998" s="104"/>
      <c r="SOA998" s="103"/>
      <c r="SOM998" s="104"/>
      <c r="SON998" s="103"/>
      <c r="SOZ998" s="104"/>
      <c r="SPA998" s="103"/>
      <c r="SPM998" s="104"/>
      <c r="SPN998" s="103"/>
      <c r="SPZ998" s="104"/>
      <c r="SQA998" s="103"/>
      <c r="SQM998" s="104"/>
      <c r="SQN998" s="103"/>
      <c r="SQZ998" s="104"/>
      <c r="SRA998" s="103"/>
      <c r="SRM998" s="104"/>
      <c r="SRN998" s="103"/>
      <c r="SRZ998" s="104"/>
      <c r="SSA998" s="103"/>
      <c r="SSM998" s="104"/>
      <c r="SSN998" s="103"/>
      <c r="SSZ998" s="104"/>
      <c r="STA998" s="103"/>
      <c r="STM998" s="104"/>
      <c r="STN998" s="103"/>
      <c r="STZ998" s="104"/>
      <c r="SUA998" s="103"/>
      <c r="SUM998" s="104"/>
      <c r="SUN998" s="103"/>
      <c r="SUZ998" s="104"/>
      <c r="SVA998" s="103"/>
      <c r="SVM998" s="104"/>
      <c r="SVN998" s="103"/>
      <c r="SVZ998" s="104"/>
      <c r="SWA998" s="103"/>
      <c r="SWM998" s="104"/>
      <c r="SWN998" s="103"/>
      <c r="SWZ998" s="104"/>
      <c r="SXA998" s="103"/>
      <c r="SXM998" s="104"/>
      <c r="SXN998" s="103"/>
      <c r="SXZ998" s="104"/>
      <c r="SYA998" s="103"/>
      <c r="SYM998" s="104"/>
      <c r="SYN998" s="103"/>
      <c r="SYZ998" s="104"/>
      <c r="SZA998" s="103"/>
      <c r="SZM998" s="104"/>
      <c r="SZN998" s="103"/>
      <c r="SZZ998" s="104"/>
      <c r="TAA998" s="103"/>
      <c r="TAM998" s="104"/>
      <c r="TAN998" s="103"/>
      <c r="TAZ998" s="104"/>
      <c r="TBA998" s="103"/>
      <c r="TBM998" s="104"/>
      <c r="TBN998" s="103"/>
      <c r="TBZ998" s="104"/>
      <c r="TCA998" s="103"/>
      <c r="TCM998" s="104"/>
      <c r="TCN998" s="103"/>
      <c r="TCZ998" s="104"/>
      <c r="TDA998" s="103"/>
      <c r="TDM998" s="104"/>
      <c r="TDN998" s="103"/>
      <c r="TDZ998" s="104"/>
      <c r="TEA998" s="103"/>
      <c r="TEM998" s="104"/>
      <c r="TEN998" s="103"/>
      <c r="TEZ998" s="104"/>
      <c r="TFA998" s="103"/>
      <c r="TFM998" s="104"/>
      <c r="TFN998" s="103"/>
      <c r="TFZ998" s="104"/>
      <c r="TGA998" s="103"/>
      <c r="TGM998" s="104"/>
      <c r="TGN998" s="103"/>
      <c r="TGZ998" s="104"/>
      <c r="THA998" s="103"/>
      <c r="THM998" s="104"/>
      <c r="THN998" s="103"/>
      <c r="THZ998" s="104"/>
      <c r="TIA998" s="103"/>
      <c r="TIM998" s="104"/>
      <c r="TIN998" s="103"/>
      <c r="TIZ998" s="104"/>
      <c r="TJA998" s="103"/>
      <c r="TJM998" s="104"/>
      <c r="TJN998" s="103"/>
      <c r="TJZ998" s="104"/>
      <c r="TKA998" s="103"/>
      <c r="TKM998" s="104"/>
      <c r="TKN998" s="103"/>
      <c r="TKZ998" s="104"/>
      <c r="TLA998" s="103"/>
      <c r="TLM998" s="104"/>
      <c r="TLN998" s="103"/>
      <c r="TLZ998" s="104"/>
      <c r="TMA998" s="103"/>
      <c r="TMM998" s="104"/>
      <c r="TMN998" s="103"/>
      <c r="TMZ998" s="104"/>
      <c r="TNA998" s="103"/>
      <c r="TNM998" s="104"/>
      <c r="TNN998" s="103"/>
      <c r="TNZ998" s="104"/>
      <c r="TOA998" s="103"/>
      <c r="TOM998" s="104"/>
      <c r="TON998" s="103"/>
      <c r="TOZ998" s="104"/>
      <c r="TPA998" s="103"/>
      <c r="TPM998" s="104"/>
      <c r="TPN998" s="103"/>
      <c r="TPZ998" s="104"/>
      <c r="TQA998" s="103"/>
      <c r="TQM998" s="104"/>
      <c r="TQN998" s="103"/>
      <c r="TQZ998" s="104"/>
      <c r="TRA998" s="103"/>
      <c r="TRM998" s="104"/>
      <c r="TRN998" s="103"/>
      <c r="TRZ998" s="104"/>
      <c r="TSA998" s="103"/>
      <c r="TSM998" s="104"/>
      <c r="TSN998" s="103"/>
      <c r="TSZ998" s="104"/>
      <c r="TTA998" s="103"/>
      <c r="TTM998" s="104"/>
      <c r="TTN998" s="103"/>
      <c r="TTZ998" s="104"/>
      <c r="TUA998" s="103"/>
      <c r="TUM998" s="104"/>
      <c r="TUN998" s="103"/>
      <c r="TUZ998" s="104"/>
      <c r="TVA998" s="103"/>
      <c r="TVM998" s="104"/>
      <c r="TVN998" s="103"/>
      <c r="TVZ998" s="104"/>
      <c r="TWA998" s="103"/>
      <c r="TWM998" s="104"/>
      <c r="TWN998" s="103"/>
      <c r="TWZ998" s="104"/>
      <c r="TXA998" s="103"/>
      <c r="TXM998" s="104"/>
      <c r="TXN998" s="103"/>
      <c r="TXZ998" s="104"/>
      <c r="TYA998" s="103"/>
      <c r="TYM998" s="104"/>
      <c r="TYN998" s="103"/>
      <c r="TYZ998" s="104"/>
      <c r="TZA998" s="103"/>
      <c r="TZM998" s="104"/>
      <c r="TZN998" s="103"/>
      <c r="TZZ998" s="104"/>
      <c r="UAA998" s="103"/>
      <c r="UAM998" s="104"/>
      <c r="UAN998" s="103"/>
      <c r="UAZ998" s="104"/>
      <c r="UBA998" s="103"/>
      <c r="UBM998" s="104"/>
      <c r="UBN998" s="103"/>
      <c r="UBZ998" s="104"/>
      <c r="UCA998" s="103"/>
      <c r="UCM998" s="104"/>
      <c r="UCN998" s="103"/>
      <c r="UCZ998" s="104"/>
      <c r="UDA998" s="103"/>
      <c r="UDM998" s="104"/>
      <c r="UDN998" s="103"/>
      <c r="UDZ998" s="104"/>
      <c r="UEA998" s="103"/>
      <c r="UEM998" s="104"/>
      <c r="UEN998" s="103"/>
      <c r="UEZ998" s="104"/>
      <c r="UFA998" s="103"/>
      <c r="UFM998" s="104"/>
      <c r="UFN998" s="103"/>
      <c r="UFZ998" s="104"/>
      <c r="UGA998" s="103"/>
      <c r="UGM998" s="104"/>
      <c r="UGN998" s="103"/>
      <c r="UGZ998" s="104"/>
      <c r="UHA998" s="103"/>
      <c r="UHM998" s="104"/>
      <c r="UHN998" s="103"/>
      <c r="UHZ998" s="104"/>
      <c r="UIA998" s="103"/>
      <c r="UIM998" s="104"/>
      <c r="UIN998" s="103"/>
      <c r="UIZ998" s="104"/>
      <c r="UJA998" s="103"/>
      <c r="UJM998" s="104"/>
      <c r="UJN998" s="103"/>
      <c r="UJZ998" s="104"/>
      <c r="UKA998" s="103"/>
      <c r="UKM998" s="104"/>
      <c r="UKN998" s="103"/>
      <c r="UKZ998" s="104"/>
      <c r="ULA998" s="103"/>
      <c r="ULM998" s="104"/>
      <c r="ULN998" s="103"/>
      <c r="ULZ998" s="104"/>
      <c r="UMA998" s="103"/>
      <c r="UMM998" s="104"/>
      <c r="UMN998" s="103"/>
      <c r="UMZ998" s="104"/>
      <c r="UNA998" s="103"/>
      <c r="UNM998" s="104"/>
      <c r="UNN998" s="103"/>
      <c r="UNZ998" s="104"/>
      <c r="UOA998" s="103"/>
      <c r="UOM998" s="104"/>
      <c r="UON998" s="103"/>
      <c r="UOZ998" s="104"/>
      <c r="UPA998" s="103"/>
      <c r="UPM998" s="104"/>
      <c r="UPN998" s="103"/>
      <c r="UPZ998" s="104"/>
      <c r="UQA998" s="103"/>
      <c r="UQM998" s="104"/>
      <c r="UQN998" s="103"/>
      <c r="UQZ998" s="104"/>
      <c r="URA998" s="103"/>
      <c r="URM998" s="104"/>
      <c r="URN998" s="103"/>
      <c r="URZ998" s="104"/>
      <c r="USA998" s="103"/>
      <c r="USM998" s="104"/>
      <c r="USN998" s="103"/>
      <c r="USZ998" s="104"/>
      <c r="UTA998" s="103"/>
      <c r="UTM998" s="104"/>
      <c r="UTN998" s="103"/>
      <c r="UTZ998" s="104"/>
      <c r="UUA998" s="103"/>
      <c r="UUM998" s="104"/>
      <c r="UUN998" s="103"/>
      <c r="UUZ998" s="104"/>
      <c r="UVA998" s="103"/>
      <c r="UVM998" s="104"/>
      <c r="UVN998" s="103"/>
      <c r="UVZ998" s="104"/>
      <c r="UWA998" s="103"/>
      <c r="UWM998" s="104"/>
      <c r="UWN998" s="103"/>
      <c r="UWZ998" s="104"/>
      <c r="UXA998" s="103"/>
      <c r="UXM998" s="104"/>
      <c r="UXN998" s="103"/>
      <c r="UXZ998" s="104"/>
      <c r="UYA998" s="103"/>
      <c r="UYM998" s="104"/>
      <c r="UYN998" s="103"/>
      <c r="UYZ998" s="104"/>
      <c r="UZA998" s="103"/>
      <c r="UZM998" s="104"/>
      <c r="UZN998" s="103"/>
      <c r="UZZ998" s="104"/>
      <c r="VAA998" s="103"/>
      <c r="VAM998" s="104"/>
      <c r="VAN998" s="103"/>
      <c r="VAZ998" s="104"/>
      <c r="VBA998" s="103"/>
      <c r="VBM998" s="104"/>
      <c r="VBN998" s="103"/>
      <c r="VBZ998" s="104"/>
      <c r="VCA998" s="103"/>
      <c r="VCM998" s="104"/>
      <c r="VCN998" s="103"/>
      <c r="VCZ998" s="104"/>
      <c r="VDA998" s="103"/>
      <c r="VDM998" s="104"/>
      <c r="VDN998" s="103"/>
      <c r="VDZ998" s="104"/>
      <c r="VEA998" s="103"/>
      <c r="VEM998" s="104"/>
      <c r="VEN998" s="103"/>
      <c r="VEZ998" s="104"/>
      <c r="VFA998" s="103"/>
      <c r="VFM998" s="104"/>
      <c r="VFN998" s="103"/>
      <c r="VFZ998" s="104"/>
      <c r="VGA998" s="103"/>
      <c r="VGM998" s="104"/>
      <c r="VGN998" s="103"/>
      <c r="VGZ998" s="104"/>
      <c r="VHA998" s="103"/>
      <c r="VHM998" s="104"/>
      <c r="VHN998" s="103"/>
      <c r="VHZ998" s="104"/>
      <c r="VIA998" s="103"/>
      <c r="VIM998" s="104"/>
      <c r="VIN998" s="103"/>
      <c r="VIZ998" s="104"/>
      <c r="VJA998" s="103"/>
      <c r="VJM998" s="104"/>
      <c r="VJN998" s="103"/>
      <c r="VJZ998" s="104"/>
      <c r="VKA998" s="103"/>
      <c r="VKM998" s="104"/>
      <c r="VKN998" s="103"/>
      <c r="VKZ998" s="104"/>
      <c r="VLA998" s="103"/>
      <c r="VLM998" s="104"/>
      <c r="VLN998" s="103"/>
      <c r="VLZ998" s="104"/>
      <c r="VMA998" s="103"/>
      <c r="VMM998" s="104"/>
      <c r="VMN998" s="103"/>
      <c r="VMZ998" s="104"/>
      <c r="VNA998" s="103"/>
      <c r="VNM998" s="104"/>
      <c r="VNN998" s="103"/>
      <c r="VNZ998" s="104"/>
      <c r="VOA998" s="103"/>
      <c r="VOM998" s="104"/>
      <c r="VON998" s="103"/>
      <c r="VOZ998" s="104"/>
      <c r="VPA998" s="103"/>
      <c r="VPM998" s="104"/>
      <c r="VPN998" s="103"/>
      <c r="VPZ998" s="104"/>
      <c r="VQA998" s="103"/>
      <c r="VQM998" s="104"/>
      <c r="VQN998" s="103"/>
      <c r="VQZ998" s="104"/>
      <c r="VRA998" s="103"/>
      <c r="VRM998" s="104"/>
      <c r="VRN998" s="103"/>
      <c r="VRZ998" s="104"/>
      <c r="VSA998" s="103"/>
      <c r="VSM998" s="104"/>
      <c r="VSN998" s="103"/>
      <c r="VSZ998" s="104"/>
      <c r="VTA998" s="103"/>
      <c r="VTM998" s="104"/>
      <c r="VTN998" s="103"/>
      <c r="VTZ998" s="104"/>
      <c r="VUA998" s="103"/>
      <c r="VUM998" s="104"/>
      <c r="VUN998" s="103"/>
      <c r="VUZ998" s="104"/>
      <c r="VVA998" s="103"/>
      <c r="VVM998" s="104"/>
      <c r="VVN998" s="103"/>
      <c r="VVZ998" s="104"/>
      <c r="VWA998" s="103"/>
      <c r="VWM998" s="104"/>
      <c r="VWN998" s="103"/>
      <c r="VWZ998" s="104"/>
      <c r="VXA998" s="103"/>
      <c r="VXM998" s="104"/>
      <c r="VXN998" s="103"/>
      <c r="VXZ998" s="104"/>
      <c r="VYA998" s="103"/>
      <c r="VYM998" s="104"/>
      <c r="VYN998" s="103"/>
      <c r="VYZ998" s="104"/>
      <c r="VZA998" s="103"/>
      <c r="VZM998" s="104"/>
      <c r="VZN998" s="103"/>
      <c r="VZZ998" s="104"/>
      <c r="WAA998" s="103"/>
      <c r="WAM998" s="104"/>
      <c r="WAN998" s="103"/>
      <c r="WAZ998" s="104"/>
      <c r="WBA998" s="103"/>
      <c r="WBM998" s="104"/>
      <c r="WBN998" s="103"/>
      <c r="WBZ998" s="104"/>
      <c r="WCA998" s="103"/>
      <c r="WCM998" s="104"/>
      <c r="WCN998" s="103"/>
      <c r="WCZ998" s="104"/>
      <c r="WDA998" s="103"/>
      <c r="WDM998" s="104"/>
      <c r="WDN998" s="103"/>
      <c r="WDZ998" s="104"/>
      <c r="WEA998" s="103"/>
      <c r="WEM998" s="104"/>
      <c r="WEN998" s="103"/>
      <c r="WEZ998" s="104"/>
      <c r="WFA998" s="103"/>
      <c r="WFM998" s="104"/>
      <c r="WFN998" s="103"/>
      <c r="WFZ998" s="104"/>
      <c r="WGA998" s="103"/>
      <c r="WGM998" s="104"/>
      <c r="WGN998" s="103"/>
      <c r="WGZ998" s="104"/>
      <c r="WHA998" s="103"/>
      <c r="WHM998" s="104"/>
      <c r="WHN998" s="103"/>
      <c r="WHZ998" s="104"/>
      <c r="WIA998" s="103"/>
      <c r="WIM998" s="104"/>
      <c r="WIN998" s="103"/>
      <c r="WIZ998" s="104"/>
      <c r="WJA998" s="103"/>
      <c r="WJM998" s="104"/>
      <c r="WJN998" s="103"/>
      <c r="WJZ998" s="104"/>
      <c r="WKA998" s="103"/>
      <c r="WKM998" s="104"/>
      <c r="WKN998" s="103"/>
      <c r="WKZ998" s="104"/>
      <c r="WLA998" s="103"/>
      <c r="WLM998" s="104"/>
      <c r="WLN998" s="103"/>
      <c r="WLZ998" s="104"/>
      <c r="WMA998" s="103"/>
      <c r="WMM998" s="104"/>
      <c r="WMN998" s="103"/>
      <c r="WMZ998" s="104"/>
      <c r="WNA998" s="103"/>
      <c r="WNM998" s="104"/>
      <c r="WNN998" s="103"/>
      <c r="WNZ998" s="104"/>
      <c r="WOA998" s="103"/>
      <c r="WOM998" s="104"/>
      <c r="WON998" s="103"/>
      <c r="WOZ998" s="104"/>
      <c r="WPA998" s="103"/>
      <c r="WPM998" s="104"/>
      <c r="WPN998" s="103"/>
      <c r="WPZ998" s="104"/>
      <c r="WQA998" s="103"/>
      <c r="WQM998" s="104"/>
      <c r="WQN998" s="103"/>
      <c r="WQZ998" s="104"/>
      <c r="WRA998" s="103"/>
      <c r="WRM998" s="104"/>
      <c r="WRN998" s="103"/>
      <c r="WRZ998" s="104"/>
      <c r="WSA998" s="103"/>
      <c r="WSM998" s="104"/>
      <c r="WSN998" s="103"/>
      <c r="WSZ998" s="104"/>
      <c r="WTA998" s="103"/>
      <c r="WTM998" s="104"/>
      <c r="WTN998" s="103"/>
      <c r="WTZ998" s="104"/>
      <c r="WUA998" s="103"/>
      <c r="WUM998" s="104"/>
      <c r="WUN998" s="103"/>
      <c r="WUZ998" s="104"/>
      <c r="WVA998" s="103"/>
      <c r="WVM998" s="104"/>
      <c r="WVN998" s="103"/>
      <c r="WVZ998" s="104"/>
      <c r="WWA998" s="103"/>
      <c r="WWM998" s="104"/>
      <c r="WWN998" s="103"/>
      <c r="WWZ998" s="104"/>
      <c r="WXA998" s="103"/>
      <c r="WXM998" s="104"/>
      <c r="WXN998" s="103"/>
      <c r="WXZ998" s="104"/>
      <c r="WYA998" s="103"/>
      <c r="WYM998" s="104"/>
      <c r="WYN998" s="103"/>
      <c r="WYZ998" s="104"/>
      <c r="WZA998" s="103"/>
      <c r="WZM998" s="104"/>
      <c r="WZN998" s="103"/>
      <c r="WZZ998" s="104"/>
      <c r="XAA998" s="103"/>
      <c r="XAM998" s="104"/>
      <c r="XAN998" s="103"/>
      <c r="XAZ998" s="104"/>
      <c r="XBA998" s="103"/>
      <c r="XBM998" s="104"/>
      <c r="XBN998" s="103"/>
      <c r="XBZ998" s="104"/>
      <c r="XCA998" s="103"/>
      <c r="XCM998" s="104"/>
      <c r="XCN998" s="103"/>
      <c r="XCZ998" s="104"/>
      <c r="XDA998" s="103"/>
      <c r="XDM998" s="104"/>
      <c r="XDN998" s="103"/>
      <c r="XDZ998" s="104"/>
      <c r="XEA998" s="103"/>
      <c r="XEM998" s="104"/>
      <c r="XEN998" s="103"/>
      <c r="XEZ998" s="104"/>
      <c r="XFA998" s="103"/>
    </row>
    <row r="999" spans="1:1015 1027:2042 2054:3069 3081:4096 4108:5110 5122:6137 6149:7164 7176:8191 8203:9205 9217:10232 10244:11259 11271:12286 12298:14327 14339:15354 15366:16381">
      <c r="AM999" s="104"/>
      <c r="AN999" s="103"/>
      <c r="AZ999" s="104"/>
      <c r="BA999" s="103"/>
      <c r="BM999" s="104"/>
      <c r="BN999" s="103"/>
      <c r="BZ999" s="104"/>
      <c r="CA999" s="103"/>
      <c r="CM999" s="104"/>
      <c r="CN999" s="103"/>
      <c r="CZ999" s="104"/>
      <c r="DA999" s="103"/>
      <c r="DM999" s="104"/>
      <c r="DN999" s="103"/>
      <c r="DZ999" s="104"/>
      <c r="EA999" s="103"/>
      <c r="EM999" s="104"/>
      <c r="EN999" s="103"/>
      <c r="EZ999" s="104"/>
      <c r="FA999" s="103"/>
      <c r="FM999" s="104"/>
      <c r="FN999" s="103"/>
      <c r="FZ999" s="104"/>
      <c r="GA999" s="103"/>
      <c r="GM999" s="104"/>
      <c r="GN999" s="103"/>
      <c r="GZ999" s="104"/>
      <c r="HA999" s="103"/>
      <c r="HM999" s="104"/>
      <c r="HN999" s="103"/>
      <c r="HZ999" s="104"/>
      <c r="IA999" s="103"/>
      <c r="IM999" s="104"/>
      <c r="IN999" s="103"/>
      <c r="IZ999" s="104"/>
      <c r="JA999" s="103"/>
      <c r="JM999" s="104"/>
      <c r="JN999" s="103"/>
      <c r="JZ999" s="104"/>
      <c r="KA999" s="103"/>
      <c r="KM999" s="104"/>
      <c r="KN999" s="103"/>
      <c r="KZ999" s="104"/>
      <c r="LA999" s="103"/>
      <c r="LM999" s="104"/>
      <c r="LN999" s="103"/>
      <c r="LZ999" s="104"/>
      <c r="MA999" s="103"/>
      <c r="MM999" s="104"/>
      <c r="MN999" s="103"/>
      <c r="MZ999" s="104"/>
      <c r="NA999" s="103"/>
      <c r="NM999" s="104"/>
      <c r="NN999" s="103"/>
      <c r="NZ999" s="104"/>
      <c r="OA999" s="103"/>
      <c r="OM999" s="104"/>
      <c r="ON999" s="103"/>
      <c r="OZ999" s="104"/>
      <c r="PA999" s="103"/>
      <c r="PM999" s="104"/>
      <c r="PN999" s="103"/>
      <c r="PZ999" s="104"/>
      <c r="QA999" s="103"/>
      <c r="QM999" s="104"/>
      <c r="QN999" s="103"/>
      <c r="QZ999" s="104"/>
      <c r="RA999" s="103"/>
      <c r="RM999" s="104"/>
      <c r="RN999" s="103"/>
      <c r="RZ999" s="104"/>
      <c r="SA999" s="103"/>
      <c r="SM999" s="104"/>
      <c r="SN999" s="103"/>
      <c r="SZ999" s="104"/>
      <c r="TA999" s="103"/>
      <c r="TM999" s="104"/>
      <c r="TN999" s="103"/>
      <c r="TZ999" s="104"/>
      <c r="UA999" s="103"/>
      <c r="UM999" s="104"/>
      <c r="UN999" s="103"/>
      <c r="UZ999" s="104"/>
      <c r="VA999" s="103"/>
      <c r="VM999" s="104"/>
      <c r="VN999" s="103"/>
      <c r="VZ999" s="104"/>
      <c r="WA999" s="103"/>
      <c r="WM999" s="104"/>
      <c r="WN999" s="103"/>
      <c r="WZ999" s="104"/>
      <c r="XA999" s="103"/>
      <c r="XM999" s="104"/>
      <c r="XN999" s="103"/>
      <c r="XZ999" s="104"/>
      <c r="YA999" s="103"/>
      <c r="YM999" s="104"/>
      <c r="YN999" s="103"/>
      <c r="YZ999" s="104"/>
      <c r="ZA999" s="103"/>
      <c r="ZM999" s="104"/>
      <c r="ZN999" s="103"/>
      <c r="ZZ999" s="104"/>
      <c r="AAA999" s="103"/>
      <c r="AAM999" s="104"/>
      <c r="AAN999" s="103"/>
      <c r="AAZ999" s="104"/>
      <c r="ABA999" s="103"/>
      <c r="ABM999" s="104"/>
      <c r="ABN999" s="103"/>
      <c r="ABZ999" s="104"/>
      <c r="ACA999" s="103"/>
      <c r="ACM999" s="104"/>
      <c r="ACN999" s="103"/>
      <c r="ACZ999" s="104"/>
      <c r="ADA999" s="103"/>
      <c r="ADM999" s="104"/>
      <c r="ADN999" s="103"/>
      <c r="ADZ999" s="104"/>
      <c r="AEA999" s="103"/>
      <c r="AEM999" s="104"/>
      <c r="AEN999" s="103"/>
      <c r="AEZ999" s="104"/>
      <c r="AFA999" s="103"/>
      <c r="AFM999" s="104"/>
      <c r="AFN999" s="103"/>
      <c r="AFZ999" s="104"/>
      <c r="AGA999" s="103"/>
      <c r="AGM999" s="104"/>
      <c r="AGN999" s="103"/>
      <c r="AGZ999" s="104"/>
      <c r="AHA999" s="103"/>
      <c r="AHM999" s="104"/>
      <c r="AHN999" s="103"/>
      <c r="AHZ999" s="104"/>
      <c r="AIA999" s="103"/>
      <c r="AIM999" s="104"/>
      <c r="AIN999" s="103"/>
      <c r="AIZ999" s="104"/>
      <c r="AJA999" s="103"/>
      <c r="AJM999" s="104"/>
      <c r="AJN999" s="103"/>
      <c r="AJZ999" s="104"/>
      <c r="AKA999" s="103"/>
      <c r="AKM999" s="104"/>
      <c r="AKN999" s="103"/>
      <c r="AKZ999" s="104"/>
      <c r="ALA999" s="103"/>
      <c r="ALM999" s="104"/>
      <c r="ALN999" s="103"/>
      <c r="ALZ999" s="104"/>
      <c r="AMA999" s="103"/>
      <c r="AMM999" s="104"/>
      <c r="AMN999" s="103"/>
      <c r="AMZ999" s="104"/>
      <c r="ANA999" s="103"/>
      <c r="ANM999" s="104"/>
      <c r="ANN999" s="103"/>
      <c r="ANZ999" s="104"/>
      <c r="AOA999" s="103"/>
      <c r="AOM999" s="104"/>
      <c r="AON999" s="103"/>
      <c r="AOZ999" s="104"/>
      <c r="APA999" s="103"/>
      <c r="APM999" s="104"/>
      <c r="APN999" s="103"/>
      <c r="APZ999" s="104"/>
      <c r="AQA999" s="103"/>
      <c r="AQM999" s="104"/>
      <c r="AQN999" s="103"/>
      <c r="AQZ999" s="104"/>
      <c r="ARA999" s="103"/>
      <c r="ARM999" s="104"/>
      <c r="ARN999" s="103"/>
      <c r="ARZ999" s="104"/>
      <c r="ASA999" s="103"/>
      <c r="ASM999" s="104"/>
      <c r="ASN999" s="103"/>
      <c r="ASZ999" s="104"/>
      <c r="ATA999" s="103"/>
      <c r="ATM999" s="104"/>
      <c r="ATN999" s="103"/>
      <c r="ATZ999" s="104"/>
      <c r="AUA999" s="103"/>
      <c r="AUM999" s="104"/>
      <c r="AUN999" s="103"/>
      <c r="AUZ999" s="104"/>
      <c r="AVA999" s="103"/>
      <c r="AVM999" s="104"/>
      <c r="AVN999" s="103"/>
      <c r="AVZ999" s="104"/>
      <c r="AWA999" s="103"/>
      <c r="AWM999" s="104"/>
      <c r="AWN999" s="103"/>
      <c r="AWZ999" s="104"/>
      <c r="AXA999" s="103"/>
      <c r="AXM999" s="104"/>
      <c r="AXN999" s="103"/>
      <c r="AXZ999" s="104"/>
      <c r="AYA999" s="103"/>
      <c r="AYM999" s="104"/>
      <c r="AYN999" s="103"/>
      <c r="AYZ999" s="104"/>
      <c r="AZA999" s="103"/>
      <c r="AZM999" s="104"/>
      <c r="AZN999" s="103"/>
      <c r="AZZ999" s="104"/>
      <c r="BAA999" s="103"/>
      <c r="BAM999" s="104"/>
      <c r="BAN999" s="103"/>
      <c r="BAZ999" s="104"/>
      <c r="BBA999" s="103"/>
      <c r="BBM999" s="104"/>
      <c r="BBN999" s="103"/>
      <c r="BBZ999" s="104"/>
      <c r="BCA999" s="103"/>
      <c r="BCM999" s="104"/>
      <c r="BCN999" s="103"/>
      <c r="BCZ999" s="104"/>
      <c r="BDA999" s="103"/>
      <c r="BDM999" s="104"/>
      <c r="BDN999" s="103"/>
      <c r="BDZ999" s="104"/>
      <c r="BEA999" s="103"/>
      <c r="BEM999" s="104"/>
      <c r="BEN999" s="103"/>
      <c r="BEZ999" s="104"/>
      <c r="BFA999" s="103"/>
      <c r="BFM999" s="104"/>
      <c r="BFN999" s="103"/>
      <c r="BFZ999" s="104"/>
      <c r="BGA999" s="103"/>
      <c r="BGM999" s="104"/>
      <c r="BGN999" s="103"/>
      <c r="BGZ999" s="104"/>
      <c r="BHA999" s="103"/>
      <c r="BHM999" s="104"/>
      <c r="BHN999" s="103"/>
      <c r="BHZ999" s="104"/>
      <c r="BIA999" s="103"/>
      <c r="BIM999" s="104"/>
      <c r="BIN999" s="103"/>
      <c r="BIZ999" s="104"/>
      <c r="BJA999" s="103"/>
      <c r="BJM999" s="104"/>
      <c r="BJN999" s="103"/>
      <c r="BJZ999" s="104"/>
      <c r="BKA999" s="103"/>
      <c r="BKM999" s="104"/>
      <c r="BKN999" s="103"/>
      <c r="BKZ999" s="104"/>
      <c r="BLA999" s="103"/>
      <c r="BLM999" s="104"/>
      <c r="BLN999" s="103"/>
      <c r="BLZ999" s="104"/>
      <c r="BMA999" s="103"/>
      <c r="BMM999" s="104"/>
      <c r="BMN999" s="103"/>
      <c r="BMZ999" s="104"/>
      <c r="BNA999" s="103"/>
      <c r="BNM999" s="104"/>
      <c r="BNN999" s="103"/>
      <c r="BNZ999" s="104"/>
      <c r="BOA999" s="103"/>
      <c r="BOM999" s="104"/>
      <c r="BON999" s="103"/>
      <c r="BOZ999" s="104"/>
      <c r="BPA999" s="103"/>
      <c r="BPM999" s="104"/>
      <c r="BPN999" s="103"/>
      <c r="BPZ999" s="104"/>
      <c r="BQA999" s="103"/>
      <c r="BQM999" s="104"/>
      <c r="BQN999" s="103"/>
      <c r="BQZ999" s="104"/>
      <c r="BRA999" s="103"/>
      <c r="BRM999" s="104"/>
      <c r="BRN999" s="103"/>
      <c r="BRZ999" s="104"/>
      <c r="BSA999" s="103"/>
      <c r="BSM999" s="104"/>
      <c r="BSN999" s="103"/>
      <c r="BSZ999" s="104"/>
      <c r="BTA999" s="103"/>
      <c r="BTM999" s="104"/>
      <c r="BTN999" s="103"/>
      <c r="BTZ999" s="104"/>
      <c r="BUA999" s="103"/>
      <c r="BUM999" s="104"/>
      <c r="BUN999" s="103"/>
      <c r="BUZ999" s="104"/>
      <c r="BVA999" s="103"/>
      <c r="BVM999" s="104"/>
      <c r="BVN999" s="103"/>
      <c r="BVZ999" s="104"/>
      <c r="BWA999" s="103"/>
      <c r="BWM999" s="104"/>
      <c r="BWN999" s="103"/>
      <c r="BWZ999" s="104"/>
      <c r="BXA999" s="103"/>
      <c r="BXM999" s="104"/>
      <c r="BXN999" s="103"/>
      <c r="BXZ999" s="104"/>
      <c r="BYA999" s="103"/>
      <c r="BYM999" s="104"/>
      <c r="BYN999" s="103"/>
      <c r="BYZ999" s="104"/>
      <c r="BZA999" s="103"/>
      <c r="BZM999" s="104"/>
      <c r="BZN999" s="103"/>
      <c r="BZZ999" s="104"/>
      <c r="CAA999" s="103"/>
      <c r="CAM999" s="104"/>
      <c r="CAN999" s="103"/>
      <c r="CAZ999" s="104"/>
      <c r="CBA999" s="103"/>
      <c r="CBM999" s="104"/>
      <c r="CBN999" s="103"/>
      <c r="CBZ999" s="104"/>
      <c r="CCA999" s="103"/>
      <c r="CCM999" s="104"/>
      <c r="CCN999" s="103"/>
      <c r="CCZ999" s="104"/>
      <c r="CDA999" s="103"/>
      <c r="CDM999" s="104"/>
      <c r="CDN999" s="103"/>
      <c r="CDZ999" s="104"/>
      <c r="CEA999" s="103"/>
      <c r="CEM999" s="104"/>
      <c r="CEN999" s="103"/>
      <c r="CEZ999" s="104"/>
      <c r="CFA999" s="103"/>
      <c r="CFM999" s="104"/>
      <c r="CFN999" s="103"/>
      <c r="CFZ999" s="104"/>
      <c r="CGA999" s="103"/>
      <c r="CGM999" s="104"/>
      <c r="CGN999" s="103"/>
      <c r="CGZ999" s="104"/>
      <c r="CHA999" s="103"/>
      <c r="CHM999" s="104"/>
      <c r="CHN999" s="103"/>
      <c r="CHZ999" s="104"/>
      <c r="CIA999" s="103"/>
      <c r="CIM999" s="104"/>
      <c r="CIN999" s="103"/>
      <c r="CIZ999" s="104"/>
      <c r="CJA999" s="103"/>
      <c r="CJM999" s="104"/>
      <c r="CJN999" s="103"/>
      <c r="CJZ999" s="104"/>
      <c r="CKA999" s="103"/>
      <c r="CKM999" s="104"/>
      <c r="CKN999" s="103"/>
      <c r="CKZ999" s="104"/>
      <c r="CLA999" s="103"/>
      <c r="CLM999" s="104"/>
      <c r="CLN999" s="103"/>
      <c r="CLZ999" s="104"/>
      <c r="CMA999" s="103"/>
      <c r="CMM999" s="104"/>
      <c r="CMN999" s="103"/>
      <c r="CMZ999" s="104"/>
      <c r="CNA999" s="103"/>
      <c r="CNM999" s="104"/>
      <c r="CNN999" s="103"/>
      <c r="CNZ999" s="104"/>
      <c r="COA999" s="103"/>
      <c r="COM999" s="104"/>
      <c r="CON999" s="103"/>
      <c r="COZ999" s="104"/>
      <c r="CPA999" s="103"/>
      <c r="CPM999" s="104"/>
      <c r="CPN999" s="103"/>
      <c r="CPZ999" s="104"/>
      <c r="CQA999" s="103"/>
      <c r="CQM999" s="104"/>
      <c r="CQN999" s="103"/>
      <c r="CQZ999" s="104"/>
      <c r="CRA999" s="103"/>
      <c r="CRM999" s="104"/>
      <c r="CRN999" s="103"/>
      <c r="CRZ999" s="104"/>
      <c r="CSA999" s="103"/>
      <c r="CSM999" s="104"/>
      <c r="CSN999" s="103"/>
      <c r="CSZ999" s="104"/>
      <c r="CTA999" s="103"/>
      <c r="CTM999" s="104"/>
      <c r="CTN999" s="103"/>
      <c r="CTZ999" s="104"/>
      <c r="CUA999" s="103"/>
      <c r="CUM999" s="104"/>
      <c r="CUN999" s="103"/>
      <c r="CUZ999" s="104"/>
      <c r="CVA999" s="103"/>
      <c r="CVM999" s="104"/>
      <c r="CVN999" s="103"/>
      <c r="CVZ999" s="104"/>
      <c r="CWA999" s="103"/>
      <c r="CWM999" s="104"/>
      <c r="CWN999" s="103"/>
      <c r="CWZ999" s="104"/>
      <c r="CXA999" s="103"/>
      <c r="CXM999" s="104"/>
      <c r="CXN999" s="103"/>
      <c r="CXZ999" s="104"/>
      <c r="CYA999" s="103"/>
      <c r="CYM999" s="104"/>
      <c r="CYN999" s="103"/>
      <c r="CYZ999" s="104"/>
      <c r="CZA999" s="103"/>
      <c r="CZM999" s="104"/>
      <c r="CZN999" s="103"/>
      <c r="CZZ999" s="104"/>
      <c r="DAA999" s="103"/>
      <c r="DAM999" s="104"/>
      <c r="DAN999" s="103"/>
      <c r="DAZ999" s="104"/>
      <c r="DBA999" s="103"/>
      <c r="DBM999" s="104"/>
      <c r="DBN999" s="103"/>
      <c r="DBZ999" s="104"/>
      <c r="DCA999" s="103"/>
      <c r="DCM999" s="104"/>
      <c r="DCN999" s="103"/>
      <c r="DCZ999" s="104"/>
      <c r="DDA999" s="103"/>
      <c r="DDM999" s="104"/>
      <c r="DDN999" s="103"/>
      <c r="DDZ999" s="104"/>
      <c r="DEA999" s="103"/>
      <c r="DEM999" s="104"/>
      <c r="DEN999" s="103"/>
      <c r="DEZ999" s="104"/>
      <c r="DFA999" s="103"/>
      <c r="DFM999" s="104"/>
      <c r="DFN999" s="103"/>
      <c r="DFZ999" s="104"/>
      <c r="DGA999" s="103"/>
      <c r="DGM999" s="104"/>
      <c r="DGN999" s="103"/>
      <c r="DGZ999" s="104"/>
      <c r="DHA999" s="103"/>
      <c r="DHM999" s="104"/>
      <c r="DHN999" s="103"/>
      <c r="DHZ999" s="104"/>
      <c r="DIA999" s="103"/>
      <c r="DIM999" s="104"/>
      <c r="DIN999" s="103"/>
      <c r="DIZ999" s="104"/>
      <c r="DJA999" s="103"/>
      <c r="DJM999" s="104"/>
      <c r="DJN999" s="103"/>
      <c r="DJZ999" s="104"/>
      <c r="DKA999" s="103"/>
      <c r="DKM999" s="104"/>
      <c r="DKN999" s="103"/>
      <c r="DKZ999" s="104"/>
      <c r="DLA999" s="103"/>
      <c r="DLM999" s="104"/>
      <c r="DLN999" s="103"/>
      <c r="DLZ999" s="104"/>
      <c r="DMA999" s="103"/>
      <c r="DMM999" s="104"/>
      <c r="DMN999" s="103"/>
      <c r="DMZ999" s="104"/>
      <c r="DNA999" s="103"/>
      <c r="DNM999" s="104"/>
      <c r="DNN999" s="103"/>
      <c r="DNZ999" s="104"/>
      <c r="DOA999" s="103"/>
      <c r="DOM999" s="104"/>
      <c r="DON999" s="103"/>
      <c r="DOZ999" s="104"/>
      <c r="DPA999" s="103"/>
      <c r="DPM999" s="104"/>
      <c r="DPN999" s="103"/>
      <c r="DPZ999" s="104"/>
      <c r="DQA999" s="103"/>
      <c r="DQM999" s="104"/>
      <c r="DQN999" s="103"/>
      <c r="DQZ999" s="104"/>
      <c r="DRA999" s="103"/>
      <c r="DRM999" s="104"/>
      <c r="DRN999" s="103"/>
      <c r="DRZ999" s="104"/>
      <c r="DSA999" s="103"/>
      <c r="DSM999" s="104"/>
      <c r="DSN999" s="103"/>
      <c r="DSZ999" s="104"/>
      <c r="DTA999" s="103"/>
      <c r="DTM999" s="104"/>
      <c r="DTN999" s="103"/>
      <c r="DTZ999" s="104"/>
      <c r="DUA999" s="103"/>
      <c r="DUM999" s="104"/>
      <c r="DUN999" s="103"/>
      <c r="DUZ999" s="104"/>
      <c r="DVA999" s="103"/>
      <c r="DVM999" s="104"/>
      <c r="DVN999" s="103"/>
      <c r="DVZ999" s="104"/>
      <c r="DWA999" s="103"/>
      <c r="DWM999" s="104"/>
      <c r="DWN999" s="103"/>
      <c r="DWZ999" s="104"/>
      <c r="DXA999" s="103"/>
      <c r="DXM999" s="104"/>
      <c r="DXN999" s="103"/>
      <c r="DXZ999" s="104"/>
      <c r="DYA999" s="103"/>
      <c r="DYM999" s="104"/>
      <c r="DYN999" s="103"/>
      <c r="DYZ999" s="104"/>
      <c r="DZA999" s="103"/>
      <c r="DZM999" s="104"/>
      <c r="DZN999" s="103"/>
      <c r="DZZ999" s="104"/>
      <c r="EAA999" s="103"/>
      <c r="EAM999" s="104"/>
      <c r="EAN999" s="103"/>
      <c r="EAZ999" s="104"/>
      <c r="EBA999" s="103"/>
      <c r="EBM999" s="104"/>
      <c r="EBN999" s="103"/>
      <c r="EBZ999" s="104"/>
      <c r="ECA999" s="103"/>
      <c r="ECM999" s="104"/>
      <c r="ECN999" s="103"/>
      <c r="ECZ999" s="104"/>
      <c r="EDA999" s="103"/>
      <c r="EDM999" s="104"/>
      <c r="EDN999" s="103"/>
      <c r="EDZ999" s="104"/>
      <c r="EEA999" s="103"/>
      <c r="EEM999" s="104"/>
      <c r="EEN999" s="103"/>
      <c r="EEZ999" s="104"/>
      <c r="EFA999" s="103"/>
      <c r="EFM999" s="104"/>
      <c r="EFN999" s="103"/>
      <c r="EFZ999" s="104"/>
      <c r="EGA999" s="103"/>
      <c r="EGM999" s="104"/>
      <c r="EGN999" s="103"/>
      <c r="EGZ999" s="104"/>
      <c r="EHA999" s="103"/>
      <c r="EHM999" s="104"/>
      <c r="EHN999" s="103"/>
      <c r="EHZ999" s="104"/>
      <c r="EIA999" s="103"/>
      <c r="EIM999" s="104"/>
      <c r="EIN999" s="103"/>
      <c r="EIZ999" s="104"/>
      <c r="EJA999" s="103"/>
      <c r="EJM999" s="104"/>
      <c r="EJN999" s="103"/>
      <c r="EJZ999" s="104"/>
      <c r="EKA999" s="103"/>
      <c r="EKM999" s="104"/>
      <c r="EKN999" s="103"/>
      <c r="EKZ999" s="104"/>
      <c r="ELA999" s="103"/>
      <c r="ELM999" s="104"/>
      <c r="ELN999" s="103"/>
      <c r="ELZ999" s="104"/>
      <c r="EMA999" s="103"/>
      <c r="EMM999" s="104"/>
      <c r="EMN999" s="103"/>
      <c r="EMZ999" s="104"/>
      <c r="ENA999" s="103"/>
      <c r="ENM999" s="104"/>
      <c r="ENN999" s="103"/>
      <c r="ENZ999" s="104"/>
      <c r="EOA999" s="103"/>
      <c r="EOM999" s="104"/>
      <c r="EON999" s="103"/>
      <c r="EOZ999" s="104"/>
      <c r="EPA999" s="103"/>
      <c r="EPM999" s="104"/>
      <c r="EPN999" s="103"/>
      <c r="EPZ999" s="104"/>
      <c r="EQA999" s="103"/>
      <c r="EQM999" s="104"/>
      <c r="EQN999" s="103"/>
      <c r="EQZ999" s="104"/>
      <c r="ERA999" s="103"/>
      <c r="ERM999" s="104"/>
      <c r="ERN999" s="103"/>
      <c r="ERZ999" s="104"/>
      <c r="ESA999" s="103"/>
      <c r="ESM999" s="104"/>
      <c r="ESN999" s="103"/>
      <c r="ESZ999" s="104"/>
      <c r="ETA999" s="103"/>
      <c r="ETM999" s="104"/>
      <c r="ETN999" s="103"/>
      <c r="ETZ999" s="104"/>
      <c r="EUA999" s="103"/>
      <c r="EUM999" s="104"/>
      <c r="EUN999" s="103"/>
      <c r="EUZ999" s="104"/>
      <c r="EVA999" s="103"/>
      <c r="EVM999" s="104"/>
      <c r="EVN999" s="103"/>
      <c r="EVZ999" s="104"/>
      <c r="EWA999" s="103"/>
      <c r="EWM999" s="104"/>
      <c r="EWN999" s="103"/>
      <c r="EWZ999" s="104"/>
      <c r="EXA999" s="103"/>
      <c r="EXM999" s="104"/>
      <c r="EXN999" s="103"/>
      <c r="EXZ999" s="104"/>
      <c r="EYA999" s="103"/>
      <c r="EYM999" s="104"/>
      <c r="EYN999" s="103"/>
      <c r="EYZ999" s="104"/>
      <c r="EZA999" s="103"/>
      <c r="EZM999" s="104"/>
      <c r="EZN999" s="103"/>
      <c r="EZZ999" s="104"/>
      <c r="FAA999" s="103"/>
      <c r="FAM999" s="104"/>
      <c r="FAN999" s="103"/>
      <c r="FAZ999" s="104"/>
      <c r="FBA999" s="103"/>
      <c r="FBM999" s="104"/>
      <c r="FBN999" s="103"/>
      <c r="FBZ999" s="104"/>
      <c r="FCA999" s="103"/>
      <c r="FCM999" s="104"/>
      <c r="FCN999" s="103"/>
      <c r="FCZ999" s="104"/>
      <c r="FDA999" s="103"/>
      <c r="FDM999" s="104"/>
      <c r="FDN999" s="103"/>
      <c r="FDZ999" s="104"/>
      <c r="FEA999" s="103"/>
      <c r="FEM999" s="104"/>
      <c r="FEN999" s="103"/>
      <c r="FEZ999" s="104"/>
      <c r="FFA999" s="103"/>
      <c r="FFM999" s="104"/>
      <c r="FFN999" s="103"/>
      <c r="FFZ999" s="104"/>
      <c r="FGA999" s="103"/>
      <c r="FGM999" s="104"/>
      <c r="FGN999" s="103"/>
      <c r="FGZ999" s="104"/>
      <c r="FHA999" s="103"/>
      <c r="FHM999" s="104"/>
      <c r="FHN999" s="103"/>
      <c r="FHZ999" s="104"/>
      <c r="FIA999" s="103"/>
      <c r="FIM999" s="104"/>
      <c r="FIN999" s="103"/>
      <c r="FIZ999" s="104"/>
      <c r="FJA999" s="103"/>
      <c r="FJM999" s="104"/>
      <c r="FJN999" s="103"/>
      <c r="FJZ999" s="104"/>
      <c r="FKA999" s="103"/>
      <c r="FKM999" s="104"/>
      <c r="FKN999" s="103"/>
      <c r="FKZ999" s="104"/>
      <c r="FLA999" s="103"/>
      <c r="FLM999" s="104"/>
      <c r="FLN999" s="103"/>
      <c r="FLZ999" s="104"/>
      <c r="FMA999" s="103"/>
      <c r="FMM999" s="104"/>
      <c r="FMN999" s="103"/>
      <c r="FMZ999" s="104"/>
      <c r="FNA999" s="103"/>
      <c r="FNM999" s="104"/>
      <c r="FNN999" s="103"/>
      <c r="FNZ999" s="104"/>
      <c r="FOA999" s="103"/>
      <c r="FOM999" s="104"/>
      <c r="FON999" s="103"/>
      <c r="FOZ999" s="104"/>
      <c r="FPA999" s="103"/>
      <c r="FPM999" s="104"/>
      <c r="FPN999" s="103"/>
      <c r="FPZ999" s="104"/>
      <c r="FQA999" s="103"/>
      <c r="FQM999" s="104"/>
      <c r="FQN999" s="103"/>
      <c r="FQZ999" s="104"/>
      <c r="FRA999" s="103"/>
      <c r="FRM999" s="104"/>
      <c r="FRN999" s="103"/>
      <c r="FRZ999" s="104"/>
      <c r="FSA999" s="103"/>
      <c r="FSM999" s="104"/>
      <c r="FSN999" s="103"/>
      <c r="FSZ999" s="104"/>
      <c r="FTA999" s="103"/>
      <c r="FTM999" s="104"/>
      <c r="FTN999" s="103"/>
      <c r="FTZ999" s="104"/>
      <c r="FUA999" s="103"/>
      <c r="FUM999" s="104"/>
      <c r="FUN999" s="103"/>
      <c r="FUZ999" s="104"/>
      <c r="FVA999" s="103"/>
      <c r="FVM999" s="104"/>
      <c r="FVN999" s="103"/>
      <c r="FVZ999" s="104"/>
      <c r="FWA999" s="103"/>
      <c r="FWM999" s="104"/>
      <c r="FWN999" s="103"/>
      <c r="FWZ999" s="104"/>
      <c r="FXA999" s="103"/>
      <c r="FXM999" s="104"/>
      <c r="FXN999" s="103"/>
      <c r="FXZ999" s="104"/>
      <c r="FYA999" s="103"/>
      <c r="FYM999" s="104"/>
      <c r="FYN999" s="103"/>
      <c r="FYZ999" s="104"/>
      <c r="FZA999" s="103"/>
      <c r="FZM999" s="104"/>
      <c r="FZN999" s="103"/>
      <c r="FZZ999" s="104"/>
      <c r="GAA999" s="103"/>
      <c r="GAM999" s="104"/>
      <c r="GAN999" s="103"/>
      <c r="GAZ999" s="104"/>
      <c r="GBA999" s="103"/>
      <c r="GBM999" s="104"/>
      <c r="GBN999" s="103"/>
      <c r="GBZ999" s="104"/>
      <c r="GCA999" s="103"/>
      <c r="GCM999" s="104"/>
      <c r="GCN999" s="103"/>
      <c r="GCZ999" s="104"/>
      <c r="GDA999" s="103"/>
      <c r="GDM999" s="104"/>
      <c r="GDN999" s="103"/>
      <c r="GDZ999" s="104"/>
      <c r="GEA999" s="103"/>
      <c r="GEM999" s="104"/>
      <c r="GEN999" s="103"/>
      <c r="GEZ999" s="104"/>
      <c r="GFA999" s="103"/>
      <c r="GFM999" s="104"/>
      <c r="GFN999" s="103"/>
      <c r="GFZ999" s="104"/>
      <c r="GGA999" s="103"/>
      <c r="GGM999" s="104"/>
      <c r="GGN999" s="103"/>
      <c r="GGZ999" s="104"/>
      <c r="GHA999" s="103"/>
      <c r="GHM999" s="104"/>
      <c r="GHN999" s="103"/>
      <c r="GHZ999" s="104"/>
      <c r="GIA999" s="103"/>
      <c r="GIM999" s="104"/>
      <c r="GIN999" s="103"/>
      <c r="GIZ999" s="104"/>
      <c r="GJA999" s="103"/>
      <c r="GJM999" s="104"/>
      <c r="GJN999" s="103"/>
      <c r="GJZ999" s="104"/>
      <c r="GKA999" s="103"/>
      <c r="GKM999" s="104"/>
      <c r="GKN999" s="103"/>
      <c r="GKZ999" s="104"/>
      <c r="GLA999" s="103"/>
      <c r="GLM999" s="104"/>
      <c r="GLN999" s="103"/>
      <c r="GLZ999" s="104"/>
      <c r="GMA999" s="103"/>
      <c r="GMM999" s="104"/>
      <c r="GMN999" s="103"/>
      <c r="GMZ999" s="104"/>
      <c r="GNA999" s="103"/>
      <c r="GNM999" s="104"/>
      <c r="GNN999" s="103"/>
      <c r="GNZ999" s="104"/>
      <c r="GOA999" s="103"/>
      <c r="GOM999" s="104"/>
      <c r="GON999" s="103"/>
      <c r="GOZ999" s="104"/>
      <c r="GPA999" s="103"/>
      <c r="GPM999" s="104"/>
      <c r="GPN999" s="103"/>
      <c r="GPZ999" s="104"/>
      <c r="GQA999" s="103"/>
      <c r="GQM999" s="104"/>
      <c r="GQN999" s="103"/>
      <c r="GQZ999" s="104"/>
      <c r="GRA999" s="103"/>
      <c r="GRM999" s="104"/>
      <c r="GRN999" s="103"/>
      <c r="GRZ999" s="104"/>
      <c r="GSA999" s="103"/>
      <c r="GSM999" s="104"/>
      <c r="GSN999" s="103"/>
      <c r="GSZ999" s="104"/>
      <c r="GTA999" s="103"/>
      <c r="GTM999" s="104"/>
      <c r="GTN999" s="103"/>
      <c r="GTZ999" s="104"/>
      <c r="GUA999" s="103"/>
      <c r="GUM999" s="104"/>
      <c r="GUN999" s="103"/>
      <c r="GUZ999" s="104"/>
      <c r="GVA999" s="103"/>
      <c r="GVM999" s="104"/>
      <c r="GVN999" s="103"/>
      <c r="GVZ999" s="104"/>
      <c r="GWA999" s="103"/>
      <c r="GWM999" s="104"/>
      <c r="GWN999" s="103"/>
      <c r="GWZ999" s="104"/>
      <c r="GXA999" s="103"/>
      <c r="GXM999" s="104"/>
      <c r="GXN999" s="103"/>
      <c r="GXZ999" s="104"/>
      <c r="GYA999" s="103"/>
      <c r="GYM999" s="104"/>
      <c r="GYN999" s="103"/>
      <c r="GYZ999" s="104"/>
      <c r="GZA999" s="103"/>
      <c r="GZM999" s="104"/>
      <c r="GZN999" s="103"/>
      <c r="GZZ999" s="104"/>
      <c r="HAA999" s="103"/>
      <c r="HAM999" s="104"/>
      <c r="HAN999" s="103"/>
      <c r="HAZ999" s="104"/>
      <c r="HBA999" s="103"/>
      <c r="HBM999" s="104"/>
      <c r="HBN999" s="103"/>
      <c r="HBZ999" s="104"/>
      <c r="HCA999" s="103"/>
      <c r="HCM999" s="104"/>
      <c r="HCN999" s="103"/>
      <c r="HCZ999" s="104"/>
      <c r="HDA999" s="103"/>
      <c r="HDM999" s="104"/>
      <c r="HDN999" s="103"/>
      <c r="HDZ999" s="104"/>
      <c r="HEA999" s="103"/>
      <c r="HEM999" s="104"/>
      <c r="HEN999" s="103"/>
      <c r="HEZ999" s="104"/>
      <c r="HFA999" s="103"/>
      <c r="HFM999" s="104"/>
      <c r="HFN999" s="103"/>
      <c r="HFZ999" s="104"/>
      <c r="HGA999" s="103"/>
      <c r="HGM999" s="104"/>
      <c r="HGN999" s="103"/>
      <c r="HGZ999" s="104"/>
      <c r="HHA999" s="103"/>
      <c r="HHM999" s="104"/>
      <c r="HHN999" s="103"/>
      <c r="HHZ999" s="104"/>
      <c r="HIA999" s="103"/>
      <c r="HIM999" s="104"/>
      <c r="HIN999" s="103"/>
      <c r="HIZ999" s="104"/>
      <c r="HJA999" s="103"/>
      <c r="HJM999" s="104"/>
      <c r="HJN999" s="103"/>
      <c r="HJZ999" s="104"/>
      <c r="HKA999" s="103"/>
      <c r="HKM999" s="104"/>
      <c r="HKN999" s="103"/>
      <c r="HKZ999" s="104"/>
      <c r="HLA999" s="103"/>
      <c r="HLM999" s="104"/>
      <c r="HLN999" s="103"/>
      <c r="HLZ999" s="104"/>
      <c r="HMA999" s="103"/>
      <c r="HMM999" s="104"/>
      <c r="HMN999" s="103"/>
      <c r="HMZ999" s="104"/>
      <c r="HNA999" s="103"/>
      <c r="HNM999" s="104"/>
      <c r="HNN999" s="103"/>
      <c r="HNZ999" s="104"/>
      <c r="HOA999" s="103"/>
      <c r="HOM999" s="104"/>
      <c r="HON999" s="103"/>
      <c r="HOZ999" s="104"/>
      <c r="HPA999" s="103"/>
      <c r="HPM999" s="104"/>
      <c r="HPN999" s="103"/>
      <c r="HPZ999" s="104"/>
      <c r="HQA999" s="103"/>
      <c r="HQM999" s="104"/>
      <c r="HQN999" s="103"/>
      <c r="HQZ999" s="104"/>
      <c r="HRA999" s="103"/>
      <c r="HRM999" s="104"/>
      <c r="HRN999" s="103"/>
      <c r="HRZ999" s="104"/>
      <c r="HSA999" s="103"/>
      <c r="HSM999" s="104"/>
      <c r="HSN999" s="103"/>
      <c r="HSZ999" s="104"/>
      <c r="HTA999" s="103"/>
      <c r="HTM999" s="104"/>
      <c r="HTN999" s="103"/>
      <c r="HTZ999" s="104"/>
      <c r="HUA999" s="103"/>
      <c r="HUM999" s="104"/>
      <c r="HUN999" s="103"/>
      <c r="HUZ999" s="104"/>
      <c r="HVA999" s="103"/>
      <c r="HVM999" s="104"/>
      <c r="HVN999" s="103"/>
      <c r="HVZ999" s="104"/>
      <c r="HWA999" s="103"/>
      <c r="HWM999" s="104"/>
      <c r="HWN999" s="103"/>
      <c r="HWZ999" s="104"/>
      <c r="HXA999" s="103"/>
      <c r="HXM999" s="104"/>
      <c r="HXN999" s="103"/>
      <c r="HXZ999" s="104"/>
      <c r="HYA999" s="103"/>
      <c r="HYM999" s="104"/>
      <c r="HYN999" s="103"/>
      <c r="HYZ999" s="104"/>
      <c r="HZA999" s="103"/>
      <c r="HZM999" s="104"/>
      <c r="HZN999" s="103"/>
      <c r="HZZ999" s="104"/>
      <c r="IAA999" s="103"/>
      <c r="IAM999" s="104"/>
      <c r="IAN999" s="103"/>
      <c r="IAZ999" s="104"/>
      <c r="IBA999" s="103"/>
      <c r="IBM999" s="104"/>
      <c r="IBN999" s="103"/>
      <c r="IBZ999" s="104"/>
      <c r="ICA999" s="103"/>
      <c r="ICM999" s="104"/>
      <c r="ICN999" s="103"/>
      <c r="ICZ999" s="104"/>
      <c r="IDA999" s="103"/>
      <c r="IDM999" s="104"/>
      <c r="IDN999" s="103"/>
      <c r="IDZ999" s="104"/>
      <c r="IEA999" s="103"/>
      <c r="IEM999" s="104"/>
      <c r="IEN999" s="103"/>
      <c r="IEZ999" s="104"/>
      <c r="IFA999" s="103"/>
      <c r="IFM999" s="104"/>
      <c r="IFN999" s="103"/>
      <c r="IFZ999" s="104"/>
      <c r="IGA999" s="103"/>
      <c r="IGM999" s="104"/>
      <c r="IGN999" s="103"/>
      <c r="IGZ999" s="104"/>
      <c r="IHA999" s="103"/>
      <c r="IHM999" s="104"/>
      <c r="IHN999" s="103"/>
      <c r="IHZ999" s="104"/>
      <c r="IIA999" s="103"/>
      <c r="IIM999" s="104"/>
      <c r="IIN999" s="103"/>
      <c r="IIZ999" s="104"/>
      <c r="IJA999" s="103"/>
      <c r="IJM999" s="104"/>
      <c r="IJN999" s="103"/>
      <c r="IJZ999" s="104"/>
      <c r="IKA999" s="103"/>
      <c r="IKM999" s="104"/>
      <c r="IKN999" s="103"/>
      <c r="IKZ999" s="104"/>
      <c r="ILA999" s="103"/>
      <c r="ILM999" s="104"/>
      <c r="ILN999" s="103"/>
      <c r="ILZ999" s="104"/>
      <c r="IMA999" s="103"/>
      <c r="IMM999" s="104"/>
      <c r="IMN999" s="103"/>
      <c r="IMZ999" s="104"/>
      <c r="INA999" s="103"/>
      <c r="INM999" s="104"/>
      <c r="INN999" s="103"/>
      <c r="INZ999" s="104"/>
      <c r="IOA999" s="103"/>
      <c r="IOM999" s="104"/>
      <c r="ION999" s="103"/>
      <c r="IOZ999" s="104"/>
      <c r="IPA999" s="103"/>
      <c r="IPM999" s="104"/>
      <c r="IPN999" s="103"/>
      <c r="IPZ999" s="104"/>
      <c r="IQA999" s="103"/>
      <c r="IQM999" s="104"/>
      <c r="IQN999" s="103"/>
      <c r="IQZ999" s="104"/>
      <c r="IRA999" s="103"/>
      <c r="IRM999" s="104"/>
      <c r="IRN999" s="103"/>
      <c r="IRZ999" s="104"/>
      <c r="ISA999" s="103"/>
      <c r="ISM999" s="104"/>
      <c r="ISN999" s="103"/>
      <c r="ISZ999" s="104"/>
      <c r="ITA999" s="103"/>
      <c r="ITM999" s="104"/>
      <c r="ITN999" s="103"/>
      <c r="ITZ999" s="104"/>
      <c r="IUA999" s="103"/>
      <c r="IUM999" s="104"/>
      <c r="IUN999" s="103"/>
      <c r="IUZ999" s="104"/>
      <c r="IVA999" s="103"/>
      <c r="IVM999" s="104"/>
      <c r="IVN999" s="103"/>
      <c r="IVZ999" s="104"/>
      <c r="IWA999" s="103"/>
      <c r="IWM999" s="104"/>
      <c r="IWN999" s="103"/>
      <c r="IWZ999" s="104"/>
      <c r="IXA999" s="103"/>
      <c r="IXM999" s="104"/>
      <c r="IXN999" s="103"/>
      <c r="IXZ999" s="104"/>
      <c r="IYA999" s="103"/>
      <c r="IYM999" s="104"/>
      <c r="IYN999" s="103"/>
      <c r="IYZ999" s="104"/>
      <c r="IZA999" s="103"/>
      <c r="IZM999" s="104"/>
      <c r="IZN999" s="103"/>
      <c r="IZZ999" s="104"/>
      <c r="JAA999" s="103"/>
      <c r="JAM999" s="104"/>
      <c r="JAN999" s="103"/>
      <c r="JAZ999" s="104"/>
      <c r="JBA999" s="103"/>
      <c r="JBM999" s="104"/>
      <c r="JBN999" s="103"/>
      <c r="JBZ999" s="104"/>
      <c r="JCA999" s="103"/>
      <c r="JCM999" s="104"/>
      <c r="JCN999" s="103"/>
      <c r="JCZ999" s="104"/>
      <c r="JDA999" s="103"/>
      <c r="JDM999" s="104"/>
      <c r="JDN999" s="103"/>
      <c r="JDZ999" s="104"/>
      <c r="JEA999" s="103"/>
      <c r="JEM999" s="104"/>
      <c r="JEN999" s="103"/>
      <c r="JEZ999" s="104"/>
      <c r="JFA999" s="103"/>
      <c r="JFM999" s="104"/>
      <c r="JFN999" s="103"/>
      <c r="JFZ999" s="104"/>
      <c r="JGA999" s="103"/>
      <c r="JGM999" s="104"/>
      <c r="JGN999" s="103"/>
      <c r="JGZ999" s="104"/>
      <c r="JHA999" s="103"/>
      <c r="JHM999" s="104"/>
      <c r="JHN999" s="103"/>
      <c r="JHZ999" s="104"/>
      <c r="JIA999" s="103"/>
      <c r="JIM999" s="104"/>
      <c r="JIN999" s="103"/>
      <c r="JIZ999" s="104"/>
      <c r="JJA999" s="103"/>
      <c r="JJM999" s="104"/>
      <c r="JJN999" s="103"/>
      <c r="JJZ999" s="104"/>
      <c r="JKA999" s="103"/>
      <c r="JKM999" s="104"/>
      <c r="JKN999" s="103"/>
      <c r="JKZ999" s="104"/>
      <c r="JLA999" s="103"/>
      <c r="JLM999" s="104"/>
      <c r="JLN999" s="103"/>
      <c r="JLZ999" s="104"/>
      <c r="JMA999" s="103"/>
      <c r="JMM999" s="104"/>
      <c r="JMN999" s="103"/>
      <c r="JMZ999" s="104"/>
      <c r="JNA999" s="103"/>
      <c r="JNM999" s="104"/>
      <c r="JNN999" s="103"/>
      <c r="JNZ999" s="104"/>
      <c r="JOA999" s="103"/>
      <c r="JOM999" s="104"/>
      <c r="JON999" s="103"/>
      <c r="JOZ999" s="104"/>
      <c r="JPA999" s="103"/>
      <c r="JPM999" s="104"/>
      <c r="JPN999" s="103"/>
      <c r="JPZ999" s="104"/>
      <c r="JQA999" s="103"/>
      <c r="JQM999" s="104"/>
      <c r="JQN999" s="103"/>
      <c r="JQZ999" s="104"/>
      <c r="JRA999" s="103"/>
      <c r="JRM999" s="104"/>
      <c r="JRN999" s="103"/>
      <c r="JRZ999" s="104"/>
      <c r="JSA999" s="103"/>
      <c r="JSM999" s="104"/>
      <c r="JSN999" s="103"/>
      <c r="JSZ999" s="104"/>
      <c r="JTA999" s="103"/>
      <c r="JTM999" s="104"/>
      <c r="JTN999" s="103"/>
      <c r="JTZ999" s="104"/>
      <c r="JUA999" s="103"/>
      <c r="JUM999" s="104"/>
      <c r="JUN999" s="103"/>
      <c r="JUZ999" s="104"/>
      <c r="JVA999" s="103"/>
      <c r="JVM999" s="104"/>
      <c r="JVN999" s="103"/>
      <c r="JVZ999" s="104"/>
      <c r="JWA999" s="103"/>
      <c r="JWM999" s="104"/>
      <c r="JWN999" s="103"/>
      <c r="JWZ999" s="104"/>
      <c r="JXA999" s="103"/>
      <c r="JXM999" s="104"/>
      <c r="JXN999" s="103"/>
      <c r="JXZ999" s="104"/>
      <c r="JYA999" s="103"/>
      <c r="JYM999" s="104"/>
      <c r="JYN999" s="103"/>
      <c r="JYZ999" s="104"/>
      <c r="JZA999" s="103"/>
      <c r="JZM999" s="104"/>
      <c r="JZN999" s="103"/>
      <c r="JZZ999" s="104"/>
      <c r="KAA999" s="103"/>
      <c r="KAM999" s="104"/>
      <c r="KAN999" s="103"/>
      <c r="KAZ999" s="104"/>
      <c r="KBA999" s="103"/>
      <c r="KBM999" s="104"/>
      <c r="KBN999" s="103"/>
      <c r="KBZ999" s="104"/>
      <c r="KCA999" s="103"/>
      <c r="KCM999" s="104"/>
      <c r="KCN999" s="103"/>
      <c r="KCZ999" s="104"/>
      <c r="KDA999" s="103"/>
      <c r="KDM999" s="104"/>
      <c r="KDN999" s="103"/>
      <c r="KDZ999" s="104"/>
      <c r="KEA999" s="103"/>
      <c r="KEM999" s="104"/>
      <c r="KEN999" s="103"/>
      <c r="KEZ999" s="104"/>
      <c r="KFA999" s="103"/>
      <c r="KFM999" s="104"/>
      <c r="KFN999" s="103"/>
      <c r="KFZ999" s="104"/>
      <c r="KGA999" s="103"/>
      <c r="KGM999" s="104"/>
      <c r="KGN999" s="103"/>
      <c r="KGZ999" s="104"/>
      <c r="KHA999" s="103"/>
      <c r="KHM999" s="104"/>
      <c r="KHN999" s="103"/>
      <c r="KHZ999" s="104"/>
      <c r="KIA999" s="103"/>
      <c r="KIM999" s="104"/>
      <c r="KIN999" s="103"/>
      <c r="KIZ999" s="104"/>
      <c r="KJA999" s="103"/>
      <c r="KJM999" s="104"/>
      <c r="KJN999" s="103"/>
      <c r="KJZ999" s="104"/>
      <c r="KKA999" s="103"/>
      <c r="KKM999" s="104"/>
      <c r="KKN999" s="103"/>
      <c r="KKZ999" s="104"/>
      <c r="KLA999" s="103"/>
      <c r="KLM999" s="104"/>
      <c r="KLN999" s="103"/>
      <c r="KLZ999" s="104"/>
      <c r="KMA999" s="103"/>
      <c r="KMM999" s="104"/>
      <c r="KMN999" s="103"/>
      <c r="KMZ999" s="104"/>
      <c r="KNA999" s="103"/>
      <c r="KNM999" s="104"/>
      <c r="KNN999" s="103"/>
      <c r="KNZ999" s="104"/>
      <c r="KOA999" s="103"/>
      <c r="KOM999" s="104"/>
      <c r="KON999" s="103"/>
      <c r="KOZ999" s="104"/>
      <c r="KPA999" s="103"/>
      <c r="KPM999" s="104"/>
      <c r="KPN999" s="103"/>
      <c r="KPZ999" s="104"/>
      <c r="KQA999" s="103"/>
      <c r="KQM999" s="104"/>
      <c r="KQN999" s="103"/>
      <c r="KQZ999" s="104"/>
      <c r="KRA999" s="103"/>
      <c r="KRM999" s="104"/>
      <c r="KRN999" s="103"/>
      <c r="KRZ999" s="104"/>
      <c r="KSA999" s="103"/>
      <c r="KSM999" s="104"/>
      <c r="KSN999" s="103"/>
      <c r="KSZ999" s="104"/>
      <c r="KTA999" s="103"/>
      <c r="KTM999" s="104"/>
      <c r="KTN999" s="103"/>
      <c r="KTZ999" s="104"/>
      <c r="KUA999" s="103"/>
      <c r="KUM999" s="104"/>
      <c r="KUN999" s="103"/>
      <c r="KUZ999" s="104"/>
      <c r="KVA999" s="103"/>
      <c r="KVM999" s="104"/>
      <c r="KVN999" s="103"/>
      <c r="KVZ999" s="104"/>
      <c r="KWA999" s="103"/>
      <c r="KWM999" s="104"/>
      <c r="KWN999" s="103"/>
      <c r="KWZ999" s="104"/>
      <c r="KXA999" s="103"/>
      <c r="KXM999" s="104"/>
      <c r="KXN999" s="103"/>
      <c r="KXZ999" s="104"/>
      <c r="KYA999" s="103"/>
      <c r="KYM999" s="104"/>
      <c r="KYN999" s="103"/>
      <c r="KYZ999" s="104"/>
      <c r="KZA999" s="103"/>
      <c r="KZM999" s="104"/>
      <c r="KZN999" s="103"/>
      <c r="KZZ999" s="104"/>
      <c r="LAA999" s="103"/>
      <c r="LAM999" s="104"/>
      <c r="LAN999" s="103"/>
      <c r="LAZ999" s="104"/>
      <c r="LBA999" s="103"/>
      <c r="LBM999" s="104"/>
      <c r="LBN999" s="103"/>
      <c r="LBZ999" s="104"/>
      <c r="LCA999" s="103"/>
      <c r="LCM999" s="104"/>
      <c r="LCN999" s="103"/>
      <c r="LCZ999" s="104"/>
      <c r="LDA999" s="103"/>
      <c r="LDM999" s="104"/>
      <c r="LDN999" s="103"/>
      <c r="LDZ999" s="104"/>
      <c r="LEA999" s="103"/>
      <c r="LEM999" s="104"/>
      <c r="LEN999" s="103"/>
      <c r="LEZ999" s="104"/>
      <c r="LFA999" s="103"/>
      <c r="LFM999" s="104"/>
      <c r="LFN999" s="103"/>
      <c r="LFZ999" s="104"/>
      <c r="LGA999" s="103"/>
      <c r="LGM999" s="104"/>
      <c r="LGN999" s="103"/>
      <c r="LGZ999" s="104"/>
      <c r="LHA999" s="103"/>
      <c r="LHM999" s="104"/>
      <c r="LHN999" s="103"/>
      <c r="LHZ999" s="104"/>
      <c r="LIA999" s="103"/>
      <c r="LIM999" s="104"/>
      <c r="LIN999" s="103"/>
      <c r="LIZ999" s="104"/>
      <c r="LJA999" s="103"/>
      <c r="LJM999" s="104"/>
      <c r="LJN999" s="103"/>
      <c r="LJZ999" s="104"/>
      <c r="LKA999" s="103"/>
      <c r="LKM999" s="104"/>
      <c r="LKN999" s="103"/>
      <c r="LKZ999" s="104"/>
      <c r="LLA999" s="103"/>
      <c r="LLM999" s="104"/>
      <c r="LLN999" s="103"/>
      <c r="LLZ999" s="104"/>
      <c r="LMA999" s="103"/>
      <c r="LMM999" s="104"/>
      <c r="LMN999" s="103"/>
      <c r="LMZ999" s="104"/>
      <c r="LNA999" s="103"/>
      <c r="LNM999" s="104"/>
      <c r="LNN999" s="103"/>
      <c r="LNZ999" s="104"/>
      <c r="LOA999" s="103"/>
      <c r="LOM999" s="104"/>
      <c r="LON999" s="103"/>
      <c r="LOZ999" s="104"/>
      <c r="LPA999" s="103"/>
      <c r="LPM999" s="104"/>
      <c r="LPN999" s="103"/>
      <c r="LPZ999" s="104"/>
      <c r="LQA999" s="103"/>
      <c r="LQM999" s="104"/>
      <c r="LQN999" s="103"/>
      <c r="LQZ999" s="104"/>
      <c r="LRA999" s="103"/>
      <c r="LRM999" s="104"/>
      <c r="LRN999" s="103"/>
      <c r="LRZ999" s="104"/>
      <c r="LSA999" s="103"/>
      <c r="LSM999" s="104"/>
      <c r="LSN999" s="103"/>
      <c r="LSZ999" s="104"/>
      <c r="LTA999" s="103"/>
      <c r="LTM999" s="104"/>
      <c r="LTN999" s="103"/>
      <c r="LTZ999" s="104"/>
      <c r="LUA999" s="103"/>
      <c r="LUM999" s="104"/>
      <c r="LUN999" s="103"/>
      <c r="LUZ999" s="104"/>
      <c r="LVA999" s="103"/>
      <c r="LVM999" s="104"/>
      <c r="LVN999" s="103"/>
      <c r="LVZ999" s="104"/>
      <c r="LWA999" s="103"/>
      <c r="LWM999" s="104"/>
      <c r="LWN999" s="103"/>
      <c r="LWZ999" s="104"/>
      <c r="LXA999" s="103"/>
      <c r="LXM999" s="104"/>
      <c r="LXN999" s="103"/>
      <c r="LXZ999" s="104"/>
      <c r="LYA999" s="103"/>
      <c r="LYM999" s="104"/>
      <c r="LYN999" s="103"/>
      <c r="LYZ999" s="104"/>
      <c r="LZA999" s="103"/>
      <c r="LZM999" s="104"/>
      <c r="LZN999" s="103"/>
      <c r="LZZ999" s="104"/>
      <c r="MAA999" s="103"/>
      <c r="MAM999" s="104"/>
      <c r="MAN999" s="103"/>
      <c r="MAZ999" s="104"/>
      <c r="MBA999" s="103"/>
      <c r="MBM999" s="104"/>
      <c r="MBN999" s="103"/>
      <c r="MBZ999" s="104"/>
      <c r="MCA999" s="103"/>
      <c r="MCM999" s="104"/>
      <c r="MCN999" s="103"/>
      <c r="MCZ999" s="104"/>
      <c r="MDA999" s="103"/>
      <c r="MDM999" s="104"/>
      <c r="MDN999" s="103"/>
      <c r="MDZ999" s="104"/>
      <c r="MEA999" s="103"/>
      <c r="MEM999" s="104"/>
      <c r="MEN999" s="103"/>
      <c r="MEZ999" s="104"/>
      <c r="MFA999" s="103"/>
      <c r="MFM999" s="104"/>
      <c r="MFN999" s="103"/>
      <c r="MFZ999" s="104"/>
      <c r="MGA999" s="103"/>
      <c r="MGM999" s="104"/>
      <c r="MGN999" s="103"/>
      <c r="MGZ999" s="104"/>
      <c r="MHA999" s="103"/>
      <c r="MHM999" s="104"/>
      <c r="MHN999" s="103"/>
      <c r="MHZ999" s="104"/>
      <c r="MIA999" s="103"/>
      <c r="MIM999" s="104"/>
      <c r="MIN999" s="103"/>
      <c r="MIZ999" s="104"/>
      <c r="MJA999" s="103"/>
      <c r="MJM999" s="104"/>
      <c r="MJN999" s="103"/>
      <c r="MJZ999" s="104"/>
      <c r="MKA999" s="103"/>
      <c r="MKM999" s="104"/>
      <c r="MKN999" s="103"/>
      <c r="MKZ999" s="104"/>
      <c r="MLA999" s="103"/>
      <c r="MLM999" s="104"/>
      <c r="MLN999" s="103"/>
      <c r="MLZ999" s="104"/>
      <c r="MMA999" s="103"/>
      <c r="MMM999" s="104"/>
      <c r="MMN999" s="103"/>
      <c r="MMZ999" s="104"/>
      <c r="MNA999" s="103"/>
      <c r="MNM999" s="104"/>
      <c r="MNN999" s="103"/>
      <c r="MNZ999" s="104"/>
      <c r="MOA999" s="103"/>
      <c r="MOM999" s="104"/>
      <c r="MON999" s="103"/>
      <c r="MOZ999" s="104"/>
      <c r="MPA999" s="103"/>
      <c r="MPM999" s="104"/>
      <c r="MPN999" s="103"/>
      <c r="MPZ999" s="104"/>
      <c r="MQA999" s="103"/>
      <c r="MQM999" s="104"/>
      <c r="MQN999" s="103"/>
      <c r="MQZ999" s="104"/>
      <c r="MRA999" s="103"/>
      <c r="MRM999" s="104"/>
      <c r="MRN999" s="103"/>
      <c r="MRZ999" s="104"/>
      <c r="MSA999" s="103"/>
      <c r="MSM999" s="104"/>
      <c r="MSN999" s="103"/>
      <c r="MSZ999" s="104"/>
      <c r="MTA999" s="103"/>
      <c r="MTM999" s="104"/>
      <c r="MTN999" s="103"/>
      <c r="MTZ999" s="104"/>
      <c r="MUA999" s="103"/>
      <c r="MUM999" s="104"/>
      <c r="MUN999" s="103"/>
      <c r="MUZ999" s="104"/>
      <c r="MVA999" s="103"/>
      <c r="MVM999" s="104"/>
      <c r="MVN999" s="103"/>
      <c r="MVZ999" s="104"/>
      <c r="MWA999" s="103"/>
      <c r="MWM999" s="104"/>
      <c r="MWN999" s="103"/>
      <c r="MWZ999" s="104"/>
      <c r="MXA999" s="103"/>
      <c r="MXM999" s="104"/>
      <c r="MXN999" s="103"/>
      <c r="MXZ999" s="104"/>
      <c r="MYA999" s="103"/>
      <c r="MYM999" s="104"/>
      <c r="MYN999" s="103"/>
      <c r="MYZ999" s="104"/>
      <c r="MZA999" s="103"/>
      <c r="MZM999" s="104"/>
      <c r="MZN999" s="103"/>
      <c r="MZZ999" s="104"/>
      <c r="NAA999" s="103"/>
      <c r="NAM999" s="104"/>
      <c r="NAN999" s="103"/>
      <c r="NAZ999" s="104"/>
      <c r="NBA999" s="103"/>
      <c r="NBM999" s="104"/>
      <c r="NBN999" s="103"/>
      <c r="NBZ999" s="104"/>
      <c r="NCA999" s="103"/>
      <c r="NCM999" s="104"/>
      <c r="NCN999" s="103"/>
      <c r="NCZ999" s="104"/>
      <c r="NDA999" s="103"/>
      <c r="NDM999" s="104"/>
      <c r="NDN999" s="103"/>
      <c r="NDZ999" s="104"/>
      <c r="NEA999" s="103"/>
      <c r="NEM999" s="104"/>
      <c r="NEN999" s="103"/>
      <c r="NEZ999" s="104"/>
      <c r="NFA999" s="103"/>
      <c r="NFM999" s="104"/>
      <c r="NFN999" s="103"/>
      <c r="NFZ999" s="104"/>
      <c r="NGA999" s="103"/>
      <c r="NGM999" s="104"/>
      <c r="NGN999" s="103"/>
      <c r="NGZ999" s="104"/>
      <c r="NHA999" s="103"/>
      <c r="NHM999" s="104"/>
      <c r="NHN999" s="103"/>
      <c r="NHZ999" s="104"/>
      <c r="NIA999" s="103"/>
      <c r="NIM999" s="104"/>
      <c r="NIN999" s="103"/>
      <c r="NIZ999" s="104"/>
      <c r="NJA999" s="103"/>
      <c r="NJM999" s="104"/>
      <c r="NJN999" s="103"/>
      <c r="NJZ999" s="104"/>
      <c r="NKA999" s="103"/>
      <c r="NKM999" s="104"/>
      <c r="NKN999" s="103"/>
      <c r="NKZ999" s="104"/>
      <c r="NLA999" s="103"/>
      <c r="NLM999" s="104"/>
      <c r="NLN999" s="103"/>
      <c r="NLZ999" s="104"/>
      <c r="NMA999" s="103"/>
      <c r="NMM999" s="104"/>
      <c r="NMN999" s="103"/>
      <c r="NMZ999" s="104"/>
      <c r="NNA999" s="103"/>
      <c r="NNM999" s="104"/>
      <c r="NNN999" s="103"/>
      <c r="NNZ999" s="104"/>
      <c r="NOA999" s="103"/>
      <c r="NOM999" s="104"/>
      <c r="NON999" s="103"/>
      <c r="NOZ999" s="104"/>
      <c r="NPA999" s="103"/>
      <c r="NPM999" s="104"/>
      <c r="NPN999" s="103"/>
      <c r="NPZ999" s="104"/>
      <c r="NQA999" s="103"/>
      <c r="NQM999" s="104"/>
      <c r="NQN999" s="103"/>
      <c r="NQZ999" s="104"/>
      <c r="NRA999" s="103"/>
      <c r="NRM999" s="104"/>
      <c r="NRN999" s="103"/>
      <c r="NRZ999" s="104"/>
      <c r="NSA999" s="103"/>
      <c r="NSM999" s="104"/>
      <c r="NSN999" s="103"/>
      <c r="NSZ999" s="104"/>
      <c r="NTA999" s="103"/>
      <c r="NTM999" s="104"/>
      <c r="NTN999" s="103"/>
      <c r="NTZ999" s="104"/>
      <c r="NUA999" s="103"/>
      <c r="NUM999" s="104"/>
      <c r="NUN999" s="103"/>
      <c r="NUZ999" s="104"/>
      <c r="NVA999" s="103"/>
      <c r="NVM999" s="104"/>
      <c r="NVN999" s="103"/>
      <c r="NVZ999" s="104"/>
      <c r="NWA999" s="103"/>
      <c r="NWM999" s="104"/>
      <c r="NWN999" s="103"/>
      <c r="NWZ999" s="104"/>
      <c r="NXA999" s="103"/>
      <c r="NXM999" s="104"/>
      <c r="NXN999" s="103"/>
      <c r="NXZ999" s="104"/>
      <c r="NYA999" s="103"/>
      <c r="NYM999" s="104"/>
      <c r="NYN999" s="103"/>
      <c r="NYZ999" s="104"/>
      <c r="NZA999" s="103"/>
      <c r="NZM999" s="104"/>
      <c r="NZN999" s="103"/>
      <c r="NZZ999" s="104"/>
      <c r="OAA999" s="103"/>
      <c r="OAM999" s="104"/>
      <c r="OAN999" s="103"/>
      <c r="OAZ999" s="104"/>
      <c r="OBA999" s="103"/>
      <c r="OBM999" s="104"/>
      <c r="OBN999" s="103"/>
      <c r="OBZ999" s="104"/>
      <c r="OCA999" s="103"/>
      <c r="OCM999" s="104"/>
      <c r="OCN999" s="103"/>
      <c r="OCZ999" s="104"/>
      <c r="ODA999" s="103"/>
      <c r="ODM999" s="104"/>
      <c r="ODN999" s="103"/>
      <c r="ODZ999" s="104"/>
      <c r="OEA999" s="103"/>
      <c r="OEM999" s="104"/>
      <c r="OEN999" s="103"/>
      <c r="OEZ999" s="104"/>
      <c r="OFA999" s="103"/>
      <c r="OFM999" s="104"/>
      <c r="OFN999" s="103"/>
      <c r="OFZ999" s="104"/>
      <c r="OGA999" s="103"/>
      <c r="OGM999" s="104"/>
      <c r="OGN999" s="103"/>
      <c r="OGZ999" s="104"/>
      <c r="OHA999" s="103"/>
      <c r="OHM999" s="104"/>
      <c r="OHN999" s="103"/>
      <c r="OHZ999" s="104"/>
      <c r="OIA999" s="103"/>
      <c r="OIM999" s="104"/>
      <c r="OIN999" s="103"/>
      <c r="OIZ999" s="104"/>
      <c r="OJA999" s="103"/>
      <c r="OJM999" s="104"/>
      <c r="OJN999" s="103"/>
      <c r="OJZ999" s="104"/>
      <c r="OKA999" s="103"/>
      <c r="OKM999" s="104"/>
      <c r="OKN999" s="103"/>
      <c r="OKZ999" s="104"/>
      <c r="OLA999" s="103"/>
      <c r="OLM999" s="104"/>
      <c r="OLN999" s="103"/>
      <c r="OLZ999" s="104"/>
      <c r="OMA999" s="103"/>
      <c r="OMM999" s="104"/>
      <c r="OMN999" s="103"/>
      <c r="OMZ999" s="104"/>
      <c r="ONA999" s="103"/>
      <c r="ONM999" s="104"/>
      <c r="ONN999" s="103"/>
      <c r="ONZ999" s="104"/>
      <c r="OOA999" s="103"/>
      <c r="OOM999" s="104"/>
      <c r="OON999" s="103"/>
      <c r="OOZ999" s="104"/>
      <c r="OPA999" s="103"/>
      <c r="OPM999" s="104"/>
      <c r="OPN999" s="103"/>
      <c r="OPZ999" s="104"/>
      <c r="OQA999" s="103"/>
      <c r="OQM999" s="104"/>
      <c r="OQN999" s="103"/>
      <c r="OQZ999" s="104"/>
      <c r="ORA999" s="103"/>
      <c r="ORM999" s="104"/>
      <c r="ORN999" s="103"/>
      <c r="ORZ999" s="104"/>
      <c r="OSA999" s="103"/>
      <c r="OSM999" s="104"/>
      <c r="OSN999" s="103"/>
      <c r="OSZ999" s="104"/>
      <c r="OTA999" s="103"/>
      <c r="OTM999" s="104"/>
      <c r="OTN999" s="103"/>
      <c r="OTZ999" s="104"/>
      <c r="OUA999" s="103"/>
      <c r="OUM999" s="104"/>
      <c r="OUN999" s="103"/>
      <c r="OUZ999" s="104"/>
      <c r="OVA999" s="103"/>
      <c r="OVM999" s="104"/>
      <c r="OVN999" s="103"/>
      <c r="OVZ999" s="104"/>
      <c r="OWA999" s="103"/>
      <c r="OWM999" s="104"/>
      <c r="OWN999" s="103"/>
      <c r="OWZ999" s="104"/>
      <c r="OXA999" s="103"/>
      <c r="OXM999" s="104"/>
      <c r="OXN999" s="103"/>
      <c r="OXZ999" s="104"/>
      <c r="OYA999" s="103"/>
      <c r="OYM999" s="104"/>
      <c r="OYN999" s="103"/>
      <c r="OYZ999" s="104"/>
      <c r="OZA999" s="103"/>
      <c r="OZM999" s="104"/>
      <c r="OZN999" s="103"/>
      <c r="OZZ999" s="104"/>
      <c r="PAA999" s="103"/>
      <c r="PAM999" s="104"/>
      <c r="PAN999" s="103"/>
      <c r="PAZ999" s="104"/>
      <c r="PBA999" s="103"/>
      <c r="PBM999" s="104"/>
      <c r="PBN999" s="103"/>
      <c r="PBZ999" s="104"/>
      <c r="PCA999" s="103"/>
      <c r="PCM999" s="104"/>
      <c r="PCN999" s="103"/>
      <c r="PCZ999" s="104"/>
      <c r="PDA999" s="103"/>
      <c r="PDM999" s="104"/>
      <c r="PDN999" s="103"/>
      <c r="PDZ999" s="104"/>
      <c r="PEA999" s="103"/>
      <c r="PEM999" s="104"/>
      <c r="PEN999" s="103"/>
      <c r="PEZ999" s="104"/>
      <c r="PFA999" s="103"/>
      <c r="PFM999" s="104"/>
      <c r="PFN999" s="103"/>
      <c r="PFZ999" s="104"/>
      <c r="PGA999" s="103"/>
      <c r="PGM999" s="104"/>
      <c r="PGN999" s="103"/>
      <c r="PGZ999" s="104"/>
      <c r="PHA999" s="103"/>
      <c r="PHM999" s="104"/>
      <c r="PHN999" s="103"/>
      <c r="PHZ999" s="104"/>
      <c r="PIA999" s="103"/>
      <c r="PIM999" s="104"/>
      <c r="PIN999" s="103"/>
      <c r="PIZ999" s="104"/>
      <c r="PJA999" s="103"/>
      <c r="PJM999" s="104"/>
      <c r="PJN999" s="103"/>
      <c r="PJZ999" s="104"/>
      <c r="PKA999" s="103"/>
      <c r="PKM999" s="104"/>
      <c r="PKN999" s="103"/>
      <c r="PKZ999" s="104"/>
      <c r="PLA999" s="103"/>
      <c r="PLM999" s="104"/>
      <c r="PLN999" s="103"/>
      <c r="PLZ999" s="104"/>
      <c r="PMA999" s="103"/>
      <c r="PMM999" s="104"/>
      <c r="PMN999" s="103"/>
      <c r="PMZ999" s="104"/>
      <c r="PNA999" s="103"/>
      <c r="PNM999" s="104"/>
      <c r="PNN999" s="103"/>
      <c r="PNZ999" s="104"/>
      <c r="POA999" s="103"/>
      <c r="POM999" s="104"/>
      <c r="PON999" s="103"/>
      <c r="POZ999" s="104"/>
      <c r="PPA999" s="103"/>
      <c r="PPM999" s="104"/>
      <c r="PPN999" s="103"/>
      <c r="PPZ999" s="104"/>
      <c r="PQA999" s="103"/>
      <c r="PQM999" s="104"/>
      <c r="PQN999" s="103"/>
      <c r="PQZ999" s="104"/>
      <c r="PRA999" s="103"/>
      <c r="PRM999" s="104"/>
      <c r="PRN999" s="103"/>
      <c r="PRZ999" s="104"/>
      <c r="PSA999" s="103"/>
      <c r="PSM999" s="104"/>
      <c r="PSN999" s="103"/>
      <c r="PSZ999" s="104"/>
      <c r="PTA999" s="103"/>
      <c r="PTM999" s="104"/>
      <c r="PTN999" s="103"/>
      <c r="PTZ999" s="104"/>
      <c r="PUA999" s="103"/>
      <c r="PUM999" s="104"/>
      <c r="PUN999" s="103"/>
      <c r="PUZ999" s="104"/>
      <c r="PVA999" s="103"/>
      <c r="PVM999" s="104"/>
      <c r="PVN999" s="103"/>
      <c r="PVZ999" s="104"/>
      <c r="PWA999" s="103"/>
      <c r="PWM999" s="104"/>
      <c r="PWN999" s="103"/>
      <c r="PWZ999" s="104"/>
      <c r="PXA999" s="103"/>
      <c r="PXM999" s="104"/>
      <c r="PXN999" s="103"/>
      <c r="PXZ999" s="104"/>
      <c r="PYA999" s="103"/>
      <c r="PYM999" s="104"/>
      <c r="PYN999" s="103"/>
      <c r="PYZ999" s="104"/>
      <c r="PZA999" s="103"/>
      <c r="PZM999" s="104"/>
      <c r="PZN999" s="103"/>
      <c r="PZZ999" s="104"/>
      <c r="QAA999" s="103"/>
      <c r="QAM999" s="104"/>
      <c r="QAN999" s="103"/>
      <c r="QAZ999" s="104"/>
      <c r="QBA999" s="103"/>
      <c r="QBM999" s="104"/>
      <c r="QBN999" s="103"/>
      <c r="QBZ999" s="104"/>
      <c r="QCA999" s="103"/>
      <c r="QCM999" s="104"/>
      <c r="QCN999" s="103"/>
      <c r="QCZ999" s="104"/>
      <c r="QDA999" s="103"/>
      <c r="QDM999" s="104"/>
      <c r="QDN999" s="103"/>
      <c r="QDZ999" s="104"/>
      <c r="QEA999" s="103"/>
      <c r="QEM999" s="104"/>
      <c r="QEN999" s="103"/>
      <c r="QEZ999" s="104"/>
      <c r="QFA999" s="103"/>
      <c r="QFM999" s="104"/>
      <c r="QFN999" s="103"/>
      <c r="QFZ999" s="104"/>
      <c r="QGA999" s="103"/>
      <c r="QGM999" s="104"/>
      <c r="QGN999" s="103"/>
      <c r="QGZ999" s="104"/>
      <c r="QHA999" s="103"/>
      <c r="QHM999" s="104"/>
      <c r="QHN999" s="103"/>
      <c r="QHZ999" s="104"/>
      <c r="QIA999" s="103"/>
      <c r="QIM999" s="104"/>
      <c r="QIN999" s="103"/>
      <c r="QIZ999" s="104"/>
      <c r="QJA999" s="103"/>
      <c r="QJM999" s="104"/>
      <c r="QJN999" s="103"/>
      <c r="QJZ999" s="104"/>
      <c r="QKA999" s="103"/>
      <c r="QKM999" s="104"/>
      <c r="QKN999" s="103"/>
      <c r="QKZ999" s="104"/>
      <c r="QLA999" s="103"/>
      <c r="QLM999" s="104"/>
      <c r="QLN999" s="103"/>
      <c r="QLZ999" s="104"/>
      <c r="QMA999" s="103"/>
      <c r="QMM999" s="104"/>
      <c r="QMN999" s="103"/>
      <c r="QMZ999" s="104"/>
      <c r="QNA999" s="103"/>
      <c r="QNM999" s="104"/>
      <c r="QNN999" s="103"/>
      <c r="QNZ999" s="104"/>
      <c r="QOA999" s="103"/>
      <c r="QOM999" s="104"/>
      <c r="QON999" s="103"/>
      <c r="QOZ999" s="104"/>
      <c r="QPA999" s="103"/>
      <c r="QPM999" s="104"/>
      <c r="QPN999" s="103"/>
      <c r="QPZ999" s="104"/>
      <c r="QQA999" s="103"/>
      <c r="QQM999" s="104"/>
      <c r="QQN999" s="103"/>
      <c r="QQZ999" s="104"/>
      <c r="QRA999" s="103"/>
      <c r="QRM999" s="104"/>
      <c r="QRN999" s="103"/>
      <c r="QRZ999" s="104"/>
      <c r="QSA999" s="103"/>
      <c r="QSM999" s="104"/>
      <c r="QSN999" s="103"/>
      <c r="QSZ999" s="104"/>
      <c r="QTA999" s="103"/>
      <c r="QTM999" s="104"/>
      <c r="QTN999" s="103"/>
      <c r="QTZ999" s="104"/>
      <c r="QUA999" s="103"/>
      <c r="QUM999" s="104"/>
      <c r="QUN999" s="103"/>
      <c r="QUZ999" s="104"/>
      <c r="QVA999" s="103"/>
      <c r="QVM999" s="104"/>
      <c r="QVN999" s="103"/>
      <c r="QVZ999" s="104"/>
      <c r="QWA999" s="103"/>
      <c r="QWM999" s="104"/>
      <c r="QWN999" s="103"/>
      <c r="QWZ999" s="104"/>
      <c r="QXA999" s="103"/>
      <c r="QXM999" s="104"/>
      <c r="QXN999" s="103"/>
      <c r="QXZ999" s="104"/>
      <c r="QYA999" s="103"/>
      <c r="QYM999" s="104"/>
      <c r="QYN999" s="103"/>
      <c r="QYZ999" s="104"/>
      <c r="QZA999" s="103"/>
      <c r="QZM999" s="104"/>
      <c r="QZN999" s="103"/>
      <c r="QZZ999" s="104"/>
      <c r="RAA999" s="103"/>
      <c r="RAM999" s="104"/>
      <c r="RAN999" s="103"/>
      <c r="RAZ999" s="104"/>
      <c r="RBA999" s="103"/>
      <c r="RBM999" s="104"/>
      <c r="RBN999" s="103"/>
      <c r="RBZ999" s="104"/>
      <c r="RCA999" s="103"/>
      <c r="RCM999" s="104"/>
      <c r="RCN999" s="103"/>
      <c r="RCZ999" s="104"/>
      <c r="RDA999" s="103"/>
      <c r="RDM999" s="104"/>
      <c r="RDN999" s="103"/>
      <c r="RDZ999" s="104"/>
      <c r="REA999" s="103"/>
      <c r="REM999" s="104"/>
      <c r="REN999" s="103"/>
      <c r="REZ999" s="104"/>
      <c r="RFA999" s="103"/>
      <c r="RFM999" s="104"/>
      <c r="RFN999" s="103"/>
      <c r="RFZ999" s="104"/>
      <c r="RGA999" s="103"/>
      <c r="RGM999" s="104"/>
      <c r="RGN999" s="103"/>
      <c r="RGZ999" s="104"/>
      <c r="RHA999" s="103"/>
      <c r="RHM999" s="104"/>
      <c r="RHN999" s="103"/>
      <c r="RHZ999" s="104"/>
      <c r="RIA999" s="103"/>
      <c r="RIM999" s="104"/>
      <c r="RIN999" s="103"/>
      <c r="RIZ999" s="104"/>
      <c r="RJA999" s="103"/>
      <c r="RJM999" s="104"/>
      <c r="RJN999" s="103"/>
      <c r="RJZ999" s="104"/>
      <c r="RKA999" s="103"/>
      <c r="RKM999" s="104"/>
      <c r="RKN999" s="103"/>
      <c r="RKZ999" s="104"/>
      <c r="RLA999" s="103"/>
      <c r="RLM999" s="104"/>
      <c r="RLN999" s="103"/>
      <c r="RLZ999" s="104"/>
      <c r="RMA999" s="103"/>
      <c r="RMM999" s="104"/>
      <c r="RMN999" s="103"/>
      <c r="RMZ999" s="104"/>
      <c r="RNA999" s="103"/>
      <c r="RNM999" s="104"/>
      <c r="RNN999" s="103"/>
      <c r="RNZ999" s="104"/>
      <c r="ROA999" s="103"/>
      <c r="ROM999" s="104"/>
      <c r="RON999" s="103"/>
      <c r="ROZ999" s="104"/>
      <c r="RPA999" s="103"/>
      <c r="RPM999" s="104"/>
      <c r="RPN999" s="103"/>
      <c r="RPZ999" s="104"/>
      <c r="RQA999" s="103"/>
      <c r="RQM999" s="104"/>
      <c r="RQN999" s="103"/>
      <c r="RQZ999" s="104"/>
      <c r="RRA999" s="103"/>
      <c r="RRM999" s="104"/>
      <c r="RRN999" s="103"/>
      <c r="RRZ999" s="104"/>
      <c r="RSA999" s="103"/>
      <c r="RSM999" s="104"/>
      <c r="RSN999" s="103"/>
      <c r="RSZ999" s="104"/>
      <c r="RTA999" s="103"/>
      <c r="RTM999" s="104"/>
      <c r="RTN999" s="103"/>
      <c r="RTZ999" s="104"/>
      <c r="RUA999" s="103"/>
      <c r="RUM999" s="104"/>
      <c r="RUN999" s="103"/>
      <c r="RUZ999" s="104"/>
      <c r="RVA999" s="103"/>
      <c r="RVM999" s="104"/>
      <c r="RVN999" s="103"/>
      <c r="RVZ999" s="104"/>
      <c r="RWA999" s="103"/>
      <c r="RWM999" s="104"/>
      <c r="RWN999" s="103"/>
      <c r="RWZ999" s="104"/>
      <c r="RXA999" s="103"/>
      <c r="RXM999" s="104"/>
      <c r="RXN999" s="103"/>
      <c r="RXZ999" s="104"/>
      <c r="RYA999" s="103"/>
      <c r="RYM999" s="104"/>
      <c r="RYN999" s="103"/>
      <c r="RYZ999" s="104"/>
      <c r="RZA999" s="103"/>
      <c r="RZM999" s="104"/>
      <c r="RZN999" s="103"/>
      <c r="RZZ999" s="104"/>
      <c r="SAA999" s="103"/>
      <c r="SAM999" s="104"/>
      <c r="SAN999" s="103"/>
      <c r="SAZ999" s="104"/>
      <c r="SBA999" s="103"/>
      <c r="SBM999" s="104"/>
      <c r="SBN999" s="103"/>
      <c r="SBZ999" s="104"/>
      <c r="SCA999" s="103"/>
      <c r="SCM999" s="104"/>
      <c r="SCN999" s="103"/>
      <c r="SCZ999" s="104"/>
      <c r="SDA999" s="103"/>
      <c r="SDM999" s="104"/>
      <c r="SDN999" s="103"/>
      <c r="SDZ999" s="104"/>
      <c r="SEA999" s="103"/>
      <c r="SEM999" s="104"/>
      <c r="SEN999" s="103"/>
      <c r="SEZ999" s="104"/>
      <c r="SFA999" s="103"/>
      <c r="SFM999" s="104"/>
      <c r="SFN999" s="103"/>
      <c r="SFZ999" s="104"/>
      <c r="SGA999" s="103"/>
      <c r="SGM999" s="104"/>
      <c r="SGN999" s="103"/>
      <c r="SGZ999" s="104"/>
      <c r="SHA999" s="103"/>
      <c r="SHM999" s="104"/>
      <c r="SHN999" s="103"/>
      <c r="SHZ999" s="104"/>
      <c r="SIA999" s="103"/>
      <c r="SIM999" s="104"/>
      <c r="SIN999" s="103"/>
      <c r="SIZ999" s="104"/>
      <c r="SJA999" s="103"/>
      <c r="SJM999" s="104"/>
      <c r="SJN999" s="103"/>
      <c r="SJZ999" s="104"/>
      <c r="SKA999" s="103"/>
      <c r="SKM999" s="104"/>
      <c r="SKN999" s="103"/>
      <c r="SKZ999" s="104"/>
      <c r="SLA999" s="103"/>
      <c r="SLM999" s="104"/>
      <c r="SLN999" s="103"/>
      <c r="SLZ999" s="104"/>
      <c r="SMA999" s="103"/>
      <c r="SMM999" s="104"/>
      <c r="SMN999" s="103"/>
      <c r="SMZ999" s="104"/>
      <c r="SNA999" s="103"/>
      <c r="SNM999" s="104"/>
      <c r="SNN999" s="103"/>
      <c r="SNZ999" s="104"/>
      <c r="SOA999" s="103"/>
      <c r="SOM999" s="104"/>
      <c r="SON999" s="103"/>
      <c r="SOZ999" s="104"/>
      <c r="SPA999" s="103"/>
      <c r="SPM999" s="104"/>
      <c r="SPN999" s="103"/>
      <c r="SPZ999" s="104"/>
      <c r="SQA999" s="103"/>
      <c r="SQM999" s="104"/>
      <c r="SQN999" s="103"/>
      <c r="SQZ999" s="104"/>
      <c r="SRA999" s="103"/>
      <c r="SRM999" s="104"/>
      <c r="SRN999" s="103"/>
      <c r="SRZ999" s="104"/>
      <c r="SSA999" s="103"/>
      <c r="SSM999" s="104"/>
      <c r="SSN999" s="103"/>
      <c r="SSZ999" s="104"/>
      <c r="STA999" s="103"/>
      <c r="STM999" s="104"/>
      <c r="STN999" s="103"/>
      <c r="STZ999" s="104"/>
      <c r="SUA999" s="103"/>
      <c r="SUM999" s="104"/>
      <c r="SUN999" s="103"/>
      <c r="SUZ999" s="104"/>
      <c r="SVA999" s="103"/>
      <c r="SVM999" s="104"/>
      <c r="SVN999" s="103"/>
      <c r="SVZ999" s="104"/>
      <c r="SWA999" s="103"/>
      <c r="SWM999" s="104"/>
      <c r="SWN999" s="103"/>
      <c r="SWZ999" s="104"/>
      <c r="SXA999" s="103"/>
      <c r="SXM999" s="104"/>
      <c r="SXN999" s="103"/>
      <c r="SXZ999" s="104"/>
      <c r="SYA999" s="103"/>
      <c r="SYM999" s="104"/>
      <c r="SYN999" s="103"/>
      <c r="SYZ999" s="104"/>
      <c r="SZA999" s="103"/>
      <c r="SZM999" s="104"/>
      <c r="SZN999" s="103"/>
      <c r="SZZ999" s="104"/>
      <c r="TAA999" s="103"/>
      <c r="TAM999" s="104"/>
      <c r="TAN999" s="103"/>
      <c r="TAZ999" s="104"/>
      <c r="TBA999" s="103"/>
      <c r="TBM999" s="104"/>
      <c r="TBN999" s="103"/>
      <c r="TBZ999" s="104"/>
      <c r="TCA999" s="103"/>
      <c r="TCM999" s="104"/>
      <c r="TCN999" s="103"/>
      <c r="TCZ999" s="104"/>
      <c r="TDA999" s="103"/>
      <c r="TDM999" s="104"/>
      <c r="TDN999" s="103"/>
      <c r="TDZ999" s="104"/>
      <c r="TEA999" s="103"/>
      <c r="TEM999" s="104"/>
      <c r="TEN999" s="103"/>
      <c r="TEZ999" s="104"/>
      <c r="TFA999" s="103"/>
      <c r="TFM999" s="104"/>
      <c r="TFN999" s="103"/>
      <c r="TFZ999" s="104"/>
      <c r="TGA999" s="103"/>
      <c r="TGM999" s="104"/>
      <c r="TGN999" s="103"/>
      <c r="TGZ999" s="104"/>
      <c r="THA999" s="103"/>
      <c r="THM999" s="104"/>
      <c r="THN999" s="103"/>
      <c r="THZ999" s="104"/>
      <c r="TIA999" s="103"/>
      <c r="TIM999" s="104"/>
      <c r="TIN999" s="103"/>
      <c r="TIZ999" s="104"/>
      <c r="TJA999" s="103"/>
      <c r="TJM999" s="104"/>
      <c r="TJN999" s="103"/>
      <c r="TJZ999" s="104"/>
      <c r="TKA999" s="103"/>
      <c r="TKM999" s="104"/>
      <c r="TKN999" s="103"/>
      <c r="TKZ999" s="104"/>
      <c r="TLA999" s="103"/>
      <c r="TLM999" s="104"/>
      <c r="TLN999" s="103"/>
      <c r="TLZ999" s="104"/>
      <c r="TMA999" s="103"/>
      <c r="TMM999" s="104"/>
      <c r="TMN999" s="103"/>
      <c r="TMZ999" s="104"/>
      <c r="TNA999" s="103"/>
      <c r="TNM999" s="104"/>
      <c r="TNN999" s="103"/>
      <c r="TNZ999" s="104"/>
      <c r="TOA999" s="103"/>
      <c r="TOM999" s="104"/>
      <c r="TON999" s="103"/>
      <c r="TOZ999" s="104"/>
      <c r="TPA999" s="103"/>
      <c r="TPM999" s="104"/>
      <c r="TPN999" s="103"/>
      <c r="TPZ999" s="104"/>
      <c r="TQA999" s="103"/>
      <c r="TQM999" s="104"/>
      <c r="TQN999" s="103"/>
      <c r="TQZ999" s="104"/>
      <c r="TRA999" s="103"/>
      <c r="TRM999" s="104"/>
      <c r="TRN999" s="103"/>
      <c r="TRZ999" s="104"/>
      <c r="TSA999" s="103"/>
      <c r="TSM999" s="104"/>
      <c r="TSN999" s="103"/>
      <c r="TSZ999" s="104"/>
      <c r="TTA999" s="103"/>
      <c r="TTM999" s="104"/>
      <c r="TTN999" s="103"/>
      <c r="TTZ999" s="104"/>
      <c r="TUA999" s="103"/>
      <c r="TUM999" s="104"/>
      <c r="TUN999" s="103"/>
      <c r="TUZ999" s="104"/>
      <c r="TVA999" s="103"/>
      <c r="TVM999" s="104"/>
      <c r="TVN999" s="103"/>
      <c r="TVZ999" s="104"/>
      <c r="TWA999" s="103"/>
      <c r="TWM999" s="104"/>
      <c r="TWN999" s="103"/>
      <c r="TWZ999" s="104"/>
      <c r="TXA999" s="103"/>
      <c r="TXM999" s="104"/>
      <c r="TXN999" s="103"/>
      <c r="TXZ999" s="104"/>
      <c r="TYA999" s="103"/>
      <c r="TYM999" s="104"/>
      <c r="TYN999" s="103"/>
      <c r="TYZ999" s="104"/>
      <c r="TZA999" s="103"/>
      <c r="TZM999" s="104"/>
      <c r="TZN999" s="103"/>
      <c r="TZZ999" s="104"/>
      <c r="UAA999" s="103"/>
      <c r="UAM999" s="104"/>
      <c r="UAN999" s="103"/>
      <c r="UAZ999" s="104"/>
      <c r="UBA999" s="103"/>
      <c r="UBM999" s="104"/>
      <c r="UBN999" s="103"/>
      <c r="UBZ999" s="104"/>
      <c r="UCA999" s="103"/>
      <c r="UCM999" s="104"/>
      <c r="UCN999" s="103"/>
      <c r="UCZ999" s="104"/>
      <c r="UDA999" s="103"/>
      <c r="UDM999" s="104"/>
      <c r="UDN999" s="103"/>
      <c r="UDZ999" s="104"/>
      <c r="UEA999" s="103"/>
      <c r="UEM999" s="104"/>
      <c r="UEN999" s="103"/>
      <c r="UEZ999" s="104"/>
      <c r="UFA999" s="103"/>
      <c r="UFM999" s="104"/>
      <c r="UFN999" s="103"/>
      <c r="UFZ999" s="104"/>
      <c r="UGA999" s="103"/>
      <c r="UGM999" s="104"/>
      <c r="UGN999" s="103"/>
      <c r="UGZ999" s="104"/>
      <c r="UHA999" s="103"/>
      <c r="UHM999" s="104"/>
      <c r="UHN999" s="103"/>
      <c r="UHZ999" s="104"/>
      <c r="UIA999" s="103"/>
      <c r="UIM999" s="104"/>
      <c r="UIN999" s="103"/>
      <c r="UIZ999" s="104"/>
      <c r="UJA999" s="103"/>
      <c r="UJM999" s="104"/>
      <c r="UJN999" s="103"/>
      <c r="UJZ999" s="104"/>
      <c r="UKA999" s="103"/>
      <c r="UKM999" s="104"/>
      <c r="UKN999" s="103"/>
      <c r="UKZ999" s="104"/>
      <c r="ULA999" s="103"/>
      <c r="ULM999" s="104"/>
      <c r="ULN999" s="103"/>
      <c r="ULZ999" s="104"/>
      <c r="UMA999" s="103"/>
      <c r="UMM999" s="104"/>
      <c r="UMN999" s="103"/>
      <c r="UMZ999" s="104"/>
      <c r="UNA999" s="103"/>
      <c r="UNM999" s="104"/>
      <c r="UNN999" s="103"/>
      <c r="UNZ999" s="104"/>
      <c r="UOA999" s="103"/>
      <c r="UOM999" s="104"/>
      <c r="UON999" s="103"/>
      <c r="UOZ999" s="104"/>
      <c r="UPA999" s="103"/>
      <c r="UPM999" s="104"/>
      <c r="UPN999" s="103"/>
      <c r="UPZ999" s="104"/>
      <c r="UQA999" s="103"/>
      <c r="UQM999" s="104"/>
      <c r="UQN999" s="103"/>
      <c r="UQZ999" s="104"/>
      <c r="URA999" s="103"/>
      <c r="URM999" s="104"/>
      <c r="URN999" s="103"/>
      <c r="URZ999" s="104"/>
      <c r="USA999" s="103"/>
      <c r="USM999" s="104"/>
      <c r="USN999" s="103"/>
      <c r="USZ999" s="104"/>
      <c r="UTA999" s="103"/>
      <c r="UTM999" s="104"/>
      <c r="UTN999" s="103"/>
      <c r="UTZ999" s="104"/>
      <c r="UUA999" s="103"/>
      <c r="UUM999" s="104"/>
      <c r="UUN999" s="103"/>
      <c r="UUZ999" s="104"/>
      <c r="UVA999" s="103"/>
      <c r="UVM999" s="104"/>
      <c r="UVN999" s="103"/>
      <c r="UVZ999" s="104"/>
      <c r="UWA999" s="103"/>
      <c r="UWM999" s="104"/>
      <c r="UWN999" s="103"/>
      <c r="UWZ999" s="104"/>
      <c r="UXA999" s="103"/>
      <c r="UXM999" s="104"/>
      <c r="UXN999" s="103"/>
      <c r="UXZ999" s="104"/>
      <c r="UYA999" s="103"/>
      <c r="UYM999" s="104"/>
      <c r="UYN999" s="103"/>
      <c r="UYZ999" s="104"/>
      <c r="UZA999" s="103"/>
      <c r="UZM999" s="104"/>
      <c r="UZN999" s="103"/>
      <c r="UZZ999" s="104"/>
      <c r="VAA999" s="103"/>
      <c r="VAM999" s="104"/>
      <c r="VAN999" s="103"/>
      <c r="VAZ999" s="104"/>
      <c r="VBA999" s="103"/>
      <c r="VBM999" s="104"/>
      <c r="VBN999" s="103"/>
      <c r="VBZ999" s="104"/>
      <c r="VCA999" s="103"/>
      <c r="VCM999" s="104"/>
      <c r="VCN999" s="103"/>
      <c r="VCZ999" s="104"/>
      <c r="VDA999" s="103"/>
      <c r="VDM999" s="104"/>
      <c r="VDN999" s="103"/>
      <c r="VDZ999" s="104"/>
      <c r="VEA999" s="103"/>
      <c r="VEM999" s="104"/>
      <c r="VEN999" s="103"/>
      <c r="VEZ999" s="104"/>
      <c r="VFA999" s="103"/>
      <c r="VFM999" s="104"/>
      <c r="VFN999" s="103"/>
      <c r="VFZ999" s="104"/>
      <c r="VGA999" s="103"/>
      <c r="VGM999" s="104"/>
      <c r="VGN999" s="103"/>
      <c r="VGZ999" s="104"/>
      <c r="VHA999" s="103"/>
      <c r="VHM999" s="104"/>
      <c r="VHN999" s="103"/>
      <c r="VHZ999" s="104"/>
      <c r="VIA999" s="103"/>
      <c r="VIM999" s="104"/>
      <c r="VIN999" s="103"/>
      <c r="VIZ999" s="104"/>
      <c r="VJA999" s="103"/>
      <c r="VJM999" s="104"/>
      <c r="VJN999" s="103"/>
      <c r="VJZ999" s="104"/>
      <c r="VKA999" s="103"/>
      <c r="VKM999" s="104"/>
      <c r="VKN999" s="103"/>
      <c r="VKZ999" s="104"/>
      <c r="VLA999" s="103"/>
      <c r="VLM999" s="104"/>
      <c r="VLN999" s="103"/>
      <c r="VLZ999" s="104"/>
      <c r="VMA999" s="103"/>
      <c r="VMM999" s="104"/>
      <c r="VMN999" s="103"/>
      <c r="VMZ999" s="104"/>
      <c r="VNA999" s="103"/>
      <c r="VNM999" s="104"/>
      <c r="VNN999" s="103"/>
      <c r="VNZ999" s="104"/>
      <c r="VOA999" s="103"/>
      <c r="VOM999" s="104"/>
      <c r="VON999" s="103"/>
      <c r="VOZ999" s="104"/>
      <c r="VPA999" s="103"/>
      <c r="VPM999" s="104"/>
      <c r="VPN999" s="103"/>
      <c r="VPZ999" s="104"/>
      <c r="VQA999" s="103"/>
      <c r="VQM999" s="104"/>
      <c r="VQN999" s="103"/>
      <c r="VQZ999" s="104"/>
      <c r="VRA999" s="103"/>
      <c r="VRM999" s="104"/>
      <c r="VRN999" s="103"/>
      <c r="VRZ999" s="104"/>
      <c r="VSA999" s="103"/>
      <c r="VSM999" s="104"/>
      <c r="VSN999" s="103"/>
      <c r="VSZ999" s="104"/>
      <c r="VTA999" s="103"/>
      <c r="VTM999" s="104"/>
      <c r="VTN999" s="103"/>
      <c r="VTZ999" s="104"/>
      <c r="VUA999" s="103"/>
      <c r="VUM999" s="104"/>
      <c r="VUN999" s="103"/>
      <c r="VUZ999" s="104"/>
      <c r="VVA999" s="103"/>
      <c r="VVM999" s="104"/>
      <c r="VVN999" s="103"/>
      <c r="VVZ999" s="104"/>
      <c r="VWA999" s="103"/>
      <c r="VWM999" s="104"/>
      <c r="VWN999" s="103"/>
      <c r="VWZ999" s="104"/>
      <c r="VXA999" s="103"/>
      <c r="VXM999" s="104"/>
      <c r="VXN999" s="103"/>
      <c r="VXZ999" s="104"/>
      <c r="VYA999" s="103"/>
      <c r="VYM999" s="104"/>
      <c r="VYN999" s="103"/>
      <c r="VYZ999" s="104"/>
      <c r="VZA999" s="103"/>
      <c r="VZM999" s="104"/>
      <c r="VZN999" s="103"/>
      <c r="VZZ999" s="104"/>
      <c r="WAA999" s="103"/>
      <c r="WAM999" s="104"/>
      <c r="WAN999" s="103"/>
      <c r="WAZ999" s="104"/>
      <c r="WBA999" s="103"/>
      <c r="WBM999" s="104"/>
      <c r="WBN999" s="103"/>
      <c r="WBZ999" s="104"/>
      <c r="WCA999" s="103"/>
      <c r="WCM999" s="104"/>
      <c r="WCN999" s="103"/>
      <c r="WCZ999" s="104"/>
      <c r="WDA999" s="103"/>
      <c r="WDM999" s="104"/>
      <c r="WDN999" s="103"/>
      <c r="WDZ999" s="104"/>
      <c r="WEA999" s="103"/>
      <c r="WEM999" s="104"/>
      <c r="WEN999" s="103"/>
      <c r="WEZ999" s="104"/>
      <c r="WFA999" s="103"/>
      <c r="WFM999" s="104"/>
      <c r="WFN999" s="103"/>
      <c r="WFZ999" s="104"/>
      <c r="WGA999" s="103"/>
      <c r="WGM999" s="104"/>
      <c r="WGN999" s="103"/>
      <c r="WGZ999" s="104"/>
      <c r="WHA999" s="103"/>
      <c r="WHM999" s="104"/>
      <c r="WHN999" s="103"/>
      <c r="WHZ999" s="104"/>
      <c r="WIA999" s="103"/>
      <c r="WIM999" s="104"/>
      <c r="WIN999" s="103"/>
      <c r="WIZ999" s="104"/>
      <c r="WJA999" s="103"/>
      <c r="WJM999" s="104"/>
      <c r="WJN999" s="103"/>
      <c r="WJZ999" s="104"/>
      <c r="WKA999" s="103"/>
      <c r="WKM999" s="104"/>
      <c r="WKN999" s="103"/>
      <c r="WKZ999" s="104"/>
      <c r="WLA999" s="103"/>
      <c r="WLM999" s="104"/>
      <c r="WLN999" s="103"/>
      <c r="WLZ999" s="104"/>
      <c r="WMA999" s="103"/>
      <c r="WMM999" s="104"/>
      <c r="WMN999" s="103"/>
      <c r="WMZ999" s="104"/>
      <c r="WNA999" s="103"/>
      <c r="WNM999" s="104"/>
      <c r="WNN999" s="103"/>
      <c r="WNZ999" s="104"/>
      <c r="WOA999" s="103"/>
      <c r="WOM999" s="104"/>
      <c r="WON999" s="103"/>
      <c r="WOZ999" s="104"/>
      <c r="WPA999" s="103"/>
      <c r="WPM999" s="104"/>
      <c r="WPN999" s="103"/>
      <c r="WPZ999" s="104"/>
      <c r="WQA999" s="103"/>
      <c r="WQM999" s="104"/>
      <c r="WQN999" s="103"/>
      <c r="WQZ999" s="104"/>
      <c r="WRA999" s="103"/>
      <c r="WRM999" s="104"/>
      <c r="WRN999" s="103"/>
      <c r="WRZ999" s="104"/>
      <c r="WSA999" s="103"/>
      <c r="WSM999" s="104"/>
      <c r="WSN999" s="103"/>
      <c r="WSZ999" s="104"/>
      <c r="WTA999" s="103"/>
      <c r="WTM999" s="104"/>
      <c r="WTN999" s="103"/>
      <c r="WTZ999" s="104"/>
      <c r="WUA999" s="103"/>
      <c r="WUM999" s="104"/>
      <c r="WUN999" s="103"/>
      <c r="WUZ999" s="104"/>
      <c r="WVA999" s="103"/>
      <c r="WVM999" s="104"/>
      <c r="WVN999" s="103"/>
      <c r="WVZ999" s="104"/>
      <c r="WWA999" s="103"/>
      <c r="WWM999" s="104"/>
      <c r="WWN999" s="103"/>
      <c r="WWZ999" s="104"/>
      <c r="WXA999" s="103"/>
      <c r="WXM999" s="104"/>
      <c r="WXN999" s="103"/>
      <c r="WXZ999" s="104"/>
      <c r="WYA999" s="103"/>
      <c r="WYM999" s="104"/>
      <c r="WYN999" s="103"/>
      <c r="WYZ999" s="104"/>
      <c r="WZA999" s="103"/>
      <c r="WZM999" s="104"/>
      <c r="WZN999" s="103"/>
      <c r="WZZ999" s="104"/>
      <c r="XAA999" s="103"/>
      <c r="XAM999" s="104"/>
      <c r="XAN999" s="103"/>
      <c r="XAZ999" s="104"/>
      <c r="XBA999" s="103"/>
      <c r="XBM999" s="104"/>
      <c r="XBN999" s="103"/>
      <c r="XBZ999" s="104"/>
      <c r="XCA999" s="103"/>
      <c r="XCM999" s="104"/>
      <c r="XCN999" s="103"/>
      <c r="XCZ999" s="104"/>
      <c r="XDA999" s="103"/>
      <c r="XDM999" s="104"/>
      <c r="XDN999" s="103"/>
      <c r="XDZ999" s="104"/>
      <c r="XEA999" s="103"/>
      <c r="XEM999" s="104"/>
      <c r="XEN999" s="103"/>
      <c r="XEZ999" s="104"/>
      <c r="XFA999" s="103"/>
    </row>
    <row r="1000" spans="1:1015 1027:2042 2054:3069 3081:4096 4108:5110 5122:6137 6149:7164 7176:8191 8203:9205 9217:10232 10244:11259 11271:12286 12298:14327 14339:15354 15366:16381">
      <c r="A1000" s="103" t="s">
        <v>172</v>
      </c>
      <c r="M1000" s="104" t="s">
        <v>173</v>
      </c>
      <c r="N1000" s="106">
        <f>1/Model!AF202</f>
        <v>1.8191740949608879E-2</v>
      </c>
      <c r="AM1000" s="104"/>
      <c r="AN1000" s="103"/>
      <c r="AZ1000" s="104"/>
      <c r="BA1000" s="103"/>
      <c r="BM1000" s="104"/>
      <c r="BN1000" s="103"/>
      <c r="BZ1000" s="104"/>
      <c r="CA1000" s="103"/>
      <c r="CM1000" s="104"/>
      <c r="CN1000" s="103"/>
      <c r="CZ1000" s="104"/>
      <c r="DA1000" s="103"/>
      <c r="DM1000" s="104"/>
      <c r="DN1000" s="103"/>
      <c r="DZ1000" s="104"/>
      <c r="EA1000" s="103"/>
      <c r="EM1000" s="104"/>
      <c r="EN1000" s="103"/>
      <c r="EZ1000" s="104"/>
      <c r="FA1000" s="103"/>
      <c r="FM1000" s="104"/>
      <c r="FN1000" s="103"/>
      <c r="FZ1000" s="104"/>
      <c r="GA1000" s="103"/>
      <c r="GM1000" s="104"/>
      <c r="GN1000" s="103"/>
      <c r="GZ1000" s="104"/>
      <c r="HA1000" s="103"/>
      <c r="HM1000" s="104"/>
      <c r="HN1000" s="103"/>
      <c r="HZ1000" s="104"/>
      <c r="IA1000" s="103"/>
      <c r="IM1000" s="104"/>
      <c r="IN1000" s="103"/>
      <c r="IZ1000" s="104"/>
      <c r="JA1000" s="103"/>
      <c r="JM1000" s="104"/>
      <c r="JN1000" s="103"/>
      <c r="JZ1000" s="104"/>
      <c r="KA1000" s="103"/>
      <c r="KM1000" s="104"/>
      <c r="KN1000" s="103"/>
      <c r="KZ1000" s="104"/>
      <c r="LA1000" s="103"/>
      <c r="LM1000" s="104"/>
      <c r="LN1000" s="103"/>
      <c r="LZ1000" s="104"/>
      <c r="MA1000" s="103"/>
      <c r="MM1000" s="104"/>
      <c r="MN1000" s="103"/>
      <c r="MZ1000" s="104"/>
      <c r="NA1000" s="103"/>
      <c r="NM1000" s="104"/>
      <c r="NN1000" s="103"/>
      <c r="NZ1000" s="104"/>
      <c r="OA1000" s="103"/>
      <c r="OM1000" s="104"/>
      <c r="ON1000" s="103"/>
      <c r="OZ1000" s="104"/>
      <c r="PA1000" s="103"/>
      <c r="PM1000" s="104"/>
      <c r="PN1000" s="103"/>
      <c r="PZ1000" s="104"/>
      <c r="QA1000" s="103"/>
      <c r="QM1000" s="104"/>
      <c r="QN1000" s="103"/>
      <c r="QZ1000" s="104"/>
      <c r="RA1000" s="103"/>
      <c r="RM1000" s="104"/>
      <c r="RN1000" s="103"/>
      <c r="RZ1000" s="104"/>
      <c r="SA1000" s="103"/>
      <c r="SM1000" s="104"/>
      <c r="SN1000" s="103"/>
      <c r="SZ1000" s="104"/>
      <c r="TA1000" s="103"/>
      <c r="TM1000" s="104"/>
      <c r="TN1000" s="103"/>
      <c r="TZ1000" s="104"/>
      <c r="UA1000" s="103"/>
      <c r="UM1000" s="104"/>
      <c r="UN1000" s="103"/>
      <c r="UZ1000" s="104"/>
      <c r="VA1000" s="103"/>
      <c r="VM1000" s="104"/>
      <c r="VN1000" s="103"/>
      <c r="VZ1000" s="104"/>
      <c r="WA1000" s="103"/>
      <c r="WM1000" s="104"/>
      <c r="WN1000" s="103"/>
      <c r="WZ1000" s="104"/>
      <c r="XA1000" s="103"/>
      <c r="XM1000" s="104"/>
      <c r="XN1000" s="103"/>
      <c r="XZ1000" s="104"/>
      <c r="YA1000" s="103"/>
      <c r="YM1000" s="104"/>
      <c r="YN1000" s="103"/>
      <c r="YZ1000" s="104"/>
      <c r="ZA1000" s="103"/>
      <c r="ZM1000" s="104"/>
      <c r="ZN1000" s="103"/>
      <c r="ZZ1000" s="104"/>
      <c r="AAA1000" s="103"/>
      <c r="AAM1000" s="104"/>
      <c r="AAN1000" s="103"/>
      <c r="AAZ1000" s="104"/>
      <c r="ABA1000" s="103"/>
      <c r="ABM1000" s="104"/>
      <c r="ABN1000" s="103"/>
      <c r="ABZ1000" s="104"/>
      <c r="ACA1000" s="103"/>
      <c r="ACM1000" s="104"/>
      <c r="ACN1000" s="103"/>
      <c r="ACZ1000" s="104"/>
      <c r="ADA1000" s="103"/>
      <c r="ADM1000" s="104"/>
      <c r="ADN1000" s="103"/>
      <c r="ADZ1000" s="104"/>
      <c r="AEA1000" s="103"/>
      <c r="AEM1000" s="104"/>
      <c r="AEN1000" s="103"/>
      <c r="AEZ1000" s="104"/>
      <c r="AFA1000" s="103"/>
      <c r="AFM1000" s="104"/>
      <c r="AFN1000" s="103"/>
      <c r="AFZ1000" s="104"/>
      <c r="AGA1000" s="103"/>
      <c r="AGM1000" s="104"/>
      <c r="AGN1000" s="103"/>
      <c r="AGZ1000" s="104"/>
      <c r="AHA1000" s="103"/>
      <c r="AHM1000" s="104"/>
      <c r="AHN1000" s="103"/>
      <c r="AHZ1000" s="104"/>
      <c r="AIA1000" s="103"/>
      <c r="AIM1000" s="104"/>
      <c r="AIN1000" s="103"/>
      <c r="AIZ1000" s="104"/>
      <c r="AJA1000" s="103"/>
      <c r="AJM1000" s="104"/>
      <c r="AJN1000" s="103"/>
      <c r="AJZ1000" s="104"/>
      <c r="AKA1000" s="103"/>
      <c r="AKM1000" s="104"/>
      <c r="AKN1000" s="103"/>
      <c r="AKZ1000" s="104"/>
      <c r="ALA1000" s="103"/>
      <c r="ALM1000" s="104"/>
      <c r="ALN1000" s="103"/>
      <c r="ALZ1000" s="104"/>
      <c r="AMA1000" s="103"/>
      <c r="AMM1000" s="104"/>
      <c r="AMN1000" s="103"/>
      <c r="AMZ1000" s="104"/>
      <c r="ANA1000" s="103"/>
      <c r="ANM1000" s="104"/>
      <c r="ANN1000" s="103"/>
      <c r="ANZ1000" s="104"/>
      <c r="AOA1000" s="103"/>
      <c r="AOM1000" s="104"/>
      <c r="AON1000" s="103"/>
      <c r="AOZ1000" s="104"/>
      <c r="APA1000" s="103"/>
      <c r="APM1000" s="104"/>
      <c r="APN1000" s="103"/>
      <c r="APZ1000" s="104"/>
      <c r="AQA1000" s="103"/>
      <c r="AQM1000" s="104"/>
      <c r="AQN1000" s="103"/>
      <c r="AQZ1000" s="104"/>
      <c r="ARA1000" s="103"/>
      <c r="ARM1000" s="104"/>
      <c r="ARN1000" s="103"/>
      <c r="ARZ1000" s="104"/>
      <c r="ASA1000" s="103"/>
      <c r="ASM1000" s="104"/>
      <c r="ASN1000" s="103"/>
      <c r="ASZ1000" s="104"/>
      <c r="ATA1000" s="103"/>
      <c r="ATM1000" s="104"/>
      <c r="ATN1000" s="103"/>
      <c r="ATZ1000" s="104"/>
      <c r="AUA1000" s="103"/>
      <c r="AUM1000" s="104"/>
      <c r="AUN1000" s="103"/>
      <c r="AUZ1000" s="104"/>
      <c r="AVA1000" s="103"/>
      <c r="AVM1000" s="104"/>
      <c r="AVN1000" s="103"/>
      <c r="AVZ1000" s="104"/>
      <c r="AWA1000" s="103"/>
      <c r="AWM1000" s="104"/>
      <c r="AWN1000" s="103"/>
      <c r="AWZ1000" s="104"/>
      <c r="AXA1000" s="103"/>
      <c r="AXM1000" s="104"/>
      <c r="AXN1000" s="103"/>
      <c r="AXZ1000" s="104"/>
      <c r="AYA1000" s="103"/>
      <c r="AYM1000" s="104"/>
      <c r="AYN1000" s="103"/>
      <c r="AYZ1000" s="104"/>
      <c r="AZA1000" s="103"/>
      <c r="AZM1000" s="104"/>
      <c r="AZN1000" s="103"/>
      <c r="AZZ1000" s="104"/>
      <c r="BAA1000" s="103"/>
      <c r="BAM1000" s="104"/>
      <c r="BAN1000" s="103"/>
      <c r="BAZ1000" s="104"/>
      <c r="BBA1000" s="103"/>
      <c r="BBM1000" s="104"/>
      <c r="BBN1000" s="103"/>
      <c r="BBZ1000" s="104"/>
      <c r="BCA1000" s="103"/>
      <c r="BCM1000" s="104"/>
      <c r="BCN1000" s="103"/>
      <c r="BCZ1000" s="104"/>
      <c r="BDA1000" s="103"/>
      <c r="BDM1000" s="104"/>
      <c r="BDN1000" s="103"/>
      <c r="BDZ1000" s="104"/>
      <c r="BEA1000" s="103"/>
      <c r="BEM1000" s="104"/>
      <c r="BEN1000" s="103"/>
      <c r="BEZ1000" s="104"/>
      <c r="BFA1000" s="103"/>
      <c r="BFM1000" s="104"/>
      <c r="BFN1000" s="103"/>
      <c r="BFZ1000" s="104"/>
      <c r="BGA1000" s="103"/>
      <c r="BGM1000" s="104"/>
      <c r="BGN1000" s="103"/>
      <c r="BGZ1000" s="104"/>
      <c r="BHA1000" s="103"/>
      <c r="BHM1000" s="104"/>
      <c r="BHN1000" s="103"/>
      <c r="BHZ1000" s="104"/>
      <c r="BIA1000" s="103"/>
      <c r="BIM1000" s="104"/>
      <c r="BIN1000" s="103"/>
      <c r="BIZ1000" s="104"/>
      <c r="BJA1000" s="103"/>
      <c r="BJM1000" s="104"/>
      <c r="BJN1000" s="103"/>
      <c r="BJZ1000" s="104"/>
      <c r="BKA1000" s="103"/>
      <c r="BKM1000" s="104"/>
      <c r="BKN1000" s="103"/>
      <c r="BKZ1000" s="104"/>
      <c r="BLA1000" s="103"/>
      <c r="BLM1000" s="104"/>
      <c r="BLN1000" s="103"/>
      <c r="BLZ1000" s="104"/>
      <c r="BMA1000" s="103"/>
      <c r="BMM1000" s="104"/>
      <c r="BMN1000" s="103"/>
      <c r="BMZ1000" s="104"/>
      <c r="BNA1000" s="103"/>
      <c r="BNM1000" s="104"/>
      <c r="BNN1000" s="103"/>
      <c r="BNZ1000" s="104"/>
      <c r="BOA1000" s="103"/>
      <c r="BOM1000" s="104"/>
      <c r="BON1000" s="103"/>
      <c r="BOZ1000" s="104"/>
      <c r="BPA1000" s="103"/>
      <c r="BPM1000" s="104"/>
      <c r="BPN1000" s="103"/>
      <c r="BPZ1000" s="104"/>
      <c r="BQA1000" s="103"/>
      <c r="BQM1000" s="104"/>
      <c r="BQN1000" s="103"/>
      <c r="BQZ1000" s="104"/>
      <c r="BRA1000" s="103"/>
      <c r="BRM1000" s="104"/>
      <c r="BRN1000" s="103"/>
      <c r="BRZ1000" s="104"/>
      <c r="BSA1000" s="103"/>
      <c r="BSM1000" s="104"/>
      <c r="BSN1000" s="103"/>
      <c r="BSZ1000" s="104"/>
      <c r="BTA1000" s="103"/>
      <c r="BTM1000" s="104"/>
      <c r="BTN1000" s="103"/>
      <c r="BTZ1000" s="104"/>
      <c r="BUA1000" s="103"/>
      <c r="BUM1000" s="104"/>
      <c r="BUN1000" s="103"/>
      <c r="BUZ1000" s="104"/>
      <c r="BVA1000" s="103"/>
      <c r="BVM1000" s="104"/>
      <c r="BVN1000" s="103"/>
      <c r="BVZ1000" s="104"/>
      <c r="BWA1000" s="103"/>
      <c r="BWM1000" s="104"/>
      <c r="BWN1000" s="103"/>
      <c r="BWZ1000" s="104"/>
      <c r="BXA1000" s="103"/>
      <c r="BXM1000" s="104"/>
      <c r="BXN1000" s="103"/>
      <c r="BXZ1000" s="104"/>
      <c r="BYA1000" s="103"/>
      <c r="BYM1000" s="104"/>
      <c r="BYN1000" s="103"/>
      <c r="BYZ1000" s="104"/>
      <c r="BZA1000" s="103"/>
      <c r="BZM1000" s="104"/>
      <c r="BZN1000" s="103"/>
      <c r="BZZ1000" s="104"/>
      <c r="CAA1000" s="103"/>
      <c r="CAM1000" s="104"/>
      <c r="CAN1000" s="103"/>
      <c r="CAZ1000" s="104"/>
      <c r="CBA1000" s="103"/>
      <c r="CBM1000" s="104"/>
      <c r="CBN1000" s="103"/>
      <c r="CBZ1000" s="104"/>
      <c r="CCA1000" s="103"/>
      <c r="CCM1000" s="104"/>
      <c r="CCN1000" s="103"/>
      <c r="CCZ1000" s="104"/>
      <c r="CDA1000" s="103"/>
      <c r="CDM1000" s="104"/>
      <c r="CDN1000" s="103"/>
      <c r="CDZ1000" s="104"/>
      <c r="CEA1000" s="103"/>
      <c r="CEM1000" s="104"/>
      <c r="CEN1000" s="103"/>
      <c r="CEZ1000" s="104"/>
      <c r="CFA1000" s="103"/>
      <c r="CFM1000" s="104"/>
      <c r="CFN1000" s="103"/>
      <c r="CFZ1000" s="104"/>
      <c r="CGA1000" s="103"/>
      <c r="CGM1000" s="104"/>
      <c r="CGN1000" s="103"/>
      <c r="CGZ1000" s="104"/>
      <c r="CHA1000" s="103"/>
      <c r="CHM1000" s="104"/>
      <c r="CHN1000" s="103"/>
      <c r="CHZ1000" s="104"/>
      <c r="CIA1000" s="103"/>
      <c r="CIM1000" s="104"/>
      <c r="CIN1000" s="103"/>
      <c r="CIZ1000" s="104"/>
      <c r="CJA1000" s="103"/>
      <c r="CJM1000" s="104"/>
      <c r="CJN1000" s="103"/>
      <c r="CJZ1000" s="104"/>
      <c r="CKA1000" s="103"/>
      <c r="CKM1000" s="104"/>
      <c r="CKN1000" s="103"/>
      <c r="CKZ1000" s="104"/>
      <c r="CLA1000" s="103"/>
      <c r="CLM1000" s="104"/>
      <c r="CLN1000" s="103"/>
      <c r="CLZ1000" s="104"/>
      <c r="CMA1000" s="103"/>
      <c r="CMM1000" s="104"/>
      <c r="CMN1000" s="103"/>
      <c r="CMZ1000" s="104"/>
      <c r="CNA1000" s="103"/>
      <c r="CNM1000" s="104"/>
      <c r="CNN1000" s="103"/>
      <c r="CNZ1000" s="104"/>
      <c r="COA1000" s="103"/>
      <c r="COM1000" s="104"/>
      <c r="CON1000" s="103"/>
      <c r="COZ1000" s="104"/>
      <c r="CPA1000" s="103"/>
      <c r="CPM1000" s="104"/>
      <c r="CPN1000" s="103"/>
      <c r="CPZ1000" s="104"/>
      <c r="CQA1000" s="103"/>
      <c r="CQM1000" s="104"/>
      <c r="CQN1000" s="103"/>
      <c r="CQZ1000" s="104"/>
      <c r="CRA1000" s="103"/>
      <c r="CRM1000" s="104"/>
      <c r="CRN1000" s="103"/>
      <c r="CRZ1000" s="104"/>
      <c r="CSA1000" s="103"/>
      <c r="CSM1000" s="104"/>
      <c r="CSN1000" s="103"/>
      <c r="CSZ1000" s="104"/>
      <c r="CTA1000" s="103"/>
      <c r="CTM1000" s="104"/>
      <c r="CTN1000" s="103"/>
      <c r="CTZ1000" s="104"/>
      <c r="CUA1000" s="103"/>
      <c r="CUM1000" s="104"/>
      <c r="CUN1000" s="103"/>
      <c r="CUZ1000" s="104"/>
      <c r="CVA1000" s="103"/>
      <c r="CVM1000" s="104"/>
      <c r="CVN1000" s="103"/>
      <c r="CVZ1000" s="104"/>
      <c r="CWA1000" s="103"/>
      <c r="CWM1000" s="104"/>
      <c r="CWN1000" s="103"/>
      <c r="CWZ1000" s="104"/>
      <c r="CXA1000" s="103"/>
      <c r="CXM1000" s="104"/>
      <c r="CXN1000" s="103"/>
      <c r="CXZ1000" s="104"/>
      <c r="CYA1000" s="103"/>
      <c r="CYM1000" s="104"/>
      <c r="CYN1000" s="103"/>
      <c r="CYZ1000" s="104"/>
      <c r="CZA1000" s="103"/>
      <c r="CZM1000" s="104"/>
      <c r="CZN1000" s="103"/>
      <c r="CZZ1000" s="104"/>
      <c r="DAA1000" s="103"/>
      <c r="DAM1000" s="104"/>
      <c r="DAN1000" s="103"/>
      <c r="DAZ1000" s="104"/>
      <c r="DBA1000" s="103"/>
      <c r="DBM1000" s="104"/>
      <c r="DBN1000" s="103"/>
      <c r="DBZ1000" s="104"/>
      <c r="DCA1000" s="103"/>
      <c r="DCM1000" s="104"/>
      <c r="DCN1000" s="103"/>
      <c r="DCZ1000" s="104"/>
      <c r="DDA1000" s="103"/>
      <c r="DDM1000" s="104"/>
      <c r="DDN1000" s="103"/>
      <c r="DDZ1000" s="104"/>
      <c r="DEA1000" s="103"/>
      <c r="DEM1000" s="104"/>
      <c r="DEN1000" s="103"/>
      <c r="DEZ1000" s="104"/>
      <c r="DFA1000" s="103"/>
      <c r="DFM1000" s="104"/>
      <c r="DFN1000" s="103"/>
      <c r="DFZ1000" s="104"/>
      <c r="DGA1000" s="103"/>
      <c r="DGM1000" s="104"/>
      <c r="DGN1000" s="103"/>
      <c r="DGZ1000" s="104"/>
      <c r="DHA1000" s="103"/>
      <c r="DHM1000" s="104"/>
      <c r="DHN1000" s="103"/>
      <c r="DHZ1000" s="104"/>
      <c r="DIA1000" s="103"/>
      <c r="DIM1000" s="104"/>
      <c r="DIN1000" s="103"/>
      <c r="DIZ1000" s="104"/>
      <c r="DJA1000" s="103"/>
      <c r="DJM1000" s="104"/>
      <c r="DJN1000" s="103"/>
      <c r="DJZ1000" s="104"/>
      <c r="DKA1000" s="103"/>
      <c r="DKM1000" s="104"/>
      <c r="DKN1000" s="103"/>
      <c r="DKZ1000" s="104"/>
      <c r="DLA1000" s="103"/>
      <c r="DLM1000" s="104"/>
      <c r="DLN1000" s="103"/>
      <c r="DLZ1000" s="104"/>
      <c r="DMA1000" s="103"/>
      <c r="DMM1000" s="104"/>
      <c r="DMN1000" s="103"/>
      <c r="DMZ1000" s="104"/>
      <c r="DNA1000" s="103"/>
      <c r="DNM1000" s="104"/>
      <c r="DNN1000" s="103"/>
      <c r="DNZ1000" s="104"/>
      <c r="DOA1000" s="103"/>
      <c r="DOM1000" s="104"/>
      <c r="DON1000" s="103"/>
      <c r="DOZ1000" s="104"/>
      <c r="DPA1000" s="103"/>
      <c r="DPM1000" s="104"/>
      <c r="DPN1000" s="103"/>
      <c r="DPZ1000" s="104"/>
      <c r="DQA1000" s="103"/>
      <c r="DQM1000" s="104"/>
      <c r="DQN1000" s="103"/>
      <c r="DQZ1000" s="104"/>
      <c r="DRA1000" s="103"/>
      <c r="DRM1000" s="104"/>
      <c r="DRN1000" s="103"/>
      <c r="DRZ1000" s="104"/>
      <c r="DSA1000" s="103"/>
      <c r="DSM1000" s="104"/>
      <c r="DSN1000" s="103"/>
      <c r="DSZ1000" s="104"/>
      <c r="DTA1000" s="103"/>
      <c r="DTM1000" s="104"/>
      <c r="DTN1000" s="103"/>
      <c r="DTZ1000" s="104"/>
      <c r="DUA1000" s="103"/>
      <c r="DUM1000" s="104"/>
      <c r="DUN1000" s="103"/>
      <c r="DUZ1000" s="104"/>
      <c r="DVA1000" s="103"/>
      <c r="DVM1000" s="104"/>
      <c r="DVN1000" s="103"/>
      <c r="DVZ1000" s="104"/>
      <c r="DWA1000" s="103"/>
      <c r="DWM1000" s="104"/>
      <c r="DWN1000" s="103"/>
      <c r="DWZ1000" s="104"/>
      <c r="DXA1000" s="103"/>
      <c r="DXM1000" s="104"/>
      <c r="DXN1000" s="103"/>
      <c r="DXZ1000" s="104"/>
      <c r="DYA1000" s="103"/>
      <c r="DYM1000" s="104"/>
      <c r="DYN1000" s="103"/>
      <c r="DYZ1000" s="104"/>
      <c r="DZA1000" s="103"/>
      <c r="DZM1000" s="104"/>
      <c r="DZN1000" s="103"/>
      <c r="DZZ1000" s="104"/>
      <c r="EAA1000" s="103"/>
      <c r="EAM1000" s="104"/>
      <c r="EAN1000" s="103"/>
      <c r="EAZ1000" s="104"/>
      <c r="EBA1000" s="103"/>
      <c r="EBM1000" s="104"/>
      <c r="EBN1000" s="103"/>
      <c r="EBZ1000" s="104"/>
      <c r="ECA1000" s="103"/>
      <c r="ECM1000" s="104"/>
      <c r="ECN1000" s="103"/>
      <c r="ECZ1000" s="104"/>
      <c r="EDA1000" s="103"/>
      <c r="EDM1000" s="104"/>
      <c r="EDN1000" s="103"/>
      <c r="EDZ1000" s="104"/>
      <c r="EEA1000" s="103"/>
      <c r="EEM1000" s="104"/>
      <c r="EEN1000" s="103"/>
      <c r="EEZ1000" s="104"/>
      <c r="EFA1000" s="103"/>
      <c r="EFM1000" s="104"/>
      <c r="EFN1000" s="103"/>
      <c r="EFZ1000" s="104"/>
      <c r="EGA1000" s="103"/>
      <c r="EGM1000" s="104"/>
      <c r="EGN1000" s="103"/>
      <c r="EGZ1000" s="104"/>
      <c r="EHA1000" s="103"/>
      <c r="EHM1000" s="104"/>
      <c r="EHN1000" s="103"/>
      <c r="EHZ1000" s="104"/>
      <c r="EIA1000" s="103"/>
      <c r="EIM1000" s="104"/>
      <c r="EIN1000" s="103"/>
      <c r="EIZ1000" s="104"/>
      <c r="EJA1000" s="103"/>
      <c r="EJM1000" s="104"/>
      <c r="EJN1000" s="103"/>
      <c r="EJZ1000" s="104"/>
      <c r="EKA1000" s="103"/>
      <c r="EKM1000" s="104"/>
      <c r="EKN1000" s="103"/>
      <c r="EKZ1000" s="104"/>
      <c r="ELA1000" s="103"/>
      <c r="ELM1000" s="104"/>
      <c r="ELN1000" s="103"/>
      <c r="ELZ1000" s="104"/>
      <c r="EMA1000" s="103"/>
      <c r="EMM1000" s="104"/>
      <c r="EMN1000" s="103"/>
      <c r="EMZ1000" s="104"/>
      <c r="ENA1000" s="103"/>
      <c r="ENM1000" s="104"/>
      <c r="ENN1000" s="103"/>
      <c r="ENZ1000" s="104"/>
      <c r="EOA1000" s="103"/>
      <c r="EOM1000" s="104"/>
      <c r="EON1000" s="103"/>
      <c r="EOZ1000" s="104"/>
      <c r="EPA1000" s="103"/>
      <c r="EPM1000" s="104"/>
      <c r="EPN1000" s="103"/>
      <c r="EPZ1000" s="104"/>
      <c r="EQA1000" s="103"/>
      <c r="EQM1000" s="104"/>
      <c r="EQN1000" s="103"/>
      <c r="EQZ1000" s="104"/>
      <c r="ERA1000" s="103"/>
      <c r="ERM1000" s="104"/>
      <c r="ERN1000" s="103"/>
      <c r="ERZ1000" s="104"/>
      <c r="ESA1000" s="103"/>
      <c r="ESM1000" s="104"/>
      <c r="ESN1000" s="103"/>
      <c r="ESZ1000" s="104"/>
      <c r="ETA1000" s="103"/>
      <c r="ETM1000" s="104"/>
      <c r="ETN1000" s="103"/>
      <c r="ETZ1000" s="104"/>
      <c r="EUA1000" s="103"/>
      <c r="EUM1000" s="104"/>
      <c r="EUN1000" s="103"/>
      <c r="EUZ1000" s="104"/>
      <c r="EVA1000" s="103"/>
      <c r="EVM1000" s="104"/>
      <c r="EVN1000" s="103"/>
      <c r="EVZ1000" s="104"/>
      <c r="EWA1000" s="103"/>
      <c r="EWM1000" s="104"/>
      <c r="EWN1000" s="103"/>
      <c r="EWZ1000" s="104"/>
      <c r="EXA1000" s="103"/>
      <c r="EXM1000" s="104"/>
      <c r="EXN1000" s="103"/>
      <c r="EXZ1000" s="104"/>
      <c r="EYA1000" s="103"/>
      <c r="EYM1000" s="104"/>
      <c r="EYN1000" s="103"/>
      <c r="EYZ1000" s="104"/>
      <c r="EZA1000" s="103"/>
      <c r="EZM1000" s="104"/>
      <c r="EZN1000" s="103"/>
      <c r="EZZ1000" s="104"/>
      <c r="FAA1000" s="103"/>
      <c r="FAM1000" s="104"/>
      <c r="FAN1000" s="103"/>
      <c r="FAZ1000" s="104"/>
      <c r="FBA1000" s="103"/>
      <c r="FBM1000" s="104"/>
      <c r="FBN1000" s="103"/>
      <c r="FBZ1000" s="104"/>
      <c r="FCA1000" s="103"/>
      <c r="FCM1000" s="104"/>
      <c r="FCN1000" s="103"/>
      <c r="FCZ1000" s="104"/>
      <c r="FDA1000" s="103"/>
      <c r="FDM1000" s="104"/>
      <c r="FDN1000" s="103"/>
      <c r="FDZ1000" s="104"/>
      <c r="FEA1000" s="103"/>
      <c r="FEM1000" s="104"/>
      <c r="FEN1000" s="103"/>
      <c r="FEZ1000" s="104"/>
      <c r="FFA1000" s="103"/>
      <c r="FFM1000" s="104"/>
      <c r="FFN1000" s="103"/>
      <c r="FFZ1000" s="104"/>
      <c r="FGA1000" s="103"/>
      <c r="FGM1000" s="104"/>
      <c r="FGN1000" s="103"/>
      <c r="FGZ1000" s="104"/>
      <c r="FHA1000" s="103"/>
      <c r="FHM1000" s="104"/>
      <c r="FHN1000" s="103"/>
      <c r="FHZ1000" s="104"/>
      <c r="FIA1000" s="103"/>
      <c r="FIM1000" s="104"/>
      <c r="FIN1000" s="103"/>
      <c r="FIZ1000" s="104"/>
      <c r="FJA1000" s="103"/>
      <c r="FJM1000" s="104"/>
      <c r="FJN1000" s="103"/>
      <c r="FJZ1000" s="104"/>
      <c r="FKA1000" s="103"/>
      <c r="FKM1000" s="104"/>
      <c r="FKN1000" s="103"/>
      <c r="FKZ1000" s="104"/>
      <c r="FLA1000" s="103"/>
      <c r="FLM1000" s="104"/>
      <c r="FLN1000" s="103"/>
      <c r="FLZ1000" s="104"/>
      <c r="FMA1000" s="103"/>
      <c r="FMM1000" s="104"/>
      <c r="FMN1000" s="103"/>
      <c r="FMZ1000" s="104"/>
      <c r="FNA1000" s="103"/>
      <c r="FNM1000" s="104"/>
      <c r="FNN1000" s="103"/>
      <c r="FNZ1000" s="104"/>
      <c r="FOA1000" s="103"/>
      <c r="FOM1000" s="104"/>
      <c r="FON1000" s="103"/>
      <c r="FOZ1000" s="104"/>
      <c r="FPA1000" s="103"/>
      <c r="FPM1000" s="104"/>
      <c r="FPN1000" s="103"/>
      <c r="FPZ1000" s="104"/>
      <c r="FQA1000" s="103"/>
      <c r="FQM1000" s="104"/>
      <c r="FQN1000" s="103"/>
      <c r="FQZ1000" s="104"/>
      <c r="FRA1000" s="103"/>
      <c r="FRM1000" s="104"/>
      <c r="FRN1000" s="103"/>
      <c r="FRZ1000" s="104"/>
      <c r="FSA1000" s="103"/>
      <c r="FSM1000" s="104"/>
      <c r="FSN1000" s="103"/>
      <c r="FSZ1000" s="104"/>
      <c r="FTA1000" s="103"/>
      <c r="FTM1000" s="104"/>
      <c r="FTN1000" s="103"/>
      <c r="FTZ1000" s="104"/>
      <c r="FUA1000" s="103"/>
      <c r="FUM1000" s="104"/>
      <c r="FUN1000" s="103"/>
      <c r="FUZ1000" s="104"/>
      <c r="FVA1000" s="103"/>
      <c r="FVM1000" s="104"/>
      <c r="FVN1000" s="103"/>
      <c r="FVZ1000" s="104"/>
      <c r="FWA1000" s="103"/>
      <c r="FWM1000" s="104"/>
      <c r="FWN1000" s="103"/>
      <c r="FWZ1000" s="104"/>
      <c r="FXA1000" s="103"/>
      <c r="FXM1000" s="104"/>
      <c r="FXN1000" s="103"/>
      <c r="FXZ1000" s="104"/>
      <c r="FYA1000" s="103"/>
      <c r="FYM1000" s="104"/>
      <c r="FYN1000" s="103"/>
      <c r="FYZ1000" s="104"/>
      <c r="FZA1000" s="103"/>
      <c r="FZM1000" s="104"/>
      <c r="FZN1000" s="103"/>
      <c r="FZZ1000" s="104"/>
      <c r="GAA1000" s="103"/>
      <c r="GAM1000" s="104"/>
      <c r="GAN1000" s="103"/>
      <c r="GAZ1000" s="104"/>
      <c r="GBA1000" s="103"/>
      <c r="GBM1000" s="104"/>
      <c r="GBN1000" s="103"/>
      <c r="GBZ1000" s="104"/>
      <c r="GCA1000" s="103"/>
      <c r="GCM1000" s="104"/>
      <c r="GCN1000" s="103"/>
      <c r="GCZ1000" s="104"/>
      <c r="GDA1000" s="103"/>
      <c r="GDM1000" s="104"/>
      <c r="GDN1000" s="103"/>
      <c r="GDZ1000" s="104"/>
      <c r="GEA1000" s="103"/>
      <c r="GEM1000" s="104"/>
      <c r="GEN1000" s="103"/>
      <c r="GEZ1000" s="104"/>
      <c r="GFA1000" s="103"/>
      <c r="GFM1000" s="104"/>
      <c r="GFN1000" s="103"/>
      <c r="GFZ1000" s="104"/>
      <c r="GGA1000" s="103"/>
      <c r="GGM1000" s="104"/>
      <c r="GGN1000" s="103"/>
      <c r="GGZ1000" s="104"/>
      <c r="GHA1000" s="103"/>
      <c r="GHM1000" s="104"/>
      <c r="GHN1000" s="103"/>
      <c r="GHZ1000" s="104"/>
      <c r="GIA1000" s="103"/>
      <c r="GIM1000" s="104"/>
      <c r="GIN1000" s="103"/>
      <c r="GIZ1000" s="104"/>
      <c r="GJA1000" s="103"/>
      <c r="GJM1000" s="104"/>
      <c r="GJN1000" s="103"/>
      <c r="GJZ1000" s="104"/>
      <c r="GKA1000" s="103"/>
      <c r="GKM1000" s="104"/>
      <c r="GKN1000" s="103"/>
      <c r="GKZ1000" s="104"/>
      <c r="GLA1000" s="103"/>
      <c r="GLM1000" s="104"/>
      <c r="GLN1000" s="103"/>
      <c r="GLZ1000" s="104"/>
      <c r="GMA1000" s="103"/>
      <c r="GMM1000" s="104"/>
      <c r="GMN1000" s="103"/>
      <c r="GMZ1000" s="104"/>
      <c r="GNA1000" s="103"/>
      <c r="GNM1000" s="104"/>
      <c r="GNN1000" s="103"/>
      <c r="GNZ1000" s="104"/>
      <c r="GOA1000" s="103"/>
      <c r="GOM1000" s="104"/>
      <c r="GON1000" s="103"/>
      <c r="GOZ1000" s="104"/>
      <c r="GPA1000" s="103"/>
      <c r="GPM1000" s="104"/>
      <c r="GPN1000" s="103"/>
      <c r="GPZ1000" s="104"/>
      <c r="GQA1000" s="103"/>
      <c r="GQM1000" s="104"/>
      <c r="GQN1000" s="103"/>
      <c r="GQZ1000" s="104"/>
      <c r="GRA1000" s="103"/>
      <c r="GRM1000" s="104"/>
      <c r="GRN1000" s="103"/>
      <c r="GRZ1000" s="104"/>
      <c r="GSA1000" s="103"/>
      <c r="GSM1000" s="104"/>
      <c r="GSN1000" s="103"/>
      <c r="GSZ1000" s="104"/>
      <c r="GTA1000" s="103"/>
      <c r="GTM1000" s="104"/>
      <c r="GTN1000" s="103"/>
      <c r="GTZ1000" s="104"/>
      <c r="GUA1000" s="103"/>
      <c r="GUM1000" s="104"/>
      <c r="GUN1000" s="103"/>
      <c r="GUZ1000" s="104"/>
      <c r="GVA1000" s="103"/>
      <c r="GVM1000" s="104"/>
      <c r="GVN1000" s="103"/>
      <c r="GVZ1000" s="104"/>
      <c r="GWA1000" s="103"/>
      <c r="GWM1000" s="104"/>
      <c r="GWN1000" s="103"/>
      <c r="GWZ1000" s="104"/>
      <c r="GXA1000" s="103"/>
      <c r="GXM1000" s="104"/>
      <c r="GXN1000" s="103"/>
      <c r="GXZ1000" s="104"/>
      <c r="GYA1000" s="103"/>
      <c r="GYM1000" s="104"/>
      <c r="GYN1000" s="103"/>
      <c r="GYZ1000" s="104"/>
      <c r="GZA1000" s="103"/>
      <c r="GZM1000" s="104"/>
      <c r="GZN1000" s="103"/>
      <c r="GZZ1000" s="104"/>
      <c r="HAA1000" s="103"/>
      <c r="HAM1000" s="104"/>
      <c r="HAN1000" s="103"/>
      <c r="HAZ1000" s="104"/>
      <c r="HBA1000" s="103"/>
      <c r="HBM1000" s="104"/>
      <c r="HBN1000" s="103"/>
      <c r="HBZ1000" s="104"/>
      <c r="HCA1000" s="103"/>
      <c r="HCM1000" s="104"/>
      <c r="HCN1000" s="103"/>
      <c r="HCZ1000" s="104"/>
      <c r="HDA1000" s="103"/>
      <c r="HDM1000" s="104"/>
      <c r="HDN1000" s="103"/>
      <c r="HDZ1000" s="104"/>
      <c r="HEA1000" s="103"/>
      <c r="HEM1000" s="104"/>
      <c r="HEN1000" s="103"/>
      <c r="HEZ1000" s="104"/>
      <c r="HFA1000" s="103"/>
      <c r="HFM1000" s="104"/>
      <c r="HFN1000" s="103"/>
      <c r="HFZ1000" s="104"/>
      <c r="HGA1000" s="103"/>
      <c r="HGM1000" s="104"/>
      <c r="HGN1000" s="103"/>
      <c r="HGZ1000" s="104"/>
      <c r="HHA1000" s="103"/>
      <c r="HHM1000" s="104"/>
      <c r="HHN1000" s="103"/>
      <c r="HHZ1000" s="104"/>
      <c r="HIA1000" s="103"/>
      <c r="HIM1000" s="104"/>
      <c r="HIN1000" s="103"/>
      <c r="HIZ1000" s="104"/>
      <c r="HJA1000" s="103"/>
      <c r="HJM1000" s="104"/>
      <c r="HJN1000" s="103"/>
      <c r="HJZ1000" s="104"/>
      <c r="HKA1000" s="103"/>
      <c r="HKM1000" s="104"/>
      <c r="HKN1000" s="103"/>
      <c r="HKZ1000" s="104"/>
      <c r="HLA1000" s="103"/>
      <c r="HLM1000" s="104"/>
      <c r="HLN1000" s="103"/>
      <c r="HLZ1000" s="104"/>
      <c r="HMA1000" s="103"/>
      <c r="HMM1000" s="104"/>
      <c r="HMN1000" s="103"/>
      <c r="HMZ1000" s="104"/>
      <c r="HNA1000" s="103"/>
      <c r="HNM1000" s="104"/>
      <c r="HNN1000" s="103"/>
      <c r="HNZ1000" s="104"/>
      <c r="HOA1000" s="103"/>
      <c r="HOM1000" s="104"/>
      <c r="HON1000" s="103"/>
      <c r="HOZ1000" s="104"/>
      <c r="HPA1000" s="103"/>
      <c r="HPM1000" s="104"/>
      <c r="HPN1000" s="103"/>
      <c r="HPZ1000" s="104"/>
      <c r="HQA1000" s="103"/>
      <c r="HQM1000" s="104"/>
      <c r="HQN1000" s="103"/>
      <c r="HQZ1000" s="104"/>
      <c r="HRA1000" s="103"/>
      <c r="HRM1000" s="104"/>
      <c r="HRN1000" s="103"/>
      <c r="HRZ1000" s="104"/>
      <c r="HSA1000" s="103"/>
      <c r="HSM1000" s="104"/>
      <c r="HSN1000" s="103"/>
      <c r="HSZ1000" s="104"/>
      <c r="HTA1000" s="103"/>
      <c r="HTM1000" s="104"/>
      <c r="HTN1000" s="103"/>
      <c r="HTZ1000" s="104"/>
      <c r="HUA1000" s="103"/>
      <c r="HUM1000" s="104"/>
      <c r="HUN1000" s="103"/>
      <c r="HUZ1000" s="104"/>
      <c r="HVA1000" s="103"/>
      <c r="HVM1000" s="104"/>
      <c r="HVN1000" s="103"/>
      <c r="HVZ1000" s="104"/>
      <c r="HWA1000" s="103"/>
      <c r="HWM1000" s="104"/>
      <c r="HWN1000" s="103"/>
      <c r="HWZ1000" s="104"/>
      <c r="HXA1000" s="103"/>
      <c r="HXM1000" s="104"/>
      <c r="HXN1000" s="103"/>
      <c r="HXZ1000" s="104"/>
      <c r="HYA1000" s="103"/>
      <c r="HYM1000" s="104"/>
      <c r="HYN1000" s="103"/>
      <c r="HYZ1000" s="104"/>
      <c r="HZA1000" s="103"/>
      <c r="HZM1000" s="104"/>
      <c r="HZN1000" s="103"/>
      <c r="HZZ1000" s="104"/>
      <c r="IAA1000" s="103"/>
      <c r="IAM1000" s="104"/>
      <c r="IAN1000" s="103"/>
      <c r="IAZ1000" s="104"/>
      <c r="IBA1000" s="103"/>
      <c r="IBM1000" s="104"/>
      <c r="IBN1000" s="103"/>
      <c r="IBZ1000" s="104"/>
      <c r="ICA1000" s="103"/>
      <c r="ICM1000" s="104"/>
      <c r="ICN1000" s="103"/>
      <c r="ICZ1000" s="104"/>
      <c r="IDA1000" s="103"/>
      <c r="IDM1000" s="104"/>
      <c r="IDN1000" s="103"/>
      <c r="IDZ1000" s="104"/>
      <c r="IEA1000" s="103"/>
      <c r="IEM1000" s="104"/>
      <c r="IEN1000" s="103"/>
      <c r="IEZ1000" s="104"/>
      <c r="IFA1000" s="103"/>
      <c r="IFM1000" s="104"/>
      <c r="IFN1000" s="103"/>
      <c r="IFZ1000" s="104"/>
      <c r="IGA1000" s="103"/>
      <c r="IGM1000" s="104"/>
      <c r="IGN1000" s="103"/>
      <c r="IGZ1000" s="104"/>
      <c r="IHA1000" s="103"/>
      <c r="IHM1000" s="104"/>
      <c r="IHN1000" s="103"/>
      <c r="IHZ1000" s="104"/>
      <c r="IIA1000" s="103"/>
      <c r="IIM1000" s="104"/>
      <c r="IIN1000" s="103"/>
      <c r="IIZ1000" s="104"/>
      <c r="IJA1000" s="103"/>
      <c r="IJM1000" s="104"/>
      <c r="IJN1000" s="103"/>
      <c r="IJZ1000" s="104"/>
      <c r="IKA1000" s="103"/>
      <c r="IKM1000" s="104"/>
      <c r="IKN1000" s="103"/>
      <c r="IKZ1000" s="104"/>
      <c r="ILA1000" s="103"/>
      <c r="ILM1000" s="104"/>
      <c r="ILN1000" s="103"/>
      <c r="ILZ1000" s="104"/>
      <c r="IMA1000" s="103"/>
      <c r="IMM1000" s="104"/>
      <c r="IMN1000" s="103"/>
      <c r="IMZ1000" s="104"/>
      <c r="INA1000" s="103"/>
      <c r="INM1000" s="104"/>
      <c r="INN1000" s="103"/>
      <c r="INZ1000" s="104"/>
      <c r="IOA1000" s="103"/>
      <c r="IOM1000" s="104"/>
      <c r="ION1000" s="103"/>
      <c r="IOZ1000" s="104"/>
      <c r="IPA1000" s="103"/>
      <c r="IPM1000" s="104"/>
      <c r="IPN1000" s="103"/>
      <c r="IPZ1000" s="104"/>
      <c r="IQA1000" s="103"/>
      <c r="IQM1000" s="104"/>
      <c r="IQN1000" s="103"/>
      <c r="IQZ1000" s="104"/>
      <c r="IRA1000" s="103"/>
      <c r="IRM1000" s="104"/>
      <c r="IRN1000" s="103"/>
      <c r="IRZ1000" s="104"/>
      <c r="ISA1000" s="103"/>
      <c r="ISM1000" s="104"/>
      <c r="ISN1000" s="103"/>
      <c r="ISZ1000" s="104"/>
      <c r="ITA1000" s="103"/>
      <c r="ITM1000" s="104"/>
      <c r="ITN1000" s="103"/>
      <c r="ITZ1000" s="104"/>
      <c r="IUA1000" s="103"/>
      <c r="IUM1000" s="104"/>
      <c r="IUN1000" s="103"/>
      <c r="IUZ1000" s="104"/>
      <c r="IVA1000" s="103"/>
      <c r="IVM1000" s="104"/>
      <c r="IVN1000" s="103"/>
      <c r="IVZ1000" s="104"/>
      <c r="IWA1000" s="103"/>
      <c r="IWM1000" s="104"/>
      <c r="IWN1000" s="103"/>
      <c r="IWZ1000" s="104"/>
      <c r="IXA1000" s="103"/>
      <c r="IXM1000" s="104"/>
      <c r="IXN1000" s="103"/>
      <c r="IXZ1000" s="104"/>
      <c r="IYA1000" s="103"/>
      <c r="IYM1000" s="104"/>
      <c r="IYN1000" s="103"/>
      <c r="IYZ1000" s="104"/>
      <c r="IZA1000" s="103"/>
      <c r="IZM1000" s="104"/>
      <c r="IZN1000" s="103"/>
      <c r="IZZ1000" s="104"/>
      <c r="JAA1000" s="103"/>
      <c r="JAM1000" s="104"/>
      <c r="JAN1000" s="103"/>
      <c r="JAZ1000" s="104"/>
      <c r="JBA1000" s="103"/>
      <c r="JBM1000" s="104"/>
      <c r="JBN1000" s="103"/>
      <c r="JBZ1000" s="104"/>
      <c r="JCA1000" s="103"/>
      <c r="JCM1000" s="104"/>
      <c r="JCN1000" s="103"/>
      <c r="JCZ1000" s="104"/>
      <c r="JDA1000" s="103"/>
      <c r="JDM1000" s="104"/>
      <c r="JDN1000" s="103"/>
      <c r="JDZ1000" s="104"/>
      <c r="JEA1000" s="103"/>
      <c r="JEM1000" s="104"/>
      <c r="JEN1000" s="103"/>
      <c r="JEZ1000" s="104"/>
      <c r="JFA1000" s="103"/>
      <c r="JFM1000" s="104"/>
      <c r="JFN1000" s="103"/>
      <c r="JFZ1000" s="104"/>
      <c r="JGA1000" s="103"/>
      <c r="JGM1000" s="104"/>
      <c r="JGN1000" s="103"/>
      <c r="JGZ1000" s="104"/>
      <c r="JHA1000" s="103"/>
      <c r="JHM1000" s="104"/>
      <c r="JHN1000" s="103"/>
      <c r="JHZ1000" s="104"/>
      <c r="JIA1000" s="103"/>
      <c r="JIM1000" s="104"/>
      <c r="JIN1000" s="103"/>
      <c r="JIZ1000" s="104"/>
      <c r="JJA1000" s="103"/>
      <c r="JJM1000" s="104"/>
      <c r="JJN1000" s="103"/>
      <c r="JJZ1000" s="104"/>
      <c r="JKA1000" s="103"/>
      <c r="JKM1000" s="104"/>
      <c r="JKN1000" s="103"/>
      <c r="JKZ1000" s="104"/>
      <c r="JLA1000" s="103"/>
      <c r="JLM1000" s="104"/>
      <c r="JLN1000" s="103"/>
      <c r="JLZ1000" s="104"/>
      <c r="JMA1000" s="103"/>
      <c r="JMM1000" s="104"/>
      <c r="JMN1000" s="103"/>
      <c r="JMZ1000" s="104"/>
      <c r="JNA1000" s="103"/>
      <c r="JNM1000" s="104"/>
      <c r="JNN1000" s="103"/>
      <c r="JNZ1000" s="104"/>
      <c r="JOA1000" s="103"/>
      <c r="JOM1000" s="104"/>
      <c r="JON1000" s="103"/>
      <c r="JOZ1000" s="104"/>
      <c r="JPA1000" s="103"/>
      <c r="JPM1000" s="104"/>
      <c r="JPN1000" s="103"/>
      <c r="JPZ1000" s="104"/>
      <c r="JQA1000" s="103"/>
      <c r="JQM1000" s="104"/>
      <c r="JQN1000" s="103"/>
      <c r="JQZ1000" s="104"/>
      <c r="JRA1000" s="103"/>
      <c r="JRM1000" s="104"/>
      <c r="JRN1000" s="103"/>
      <c r="JRZ1000" s="104"/>
      <c r="JSA1000" s="103"/>
      <c r="JSM1000" s="104"/>
      <c r="JSN1000" s="103"/>
      <c r="JSZ1000" s="104"/>
      <c r="JTA1000" s="103"/>
      <c r="JTM1000" s="104"/>
      <c r="JTN1000" s="103"/>
      <c r="JTZ1000" s="104"/>
      <c r="JUA1000" s="103"/>
      <c r="JUM1000" s="104"/>
      <c r="JUN1000" s="103"/>
      <c r="JUZ1000" s="104"/>
      <c r="JVA1000" s="103"/>
      <c r="JVM1000" s="104"/>
      <c r="JVN1000" s="103"/>
      <c r="JVZ1000" s="104"/>
      <c r="JWA1000" s="103"/>
      <c r="JWM1000" s="104"/>
      <c r="JWN1000" s="103"/>
      <c r="JWZ1000" s="104"/>
      <c r="JXA1000" s="103"/>
      <c r="JXM1000" s="104"/>
      <c r="JXN1000" s="103"/>
      <c r="JXZ1000" s="104"/>
      <c r="JYA1000" s="103"/>
      <c r="JYM1000" s="104"/>
      <c r="JYN1000" s="103"/>
      <c r="JYZ1000" s="104"/>
      <c r="JZA1000" s="103"/>
      <c r="JZM1000" s="104"/>
      <c r="JZN1000" s="103"/>
      <c r="JZZ1000" s="104"/>
      <c r="KAA1000" s="103"/>
      <c r="KAM1000" s="104"/>
      <c r="KAN1000" s="103"/>
      <c r="KAZ1000" s="104"/>
      <c r="KBA1000" s="103"/>
      <c r="KBM1000" s="104"/>
      <c r="KBN1000" s="103"/>
      <c r="KBZ1000" s="104"/>
      <c r="KCA1000" s="103"/>
      <c r="KCM1000" s="104"/>
      <c r="KCN1000" s="103"/>
      <c r="KCZ1000" s="104"/>
      <c r="KDA1000" s="103"/>
      <c r="KDM1000" s="104"/>
      <c r="KDN1000" s="103"/>
      <c r="KDZ1000" s="104"/>
      <c r="KEA1000" s="103"/>
      <c r="KEM1000" s="104"/>
      <c r="KEN1000" s="103"/>
      <c r="KEZ1000" s="104"/>
      <c r="KFA1000" s="103"/>
      <c r="KFM1000" s="104"/>
      <c r="KFN1000" s="103"/>
      <c r="KFZ1000" s="104"/>
      <c r="KGA1000" s="103"/>
      <c r="KGM1000" s="104"/>
      <c r="KGN1000" s="103"/>
      <c r="KGZ1000" s="104"/>
      <c r="KHA1000" s="103"/>
      <c r="KHM1000" s="104"/>
      <c r="KHN1000" s="103"/>
      <c r="KHZ1000" s="104"/>
      <c r="KIA1000" s="103"/>
      <c r="KIM1000" s="104"/>
      <c r="KIN1000" s="103"/>
      <c r="KIZ1000" s="104"/>
      <c r="KJA1000" s="103"/>
      <c r="KJM1000" s="104"/>
      <c r="KJN1000" s="103"/>
      <c r="KJZ1000" s="104"/>
      <c r="KKA1000" s="103"/>
      <c r="KKM1000" s="104"/>
      <c r="KKN1000" s="103"/>
      <c r="KKZ1000" s="104"/>
      <c r="KLA1000" s="103"/>
      <c r="KLM1000" s="104"/>
      <c r="KLN1000" s="103"/>
      <c r="KLZ1000" s="104"/>
      <c r="KMA1000" s="103"/>
      <c r="KMM1000" s="104"/>
      <c r="KMN1000" s="103"/>
      <c r="KMZ1000" s="104"/>
      <c r="KNA1000" s="103"/>
      <c r="KNM1000" s="104"/>
      <c r="KNN1000" s="103"/>
      <c r="KNZ1000" s="104"/>
      <c r="KOA1000" s="103"/>
      <c r="KOM1000" s="104"/>
      <c r="KON1000" s="103"/>
      <c r="KOZ1000" s="104"/>
      <c r="KPA1000" s="103"/>
      <c r="KPM1000" s="104"/>
      <c r="KPN1000" s="103"/>
      <c r="KPZ1000" s="104"/>
      <c r="KQA1000" s="103"/>
      <c r="KQM1000" s="104"/>
      <c r="KQN1000" s="103"/>
      <c r="KQZ1000" s="104"/>
      <c r="KRA1000" s="103"/>
      <c r="KRM1000" s="104"/>
      <c r="KRN1000" s="103"/>
      <c r="KRZ1000" s="104"/>
      <c r="KSA1000" s="103"/>
      <c r="KSM1000" s="104"/>
      <c r="KSN1000" s="103"/>
      <c r="KSZ1000" s="104"/>
      <c r="KTA1000" s="103"/>
      <c r="KTM1000" s="104"/>
      <c r="KTN1000" s="103"/>
      <c r="KTZ1000" s="104"/>
      <c r="KUA1000" s="103"/>
      <c r="KUM1000" s="104"/>
      <c r="KUN1000" s="103"/>
      <c r="KUZ1000" s="104"/>
      <c r="KVA1000" s="103"/>
      <c r="KVM1000" s="104"/>
      <c r="KVN1000" s="103"/>
      <c r="KVZ1000" s="104"/>
      <c r="KWA1000" s="103"/>
      <c r="KWM1000" s="104"/>
      <c r="KWN1000" s="103"/>
      <c r="KWZ1000" s="104"/>
      <c r="KXA1000" s="103"/>
      <c r="KXM1000" s="104"/>
      <c r="KXN1000" s="103"/>
      <c r="KXZ1000" s="104"/>
      <c r="KYA1000" s="103"/>
      <c r="KYM1000" s="104"/>
      <c r="KYN1000" s="103"/>
      <c r="KYZ1000" s="104"/>
      <c r="KZA1000" s="103"/>
      <c r="KZM1000" s="104"/>
      <c r="KZN1000" s="103"/>
      <c r="KZZ1000" s="104"/>
      <c r="LAA1000" s="103"/>
      <c r="LAM1000" s="104"/>
      <c r="LAN1000" s="103"/>
      <c r="LAZ1000" s="104"/>
      <c r="LBA1000" s="103"/>
      <c r="LBM1000" s="104"/>
      <c r="LBN1000" s="103"/>
      <c r="LBZ1000" s="104"/>
      <c r="LCA1000" s="103"/>
      <c r="LCM1000" s="104"/>
      <c r="LCN1000" s="103"/>
      <c r="LCZ1000" s="104"/>
      <c r="LDA1000" s="103"/>
      <c r="LDM1000" s="104"/>
      <c r="LDN1000" s="103"/>
      <c r="LDZ1000" s="104"/>
      <c r="LEA1000" s="103"/>
      <c r="LEM1000" s="104"/>
      <c r="LEN1000" s="103"/>
      <c r="LEZ1000" s="104"/>
      <c r="LFA1000" s="103"/>
      <c r="LFM1000" s="104"/>
      <c r="LFN1000" s="103"/>
      <c r="LFZ1000" s="104"/>
      <c r="LGA1000" s="103"/>
      <c r="LGM1000" s="104"/>
      <c r="LGN1000" s="103"/>
      <c r="LGZ1000" s="104"/>
      <c r="LHA1000" s="103"/>
      <c r="LHM1000" s="104"/>
      <c r="LHN1000" s="103"/>
      <c r="LHZ1000" s="104"/>
      <c r="LIA1000" s="103"/>
      <c r="LIM1000" s="104"/>
      <c r="LIN1000" s="103"/>
      <c r="LIZ1000" s="104"/>
      <c r="LJA1000" s="103"/>
      <c r="LJM1000" s="104"/>
      <c r="LJN1000" s="103"/>
      <c r="LJZ1000" s="104"/>
      <c r="LKA1000" s="103"/>
      <c r="LKM1000" s="104"/>
      <c r="LKN1000" s="103"/>
      <c r="LKZ1000" s="104"/>
      <c r="LLA1000" s="103"/>
      <c r="LLM1000" s="104"/>
      <c r="LLN1000" s="103"/>
      <c r="LLZ1000" s="104"/>
      <c r="LMA1000" s="103"/>
      <c r="LMM1000" s="104"/>
      <c r="LMN1000" s="103"/>
      <c r="LMZ1000" s="104"/>
      <c r="LNA1000" s="103"/>
      <c r="LNM1000" s="104"/>
      <c r="LNN1000" s="103"/>
      <c r="LNZ1000" s="104"/>
      <c r="LOA1000" s="103"/>
      <c r="LOM1000" s="104"/>
      <c r="LON1000" s="103"/>
      <c r="LOZ1000" s="104"/>
      <c r="LPA1000" s="103"/>
      <c r="LPM1000" s="104"/>
      <c r="LPN1000" s="103"/>
      <c r="LPZ1000" s="104"/>
      <c r="LQA1000" s="103"/>
      <c r="LQM1000" s="104"/>
      <c r="LQN1000" s="103"/>
      <c r="LQZ1000" s="104"/>
      <c r="LRA1000" s="103"/>
      <c r="LRM1000" s="104"/>
      <c r="LRN1000" s="103"/>
      <c r="LRZ1000" s="104"/>
      <c r="LSA1000" s="103"/>
      <c r="LSM1000" s="104"/>
      <c r="LSN1000" s="103"/>
      <c r="LSZ1000" s="104"/>
      <c r="LTA1000" s="103"/>
      <c r="LTM1000" s="104"/>
      <c r="LTN1000" s="103"/>
      <c r="LTZ1000" s="104"/>
      <c r="LUA1000" s="103"/>
      <c r="LUM1000" s="104"/>
      <c r="LUN1000" s="103"/>
      <c r="LUZ1000" s="104"/>
      <c r="LVA1000" s="103"/>
      <c r="LVM1000" s="104"/>
      <c r="LVN1000" s="103"/>
      <c r="LVZ1000" s="104"/>
      <c r="LWA1000" s="103"/>
      <c r="LWM1000" s="104"/>
      <c r="LWN1000" s="103"/>
      <c r="LWZ1000" s="104"/>
      <c r="LXA1000" s="103"/>
      <c r="LXM1000" s="104"/>
      <c r="LXN1000" s="103"/>
      <c r="LXZ1000" s="104"/>
      <c r="LYA1000" s="103"/>
      <c r="LYM1000" s="104"/>
      <c r="LYN1000" s="103"/>
      <c r="LYZ1000" s="104"/>
      <c r="LZA1000" s="103"/>
      <c r="LZM1000" s="104"/>
      <c r="LZN1000" s="103"/>
      <c r="LZZ1000" s="104"/>
      <c r="MAA1000" s="103"/>
      <c r="MAM1000" s="104"/>
      <c r="MAN1000" s="103"/>
      <c r="MAZ1000" s="104"/>
      <c r="MBA1000" s="103"/>
      <c r="MBM1000" s="104"/>
      <c r="MBN1000" s="103"/>
      <c r="MBZ1000" s="104"/>
      <c r="MCA1000" s="103"/>
      <c r="MCM1000" s="104"/>
      <c r="MCN1000" s="103"/>
      <c r="MCZ1000" s="104"/>
      <c r="MDA1000" s="103"/>
      <c r="MDM1000" s="104"/>
      <c r="MDN1000" s="103"/>
      <c r="MDZ1000" s="104"/>
      <c r="MEA1000" s="103"/>
      <c r="MEM1000" s="104"/>
      <c r="MEN1000" s="103"/>
      <c r="MEZ1000" s="104"/>
      <c r="MFA1000" s="103"/>
      <c r="MFM1000" s="104"/>
      <c r="MFN1000" s="103"/>
      <c r="MFZ1000" s="104"/>
      <c r="MGA1000" s="103"/>
      <c r="MGM1000" s="104"/>
      <c r="MGN1000" s="103"/>
      <c r="MGZ1000" s="104"/>
      <c r="MHA1000" s="103"/>
      <c r="MHM1000" s="104"/>
      <c r="MHN1000" s="103"/>
      <c r="MHZ1000" s="104"/>
      <c r="MIA1000" s="103"/>
      <c r="MIM1000" s="104"/>
      <c r="MIN1000" s="103"/>
      <c r="MIZ1000" s="104"/>
      <c r="MJA1000" s="103"/>
      <c r="MJM1000" s="104"/>
      <c r="MJN1000" s="103"/>
      <c r="MJZ1000" s="104"/>
      <c r="MKA1000" s="103"/>
      <c r="MKM1000" s="104"/>
      <c r="MKN1000" s="103"/>
      <c r="MKZ1000" s="104"/>
      <c r="MLA1000" s="103"/>
      <c r="MLM1000" s="104"/>
      <c r="MLN1000" s="103"/>
      <c r="MLZ1000" s="104"/>
      <c r="MMA1000" s="103"/>
      <c r="MMM1000" s="104"/>
      <c r="MMN1000" s="103"/>
      <c r="MMZ1000" s="104"/>
      <c r="MNA1000" s="103"/>
      <c r="MNM1000" s="104"/>
      <c r="MNN1000" s="103"/>
      <c r="MNZ1000" s="104"/>
      <c r="MOA1000" s="103"/>
      <c r="MOM1000" s="104"/>
      <c r="MON1000" s="103"/>
      <c r="MOZ1000" s="104"/>
      <c r="MPA1000" s="103"/>
      <c r="MPM1000" s="104"/>
      <c r="MPN1000" s="103"/>
      <c r="MPZ1000" s="104"/>
      <c r="MQA1000" s="103"/>
      <c r="MQM1000" s="104"/>
      <c r="MQN1000" s="103"/>
      <c r="MQZ1000" s="104"/>
      <c r="MRA1000" s="103"/>
      <c r="MRM1000" s="104"/>
      <c r="MRN1000" s="103"/>
      <c r="MRZ1000" s="104"/>
      <c r="MSA1000" s="103"/>
      <c r="MSM1000" s="104"/>
      <c r="MSN1000" s="103"/>
      <c r="MSZ1000" s="104"/>
      <c r="MTA1000" s="103"/>
      <c r="MTM1000" s="104"/>
      <c r="MTN1000" s="103"/>
      <c r="MTZ1000" s="104"/>
      <c r="MUA1000" s="103"/>
      <c r="MUM1000" s="104"/>
      <c r="MUN1000" s="103"/>
      <c r="MUZ1000" s="104"/>
      <c r="MVA1000" s="103"/>
      <c r="MVM1000" s="104"/>
      <c r="MVN1000" s="103"/>
      <c r="MVZ1000" s="104"/>
      <c r="MWA1000" s="103"/>
      <c r="MWM1000" s="104"/>
      <c r="MWN1000" s="103"/>
      <c r="MWZ1000" s="104"/>
      <c r="MXA1000" s="103"/>
      <c r="MXM1000" s="104"/>
      <c r="MXN1000" s="103"/>
      <c r="MXZ1000" s="104"/>
      <c r="MYA1000" s="103"/>
      <c r="MYM1000" s="104"/>
      <c r="MYN1000" s="103"/>
      <c r="MYZ1000" s="104"/>
      <c r="MZA1000" s="103"/>
      <c r="MZM1000" s="104"/>
      <c r="MZN1000" s="103"/>
      <c r="MZZ1000" s="104"/>
      <c r="NAA1000" s="103"/>
      <c r="NAM1000" s="104"/>
      <c r="NAN1000" s="103"/>
      <c r="NAZ1000" s="104"/>
      <c r="NBA1000" s="103"/>
      <c r="NBM1000" s="104"/>
      <c r="NBN1000" s="103"/>
      <c r="NBZ1000" s="104"/>
      <c r="NCA1000" s="103"/>
      <c r="NCM1000" s="104"/>
      <c r="NCN1000" s="103"/>
      <c r="NCZ1000" s="104"/>
      <c r="NDA1000" s="103"/>
      <c r="NDM1000" s="104"/>
      <c r="NDN1000" s="103"/>
      <c r="NDZ1000" s="104"/>
      <c r="NEA1000" s="103"/>
      <c r="NEM1000" s="104"/>
      <c r="NEN1000" s="103"/>
      <c r="NEZ1000" s="104"/>
      <c r="NFA1000" s="103"/>
      <c r="NFM1000" s="104"/>
      <c r="NFN1000" s="103"/>
      <c r="NFZ1000" s="104"/>
      <c r="NGA1000" s="103"/>
      <c r="NGM1000" s="104"/>
      <c r="NGN1000" s="103"/>
      <c r="NGZ1000" s="104"/>
      <c r="NHA1000" s="103"/>
      <c r="NHM1000" s="104"/>
      <c r="NHN1000" s="103"/>
      <c r="NHZ1000" s="104"/>
      <c r="NIA1000" s="103"/>
      <c r="NIM1000" s="104"/>
      <c r="NIN1000" s="103"/>
      <c r="NIZ1000" s="104"/>
      <c r="NJA1000" s="103"/>
      <c r="NJM1000" s="104"/>
      <c r="NJN1000" s="103"/>
      <c r="NJZ1000" s="104"/>
      <c r="NKA1000" s="103"/>
      <c r="NKM1000" s="104"/>
      <c r="NKN1000" s="103"/>
      <c r="NKZ1000" s="104"/>
      <c r="NLA1000" s="103"/>
      <c r="NLM1000" s="104"/>
      <c r="NLN1000" s="103"/>
      <c r="NLZ1000" s="104"/>
      <c r="NMA1000" s="103"/>
      <c r="NMM1000" s="104"/>
      <c r="NMN1000" s="103"/>
      <c r="NMZ1000" s="104"/>
      <c r="NNA1000" s="103"/>
      <c r="NNM1000" s="104"/>
      <c r="NNN1000" s="103"/>
      <c r="NNZ1000" s="104"/>
      <c r="NOA1000" s="103"/>
      <c r="NOM1000" s="104"/>
      <c r="NON1000" s="103"/>
      <c r="NOZ1000" s="104"/>
      <c r="NPA1000" s="103"/>
      <c r="NPM1000" s="104"/>
      <c r="NPN1000" s="103"/>
      <c r="NPZ1000" s="104"/>
      <c r="NQA1000" s="103"/>
      <c r="NQM1000" s="104"/>
      <c r="NQN1000" s="103"/>
      <c r="NQZ1000" s="104"/>
      <c r="NRA1000" s="103"/>
      <c r="NRM1000" s="104"/>
      <c r="NRN1000" s="103"/>
      <c r="NRZ1000" s="104"/>
      <c r="NSA1000" s="103"/>
      <c r="NSM1000" s="104"/>
      <c r="NSN1000" s="103"/>
      <c r="NSZ1000" s="104"/>
      <c r="NTA1000" s="103"/>
      <c r="NTM1000" s="104"/>
      <c r="NTN1000" s="103"/>
      <c r="NTZ1000" s="104"/>
      <c r="NUA1000" s="103"/>
      <c r="NUM1000" s="104"/>
      <c r="NUN1000" s="103"/>
      <c r="NUZ1000" s="104"/>
      <c r="NVA1000" s="103"/>
      <c r="NVM1000" s="104"/>
      <c r="NVN1000" s="103"/>
      <c r="NVZ1000" s="104"/>
      <c r="NWA1000" s="103"/>
      <c r="NWM1000" s="104"/>
      <c r="NWN1000" s="103"/>
      <c r="NWZ1000" s="104"/>
      <c r="NXA1000" s="103"/>
      <c r="NXM1000" s="104"/>
      <c r="NXN1000" s="103"/>
      <c r="NXZ1000" s="104"/>
      <c r="NYA1000" s="103"/>
      <c r="NYM1000" s="104"/>
      <c r="NYN1000" s="103"/>
      <c r="NYZ1000" s="104"/>
      <c r="NZA1000" s="103"/>
      <c r="NZM1000" s="104"/>
      <c r="NZN1000" s="103"/>
      <c r="NZZ1000" s="104"/>
      <c r="OAA1000" s="103"/>
      <c r="OAM1000" s="104"/>
      <c r="OAN1000" s="103"/>
      <c r="OAZ1000" s="104"/>
      <c r="OBA1000" s="103"/>
      <c r="OBM1000" s="104"/>
      <c r="OBN1000" s="103"/>
      <c r="OBZ1000" s="104"/>
      <c r="OCA1000" s="103"/>
      <c r="OCM1000" s="104"/>
      <c r="OCN1000" s="103"/>
      <c r="OCZ1000" s="104"/>
      <c r="ODA1000" s="103"/>
      <c r="ODM1000" s="104"/>
      <c r="ODN1000" s="103"/>
      <c r="ODZ1000" s="104"/>
      <c r="OEA1000" s="103"/>
      <c r="OEM1000" s="104"/>
      <c r="OEN1000" s="103"/>
      <c r="OEZ1000" s="104"/>
      <c r="OFA1000" s="103"/>
      <c r="OFM1000" s="104"/>
      <c r="OFN1000" s="103"/>
      <c r="OFZ1000" s="104"/>
      <c r="OGA1000" s="103"/>
      <c r="OGM1000" s="104"/>
      <c r="OGN1000" s="103"/>
      <c r="OGZ1000" s="104"/>
      <c r="OHA1000" s="103"/>
      <c r="OHM1000" s="104"/>
      <c r="OHN1000" s="103"/>
      <c r="OHZ1000" s="104"/>
      <c r="OIA1000" s="103"/>
      <c r="OIM1000" s="104"/>
      <c r="OIN1000" s="103"/>
      <c r="OIZ1000" s="104"/>
      <c r="OJA1000" s="103"/>
      <c r="OJM1000" s="104"/>
      <c r="OJN1000" s="103"/>
      <c r="OJZ1000" s="104"/>
      <c r="OKA1000" s="103"/>
      <c r="OKM1000" s="104"/>
      <c r="OKN1000" s="103"/>
      <c r="OKZ1000" s="104"/>
      <c r="OLA1000" s="103"/>
      <c r="OLM1000" s="104"/>
      <c r="OLN1000" s="103"/>
      <c r="OLZ1000" s="104"/>
      <c r="OMA1000" s="103"/>
      <c r="OMM1000" s="104"/>
      <c r="OMN1000" s="103"/>
      <c r="OMZ1000" s="104"/>
      <c r="ONA1000" s="103"/>
      <c r="ONM1000" s="104"/>
      <c r="ONN1000" s="103"/>
      <c r="ONZ1000" s="104"/>
      <c r="OOA1000" s="103"/>
      <c r="OOM1000" s="104"/>
      <c r="OON1000" s="103"/>
      <c r="OOZ1000" s="104"/>
      <c r="OPA1000" s="103"/>
      <c r="OPM1000" s="104"/>
      <c r="OPN1000" s="103"/>
      <c r="OPZ1000" s="104"/>
      <c r="OQA1000" s="103"/>
      <c r="OQM1000" s="104"/>
      <c r="OQN1000" s="103"/>
      <c r="OQZ1000" s="104"/>
      <c r="ORA1000" s="103"/>
      <c r="ORM1000" s="104"/>
      <c r="ORN1000" s="103"/>
      <c r="ORZ1000" s="104"/>
      <c r="OSA1000" s="103"/>
      <c r="OSM1000" s="104"/>
      <c r="OSN1000" s="103"/>
      <c r="OSZ1000" s="104"/>
      <c r="OTA1000" s="103"/>
      <c r="OTM1000" s="104"/>
      <c r="OTN1000" s="103"/>
      <c r="OTZ1000" s="104"/>
      <c r="OUA1000" s="103"/>
      <c r="OUM1000" s="104"/>
      <c r="OUN1000" s="103"/>
      <c r="OUZ1000" s="104"/>
      <c r="OVA1000" s="103"/>
      <c r="OVM1000" s="104"/>
      <c r="OVN1000" s="103"/>
      <c r="OVZ1000" s="104"/>
      <c r="OWA1000" s="103"/>
      <c r="OWM1000" s="104"/>
      <c r="OWN1000" s="103"/>
      <c r="OWZ1000" s="104"/>
      <c r="OXA1000" s="103"/>
      <c r="OXM1000" s="104"/>
      <c r="OXN1000" s="103"/>
      <c r="OXZ1000" s="104"/>
      <c r="OYA1000" s="103"/>
      <c r="OYM1000" s="104"/>
      <c r="OYN1000" s="103"/>
      <c r="OYZ1000" s="104"/>
      <c r="OZA1000" s="103"/>
      <c r="OZM1000" s="104"/>
      <c r="OZN1000" s="103"/>
      <c r="OZZ1000" s="104"/>
      <c r="PAA1000" s="103"/>
      <c r="PAM1000" s="104"/>
      <c r="PAN1000" s="103"/>
      <c r="PAZ1000" s="104"/>
      <c r="PBA1000" s="103"/>
      <c r="PBM1000" s="104"/>
      <c r="PBN1000" s="103"/>
      <c r="PBZ1000" s="104"/>
      <c r="PCA1000" s="103"/>
      <c r="PCM1000" s="104"/>
      <c r="PCN1000" s="103"/>
      <c r="PCZ1000" s="104"/>
      <c r="PDA1000" s="103"/>
      <c r="PDM1000" s="104"/>
      <c r="PDN1000" s="103"/>
      <c r="PDZ1000" s="104"/>
      <c r="PEA1000" s="103"/>
      <c r="PEM1000" s="104"/>
      <c r="PEN1000" s="103"/>
      <c r="PEZ1000" s="104"/>
      <c r="PFA1000" s="103"/>
      <c r="PFM1000" s="104"/>
      <c r="PFN1000" s="103"/>
      <c r="PFZ1000" s="104"/>
      <c r="PGA1000" s="103"/>
      <c r="PGM1000" s="104"/>
      <c r="PGN1000" s="103"/>
      <c r="PGZ1000" s="104"/>
      <c r="PHA1000" s="103"/>
      <c r="PHM1000" s="104"/>
      <c r="PHN1000" s="103"/>
      <c r="PHZ1000" s="104"/>
      <c r="PIA1000" s="103"/>
      <c r="PIM1000" s="104"/>
      <c r="PIN1000" s="103"/>
      <c r="PIZ1000" s="104"/>
      <c r="PJA1000" s="103"/>
      <c r="PJM1000" s="104"/>
      <c r="PJN1000" s="103"/>
      <c r="PJZ1000" s="104"/>
      <c r="PKA1000" s="103"/>
      <c r="PKM1000" s="104"/>
      <c r="PKN1000" s="103"/>
      <c r="PKZ1000" s="104"/>
      <c r="PLA1000" s="103"/>
      <c r="PLM1000" s="104"/>
      <c r="PLN1000" s="103"/>
      <c r="PLZ1000" s="104"/>
      <c r="PMA1000" s="103"/>
      <c r="PMM1000" s="104"/>
      <c r="PMN1000" s="103"/>
      <c r="PMZ1000" s="104"/>
      <c r="PNA1000" s="103"/>
      <c r="PNM1000" s="104"/>
      <c r="PNN1000" s="103"/>
      <c r="PNZ1000" s="104"/>
      <c r="POA1000" s="103"/>
      <c r="POM1000" s="104"/>
      <c r="PON1000" s="103"/>
      <c r="POZ1000" s="104"/>
      <c r="PPA1000" s="103"/>
      <c r="PPM1000" s="104"/>
      <c r="PPN1000" s="103"/>
      <c r="PPZ1000" s="104"/>
      <c r="PQA1000" s="103"/>
      <c r="PQM1000" s="104"/>
      <c r="PQN1000" s="103"/>
      <c r="PQZ1000" s="104"/>
      <c r="PRA1000" s="103"/>
      <c r="PRM1000" s="104"/>
      <c r="PRN1000" s="103"/>
      <c r="PRZ1000" s="104"/>
      <c r="PSA1000" s="103"/>
      <c r="PSM1000" s="104"/>
      <c r="PSN1000" s="103"/>
      <c r="PSZ1000" s="104"/>
      <c r="PTA1000" s="103"/>
      <c r="PTM1000" s="104"/>
      <c r="PTN1000" s="103"/>
      <c r="PTZ1000" s="104"/>
      <c r="PUA1000" s="103"/>
      <c r="PUM1000" s="104"/>
      <c r="PUN1000" s="103"/>
      <c r="PUZ1000" s="104"/>
      <c r="PVA1000" s="103"/>
      <c r="PVM1000" s="104"/>
      <c r="PVN1000" s="103"/>
      <c r="PVZ1000" s="104"/>
      <c r="PWA1000" s="103"/>
      <c r="PWM1000" s="104"/>
      <c r="PWN1000" s="103"/>
      <c r="PWZ1000" s="104"/>
      <c r="PXA1000" s="103"/>
      <c r="PXM1000" s="104"/>
      <c r="PXN1000" s="103"/>
      <c r="PXZ1000" s="104"/>
      <c r="PYA1000" s="103"/>
      <c r="PYM1000" s="104"/>
      <c r="PYN1000" s="103"/>
      <c r="PYZ1000" s="104"/>
      <c r="PZA1000" s="103"/>
      <c r="PZM1000" s="104"/>
      <c r="PZN1000" s="103"/>
      <c r="PZZ1000" s="104"/>
      <c r="QAA1000" s="103"/>
      <c r="QAM1000" s="104"/>
      <c r="QAN1000" s="103"/>
      <c r="QAZ1000" s="104"/>
      <c r="QBA1000" s="103"/>
      <c r="QBM1000" s="104"/>
      <c r="QBN1000" s="103"/>
      <c r="QBZ1000" s="104"/>
      <c r="QCA1000" s="103"/>
      <c r="QCM1000" s="104"/>
      <c r="QCN1000" s="103"/>
      <c r="QCZ1000" s="104"/>
      <c r="QDA1000" s="103"/>
      <c r="QDM1000" s="104"/>
      <c r="QDN1000" s="103"/>
      <c r="QDZ1000" s="104"/>
      <c r="QEA1000" s="103"/>
      <c r="QEM1000" s="104"/>
      <c r="QEN1000" s="103"/>
      <c r="QEZ1000" s="104"/>
      <c r="QFA1000" s="103"/>
      <c r="QFM1000" s="104"/>
      <c r="QFN1000" s="103"/>
      <c r="QFZ1000" s="104"/>
      <c r="QGA1000" s="103"/>
      <c r="QGM1000" s="104"/>
      <c r="QGN1000" s="103"/>
      <c r="QGZ1000" s="104"/>
      <c r="QHA1000" s="103"/>
      <c r="QHM1000" s="104"/>
      <c r="QHN1000" s="103"/>
      <c r="QHZ1000" s="104"/>
      <c r="QIA1000" s="103"/>
      <c r="QIM1000" s="104"/>
      <c r="QIN1000" s="103"/>
      <c r="QIZ1000" s="104"/>
      <c r="QJA1000" s="103"/>
      <c r="QJM1000" s="104"/>
      <c r="QJN1000" s="103"/>
      <c r="QJZ1000" s="104"/>
      <c r="QKA1000" s="103"/>
      <c r="QKM1000" s="104"/>
      <c r="QKN1000" s="103"/>
      <c r="QKZ1000" s="104"/>
      <c r="QLA1000" s="103"/>
      <c r="QLM1000" s="104"/>
      <c r="QLN1000" s="103"/>
      <c r="QLZ1000" s="104"/>
      <c r="QMA1000" s="103"/>
      <c r="QMM1000" s="104"/>
      <c r="QMN1000" s="103"/>
      <c r="QMZ1000" s="104"/>
      <c r="QNA1000" s="103"/>
      <c r="QNM1000" s="104"/>
      <c r="QNN1000" s="103"/>
      <c r="QNZ1000" s="104"/>
      <c r="QOA1000" s="103"/>
      <c r="QOM1000" s="104"/>
      <c r="QON1000" s="103"/>
      <c r="QOZ1000" s="104"/>
      <c r="QPA1000" s="103"/>
      <c r="QPM1000" s="104"/>
      <c r="QPN1000" s="103"/>
      <c r="QPZ1000" s="104"/>
      <c r="QQA1000" s="103"/>
      <c r="QQM1000" s="104"/>
      <c r="QQN1000" s="103"/>
      <c r="QQZ1000" s="104"/>
      <c r="QRA1000" s="103"/>
      <c r="QRM1000" s="104"/>
      <c r="QRN1000" s="103"/>
      <c r="QRZ1000" s="104"/>
      <c r="QSA1000" s="103"/>
      <c r="QSM1000" s="104"/>
      <c r="QSN1000" s="103"/>
      <c r="QSZ1000" s="104"/>
      <c r="QTA1000" s="103"/>
      <c r="QTM1000" s="104"/>
      <c r="QTN1000" s="103"/>
      <c r="QTZ1000" s="104"/>
      <c r="QUA1000" s="103"/>
      <c r="QUM1000" s="104"/>
      <c r="QUN1000" s="103"/>
      <c r="QUZ1000" s="104"/>
      <c r="QVA1000" s="103"/>
      <c r="QVM1000" s="104"/>
      <c r="QVN1000" s="103"/>
      <c r="QVZ1000" s="104"/>
      <c r="QWA1000" s="103"/>
      <c r="QWM1000" s="104"/>
      <c r="QWN1000" s="103"/>
      <c r="QWZ1000" s="104"/>
      <c r="QXA1000" s="103"/>
      <c r="QXM1000" s="104"/>
      <c r="QXN1000" s="103"/>
      <c r="QXZ1000" s="104"/>
      <c r="QYA1000" s="103"/>
      <c r="QYM1000" s="104"/>
      <c r="QYN1000" s="103"/>
      <c r="QYZ1000" s="104"/>
      <c r="QZA1000" s="103"/>
      <c r="QZM1000" s="104"/>
      <c r="QZN1000" s="103"/>
      <c r="QZZ1000" s="104"/>
      <c r="RAA1000" s="103"/>
      <c r="RAM1000" s="104"/>
      <c r="RAN1000" s="103"/>
      <c r="RAZ1000" s="104"/>
      <c r="RBA1000" s="103"/>
      <c r="RBM1000" s="104"/>
      <c r="RBN1000" s="103"/>
      <c r="RBZ1000" s="104"/>
      <c r="RCA1000" s="103"/>
      <c r="RCM1000" s="104"/>
      <c r="RCN1000" s="103"/>
      <c r="RCZ1000" s="104"/>
      <c r="RDA1000" s="103"/>
      <c r="RDM1000" s="104"/>
      <c r="RDN1000" s="103"/>
      <c r="RDZ1000" s="104"/>
      <c r="REA1000" s="103"/>
      <c r="REM1000" s="104"/>
      <c r="REN1000" s="103"/>
      <c r="REZ1000" s="104"/>
      <c r="RFA1000" s="103"/>
      <c r="RFM1000" s="104"/>
      <c r="RFN1000" s="103"/>
      <c r="RFZ1000" s="104"/>
      <c r="RGA1000" s="103"/>
      <c r="RGM1000" s="104"/>
      <c r="RGN1000" s="103"/>
      <c r="RGZ1000" s="104"/>
      <c r="RHA1000" s="103"/>
      <c r="RHM1000" s="104"/>
      <c r="RHN1000" s="103"/>
      <c r="RHZ1000" s="104"/>
      <c r="RIA1000" s="103"/>
      <c r="RIM1000" s="104"/>
      <c r="RIN1000" s="103"/>
      <c r="RIZ1000" s="104"/>
      <c r="RJA1000" s="103"/>
      <c r="RJM1000" s="104"/>
      <c r="RJN1000" s="103"/>
      <c r="RJZ1000" s="104"/>
      <c r="RKA1000" s="103"/>
      <c r="RKM1000" s="104"/>
      <c r="RKN1000" s="103"/>
      <c r="RKZ1000" s="104"/>
      <c r="RLA1000" s="103"/>
      <c r="RLM1000" s="104"/>
      <c r="RLN1000" s="103"/>
      <c r="RLZ1000" s="104"/>
      <c r="RMA1000" s="103"/>
      <c r="RMM1000" s="104"/>
      <c r="RMN1000" s="103"/>
      <c r="RMZ1000" s="104"/>
      <c r="RNA1000" s="103"/>
      <c r="RNM1000" s="104"/>
      <c r="RNN1000" s="103"/>
      <c r="RNZ1000" s="104"/>
      <c r="ROA1000" s="103"/>
      <c r="ROM1000" s="104"/>
      <c r="RON1000" s="103"/>
      <c r="ROZ1000" s="104"/>
      <c r="RPA1000" s="103"/>
      <c r="RPM1000" s="104"/>
      <c r="RPN1000" s="103"/>
      <c r="RPZ1000" s="104"/>
      <c r="RQA1000" s="103"/>
      <c r="RQM1000" s="104"/>
      <c r="RQN1000" s="103"/>
      <c r="RQZ1000" s="104"/>
      <c r="RRA1000" s="103"/>
      <c r="RRM1000" s="104"/>
      <c r="RRN1000" s="103"/>
      <c r="RRZ1000" s="104"/>
      <c r="RSA1000" s="103"/>
      <c r="RSM1000" s="104"/>
      <c r="RSN1000" s="103"/>
      <c r="RSZ1000" s="104"/>
      <c r="RTA1000" s="103"/>
      <c r="RTM1000" s="104"/>
      <c r="RTN1000" s="103"/>
      <c r="RTZ1000" s="104"/>
      <c r="RUA1000" s="103"/>
      <c r="RUM1000" s="104"/>
      <c r="RUN1000" s="103"/>
      <c r="RUZ1000" s="104"/>
      <c r="RVA1000" s="103"/>
      <c r="RVM1000" s="104"/>
      <c r="RVN1000" s="103"/>
      <c r="RVZ1000" s="104"/>
      <c r="RWA1000" s="103"/>
      <c r="RWM1000" s="104"/>
      <c r="RWN1000" s="103"/>
      <c r="RWZ1000" s="104"/>
      <c r="RXA1000" s="103"/>
      <c r="RXM1000" s="104"/>
      <c r="RXN1000" s="103"/>
      <c r="RXZ1000" s="104"/>
      <c r="RYA1000" s="103"/>
      <c r="RYM1000" s="104"/>
      <c r="RYN1000" s="103"/>
      <c r="RYZ1000" s="104"/>
      <c r="RZA1000" s="103"/>
      <c r="RZM1000" s="104"/>
      <c r="RZN1000" s="103"/>
      <c r="RZZ1000" s="104"/>
      <c r="SAA1000" s="103"/>
      <c r="SAM1000" s="104"/>
      <c r="SAN1000" s="103"/>
      <c r="SAZ1000" s="104"/>
      <c r="SBA1000" s="103"/>
      <c r="SBM1000" s="104"/>
      <c r="SBN1000" s="103"/>
      <c r="SBZ1000" s="104"/>
      <c r="SCA1000" s="103"/>
      <c r="SCM1000" s="104"/>
      <c r="SCN1000" s="103"/>
      <c r="SCZ1000" s="104"/>
      <c r="SDA1000" s="103"/>
      <c r="SDM1000" s="104"/>
      <c r="SDN1000" s="103"/>
      <c r="SDZ1000" s="104"/>
      <c r="SEA1000" s="103"/>
      <c r="SEM1000" s="104"/>
      <c r="SEN1000" s="103"/>
      <c r="SEZ1000" s="104"/>
      <c r="SFA1000" s="103"/>
      <c r="SFM1000" s="104"/>
      <c r="SFN1000" s="103"/>
      <c r="SFZ1000" s="104"/>
      <c r="SGA1000" s="103"/>
      <c r="SGM1000" s="104"/>
      <c r="SGN1000" s="103"/>
      <c r="SGZ1000" s="104"/>
      <c r="SHA1000" s="103"/>
      <c r="SHM1000" s="104"/>
      <c r="SHN1000" s="103"/>
      <c r="SHZ1000" s="104"/>
      <c r="SIA1000" s="103"/>
      <c r="SIM1000" s="104"/>
      <c r="SIN1000" s="103"/>
      <c r="SIZ1000" s="104"/>
      <c r="SJA1000" s="103"/>
      <c r="SJM1000" s="104"/>
      <c r="SJN1000" s="103"/>
      <c r="SJZ1000" s="104"/>
      <c r="SKA1000" s="103"/>
      <c r="SKM1000" s="104"/>
      <c r="SKN1000" s="103"/>
      <c r="SKZ1000" s="104"/>
      <c r="SLA1000" s="103"/>
      <c r="SLM1000" s="104"/>
      <c r="SLN1000" s="103"/>
      <c r="SLZ1000" s="104"/>
      <c r="SMA1000" s="103"/>
      <c r="SMM1000" s="104"/>
      <c r="SMN1000" s="103"/>
      <c r="SMZ1000" s="104"/>
      <c r="SNA1000" s="103"/>
      <c r="SNM1000" s="104"/>
      <c r="SNN1000" s="103"/>
      <c r="SNZ1000" s="104"/>
      <c r="SOA1000" s="103"/>
      <c r="SOM1000" s="104"/>
      <c r="SON1000" s="103"/>
      <c r="SOZ1000" s="104"/>
      <c r="SPA1000" s="103"/>
      <c r="SPM1000" s="104"/>
      <c r="SPN1000" s="103"/>
      <c r="SPZ1000" s="104"/>
      <c r="SQA1000" s="103"/>
      <c r="SQM1000" s="104"/>
      <c r="SQN1000" s="103"/>
      <c r="SQZ1000" s="104"/>
      <c r="SRA1000" s="103"/>
      <c r="SRM1000" s="104"/>
      <c r="SRN1000" s="103"/>
      <c r="SRZ1000" s="104"/>
      <c r="SSA1000" s="103"/>
      <c r="SSM1000" s="104"/>
      <c r="SSN1000" s="103"/>
      <c r="SSZ1000" s="104"/>
      <c r="STA1000" s="103"/>
      <c r="STM1000" s="104"/>
      <c r="STN1000" s="103"/>
      <c r="STZ1000" s="104"/>
      <c r="SUA1000" s="103"/>
      <c r="SUM1000" s="104"/>
      <c r="SUN1000" s="103"/>
      <c r="SUZ1000" s="104"/>
      <c r="SVA1000" s="103"/>
      <c r="SVM1000" s="104"/>
      <c r="SVN1000" s="103"/>
      <c r="SVZ1000" s="104"/>
      <c r="SWA1000" s="103"/>
      <c r="SWM1000" s="104"/>
      <c r="SWN1000" s="103"/>
      <c r="SWZ1000" s="104"/>
      <c r="SXA1000" s="103"/>
      <c r="SXM1000" s="104"/>
      <c r="SXN1000" s="103"/>
      <c r="SXZ1000" s="104"/>
      <c r="SYA1000" s="103"/>
      <c r="SYM1000" s="104"/>
      <c r="SYN1000" s="103"/>
      <c r="SYZ1000" s="104"/>
      <c r="SZA1000" s="103"/>
      <c r="SZM1000" s="104"/>
      <c r="SZN1000" s="103"/>
      <c r="SZZ1000" s="104"/>
      <c r="TAA1000" s="103"/>
      <c r="TAM1000" s="104"/>
      <c r="TAN1000" s="103"/>
      <c r="TAZ1000" s="104"/>
      <c r="TBA1000" s="103"/>
      <c r="TBM1000" s="104"/>
      <c r="TBN1000" s="103"/>
      <c r="TBZ1000" s="104"/>
      <c r="TCA1000" s="103"/>
      <c r="TCM1000" s="104"/>
      <c r="TCN1000" s="103"/>
      <c r="TCZ1000" s="104"/>
      <c r="TDA1000" s="103"/>
      <c r="TDM1000" s="104"/>
      <c r="TDN1000" s="103"/>
      <c r="TDZ1000" s="104"/>
      <c r="TEA1000" s="103"/>
      <c r="TEM1000" s="104"/>
      <c r="TEN1000" s="103"/>
      <c r="TEZ1000" s="104"/>
      <c r="TFA1000" s="103"/>
      <c r="TFM1000" s="104"/>
      <c r="TFN1000" s="103"/>
      <c r="TFZ1000" s="104"/>
      <c r="TGA1000" s="103"/>
      <c r="TGM1000" s="104"/>
      <c r="TGN1000" s="103"/>
      <c r="TGZ1000" s="104"/>
      <c r="THA1000" s="103"/>
      <c r="THM1000" s="104"/>
      <c r="THN1000" s="103"/>
      <c r="THZ1000" s="104"/>
      <c r="TIA1000" s="103"/>
      <c r="TIM1000" s="104"/>
      <c r="TIN1000" s="103"/>
      <c r="TIZ1000" s="104"/>
      <c r="TJA1000" s="103"/>
      <c r="TJM1000" s="104"/>
      <c r="TJN1000" s="103"/>
      <c r="TJZ1000" s="104"/>
      <c r="TKA1000" s="103"/>
      <c r="TKM1000" s="104"/>
      <c r="TKN1000" s="103"/>
      <c r="TKZ1000" s="104"/>
      <c r="TLA1000" s="103"/>
      <c r="TLM1000" s="104"/>
      <c r="TLN1000" s="103"/>
      <c r="TLZ1000" s="104"/>
      <c r="TMA1000" s="103"/>
      <c r="TMM1000" s="104"/>
      <c r="TMN1000" s="103"/>
      <c r="TMZ1000" s="104"/>
      <c r="TNA1000" s="103"/>
      <c r="TNM1000" s="104"/>
      <c r="TNN1000" s="103"/>
      <c r="TNZ1000" s="104"/>
      <c r="TOA1000" s="103"/>
      <c r="TOM1000" s="104"/>
      <c r="TON1000" s="103"/>
      <c r="TOZ1000" s="104"/>
      <c r="TPA1000" s="103"/>
      <c r="TPM1000" s="104"/>
      <c r="TPN1000" s="103"/>
      <c r="TPZ1000" s="104"/>
      <c r="TQA1000" s="103"/>
      <c r="TQM1000" s="104"/>
      <c r="TQN1000" s="103"/>
      <c r="TQZ1000" s="104"/>
      <c r="TRA1000" s="103"/>
      <c r="TRM1000" s="104"/>
      <c r="TRN1000" s="103"/>
      <c r="TRZ1000" s="104"/>
      <c r="TSA1000" s="103"/>
      <c r="TSM1000" s="104"/>
      <c r="TSN1000" s="103"/>
      <c r="TSZ1000" s="104"/>
      <c r="TTA1000" s="103"/>
      <c r="TTM1000" s="104"/>
      <c r="TTN1000" s="103"/>
      <c r="TTZ1000" s="104"/>
      <c r="TUA1000" s="103"/>
      <c r="TUM1000" s="104"/>
      <c r="TUN1000" s="103"/>
      <c r="TUZ1000" s="104"/>
      <c r="TVA1000" s="103"/>
      <c r="TVM1000" s="104"/>
      <c r="TVN1000" s="103"/>
      <c r="TVZ1000" s="104"/>
      <c r="TWA1000" s="103"/>
      <c r="TWM1000" s="104"/>
      <c r="TWN1000" s="103"/>
      <c r="TWZ1000" s="104"/>
      <c r="TXA1000" s="103"/>
      <c r="TXM1000" s="104"/>
      <c r="TXN1000" s="103"/>
      <c r="TXZ1000" s="104"/>
      <c r="TYA1000" s="103"/>
      <c r="TYM1000" s="104"/>
      <c r="TYN1000" s="103"/>
      <c r="TYZ1000" s="104"/>
      <c r="TZA1000" s="103"/>
      <c r="TZM1000" s="104"/>
      <c r="TZN1000" s="103"/>
      <c r="TZZ1000" s="104"/>
      <c r="UAA1000" s="103"/>
      <c r="UAM1000" s="104"/>
      <c r="UAN1000" s="103"/>
      <c r="UAZ1000" s="104"/>
      <c r="UBA1000" s="103"/>
      <c r="UBM1000" s="104"/>
      <c r="UBN1000" s="103"/>
      <c r="UBZ1000" s="104"/>
      <c r="UCA1000" s="103"/>
      <c r="UCM1000" s="104"/>
      <c r="UCN1000" s="103"/>
      <c r="UCZ1000" s="104"/>
      <c r="UDA1000" s="103"/>
      <c r="UDM1000" s="104"/>
      <c r="UDN1000" s="103"/>
      <c r="UDZ1000" s="104"/>
      <c r="UEA1000" s="103"/>
      <c r="UEM1000" s="104"/>
      <c r="UEN1000" s="103"/>
      <c r="UEZ1000" s="104"/>
      <c r="UFA1000" s="103"/>
      <c r="UFM1000" s="104"/>
      <c r="UFN1000" s="103"/>
      <c r="UFZ1000" s="104"/>
      <c r="UGA1000" s="103"/>
      <c r="UGM1000" s="104"/>
      <c r="UGN1000" s="103"/>
      <c r="UGZ1000" s="104"/>
      <c r="UHA1000" s="103"/>
      <c r="UHM1000" s="104"/>
      <c r="UHN1000" s="103"/>
      <c r="UHZ1000" s="104"/>
      <c r="UIA1000" s="103"/>
      <c r="UIM1000" s="104"/>
      <c r="UIN1000" s="103"/>
      <c r="UIZ1000" s="104"/>
      <c r="UJA1000" s="103"/>
      <c r="UJM1000" s="104"/>
      <c r="UJN1000" s="103"/>
      <c r="UJZ1000" s="104"/>
      <c r="UKA1000" s="103"/>
      <c r="UKM1000" s="104"/>
      <c r="UKN1000" s="103"/>
      <c r="UKZ1000" s="104"/>
      <c r="ULA1000" s="103"/>
      <c r="ULM1000" s="104"/>
      <c r="ULN1000" s="103"/>
      <c r="ULZ1000" s="104"/>
      <c r="UMA1000" s="103"/>
      <c r="UMM1000" s="104"/>
      <c r="UMN1000" s="103"/>
      <c r="UMZ1000" s="104"/>
      <c r="UNA1000" s="103"/>
      <c r="UNM1000" s="104"/>
      <c r="UNN1000" s="103"/>
      <c r="UNZ1000" s="104"/>
      <c r="UOA1000" s="103"/>
      <c r="UOM1000" s="104"/>
      <c r="UON1000" s="103"/>
      <c r="UOZ1000" s="104"/>
      <c r="UPA1000" s="103"/>
      <c r="UPM1000" s="104"/>
      <c r="UPN1000" s="103"/>
      <c r="UPZ1000" s="104"/>
      <c r="UQA1000" s="103"/>
      <c r="UQM1000" s="104"/>
      <c r="UQN1000" s="103"/>
      <c r="UQZ1000" s="104"/>
      <c r="URA1000" s="103"/>
      <c r="URM1000" s="104"/>
      <c r="URN1000" s="103"/>
      <c r="URZ1000" s="104"/>
      <c r="USA1000" s="103"/>
      <c r="USM1000" s="104"/>
      <c r="USN1000" s="103"/>
      <c r="USZ1000" s="104"/>
      <c r="UTA1000" s="103"/>
      <c r="UTM1000" s="104"/>
      <c r="UTN1000" s="103"/>
      <c r="UTZ1000" s="104"/>
      <c r="UUA1000" s="103"/>
      <c r="UUM1000" s="104"/>
      <c r="UUN1000" s="103"/>
      <c r="UUZ1000" s="104"/>
      <c r="UVA1000" s="103"/>
      <c r="UVM1000" s="104"/>
      <c r="UVN1000" s="103"/>
      <c r="UVZ1000" s="104"/>
      <c r="UWA1000" s="103"/>
      <c r="UWM1000" s="104"/>
      <c r="UWN1000" s="103"/>
      <c r="UWZ1000" s="104"/>
      <c r="UXA1000" s="103"/>
      <c r="UXM1000" s="104"/>
      <c r="UXN1000" s="103"/>
      <c r="UXZ1000" s="104"/>
      <c r="UYA1000" s="103"/>
      <c r="UYM1000" s="104"/>
      <c r="UYN1000" s="103"/>
      <c r="UYZ1000" s="104"/>
      <c r="UZA1000" s="103"/>
      <c r="UZM1000" s="104"/>
      <c r="UZN1000" s="103"/>
      <c r="UZZ1000" s="104"/>
      <c r="VAA1000" s="103"/>
      <c r="VAM1000" s="104"/>
      <c r="VAN1000" s="103"/>
      <c r="VAZ1000" s="104"/>
      <c r="VBA1000" s="103"/>
      <c r="VBM1000" s="104"/>
      <c r="VBN1000" s="103"/>
      <c r="VBZ1000" s="104"/>
      <c r="VCA1000" s="103"/>
      <c r="VCM1000" s="104"/>
      <c r="VCN1000" s="103"/>
      <c r="VCZ1000" s="104"/>
      <c r="VDA1000" s="103"/>
      <c r="VDM1000" s="104"/>
      <c r="VDN1000" s="103"/>
      <c r="VDZ1000" s="104"/>
      <c r="VEA1000" s="103"/>
      <c r="VEM1000" s="104"/>
      <c r="VEN1000" s="103"/>
      <c r="VEZ1000" s="104"/>
      <c r="VFA1000" s="103"/>
      <c r="VFM1000" s="104"/>
      <c r="VFN1000" s="103"/>
      <c r="VFZ1000" s="104"/>
      <c r="VGA1000" s="103"/>
      <c r="VGM1000" s="104"/>
      <c r="VGN1000" s="103"/>
      <c r="VGZ1000" s="104"/>
      <c r="VHA1000" s="103"/>
      <c r="VHM1000" s="104"/>
      <c r="VHN1000" s="103"/>
      <c r="VHZ1000" s="104"/>
      <c r="VIA1000" s="103"/>
      <c r="VIM1000" s="104"/>
      <c r="VIN1000" s="103"/>
      <c r="VIZ1000" s="104"/>
      <c r="VJA1000" s="103"/>
      <c r="VJM1000" s="104"/>
      <c r="VJN1000" s="103"/>
      <c r="VJZ1000" s="104"/>
      <c r="VKA1000" s="103"/>
      <c r="VKM1000" s="104"/>
      <c r="VKN1000" s="103"/>
      <c r="VKZ1000" s="104"/>
      <c r="VLA1000" s="103"/>
      <c r="VLM1000" s="104"/>
      <c r="VLN1000" s="103"/>
      <c r="VLZ1000" s="104"/>
      <c r="VMA1000" s="103"/>
      <c r="VMM1000" s="104"/>
      <c r="VMN1000" s="103"/>
      <c r="VMZ1000" s="104"/>
      <c r="VNA1000" s="103"/>
      <c r="VNM1000" s="104"/>
      <c r="VNN1000" s="103"/>
      <c r="VNZ1000" s="104"/>
      <c r="VOA1000" s="103"/>
      <c r="VOM1000" s="104"/>
      <c r="VON1000" s="103"/>
      <c r="VOZ1000" s="104"/>
      <c r="VPA1000" s="103"/>
      <c r="VPM1000" s="104"/>
      <c r="VPN1000" s="103"/>
      <c r="VPZ1000" s="104"/>
      <c r="VQA1000" s="103"/>
      <c r="VQM1000" s="104"/>
      <c r="VQN1000" s="103"/>
      <c r="VQZ1000" s="104"/>
      <c r="VRA1000" s="103"/>
      <c r="VRM1000" s="104"/>
      <c r="VRN1000" s="103"/>
      <c r="VRZ1000" s="104"/>
      <c r="VSA1000" s="103"/>
      <c r="VSM1000" s="104"/>
      <c r="VSN1000" s="103"/>
      <c r="VSZ1000" s="104"/>
      <c r="VTA1000" s="103"/>
      <c r="VTM1000" s="104"/>
      <c r="VTN1000" s="103"/>
      <c r="VTZ1000" s="104"/>
      <c r="VUA1000" s="103"/>
      <c r="VUM1000" s="104"/>
      <c r="VUN1000" s="103"/>
      <c r="VUZ1000" s="104"/>
      <c r="VVA1000" s="103"/>
      <c r="VVM1000" s="104"/>
      <c r="VVN1000" s="103"/>
      <c r="VVZ1000" s="104"/>
      <c r="VWA1000" s="103"/>
      <c r="VWM1000" s="104"/>
      <c r="VWN1000" s="103"/>
      <c r="VWZ1000" s="104"/>
      <c r="VXA1000" s="103"/>
      <c r="VXM1000" s="104"/>
      <c r="VXN1000" s="103"/>
      <c r="VXZ1000" s="104"/>
      <c r="VYA1000" s="103"/>
      <c r="VYM1000" s="104"/>
      <c r="VYN1000" s="103"/>
      <c r="VYZ1000" s="104"/>
      <c r="VZA1000" s="103"/>
      <c r="VZM1000" s="104"/>
      <c r="VZN1000" s="103"/>
      <c r="VZZ1000" s="104"/>
      <c r="WAA1000" s="103"/>
      <c r="WAM1000" s="104"/>
      <c r="WAN1000" s="103"/>
      <c r="WAZ1000" s="104"/>
      <c r="WBA1000" s="103"/>
      <c r="WBM1000" s="104"/>
      <c r="WBN1000" s="103"/>
      <c r="WBZ1000" s="104"/>
      <c r="WCA1000" s="103"/>
      <c r="WCM1000" s="104"/>
      <c r="WCN1000" s="103"/>
      <c r="WCZ1000" s="104"/>
      <c r="WDA1000" s="103"/>
      <c r="WDM1000" s="104"/>
      <c r="WDN1000" s="103"/>
      <c r="WDZ1000" s="104"/>
      <c r="WEA1000" s="103"/>
      <c r="WEM1000" s="104"/>
      <c r="WEN1000" s="103"/>
      <c r="WEZ1000" s="104"/>
      <c r="WFA1000" s="103"/>
      <c r="WFM1000" s="104"/>
      <c r="WFN1000" s="103"/>
      <c r="WFZ1000" s="104"/>
      <c r="WGA1000" s="103"/>
      <c r="WGM1000" s="104"/>
      <c r="WGN1000" s="103"/>
      <c r="WGZ1000" s="104"/>
      <c r="WHA1000" s="103"/>
      <c r="WHM1000" s="104"/>
      <c r="WHN1000" s="103"/>
      <c r="WHZ1000" s="104"/>
      <c r="WIA1000" s="103"/>
      <c r="WIM1000" s="104"/>
      <c r="WIN1000" s="103"/>
      <c r="WIZ1000" s="104"/>
      <c r="WJA1000" s="103"/>
      <c r="WJM1000" s="104"/>
      <c r="WJN1000" s="103"/>
      <c r="WJZ1000" s="104"/>
      <c r="WKA1000" s="103"/>
      <c r="WKM1000" s="104"/>
      <c r="WKN1000" s="103"/>
      <c r="WKZ1000" s="104"/>
      <c r="WLA1000" s="103"/>
      <c r="WLM1000" s="104"/>
      <c r="WLN1000" s="103"/>
      <c r="WLZ1000" s="104"/>
      <c r="WMA1000" s="103"/>
      <c r="WMM1000" s="104"/>
      <c r="WMN1000" s="103"/>
      <c r="WMZ1000" s="104"/>
      <c r="WNA1000" s="103"/>
      <c r="WNM1000" s="104"/>
      <c r="WNN1000" s="103"/>
      <c r="WNZ1000" s="104"/>
      <c r="WOA1000" s="103"/>
      <c r="WOM1000" s="104"/>
      <c r="WON1000" s="103"/>
      <c r="WOZ1000" s="104"/>
      <c r="WPA1000" s="103"/>
      <c r="WPM1000" s="104"/>
      <c r="WPN1000" s="103"/>
      <c r="WPZ1000" s="104"/>
      <c r="WQA1000" s="103"/>
      <c r="WQM1000" s="104"/>
      <c r="WQN1000" s="103"/>
      <c r="WQZ1000" s="104"/>
      <c r="WRA1000" s="103"/>
      <c r="WRM1000" s="104"/>
      <c r="WRN1000" s="103"/>
      <c r="WRZ1000" s="104"/>
      <c r="WSA1000" s="103"/>
      <c r="WSM1000" s="104"/>
      <c r="WSN1000" s="103"/>
      <c r="WSZ1000" s="104"/>
      <c r="WTA1000" s="103"/>
      <c r="WTM1000" s="104"/>
      <c r="WTN1000" s="103"/>
      <c r="WTZ1000" s="104"/>
      <c r="WUA1000" s="103"/>
      <c r="WUM1000" s="104"/>
      <c r="WUN1000" s="103"/>
      <c r="WUZ1000" s="104"/>
      <c r="WVA1000" s="103"/>
      <c r="WVM1000" s="104"/>
      <c r="WVN1000" s="103"/>
      <c r="WVZ1000" s="104"/>
      <c r="WWA1000" s="103"/>
      <c r="WWM1000" s="104"/>
      <c r="WWN1000" s="103"/>
      <c r="WWZ1000" s="104"/>
      <c r="WXA1000" s="103"/>
      <c r="WXM1000" s="104"/>
      <c r="WXN1000" s="103"/>
      <c r="WXZ1000" s="104"/>
      <c r="WYA1000" s="103"/>
      <c r="WYM1000" s="104"/>
      <c r="WYN1000" s="103"/>
      <c r="WYZ1000" s="104"/>
      <c r="WZA1000" s="103"/>
      <c r="WZM1000" s="104"/>
      <c r="WZN1000" s="103"/>
      <c r="WZZ1000" s="104"/>
      <c r="XAA1000" s="103"/>
      <c r="XAM1000" s="104"/>
      <c r="XAN1000" s="103"/>
      <c r="XAZ1000" s="104"/>
      <c r="XBA1000" s="103"/>
      <c r="XBM1000" s="104"/>
      <c r="XBN1000" s="103"/>
      <c r="XBZ1000" s="104"/>
      <c r="XCA1000" s="103"/>
      <c r="XCM1000" s="104"/>
      <c r="XCN1000" s="103"/>
      <c r="XCZ1000" s="104"/>
      <c r="XDA1000" s="103"/>
      <c r="XDM1000" s="104"/>
      <c r="XDN1000" s="103"/>
      <c r="XDZ1000" s="104"/>
      <c r="XEA1000" s="103"/>
      <c r="XEM1000" s="104"/>
      <c r="XEN1000" s="103"/>
      <c r="XEZ1000" s="104"/>
      <c r="XFA1000" s="103"/>
    </row>
    <row r="1001" spans="1:1015 1027:2042 2054:3069 3081:4096 4108:5110 5122:6137 6149:7164 7176:8191 8203:9205 9217:10232 10244:11259 11271:12286 12298:14327 14339:15354 15366:16381">
      <c r="M1001" s="105" t="s">
        <v>174</v>
      </c>
      <c r="N1001" s="106">
        <f>1/Model!AF201</f>
        <v>1.9175455417066157E-2</v>
      </c>
      <c r="AM1001" s="104"/>
      <c r="AN1001" s="103"/>
      <c r="AZ1001" s="104"/>
      <c r="BA1001" s="103"/>
      <c r="BM1001" s="104"/>
      <c r="BN1001" s="103"/>
      <c r="BZ1001" s="104"/>
      <c r="CA1001" s="103"/>
      <c r="CM1001" s="104"/>
      <c r="CN1001" s="103"/>
      <c r="CZ1001" s="104"/>
      <c r="DA1001" s="103"/>
      <c r="DM1001" s="104"/>
      <c r="DN1001" s="103"/>
      <c r="DZ1001" s="104"/>
      <c r="EA1001" s="103"/>
      <c r="EM1001" s="104"/>
      <c r="EN1001" s="103"/>
      <c r="EZ1001" s="104"/>
      <c r="FA1001" s="103"/>
      <c r="FM1001" s="104"/>
      <c r="FN1001" s="103"/>
      <c r="FZ1001" s="104"/>
      <c r="GA1001" s="103"/>
      <c r="GM1001" s="104"/>
      <c r="GN1001" s="103"/>
      <c r="GZ1001" s="104"/>
      <c r="HA1001" s="103"/>
      <c r="HM1001" s="104"/>
      <c r="HN1001" s="103"/>
      <c r="HZ1001" s="104"/>
      <c r="IA1001" s="103"/>
      <c r="IM1001" s="104"/>
      <c r="IN1001" s="103"/>
      <c r="IZ1001" s="104"/>
      <c r="JA1001" s="103"/>
      <c r="JM1001" s="104"/>
      <c r="JN1001" s="103"/>
      <c r="JZ1001" s="104"/>
      <c r="KA1001" s="103"/>
      <c r="KM1001" s="104"/>
      <c r="KN1001" s="103"/>
      <c r="KZ1001" s="104"/>
      <c r="LA1001" s="103"/>
      <c r="LM1001" s="104"/>
      <c r="LN1001" s="103"/>
      <c r="LZ1001" s="104"/>
      <c r="MA1001" s="103"/>
      <c r="MM1001" s="104"/>
      <c r="MN1001" s="103"/>
      <c r="MZ1001" s="104"/>
      <c r="NA1001" s="103"/>
      <c r="NM1001" s="104"/>
      <c r="NN1001" s="103"/>
      <c r="NZ1001" s="104"/>
      <c r="OA1001" s="103"/>
      <c r="OM1001" s="104"/>
      <c r="ON1001" s="103"/>
      <c r="OZ1001" s="104"/>
      <c r="PA1001" s="103"/>
      <c r="PM1001" s="104"/>
      <c r="PN1001" s="103"/>
      <c r="PZ1001" s="104"/>
      <c r="QA1001" s="103"/>
      <c r="QM1001" s="104"/>
      <c r="QN1001" s="103"/>
      <c r="QZ1001" s="104"/>
      <c r="RA1001" s="103"/>
      <c r="RM1001" s="104"/>
      <c r="RN1001" s="103"/>
      <c r="RZ1001" s="104"/>
      <c r="SA1001" s="103"/>
      <c r="SM1001" s="104"/>
      <c r="SN1001" s="103"/>
      <c r="SZ1001" s="104"/>
      <c r="TA1001" s="103"/>
      <c r="TM1001" s="104"/>
      <c r="TN1001" s="103"/>
      <c r="TZ1001" s="104"/>
      <c r="UA1001" s="103"/>
      <c r="UM1001" s="104"/>
      <c r="UN1001" s="103"/>
      <c r="UZ1001" s="104"/>
      <c r="VA1001" s="103"/>
      <c r="VM1001" s="104"/>
      <c r="VN1001" s="103"/>
      <c r="VZ1001" s="104"/>
      <c r="WA1001" s="103"/>
      <c r="WM1001" s="104"/>
      <c r="WN1001" s="103"/>
      <c r="WZ1001" s="104"/>
      <c r="XA1001" s="103"/>
      <c r="XM1001" s="104"/>
      <c r="XN1001" s="103"/>
      <c r="XZ1001" s="104"/>
      <c r="YA1001" s="103"/>
      <c r="YM1001" s="104"/>
      <c r="YN1001" s="103"/>
      <c r="YZ1001" s="104"/>
      <c r="ZA1001" s="103"/>
      <c r="ZM1001" s="104"/>
      <c r="ZN1001" s="103"/>
      <c r="ZZ1001" s="104"/>
      <c r="AAA1001" s="103"/>
      <c r="AAM1001" s="104"/>
      <c r="AAN1001" s="103"/>
      <c r="AAZ1001" s="104"/>
      <c r="ABA1001" s="103"/>
      <c r="ABM1001" s="104"/>
      <c r="ABN1001" s="103"/>
      <c r="ABZ1001" s="104"/>
      <c r="ACA1001" s="103"/>
      <c r="ACM1001" s="104"/>
      <c r="ACN1001" s="103"/>
      <c r="ACZ1001" s="104"/>
      <c r="ADA1001" s="103"/>
      <c r="ADM1001" s="104"/>
      <c r="ADN1001" s="103"/>
      <c r="ADZ1001" s="104"/>
      <c r="AEA1001" s="103"/>
      <c r="AEM1001" s="104"/>
      <c r="AEN1001" s="103"/>
      <c r="AEZ1001" s="104"/>
      <c r="AFA1001" s="103"/>
      <c r="AFM1001" s="104"/>
      <c r="AFN1001" s="103"/>
      <c r="AFZ1001" s="104"/>
      <c r="AGA1001" s="103"/>
      <c r="AGM1001" s="104"/>
      <c r="AGN1001" s="103"/>
      <c r="AGZ1001" s="104"/>
      <c r="AHA1001" s="103"/>
      <c r="AHM1001" s="104"/>
      <c r="AHN1001" s="103"/>
      <c r="AHZ1001" s="104"/>
      <c r="AIA1001" s="103"/>
      <c r="AIM1001" s="104"/>
      <c r="AIN1001" s="103"/>
      <c r="AIZ1001" s="104"/>
      <c r="AJA1001" s="103"/>
      <c r="AJM1001" s="104"/>
      <c r="AJN1001" s="103"/>
      <c r="AJZ1001" s="104"/>
      <c r="AKA1001" s="103"/>
      <c r="AKM1001" s="104"/>
      <c r="AKN1001" s="103"/>
      <c r="AKZ1001" s="104"/>
      <c r="ALA1001" s="103"/>
      <c r="ALM1001" s="104"/>
      <c r="ALN1001" s="103"/>
      <c r="ALZ1001" s="104"/>
      <c r="AMA1001" s="103"/>
      <c r="AMM1001" s="104"/>
      <c r="AMN1001" s="103"/>
      <c r="AMZ1001" s="104"/>
      <c r="ANA1001" s="103"/>
      <c r="ANM1001" s="104"/>
      <c r="ANN1001" s="103"/>
      <c r="ANZ1001" s="104"/>
      <c r="AOA1001" s="103"/>
      <c r="AOM1001" s="104"/>
      <c r="AON1001" s="103"/>
      <c r="AOZ1001" s="104"/>
      <c r="APA1001" s="103"/>
      <c r="APM1001" s="104"/>
      <c r="APN1001" s="103"/>
      <c r="APZ1001" s="104"/>
      <c r="AQA1001" s="103"/>
      <c r="AQM1001" s="104"/>
      <c r="AQN1001" s="103"/>
      <c r="AQZ1001" s="104"/>
      <c r="ARA1001" s="103"/>
      <c r="ARM1001" s="104"/>
      <c r="ARN1001" s="103"/>
      <c r="ARZ1001" s="104"/>
      <c r="ASA1001" s="103"/>
      <c r="ASM1001" s="104"/>
      <c r="ASN1001" s="103"/>
      <c r="ASZ1001" s="104"/>
      <c r="ATA1001" s="103"/>
      <c r="ATM1001" s="104"/>
      <c r="ATN1001" s="103"/>
      <c r="ATZ1001" s="104"/>
      <c r="AUA1001" s="103"/>
      <c r="AUM1001" s="104"/>
      <c r="AUN1001" s="103"/>
      <c r="AUZ1001" s="104"/>
      <c r="AVA1001" s="103"/>
      <c r="AVM1001" s="104"/>
      <c r="AVN1001" s="103"/>
      <c r="AVZ1001" s="104"/>
      <c r="AWA1001" s="103"/>
      <c r="AWM1001" s="104"/>
      <c r="AWN1001" s="103"/>
      <c r="AWZ1001" s="104"/>
      <c r="AXA1001" s="103"/>
      <c r="AXM1001" s="104"/>
      <c r="AXN1001" s="103"/>
      <c r="AXZ1001" s="104"/>
      <c r="AYA1001" s="103"/>
      <c r="AYM1001" s="104"/>
      <c r="AYN1001" s="103"/>
      <c r="AYZ1001" s="104"/>
      <c r="AZA1001" s="103"/>
      <c r="AZM1001" s="104"/>
      <c r="AZN1001" s="103"/>
      <c r="AZZ1001" s="104"/>
      <c r="BAA1001" s="103"/>
      <c r="BAM1001" s="104"/>
      <c r="BAN1001" s="103"/>
      <c r="BAZ1001" s="104"/>
      <c r="BBA1001" s="103"/>
      <c r="BBM1001" s="104"/>
      <c r="BBN1001" s="103"/>
      <c r="BBZ1001" s="104"/>
      <c r="BCA1001" s="103"/>
      <c r="BCM1001" s="104"/>
      <c r="BCN1001" s="103"/>
      <c r="BCZ1001" s="104"/>
      <c r="BDA1001" s="103"/>
      <c r="BDM1001" s="104"/>
      <c r="BDN1001" s="103"/>
      <c r="BDZ1001" s="104"/>
      <c r="BEA1001" s="103"/>
      <c r="BEM1001" s="104"/>
      <c r="BEN1001" s="103"/>
      <c r="BEZ1001" s="104"/>
      <c r="BFA1001" s="103"/>
      <c r="BFM1001" s="104"/>
      <c r="BFN1001" s="103"/>
      <c r="BFZ1001" s="104"/>
      <c r="BGA1001" s="103"/>
      <c r="BGM1001" s="104"/>
      <c r="BGN1001" s="103"/>
      <c r="BGZ1001" s="104"/>
      <c r="BHA1001" s="103"/>
      <c r="BHM1001" s="104"/>
      <c r="BHN1001" s="103"/>
      <c r="BHZ1001" s="104"/>
      <c r="BIA1001" s="103"/>
      <c r="BIM1001" s="104"/>
      <c r="BIN1001" s="103"/>
      <c r="BIZ1001" s="104"/>
      <c r="BJA1001" s="103"/>
      <c r="BJM1001" s="104"/>
      <c r="BJN1001" s="103"/>
      <c r="BJZ1001" s="104"/>
      <c r="BKA1001" s="103"/>
      <c r="BKM1001" s="104"/>
      <c r="BKN1001" s="103"/>
      <c r="BKZ1001" s="104"/>
      <c r="BLA1001" s="103"/>
      <c r="BLM1001" s="104"/>
      <c r="BLN1001" s="103"/>
      <c r="BLZ1001" s="104"/>
      <c r="BMA1001" s="103"/>
      <c r="BMM1001" s="104"/>
      <c r="BMN1001" s="103"/>
      <c r="BMZ1001" s="104"/>
      <c r="BNA1001" s="103"/>
      <c r="BNM1001" s="104"/>
      <c r="BNN1001" s="103"/>
      <c r="BNZ1001" s="104"/>
      <c r="BOA1001" s="103"/>
      <c r="BOM1001" s="104"/>
      <c r="BON1001" s="103"/>
      <c r="BOZ1001" s="104"/>
      <c r="BPA1001" s="103"/>
      <c r="BPM1001" s="104"/>
      <c r="BPN1001" s="103"/>
      <c r="BPZ1001" s="104"/>
      <c r="BQA1001" s="103"/>
      <c r="BQM1001" s="104"/>
      <c r="BQN1001" s="103"/>
      <c r="BQZ1001" s="104"/>
      <c r="BRA1001" s="103"/>
      <c r="BRM1001" s="104"/>
      <c r="BRN1001" s="103"/>
      <c r="BRZ1001" s="104"/>
      <c r="BSA1001" s="103"/>
      <c r="BSM1001" s="104"/>
      <c r="BSN1001" s="103"/>
      <c r="BSZ1001" s="104"/>
      <c r="BTA1001" s="103"/>
      <c r="BTM1001" s="104"/>
      <c r="BTN1001" s="103"/>
      <c r="BTZ1001" s="104"/>
      <c r="BUA1001" s="103"/>
      <c r="BUM1001" s="104"/>
      <c r="BUN1001" s="103"/>
      <c r="BUZ1001" s="104"/>
      <c r="BVA1001" s="103"/>
      <c r="BVM1001" s="104"/>
      <c r="BVN1001" s="103"/>
      <c r="BVZ1001" s="104"/>
      <c r="BWA1001" s="103"/>
      <c r="BWM1001" s="104"/>
      <c r="BWN1001" s="103"/>
      <c r="BWZ1001" s="104"/>
      <c r="BXA1001" s="103"/>
      <c r="BXM1001" s="104"/>
      <c r="BXN1001" s="103"/>
      <c r="BXZ1001" s="104"/>
      <c r="BYA1001" s="103"/>
      <c r="BYM1001" s="104"/>
      <c r="BYN1001" s="103"/>
      <c r="BYZ1001" s="104"/>
      <c r="BZA1001" s="103"/>
      <c r="BZM1001" s="104"/>
      <c r="BZN1001" s="103"/>
      <c r="BZZ1001" s="104"/>
      <c r="CAA1001" s="103"/>
      <c r="CAM1001" s="104"/>
      <c r="CAN1001" s="103"/>
      <c r="CAZ1001" s="104"/>
      <c r="CBA1001" s="103"/>
      <c r="CBM1001" s="104"/>
      <c r="CBN1001" s="103"/>
      <c r="CBZ1001" s="104"/>
      <c r="CCA1001" s="103"/>
      <c r="CCM1001" s="104"/>
      <c r="CCN1001" s="103"/>
      <c r="CCZ1001" s="104"/>
      <c r="CDA1001" s="103"/>
      <c r="CDM1001" s="104"/>
      <c r="CDN1001" s="103"/>
      <c r="CDZ1001" s="104"/>
      <c r="CEA1001" s="103"/>
      <c r="CEM1001" s="104"/>
      <c r="CEN1001" s="103"/>
      <c r="CEZ1001" s="104"/>
      <c r="CFA1001" s="103"/>
      <c r="CFM1001" s="104"/>
      <c r="CFN1001" s="103"/>
      <c r="CFZ1001" s="104"/>
      <c r="CGA1001" s="103"/>
      <c r="CGM1001" s="104"/>
      <c r="CGN1001" s="103"/>
      <c r="CGZ1001" s="104"/>
      <c r="CHA1001" s="103"/>
      <c r="CHM1001" s="104"/>
      <c r="CHN1001" s="103"/>
      <c r="CHZ1001" s="104"/>
      <c r="CIA1001" s="103"/>
      <c r="CIM1001" s="104"/>
      <c r="CIN1001" s="103"/>
      <c r="CIZ1001" s="104"/>
      <c r="CJA1001" s="103"/>
      <c r="CJM1001" s="104"/>
      <c r="CJN1001" s="103"/>
      <c r="CJZ1001" s="104"/>
      <c r="CKA1001" s="103"/>
      <c r="CKM1001" s="104"/>
      <c r="CKN1001" s="103"/>
      <c r="CKZ1001" s="104"/>
      <c r="CLA1001" s="103"/>
      <c r="CLM1001" s="104"/>
      <c r="CLN1001" s="103"/>
      <c r="CLZ1001" s="104"/>
      <c r="CMA1001" s="103"/>
      <c r="CMM1001" s="104"/>
      <c r="CMN1001" s="103"/>
      <c r="CMZ1001" s="104"/>
      <c r="CNA1001" s="103"/>
      <c r="CNM1001" s="104"/>
      <c r="CNN1001" s="103"/>
      <c r="CNZ1001" s="104"/>
      <c r="COA1001" s="103"/>
      <c r="COM1001" s="104"/>
      <c r="CON1001" s="103"/>
      <c r="COZ1001" s="104"/>
      <c r="CPA1001" s="103"/>
      <c r="CPM1001" s="104"/>
      <c r="CPN1001" s="103"/>
      <c r="CPZ1001" s="104"/>
      <c r="CQA1001" s="103"/>
      <c r="CQM1001" s="104"/>
      <c r="CQN1001" s="103"/>
      <c r="CQZ1001" s="104"/>
      <c r="CRA1001" s="103"/>
      <c r="CRM1001" s="104"/>
      <c r="CRN1001" s="103"/>
      <c r="CRZ1001" s="104"/>
      <c r="CSA1001" s="103"/>
      <c r="CSM1001" s="104"/>
      <c r="CSN1001" s="103"/>
      <c r="CSZ1001" s="104"/>
      <c r="CTA1001" s="103"/>
      <c r="CTM1001" s="104"/>
      <c r="CTN1001" s="103"/>
      <c r="CTZ1001" s="104"/>
      <c r="CUA1001" s="103"/>
      <c r="CUM1001" s="104"/>
      <c r="CUN1001" s="103"/>
      <c r="CUZ1001" s="104"/>
      <c r="CVA1001" s="103"/>
      <c r="CVM1001" s="104"/>
      <c r="CVN1001" s="103"/>
      <c r="CVZ1001" s="104"/>
      <c r="CWA1001" s="103"/>
      <c r="CWM1001" s="104"/>
      <c r="CWN1001" s="103"/>
      <c r="CWZ1001" s="104"/>
      <c r="CXA1001" s="103"/>
      <c r="CXM1001" s="104"/>
      <c r="CXN1001" s="103"/>
      <c r="CXZ1001" s="104"/>
      <c r="CYA1001" s="103"/>
      <c r="CYM1001" s="104"/>
      <c r="CYN1001" s="103"/>
      <c r="CYZ1001" s="104"/>
      <c r="CZA1001" s="103"/>
      <c r="CZM1001" s="104"/>
      <c r="CZN1001" s="103"/>
      <c r="CZZ1001" s="104"/>
      <c r="DAA1001" s="103"/>
      <c r="DAM1001" s="104"/>
      <c r="DAN1001" s="103"/>
      <c r="DAZ1001" s="104"/>
      <c r="DBA1001" s="103"/>
      <c r="DBM1001" s="104"/>
      <c r="DBN1001" s="103"/>
      <c r="DBZ1001" s="104"/>
      <c r="DCA1001" s="103"/>
      <c r="DCM1001" s="104"/>
      <c r="DCN1001" s="103"/>
      <c r="DCZ1001" s="104"/>
      <c r="DDA1001" s="103"/>
      <c r="DDM1001" s="104"/>
      <c r="DDN1001" s="103"/>
      <c r="DDZ1001" s="104"/>
      <c r="DEA1001" s="103"/>
      <c r="DEM1001" s="104"/>
      <c r="DEN1001" s="103"/>
      <c r="DEZ1001" s="104"/>
      <c r="DFA1001" s="103"/>
      <c r="DFM1001" s="104"/>
      <c r="DFN1001" s="103"/>
      <c r="DFZ1001" s="104"/>
      <c r="DGA1001" s="103"/>
      <c r="DGM1001" s="104"/>
      <c r="DGN1001" s="103"/>
      <c r="DGZ1001" s="104"/>
      <c r="DHA1001" s="103"/>
      <c r="DHM1001" s="104"/>
      <c r="DHN1001" s="103"/>
      <c r="DHZ1001" s="104"/>
      <c r="DIA1001" s="103"/>
      <c r="DIM1001" s="104"/>
      <c r="DIN1001" s="103"/>
      <c r="DIZ1001" s="104"/>
      <c r="DJA1001" s="103"/>
      <c r="DJM1001" s="104"/>
      <c r="DJN1001" s="103"/>
      <c r="DJZ1001" s="104"/>
      <c r="DKA1001" s="103"/>
      <c r="DKM1001" s="104"/>
      <c r="DKN1001" s="103"/>
      <c r="DKZ1001" s="104"/>
      <c r="DLA1001" s="103"/>
      <c r="DLM1001" s="104"/>
      <c r="DLN1001" s="103"/>
      <c r="DLZ1001" s="104"/>
      <c r="DMA1001" s="103"/>
      <c r="DMM1001" s="104"/>
      <c r="DMN1001" s="103"/>
      <c r="DMZ1001" s="104"/>
      <c r="DNA1001" s="103"/>
      <c r="DNM1001" s="104"/>
      <c r="DNN1001" s="103"/>
      <c r="DNZ1001" s="104"/>
      <c r="DOA1001" s="103"/>
      <c r="DOM1001" s="104"/>
      <c r="DON1001" s="103"/>
      <c r="DOZ1001" s="104"/>
      <c r="DPA1001" s="103"/>
      <c r="DPM1001" s="104"/>
      <c r="DPN1001" s="103"/>
      <c r="DPZ1001" s="104"/>
      <c r="DQA1001" s="103"/>
      <c r="DQM1001" s="104"/>
      <c r="DQN1001" s="103"/>
      <c r="DQZ1001" s="104"/>
      <c r="DRA1001" s="103"/>
      <c r="DRM1001" s="104"/>
      <c r="DRN1001" s="103"/>
      <c r="DRZ1001" s="104"/>
      <c r="DSA1001" s="103"/>
      <c r="DSM1001" s="104"/>
      <c r="DSN1001" s="103"/>
      <c r="DSZ1001" s="104"/>
      <c r="DTA1001" s="103"/>
      <c r="DTM1001" s="104"/>
      <c r="DTN1001" s="103"/>
      <c r="DTZ1001" s="104"/>
      <c r="DUA1001" s="103"/>
      <c r="DUM1001" s="104"/>
      <c r="DUN1001" s="103"/>
      <c r="DUZ1001" s="104"/>
      <c r="DVA1001" s="103"/>
      <c r="DVM1001" s="104"/>
      <c r="DVN1001" s="103"/>
      <c r="DVZ1001" s="104"/>
      <c r="DWA1001" s="103"/>
      <c r="DWM1001" s="104"/>
      <c r="DWN1001" s="103"/>
      <c r="DWZ1001" s="104"/>
      <c r="DXA1001" s="103"/>
      <c r="DXM1001" s="104"/>
      <c r="DXN1001" s="103"/>
      <c r="DXZ1001" s="104"/>
      <c r="DYA1001" s="103"/>
      <c r="DYM1001" s="104"/>
      <c r="DYN1001" s="103"/>
      <c r="DYZ1001" s="104"/>
      <c r="DZA1001" s="103"/>
      <c r="DZM1001" s="104"/>
      <c r="DZN1001" s="103"/>
      <c r="DZZ1001" s="104"/>
      <c r="EAA1001" s="103"/>
      <c r="EAM1001" s="104"/>
      <c r="EAN1001" s="103"/>
      <c r="EAZ1001" s="104"/>
      <c r="EBA1001" s="103"/>
      <c r="EBM1001" s="104"/>
      <c r="EBN1001" s="103"/>
      <c r="EBZ1001" s="104"/>
      <c r="ECA1001" s="103"/>
      <c r="ECM1001" s="104"/>
      <c r="ECN1001" s="103"/>
      <c r="ECZ1001" s="104"/>
      <c r="EDA1001" s="103"/>
      <c r="EDM1001" s="104"/>
      <c r="EDN1001" s="103"/>
      <c r="EDZ1001" s="104"/>
      <c r="EEA1001" s="103"/>
      <c r="EEM1001" s="104"/>
      <c r="EEN1001" s="103"/>
      <c r="EEZ1001" s="104"/>
      <c r="EFA1001" s="103"/>
      <c r="EFM1001" s="104"/>
      <c r="EFN1001" s="103"/>
      <c r="EFZ1001" s="104"/>
      <c r="EGA1001" s="103"/>
      <c r="EGM1001" s="104"/>
      <c r="EGN1001" s="103"/>
      <c r="EGZ1001" s="104"/>
      <c r="EHA1001" s="103"/>
      <c r="EHM1001" s="104"/>
      <c r="EHN1001" s="103"/>
      <c r="EHZ1001" s="104"/>
      <c r="EIA1001" s="103"/>
      <c r="EIM1001" s="104"/>
      <c r="EIN1001" s="103"/>
      <c r="EIZ1001" s="104"/>
      <c r="EJA1001" s="103"/>
      <c r="EJM1001" s="104"/>
      <c r="EJN1001" s="103"/>
      <c r="EJZ1001" s="104"/>
      <c r="EKA1001" s="103"/>
      <c r="EKM1001" s="104"/>
      <c r="EKN1001" s="103"/>
      <c r="EKZ1001" s="104"/>
      <c r="ELA1001" s="103"/>
      <c r="ELM1001" s="104"/>
      <c r="ELN1001" s="103"/>
      <c r="ELZ1001" s="104"/>
      <c r="EMA1001" s="103"/>
      <c r="EMM1001" s="104"/>
      <c r="EMN1001" s="103"/>
      <c r="EMZ1001" s="104"/>
      <c r="ENA1001" s="103"/>
      <c r="ENM1001" s="104"/>
      <c r="ENN1001" s="103"/>
      <c r="ENZ1001" s="104"/>
      <c r="EOA1001" s="103"/>
      <c r="EOM1001" s="104"/>
      <c r="EON1001" s="103"/>
      <c r="EOZ1001" s="104"/>
      <c r="EPA1001" s="103"/>
      <c r="EPM1001" s="104"/>
      <c r="EPN1001" s="103"/>
      <c r="EPZ1001" s="104"/>
      <c r="EQA1001" s="103"/>
      <c r="EQM1001" s="104"/>
      <c r="EQN1001" s="103"/>
      <c r="EQZ1001" s="104"/>
      <c r="ERA1001" s="103"/>
      <c r="ERM1001" s="104"/>
      <c r="ERN1001" s="103"/>
      <c r="ERZ1001" s="104"/>
      <c r="ESA1001" s="103"/>
      <c r="ESM1001" s="104"/>
      <c r="ESN1001" s="103"/>
      <c r="ESZ1001" s="104"/>
      <c r="ETA1001" s="103"/>
      <c r="ETM1001" s="104"/>
      <c r="ETN1001" s="103"/>
      <c r="ETZ1001" s="104"/>
      <c r="EUA1001" s="103"/>
      <c r="EUM1001" s="104"/>
      <c r="EUN1001" s="103"/>
      <c r="EUZ1001" s="104"/>
      <c r="EVA1001" s="103"/>
      <c r="EVM1001" s="104"/>
      <c r="EVN1001" s="103"/>
      <c r="EVZ1001" s="104"/>
      <c r="EWA1001" s="103"/>
      <c r="EWM1001" s="104"/>
      <c r="EWN1001" s="103"/>
      <c r="EWZ1001" s="104"/>
      <c r="EXA1001" s="103"/>
      <c r="EXM1001" s="104"/>
      <c r="EXN1001" s="103"/>
      <c r="EXZ1001" s="104"/>
      <c r="EYA1001" s="103"/>
      <c r="EYM1001" s="104"/>
      <c r="EYN1001" s="103"/>
      <c r="EYZ1001" s="104"/>
      <c r="EZA1001" s="103"/>
      <c r="EZM1001" s="104"/>
      <c r="EZN1001" s="103"/>
      <c r="EZZ1001" s="104"/>
      <c r="FAA1001" s="103"/>
      <c r="FAM1001" s="104"/>
      <c r="FAN1001" s="103"/>
      <c r="FAZ1001" s="104"/>
      <c r="FBA1001" s="103"/>
      <c r="FBM1001" s="104"/>
      <c r="FBN1001" s="103"/>
      <c r="FBZ1001" s="104"/>
      <c r="FCA1001" s="103"/>
      <c r="FCM1001" s="104"/>
      <c r="FCN1001" s="103"/>
      <c r="FCZ1001" s="104"/>
      <c r="FDA1001" s="103"/>
      <c r="FDM1001" s="104"/>
      <c r="FDN1001" s="103"/>
      <c r="FDZ1001" s="104"/>
      <c r="FEA1001" s="103"/>
      <c r="FEM1001" s="104"/>
      <c r="FEN1001" s="103"/>
      <c r="FEZ1001" s="104"/>
      <c r="FFA1001" s="103"/>
      <c r="FFM1001" s="104"/>
      <c r="FFN1001" s="103"/>
      <c r="FFZ1001" s="104"/>
      <c r="FGA1001" s="103"/>
      <c r="FGM1001" s="104"/>
      <c r="FGN1001" s="103"/>
      <c r="FGZ1001" s="104"/>
      <c r="FHA1001" s="103"/>
      <c r="FHM1001" s="104"/>
      <c r="FHN1001" s="103"/>
      <c r="FHZ1001" s="104"/>
      <c r="FIA1001" s="103"/>
      <c r="FIM1001" s="104"/>
      <c r="FIN1001" s="103"/>
      <c r="FIZ1001" s="104"/>
      <c r="FJA1001" s="103"/>
      <c r="FJM1001" s="104"/>
      <c r="FJN1001" s="103"/>
      <c r="FJZ1001" s="104"/>
      <c r="FKA1001" s="103"/>
      <c r="FKM1001" s="104"/>
      <c r="FKN1001" s="103"/>
      <c r="FKZ1001" s="104"/>
      <c r="FLA1001" s="103"/>
      <c r="FLM1001" s="104"/>
      <c r="FLN1001" s="103"/>
      <c r="FLZ1001" s="104"/>
      <c r="FMA1001" s="103"/>
      <c r="FMM1001" s="104"/>
      <c r="FMN1001" s="103"/>
      <c r="FMZ1001" s="104"/>
      <c r="FNA1001" s="103"/>
      <c r="FNM1001" s="104"/>
      <c r="FNN1001" s="103"/>
      <c r="FNZ1001" s="104"/>
      <c r="FOA1001" s="103"/>
      <c r="FOM1001" s="104"/>
      <c r="FON1001" s="103"/>
      <c r="FOZ1001" s="104"/>
      <c r="FPA1001" s="103"/>
      <c r="FPM1001" s="104"/>
      <c r="FPN1001" s="103"/>
      <c r="FPZ1001" s="104"/>
      <c r="FQA1001" s="103"/>
      <c r="FQM1001" s="104"/>
      <c r="FQN1001" s="103"/>
      <c r="FQZ1001" s="104"/>
      <c r="FRA1001" s="103"/>
      <c r="FRM1001" s="104"/>
      <c r="FRN1001" s="103"/>
      <c r="FRZ1001" s="104"/>
      <c r="FSA1001" s="103"/>
      <c r="FSM1001" s="104"/>
      <c r="FSN1001" s="103"/>
      <c r="FSZ1001" s="104"/>
      <c r="FTA1001" s="103"/>
      <c r="FTM1001" s="104"/>
      <c r="FTN1001" s="103"/>
      <c r="FTZ1001" s="104"/>
      <c r="FUA1001" s="103"/>
      <c r="FUM1001" s="104"/>
      <c r="FUN1001" s="103"/>
      <c r="FUZ1001" s="104"/>
      <c r="FVA1001" s="103"/>
      <c r="FVM1001" s="104"/>
      <c r="FVN1001" s="103"/>
      <c r="FVZ1001" s="104"/>
      <c r="FWA1001" s="103"/>
      <c r="FWM1001" s="104"/>
      <c r="FWN1001" s="103"/>
      <c r="FWZ1001" s="104"/>
      <c r="FXA1001" s="103"/>
      <c r="FXM1001" s="104"/>
      <c r="FXN1001" s="103"/>
      <c r="FXZ1001" s="104"/>
      <c r="FYA1001" s="103"/>
      <c r="FYM1001" s="104"/>
      <c r="FYN1001" s="103"/>
      <c r="FYZ1001" s="104"/>
      <c r="FZA1001" s="103"/>
      <c r="FZM1001" s="104"/>
      <c r="FZN1001" s="103"/>
      <c r="FZZ1001" s="104"/>
      <c r="GAA1001" s="103"/>
      <c r="GAM1001" s="104"/>
      <c r="GAN1001" s="103"/>
      <c r="GAZ1001" s="104"/>
      <c r="GBA1001" s="103"/>
      <c r="GBM1001" s="104"/>
      <c r="GBN1001" s="103"/>
      <c r="GBZ1001" s="104"/>
      <c r="GCA1001" s="103"/>
      <c r="GCM1001" s="104"/>
      <c r="GCN1001" s="103"/>
      <c r="GCZ1001" s="104"/>
      <c r="GDA1001" s="103"/>
      <c r="GDM1001" s="104"/>
      <c r="GDN1001" s="103"/>
      <c r="GDZ1001" s="104"/>
      <c r="GEA1001" s="103"/>
      <c r="GEM1001" s="104"/>
      <c r="GEN1001" s="103"/>
      <c r="GEZ1001" s="104"/>
      <c r="GFA1001" s="103"/>
      <c r="GFM1001" s="104"/>
      <c r="GFN1001" s="103"/>
      <c r="GFZ1001" s="104"/>
      <c r="GGA1001" s="103"/>
      <c r="GGM1001" s="104"/>
      <c r="GGN1001" s="103"/>
      <c r="GGZ1001" s="104"/>
      <c r="GHA1001" s="103"/>
      <c r="GHM1001" s="104"/>
      <c r="GHN1001" s="103"/>
      <c r="GHZ1001" s="104"/>
      <c r="GIA1001" s="103"/>
      <c r="GIM1001" s="104"/>
      <c r="GIN1001" s="103"/>
      <c r="GIZ1001" s="104"/>
      <c r="GJA1001" s="103"/>
      <c r="GJM1001" s="104"/>
      <c r="GJN1001" s="103"/>
      <c r="GJZ1001" s="104"/>
      <c r="GKA1001" s="103"/>
      <c r="GKM1001" s="104"/>
      <c r="GKN1001" s="103"/>
      <c r="GKZ1001" s="104"/>
      <c r="GLA1001" s="103"/>
      <c r="GLM1001" s="104"/>
      <c r="GLN1001" s="103"/>
      <c r="GLZ1001" s="104"/>
      <c r="GMA1001" s="103"/>
      <c r="GMM1001" s="104"/>
      <c r="GMN1001" s="103"/>
      <c r="GMZ1001" s="104"/>
      <c r="GNA1001" s="103"/>
      <c r="GNM1001" s="104"/>
      <c r="GNN1001" s="103"/>
      <c r="GNZ1001" s="104"/>
      <c r="GOA1001" s="103"/>
      <c r="GOM1001" s="104"/>
      <c r="GON1001" s="103"/>
      <c r="GOZ1001" s="104"/>
      <c r="GPA1001" s="103"/>
      <c r="GPM1001" s="104"/>
      <c r="GPN1001" s="103"/>
      <c r="GPZ1001" s="104"/>
      <c r="GQA1001" s="103"/>
      <c r="GQM1001" s="104"/>
      <c r="GQN1001" s="103"/>
      <c r="GQZ1001" s="104"/>
      <c r="GRA1001" s="103"/>
      <c r="GRM1001" s="104"/>
      <c r="GRN1001" s="103"/>
      <c r="GRZ1001" s="104"/>
      <c r="GSA1001" s="103"/>
      <c r="GSM1001" s="104"/>
      <c r="GSN1001" s="103"/>
      <c r="GSZ1001" s="104"/>
      <c r="GTA1001" s="103"/>
      <c r="GTM1001" s="104"/>
      <c r="GTN1001" s="103"/>
      <c r="GTZ1001" s="104"/>
      <c r="GUA1001" s="103"/>
      <c r="GUM1001" s="104"/>
      <c r="GUN1001" s="103"/>
      <c r="GUZ1001" s="104"/>
      <c r="GVA1001" s="103"/>
      <c r="GVM1001" s="104"/>
      <c r="GVN1001" s="103"/>
      <c r="GVZ1001" s="104"/>
      <c r="GWA1001" s="103"/>
      <c r="GWM1001" s="104"/>
      <c r="GWN1001" s="103"/>
      <c r="GWZ1001" s="104"/>
      <c r="GXA1001" s="103"/>
      <c r="GXM1001" s="104"/>
      <c r="GXN1001" s="103"/>
      <c r="GXZ1001" s="104"/>
      <c r="GYA1001" s="103"/>
      <c r="GYM1001" s="104"/>
      <c r="GYN1001" s="103"/>
      <c r="GYZ1001" s="104"/>
      <c r="GZA1001" s="103"/>
      <c r="GZM1001" s="104"/>
      <c r="GZN1001" s="103"/>
      <c r="GZZ1001" s="104"/>
      <c r="HAA1001" s="103"/>
      <c r="HAM1001" s="104"/>
      <c r="HAN1001" s="103"/>
      <c r="HAZ1001" s="104"/>
      <c r="HBA1001" s="103"/>
      <c r="HBM1001" s="104"/>
      <c r="HBN1001" s="103"/>
      <c r="HBZ1001" s="104"/>
      <c r="HCA1001" s="103"/>
      <c r="HCM1001" s="104"/>
      <c r="HCN1001" s="103"/>
      <c r="HCZ1001" s="104"/>
      <c r="HDA1001" s="103"/>
      <c r="HDM1001" s="104"/>
      <c r="HDN1001" s="103"/>
      <c r="HDZ1001" s="104"/>
      <c r="HEA1001" s="103"/>
      <c r="HEM1001" s="104"/>
      <c r="HEN1001" s="103"/>
      <c r="HEZ1001" s="104"/>
      <c r="HFA1001" s="103"/>
      <c r="HFM1001" s="104"/>
      <c r="HFN1001" s="103"/>
      <c r="HFZ1001" s="104"/>
      <c r="HGA1001" s="103"/>
      <c r="HGM1001" s="104"/>
      <c r="HGN1001" s="103"/>
      <c r="HGZ1001" s="104"/>
      <c r="HHA1001" s="103"/>
      <c r="HHM1001" s="104"/>
      <c r="HHN1001" s="103"/>
      <c r="HHZ1001" s="104"/>
      <c r="HIA1001" s="103"/>
      <c r="HIM1001" s="104"/>
      <c r="HIN1001" s="103"/>
      <c r="HIZ1001" s="104"/>
      <c r="HJA1001" s="103"/>
      <c r="HJM1001" s="104"/>
      <c r="HJN1001" s="103"/>
      <c r="HJZ1001" s="104"/>
      <c r="HKA1001" s="103"/>
      <c r="HKM1001" s="104"/>
      <c r="HKN1001" s="103"/>
      <c r="HKZ1001" s="104"/>
      <c r="HLA1001" s="103"/>
      <c r="HLM1001" s="104"/>
      <c r="HLN1001" s="103"/>
      <c r="HLZ1001" s="104"/>
      <c r="HMA1001" s="103"/>
      <c r="HMM1001" s="104"/>
      <c r="HMN1001" s="103"/>
      <c r="HMZ1001" s="104"/>
      <c r="HNA1001" s="103"/>
      <c r="HNM1001" s="104"/>
      <c r="HNN1001" s="103"/>
      <c r="HNZ1001" s="104"/>
      <c r="HOA1001" s="103"/>
      <c r="HOM1001" s="104"/>
      <c r="HON1001" s="103"/>
      <c r="HOZ1001" s="104"/>
      <c r="HPA1001" s="103"/>
      <c r="HPM1001" s="104"/>
      <c r="HPN1001" s="103"/>
      <c r="HPZ1001" s="104"/>
      <c r="HQA1001" s="103"/>
      <c r="HQM1001" s="104"/>
      <c r="HQN1001" s="103"/>
      <c r="HQZ1001" s="104"/>
      <c r="HRA1001" s="103"/>
      <c r="HRM1001" s="104"/>
      <c r="HRN1001" s="103"/>
      <c r="HRZ1001" s="104"/>
      <c r="HSA1001" s="103"/>
      <c r="HSM1001" s="104"/>
      <c r="HSN1001" s="103"/>
      <c r="HSZ1001" s="104"/>
      <c r="HTA1001" s="103"/>
      <c r="HTM1001" s="104"/>
      <c r="HTN1001" s="103"/>
      <c r="HTZ1001" s="104"/>
      <c r="HUA1001" s="103"/>
      <c r="HUM1001" s="104"/>
      <c r="HUN1001" s="103"/>
      <c r="HUZ1001" s="104"/>
      <c r="HVA1001" s="103"/>
      <c r="HVM1001" s="104"/>
      <c r="HVN1001" s="103"/>
      <c r="HVZ1001" s="104"/>
      <c r="HWA1001" s="103"/>
      <c r="HWM1001" s="104"/>
      <c r="HWN1001" s="103"/>
      <c r="HWZ1001" s="104"/>
      <c r="HXA1001" s="103"/>
      <c r="HXM1001" s="104"/>
      <c r="HXN1001" s="103"/>
      <c r="HXZ1001" s="104"/>
      <c r="HYA1001" s="103"/>
      <c r="HYM1001" s="104"/>
      <c r="HYN1001" s="103"/>
      <c r="HYZ1001" s="104"/>
      <c r="HZA1001" s="103"/>
      <c r="HZM1001" s="104"/>
      <c r="HZN1001" s="103"/>
      <c r="HZZ1001" s="104"/>
      <c r="IAA1001" s="103"/>
      <c r="IAM1001" s="104"/>
      <c r="IAN1001" s="103"/>
      <c r="IAZ1001" s="104"/>
      <c r="IBA1001" s="103"/>
      <c r="IBM1001" s="104"/>
      <c r="IBN1001" s="103"/>
      <c r="IBZ1001" s="104"/>
      <c r="ICA1001" s="103"/>
      <c r="ICM1001" s="104"/>
      <c r="ICN1001" s="103"/>
      <c r="ICZ1001" s="104"/>
      <c r="IDA1001" s="103"/>
      <c r="IDM1001" s="104"/>
      <c r="IDN1001" s="103"/>
      <c r="IDZ1001" s="104"/>
      <c r="IEA1001" s="103"/>
      <c r="IEM1001" s="104"/>
      <c r="IEN1001" s="103"/>
      <c r="IEZ1001" s="104"/>
      <c r="IFA1001" s="103"/>
      <c r="IFM1001" s="104"/>
      <c r="IFN1001" s="103"/>
      <c r="IFZ1001" s="104"/>
      <c r="IGA1001" s="103"/>
      <c r="IGM1001" s="104"/>
      <c r="IGN1001" s="103"/>
      <c r="IGZ1001" s="104"/>
      <c r="IHA1001" s="103"/>
      <c r="IHM1001" s="104"/>
      <c r="IHN1001" s="103"/>
      <c r="IHZ1001" s="104"/>
      <c r="IIA1001" s="103"/>
      <c r="IIM1001" s="104"/>
      <c r="IIN1001" s="103"/>
      <c r="IIZ1001" s="104"/>
      <c r="IJA1001" s="103"/>
      <c r="IJM1001" s="104"/>
      <c r="IJN1001" s="103"/>
      <c r="IJZ1001" s="104"/>
      <c r="IKA1001" s="103"/>
      <c r="IKM1001" s="104"/>
      <c r="IKN1001" s="103"/>
      <c r="IKZ1001" s="104"/>
      <c r="ILA1001" s="103"/>
      <c r="ILM1001" s="104"/>
      <c r="ILN1001" s="103"/>
      <c r="ILZ1001" s="104"/>
      <c r="IMA1001" s="103"/>
      <c r="IMM1001" s="104"/>
      <c r="IMN1001" s="103"/>
      <c r="IMZ1001" s="104"/>
      <c r="INA1001" s="103"/>
      <c r="INM1001" s="104"/>
      <c r="INN1001" s="103"/>
      <c r="INZ1001" s="104"/>
      <c r="IOA1001" s="103"/>
      <c r="IOM1001" s="104"/>
      <c r="ION1001" s="103"/>
      <c r="IOZ1001" s="104"/>
      <c r="IPA1001" s="103"/>
      <c r="IPM1001" s="104"/>
      <c r="IPN1001" s="103"/>
      <c r="IPZ1001" s="104"/>
      <c r="IQA1001" s="103"/>
      <c r="IQM1001" s="104"/>
      <c r="IQN1001" s="103"/>
      <c r="IQZ1001" s="104"/>
      <c r="IRA1001" s="103"/>
      <c r="IRM1001" s="104"/>
      <c r="IRN1001" s="103"/>
      <c r="IRZ1001" s="104"/>
      <c r="ISA1001" s="103"/>
      <c r="ISM1001" s="104"/>
      <c r="ISN1001" s="103"/>
      <c r="ISZ1001" s="104"/>
      <c r="ITA1001" s="103"/>
      <c r="ITM1001" s="104"/>
      <c r="ITN1001" s="103"/>
      <c r="ITZ1001" s="104"/>
      <c r="IUA1001" s="103"/>
      <c r="IUM1001" s="104"/>
      <c r="IUN1001" s="103"/>
      <c r="IUZ1001" s="104"/>
      <c r="IVA1001" s="103"/>
      <c r="IVM1001" s="104"/>
      <c r="IVN1001" s="103"/>
      <c r="IVZ1001" s="104"/>
      <c r="IWA1001" s="103"/>
      <c r="IWM1001" s="104"/>
      <c r="IWN1001" s="103"/>
      <c r="IWZ1001" s="104"/>
      <c r="IXA1001" s="103"/>
      <c r="IXM1001" s="104"/>
      <c r="IXN1001" s="103"/>
      <c r="IXZ1001" s="104"/>
      <c r="IYA1001" s="103"/>
      <c r="IYM1001" s="104"/>
      <c r="IYN1001" s="103"/>
      <c r="IYZ1001" s="104"/>
      <c r="IZA1001" s="103"/>
      <c r="IZM1001" s="104"/>
      <c r="IZN1001" s="103"/>
      <c r="IZZ1001" s="104"/>
      <c r="JAA1001" s="103"/>
      <c r="JAM1001" s="104"/>
      <c r="JAN1001" s="103"/>
      <c r="JAZ1001" s="104"/>
      <c r="JBA1001" s="103"/>
      <c r="JBM1001" s="104"/>
      <c r="JBN1001" s="103"/>
      <c r="JBZ1001" s="104"/>
      <c r="JCA1001" s="103"/>
      <c r="JCM1001" s="104"/>
      <c r="JCN1001" s="103"/>
      <c r="JCZ1001" s="104"/>
      <c r="JDA1001" s="103"/>
      <c r="JDM1001" s="104"/>
      <c r="JDN1001" s="103"/>
      <c r="JDZ1001" s="104"/>
      <c r="JEA1001" s="103"/>
      <c r="JEM1001" s="104"/>
      <c r="JEN1001" s="103"/>
      <c r="JEZ1001" s="104"/>
      <c r="JFA1001" s="103"/>
      <c r="JFM1001" s="104"/>
      <c r="JFN1001" s="103"/>
      <c r="JFZ1001" s="104"/>
      <c r="JGA1001" s="103"/>
      <c r="JGM1001" s="104"/>
      <c r="JGN1001" s="103"/>
      <c r="JGZ1001" s="104"/>
      <c r="JHA1001" s="103"/>
      <c r="JHM1001" s="104"/>
      <c r="JHN1001" s="103"/>
      <c r="JHZ1001" s="104"/>
      <c r="JIA1001" s="103"/>
      <c r="JIM1001" s="104"/>
      <c r="JIN1001" s="103"/>
      <c r="JIZ1001" s="104"/>
      <c r="JJA1001" s="103"/>
      <c r="JJM1001" s="104"/>
      <c r="JJN1001" s="103"/>
      <c r="JJZ1001" s="104"/>
      <c r="JKA1001" s="103"/>
      <c r="JKM1001" s="104"/>
      <c r="JKN1001" s="103"/>
      <c r="JKZ1001" s="104"/>
      <c r="JLA1001" s="103"/>
      <c r="JLM1001" s="104"/>
      <c r="JLN1001" s="103"/>
      <c r="JLZ1001" s="104"/>
      <c r="JMA1001" s="103"/>
      <c r="JMM1001" s="104"/>
      <c r="JMN1001" s="103"/>
      <c r="JMZ1001" s="104"/>
      <c r="JNA1001" s="103"/>
      <c r="JNM1001" s="104"/>
      <c r="JNN1001" s="103"/>
      <c r="JNZ1001" s="104"/>
      <c r="JOA1001" s="103"/>
      <c r="JOM1001" s="104"/>
      <c r="JON1001" s="103"/>
      <c r="JOZ1001" s="104"/>
      <c r="JPA1001" s="103"/>
      <c r="JPM1001" s="104"/>
      <c r="JPN1001" s="103"/>
      <c r="JPZ1001" s="104"/>
      <c r="JQA1001" s="103"/>
      <c r="JQM1001" s="104"/>
      <c r="JQN1001" s="103"/>
      <c r="JQZ1001" s="104"/>
      <c r="JRA1001" s="103"/>
      <c r="JRM1001" s="104"/>
      <c r="JRN1001" s="103"/>
      <c r="JRZ1001" s="104"/>
      <c r="JSA1001" s="103"/>
      <c r="JSM1001" s="104"/>
      <c r="JSN1001" s="103"/>
      <c r="JSZ1001" s="104"/>
      <c r="JTA1001" s="103"/>
      <c r="JTM1001" s="104"/>
      <c r="JTN1001" s="103"/>
      <c r="JTZ1001" s="104"/>
      <c r="JUA1001" s="103"/>
      <c r="JUM1001" s="104"/>
      <c r="JUN1001" s="103"/>
      <c r="JUZ1001" s="104"/>
      <c r="JVA1001" s="103"/>
      <c r="JVM1001" s="104"/>
      <c r="JVN1001" s="103"/>
      <c r="JVZ1001" s="104"/>
      <c r="JWA1001" s="103"/>
      <c r="JWM1001" s="104"/>
      <c r="JWN1001" s="103"/>
      <c r="JWZ1001" s="104"/>
      <c r="JXA1001" s="103"/>
      <c r="JXM1001" s="104"/>
      <c r="JXN1001" s="103"/>
      <c r="JXZ1001" s="104"/>
      <c r="JYA1001" s="103"/>
      <c r="JYM1001" s="104"/>
      <c r="JYN1001" s="103"/>
      <c r="JYZ1001" s="104"/>
      <c r="JZA1001" s="103"/>
      <c r="JZM1001" s="104"/>
      <c r="JZN1001" s="103"/>
      <c r="JZZ1001" s="104"/>
      <c r="KAA1001" s="103"/>
      <c r="KAM1001" s="104"/>
      <c r="KAN1001" s="103"/>
      <c r="KAZ1001" s="104"/>
      <c r="KBA1001" s="103"/>
      <c r="KBM1001" s="104"/>
      <c r="KBN1001" s="103"/>
      <c r="KBZ1001" s="104"/>
      <c r="KCA1001" s="103"/>
      <c r="KCM1001" s="104"/>
      <c r="KCN1001" s="103"/>
      <c r="KCZ1001" s="104"/>
      <c r="KDA1001" s="103"/>
      <c r="KDM1001" s="104"/>
      <c r="KDN1001" s="103"/>
      <c r="KDZ1001" s="104"/>
      <c r="KEA1001" s="103"/>
      <c r="KEM1001" s="104"/>
      <c r="KEN1001" s="103"/>
      <c r="KEZ1001" s="104"/>
      <c r="KFA1001" s="103"/>
      <c r="KFM1001" s="104"/>
      <c r="KFN1001" s="103"/>
      <c r="KFZ1001" s="104"/>
      <c r="KGA1001" s="103"/>
      <c r="KGM1001" s="104"/>
      <c r="KGN1001" s="103"/>
      <c r="KGZ1001" s="104"/>
      <c r="KHA1001" s="103"/>
      <c r="KHM1001" s="104"/>
      <c r="KHN1001" s="103"/>
      <c r="KHZ1001" s="104"/>
      <c r="KIA1001" s="103"/>
      <c r="KIM1001" s="104"/>
      <c r="KIN1001" s="103"/>
      <c r="KIZ1001" s="104"/>
      <c r="KJA1001" s="103"/>
      <c r="KJM1001" s="104"/>
      <c r="KJN1001" s="103"/>
      <c r="KJZ1001" s="104"/>
      <c r="KKA1001" s="103"/>
      <c r="KKM1001" s="104"/>
      <c r="KKN1001" s="103"/>
      <c r="KKZ1001" s="104"/>
      <c r="KLA1001" s="103"/>
      <c r="KLM1001" s="104"/>
      <c r="KLN1001" s="103"/>
      <c r="KLZ1001" s="104"/>
      <c r="KMA1001" s="103"/>
      <c r="KMM1001" s="104"/>
      <c r="KMN1001" s="103"/>
      <c r="KMZ1001" s="104"/>
      <c r="KNA1001" s="103"/>
      <c r="KNM1001" s="104"/>
      <c r="KNN1001" s="103"/>
      <c r="KNZ1001" s="104"/>
      <c r="KOA1001" s="103"/>
      <c r="KOM1001" s="104"/>
      <c r="KON1001" s="103"/>
      <c r="KOZ1001" s="104"/>
      <c r="KPA1001" s="103"/>
      <c r="KPM1001" s="104"/>
      <c r="KPN1001" s="103"/>
      <c r="KPZ1001" s="104"/>
      <c r="KQA1001" s="103"/>
      <c r="KQM1001" s="104"/>
      <c r="KQN1001" s="103"/>
      <c r="KQZ1001" s="104"/>
      <c r="KRA1001" s="103"/>
      <c r="KRM1001" s="104"/>
      <c r="KRN1001" s="103"/>
      <c r="KRZ1001" s="104"/>
      <c r="KSA1001" s="103"/>
      <c r="KSM1001" s="104"/>
      <c r="KSN1001" s="103"/>
      <c r="KSZ1001" s="104"/>
      <c r="KTA1001" s="103"/>
      <c r="KTM1001" s="104"/>
      <c r="KTN1001" s="103"/>
      <c r="KTZ1001" s="104"/>
      <c r="KUA1001" s="103"/>
      <c r="KUM1001" s="104"/>
      <c r="KUN1001" s="103"/>
      <c r="KUZ1001" s="104"/>
      <c r="KVA1001" s="103"/>
      <c r="KVM1001" s="104"/>
      <c r="KVN1001" s="103"/>
      <c r="KVZ1001" s="104"/>
      <c r="KWA1001" s="103"/>
      <c r="KWM1001" s="104"/>
      <c r="KWN1001" s="103"/>
      <c r="KWZ1001" s="104"/>
      <c r="KXA1001" s="103"/>
      <c r="KXM1001" s="104"/>
      <c r="KXN1001" s="103"/>
      <c r="KXZ1001" s="104"/>
      <c r="KYA1001" s="103"/>
      <c r="KYM1001" s="104"/>
      <c r="KYN1001" s="103"/>
      <c r="KYZ1001" s="104"/>
      <c r="KZA1001" s="103"/>
      <c r="KZM1001" s="104"/>
      <c r="KZN1001" s="103"/>
      <c r="KZZ1001" s="104"/>
      <c r="LAA1001" s="103"/>
      <c r="LAM1001" s="104"/>
      <c r="LAN1001" s="103"/>
      <c r="LAZ1001" s="104"/>
      <c r="LBA1001" s="103"/>
      <c r="LBM1001" s="104"/>
      <c r="LBN1001" s="103"/>
      <c r="LBZ1001" s="104"/>
      <c r="LCA1001" s="103"/>
      <c r="LCM1001" s="104"/>
      <c r="LCN1001" s="103"/>
      <c r="LCZ1001" s="104"/>
      <c r="LDA1001" s="103"/>
      <c r="LDM1001" s="104"/>
      <c r="LDN1001" s="103"/>
      <c r="LDZ1001" s="104"/>
      <c r="LEA1001" s="103"/>
      <c r="LEM1001" s="104"/>
      <c r="LEN1001" s="103"/>
      <c r="LEZ1001" s="104"/>
      <c r="LFA1001" s="103"/>
      <c r="LFM1001" s="104"/>
      <c r="LFN1001" s="103"/>
      <c r="LFZ1001" s="104"/>
      <c r="LGA1001" s="103"/>
      <c r="LGM1001" s="104"/>
      <c r="LGN1001" s="103"/>
      <c r="LGZ1001" s="104"/>
      <c r="LHA1001" s="103"/>
      <c r="LHM1001" s="104"/>
      <c r="LHN1001" s="103"/>
      <c r="LHZ1001" s="104"/>
      <c r="LIA1001" s="103"/>
      <c r="LIM1001" s="104"/>
      <c r="LIN1001" s="103"/>
      <c r="LIZ1001" s="104"/>
      <c r="LJA1001" s="103"/>
      <c r="LJM1001" s="104"/>
      <c r="LJN1001" s="103"/>
      <c r="LJZ1001" s="104"/>
      <c r="LKA1001" s="103"/>
      <c r="LKM1001" s="104"/>
      <c r="LKN1001" s="103"/>
      <c r="LKZ1001" s="104"/>
      <c r="LLA1001" s="103"/>
      <c r="LLM1001" s="104"/>
      <c r="LLN1001" s="103"/>
      <c r="LLZ1001" s="104"/>
      <c r="LMA1001" s="103"/>
      <c r="LMM1001" s="104"/>
      <c r="LMN1001" s="103"/>
      <c r="LMZ1001" s="104"/>
      <c r="LNA1001" s="103"/>
      <c r="LNM1001" s="104"/>
      <c r="LNN1001" s="103"/>
      <c r="LNZ1001" s="104"/>
      <c r="LOA1001" s="103"/>
      <c r="LOM1001" s="104"/>
      <c r="LON1001" s="103"/>
      <c r="LOZ1001" s="104"/>
      <c r="LPA1001" s="103"/>
      <c r="LPM1001" s="104"/>
      <c r="LPN1001" s="103"/>
      <c r="LPZ1001" s="104"/>
      <c r="LQA1001" s="103"/>
      <c r="LQM1001" s="104"/>
      <c r="LQN1001" s="103"/>
      <c r="LQZ1001" s="104"/>
      <c r="LRA1001" s="103"/>
      <c r="LRM1001" s="104"/>
      <c r="LRN1001" s="103"/>
      <c r="LRZ1001" s="104"/>
      <c r="LSA1001" s="103"/>
      <c r="LSM1001" s="104"/>
      <c r="LSN1001" s="103"/>
      <c r="LSZ1001" s="104"/>
      <c r="LTA1001" s="103"/>
      <c r="LTM1001" s="104"/>
      <c r="LTN1001" s="103"/>
      <c r="LTZ1001" s="104"/>
      <c r="LUA1001" s="103"/>
      <c r="LUM1001" s="104"/>
      <c r="LUN1001" s="103"/>
      <c r="LUZ1001" s="104"/>
      <c r="LVA1001" s="103"/>
      <c r="LVM1001" s="104"/>
      <c r="LVN1001" s="103"/>
      <c r="LVZ1001" s="104"/>
      <c r="LWA1001" s="103"/>
      <c r="LWM1001" s="104"/>
      <c r="LWN1001" s="103"/>
      <c r="LWZ1001" s="104"/>
      <c r="LXA1001" s="103"/>
      <c r="LXM1001" s="104"/>
      <c r="LXN1001" s="103"/>
      <c r="LXZ1001" s="104"/>
      <c r="LYA1001" s="103"/>
      <c r="LYM1001" s="104"/>
      <c r="LYN1001" s="103"/>
      <c r="LYZ1001" s="104"/>
      <c r="LZA1001" s="103"/>
      <c r="LZM1001" s="104"/>
      <c r="LZN1001" s="103"/>
      <c r="LZZ1001" s="104"/>
      <c r="MAA1001" s="103"/>
      <c r="MAM1001" s="104"/>
      <c r="MAN1001" s="103"/>
      <c r="MAZ1001" s="104"/>
      <c r="MBA1001" s="103"/>
      <c r="MBM1001" s="104"/>
      <c r="MBN1001" s="103"/>
      <c r="MBZ1001" s="104"/>
      <c r="MCA1001" s="103"/>
      <c r="MCM1001" s="104"/>
      <c r="MCN1001" s="103"/>
      <c r="MCZ1001" s="104"/>
      <c r="MDA1001" s="103"/>
      <c r="MDM1001" s="104"/>
      <c r="MDN1001" s="103"/>
      <c r="MDZ1001" s="104"/>
      <c r="MEA1001" s="103"/>
      <c r="MEM1001" s="104"/>
      <c r="MEN1001" s="103"/>
      <c r="MEZ1001" s="104"/>
      <c r="MFA1001" s="103"/>
      <c r="MFM1001" s="104"/>
      <c r="MFN1001" s="103"/>
      <c r="MFZ1001" s="104"/>
      <c r="MGA1001" s="103"/>
      <c r="MGM1001" s="104"/>
      <c r="MGN1001" s="103"/>
      <c r="MGZ1001" s="104"/>
      <c r="MHA1001" s="103"/>
      <c r="MHM1001" s="104"/>
      <c r="MHN1001" s="103"/>
      <c r="MHZ1001" s="104"/>
      <c r="MIA1001" s="103"/>
      <c r="MIM1001" s="104"/>
      <c r="MIN1001" s="103"/>
      <c r="MIZ1001" s="104"/>
      <c r="MJA1001" s="103"/>
      <c r="MJM1001" s="104"/>
      <c r="MJN1001" s="103"/>
      <c r="MJZ1001" s="104"/>
      <c r="MKA1001" s="103"/>
      <c r="MKM1001" s="104"/>
      <c r="MKN1001" s="103"/>
      <c r="MKZ1001" s="104"/>
      <c r="MLA1001" s="103"/>
      <c r="MLM1001" s="104"/>
      <c r="MLN1001" s="103"/>
      <c r="MLZ1001" s="104"/>
      <c r="MMA1001" s="103"/>
      <c r="MMM1001" s="104"/>
      <c r="MMN1001" s="103"/>
      <c r="MMZ1001" s="104"/>
      <c r="MNA1001" s="103"/>
      <c r="MNM1001" s="104"/>
      <c r="MNN1001" s="103"/>
      <c r="MNZ1001" s="104"/>
      <c r="MOA1001" s="103"/>
      <c r="MOM1001" s="104"/>
      <c r="MON1001" s="103"/>
      <c r="MOZ1001" s="104"/>
      <c r="MPA1001" s="103"/>
      <c r="MPM1001" s="104"/>
      <c r="MPN1001" s="103"/>
      <c r="MPZ1001" s="104"/>
      <c r="MQA1001" s="103"/>
      <c r="MQM1001" s="104"/>
      <c r="MQN1001" s="103"/>
      <c r="MQZ1001" s="104"/>
      <c r="MRA1001" s="103"/>
      <c r="MRM1001" s="104"/>
      <c r="MRN1001" s="103"/>
      <c r="MRZ1001" s="104"/>
      <c r="MSA1001" s="103"/>
      <c r="MSM1001" s="104"/>
      <c r="MSN1001" s="103"/>
      <c r="MSZ1001" s="104"/>
      <c r="MTA1001" s="103"/>
      <c r="MTM1001" s="104"/>
      <c r="MTN1001" s="103"/>
      <c r="MTZ1001" s="104"/>
      <c r="MUA1001" s="103"/>
      <c r="MUM1001" s="104"/>
      <c r="MUN1001" s="103"/>
      <c r="MUZ1001" s="104"/>
      <c r="MVA1001" s="103"/>
      <c r="MVM1001" s="104"/>
      <c r="MVN1001" s="103"/>
      <c r="MVZ1001" s="104"/>
      <c r="MWA1001" s="103"/>
      <c r="MWM1001" s="104"/>
      <c r="MWN1001" s="103"/>
      <c r="MWZ1001" s="104"/>
      <c r="MXA1001" s="103"/>
      <c r="MXM1001" s="104"/>
      <c r="MXN1001" s="103"/>
      <c r="MXZ1001" s="104"/>
      <c r="MYA1001" s="103"/>
      <c r="MYM1001" s="104"/>
      <c r="MYN1001" s="103"/>
      <c r="MYZ1001" s="104"/>
      <c r="MZA1001" s="103"/>
      <c r="MZM1001" s="104"/>
      <c r="MZN1001" s="103"/>
      <c r="MZZ1001" s="104"/>
      <c r="NAA1001" s="103"/>
      <c r="NAM1001" s="104"/>
      <c r="NAN1001" s="103"/>
      <c r="NAZ1001" s="104"/>
      <c r="NBA1001" s="103"/>
      <c r="NBM1001" s="104"/>
      <c r="NBN1001" s="103"/>
      <c r="NBZ1001" s="104"/>
      <c r="NCA1001" s="103"/>
      <c r="NCM1001" s="104"/>
      <c r="NCN1001" s="103"/>
      <c r="NCZ1001" s="104"/>
      <c r="NDA1001" s="103"/>
      <c r="NDM1001" s="104"/>
      <c r="NDN1001" s="103"/>
      <c r="NDZ1001" s="104"/>
      <c r="NEA1001" s="103"/>
      <c r="NEM1001" s="104"/>
      <c r="NEN1001" s="103"/>
      <c r="NEZ1001" s="104"/>
      <c r="NFA1001" s="103"/>
      <c r="NFM1001" s="104"/>
      <c r="NFN1001" s="103"/>
      <c r="NFZ1001" s="104"/>
      <c r="NGA1001" s="103"/>
      <c r="NGM1001" s="104"/>
      <c r="NGN1001" s="103"/>
      <c r="NGZ1001" s="104"/>
      <c r="NHA1001" s="103"/>
      <c r="NHM1001" s="104"/>
      <c r="NHN1001" s="103"/>
      <c r="NHZ1001" s="104"/>
      <c r="NIA1001" s="103"/>
      <c r="NIM1001" s="104"/>
      <c r="NIN1001" s="103"/>
      <c r="NIZ1001" s="104"/>
      <c r="NJA1001" s="103"/>
      <c r="NJM1001" s="104"/>
      <c r="NJN1001" s="103"/>
      <c r="NJZ1001" s="104"/>
      <c r="NKA1001" s="103"/>
      <c r="NKM1001" s="104"/>
      <c r="NKN1001" s="103"/>
      <c r="NKZ1001" s="104"/>
      <c r="NLA1001" s="103"/>
      <c r="NLM1001" s="104"/>
      <c r="NLN1001" s="103"/>
      <c r="NLZ1001" s="104"/>
      <c r="NMA1001" s="103"/>
      <c r="NMM1001" s="104"/>
      <c r="NMN1001" s="103"/>
      <c r="NMZ1001" s="104"/>
      <c r="NNA1001" s="103"/>
      <c r="NNM1001" s="104"/>
      <c r="NNN1001" s="103"/>
      <c r="NNZ1001" s="104"/>
      <c r="NOA1001" s="103"/>
      <c r="NOM1001" s="104"/>
      <c r="NON1001" s="103"/>
      <c r="NOZ1001" s="104"/>
      <c r="NPA1001" s="103"/>
      <c r="NPM1001" s="104"/>
      <c r="NPN1001" s="103"/>
      <c r="NPZ1001" s="104"/>
      <c r="NQA1001" s="103"/>
      <c r="NQM1001" s="104"/>
      <c r="NQN1001" s="103"/>
      <c r="NQZ1001" s="104"/>
      <c r="NRA1001" s="103"/>
      <c r="NRM1001" s="104"/>
      <c r="NRN1001" s="103"/>
      <c r="NRZ1001" s="104"/>
      <c r="NSA1001" s="103"/>
      <c r="NSM1001" s="104"/>
      <c r="NSN1001" s="103"/>
      <c r="NSZ1001" s="104"/>
      <c r="NTA1001" s="103"/>
      <c r="NTM1001" s="104"/>
      <c r="NTN1001" s="103"/>
      <c r="NTZ1001" s="104"/>
      <c r="NUA1001" s="103"/>
      <c r="NUM1001" s="104"/>
      <c r="NUN1001" s="103"/>
      <c r="NUZ1001" s="104"/>
      <c r="NVA1001" s="103"/>
      <c r="NVM1001" s="104"/>
      <c r="NVN1001" s="103"/>
      <c r="NVZ1001" s="104"/>
      <c r="NWA1001" s="103"/>
      <c r="NWM1001" s="104"/>
      <c r="NWN1001" s="103"/>
      <c r="NWZ1001" s="104"/>
      <c r="NXA1001" s="103"/>
      <c r="NXM1001" s="104"/>
      <c r="NXN1001" s="103"/>
      <c r="NXZ1001" s="104"/>
      <c r="NYA1001" s="103"/>
      <c r="NYM1001" s="104"/>
      <c r="NYN1001" s="103"/>
      <c r="NYZ1001" s="104"/>
      <c r="NZA1001" s="103"/>
      <c r="NZM1001" s="104"/>
      <c r="NZN1001" s="103"/>
      <c r="NZZ1001" s="104"/>
      <c r="OAA1001" s="103"/>
      <c r="OAM1001" s="104"/>
      <c r="OAN1001" s="103"/>
      <c r="OAZ1001" s="104"/>
      <c r="OBA1001" s="103"/>
      <c r="OBM1001" s="104"/>
      <c r="OBN1001" s="103"/>
      <c r="OBZ1001" s="104"/>
      <c r="OCA1001" s="103"/>
      <c r="OCM1001" s="104"/>
      <c r="OCN1001" s="103"/>
      <c r="OCZ1001" s="104"/>
      <c r="ODA1001" s="103"/>
      <c r="ODM1001" s="104"/>
      <c r="ODN1001" s="103"/>
      <c r="ODZ1001" s="104"/>
      <c r="OEA1001" s="103"/>
      <c r="OEM1001" s="104"/>
      <c r="OEN1001" s="103"/>
      <c r="OEZ1001" s="104"/>
      <c r="OFA1001" s="103"/>
      <c r="OFM1001" s="104"/>
      <c r="OFN1001" s="103"/>
      <c r="OFZ1001" s="104"/>
      <c r="OGA1001" s="103"/>
      <c r="OGM1001" s="104"/>
      <c r="OGN1001" s="103"/>
      <c r="OGZ1001" s="104"/>
      <c r="OHA1001" s="103"/>
      <c r="OHM1001" s="104"/>
      <c r="OHN1001" s="103"/>
      <c r="OHZ1001" s="104"/>
      <c r="OIA1001" s="103"/>
      <c r="OIM1001" s="104"/>
      <c r="OIN1001" s="103"/>
      <c r="OIZ1001" s="104"/>
      <c r="OJA1001" s="103"/>
      <c r="OJM1001" s="104"/>
      <c r="OJN1001" s="103"/>
      <c r="OJZ1001" s="104"/>
      <c r="OKA1001" s="103"/>
      <c r="OKM1001" s="104"/>
      <c r="OKN1001" s="103"/>
      <c r="OKZ1001" s="104"/>
      <c r="OLA1001" s="103"/>
      <c r="OLM1001" s="104"/>
      <c r="OLN1001" s="103"/>
      <c r="OLZ1001" s="104"/>
      <c r="OMA1001" s="103"/>
      <c r="OMM1001" s="104"/>
      <c r="OMN1001" s="103"/>
      <c r="OMZ1001" s="104"/>
      <c r="ONA1001" s="103"/>
      <c r="ONM1001" s="104"/>
      <c r="ONN1001" s="103"/>
      <c r="ONZ1001" s="104"/>
      <c r="OOA1001" s="103"/>
      <c r="OOM1001" s="104"/>
      <c r="OON1001" s="103"/>
      <c r="OOZ1001" s="104"/>
      <c r="OPA1001" s="103"/>
      <c r="OPM1001" s="104"/>
      <c r="OPN1001" s="103"/>
      <c r="OPZ1001" s="104"/>
      <c r="OQA1001" s="103"/>
      <c r="OQM1001" s="104"/>
      <c r="OQN1001" s="103"/>
      <c r="OQZ1001" s="104"/>
      <c r="ORA1001" s="103"/>
      <c r="ORM1001" s="104"/>
      <c r="ORN1001" s="103"/>
      <c r="ORZ1001" s="104"/>
      <c r="OSA1001" s="103"/>
      <c r="OSM1001" s="104"/>
      <c r="OSN1001" s="103"/>
      <c r="OSZ1001" s="104"/>
      <c r="OTA1001" s="103"/>
      <c r="OTM1001" s="104"/>
      <c r="OTN1001" s="103"/>
      <c r="OTZ1001" s="104"/>
      <c r="OUA1001" s="103"/>
      <c r="OUM1001" s="104"/>
      <c r="OUN1001" s="103"/>
      <c r="OUZ1001" s="104"/>
      <c r="OVA1001" s="103"/>
      <c r="OVM1001" s="104"/>
      <c r="OVN1001" s="103"/>
      <c r="OVZ1001" s="104"/>
      <c r="OWA1001" s="103"/>
      <c r="OWM1001" s="104"/>
      <c r="OWN1001" s="103"/>
      <c r="OWZ1001" s="104"/>
      <c r="OXA1001" s="103"/>
      <c r="OXM1001" s="104"/>
      <c r="OXN1001" s="103"/>
      <c r="OXZ1001" s="104"/>
      <c r="OYA1001" s="103"/>
      <c r="OYM1001" s="104"/>
      <c r="OYN1001" s="103"/>
      <c r="OYZ1001" s="104"/>
      <c r="OZA1001" s="103"/>
      <c r="OZM1001" s="104"/>
      <c r="OZN1001" s="103"/>
      <c r="OZZ1001" s="104"/>
      <c r="PAA1001" s="103"/>
      <c r="PAM1001" s="104"/>
      <c r="PAN1001" s="103"/>
      <c r="PAZ1001" s="104"/>
      <c r="PBA1001" s="103"/>
      <c r="PBM1001" s="104"/>
      <c r="PBN1001" s="103"/>
      <c r="PBZ1001" s="104"/>
      <c r="PCA1001" s="103"/>
      <c r="PCM1001" s="104"/>
      <c r="PCN1001" s="103"/>
      <c r="PCZ1001" s="104"/>
      <c r="PDA1001" s="103"/>
      <c r="PDM1001" s="104"/>
      <c r="PDN1001" s="103"/>
      <c r="PDZ1001" s="104"/>
      <c r="PEA1001" s="103"/>
      <c r="PEM1001" s="104"/>
      <c r="PEN1001" s="103"/>
      <c r="PEZ1001" s="104"/>
      <c r="PFA1001" s="103"/>
      <c r="PFM1001" s="104"/>
      <c r="PFN1001" s="103"/>
      <c r="PFZ1001" s="104"/>
      <c r="PGA1001" s="103"/>
      <c r="PGM1001" s="104"/>
      <c r="PGN1001" s="103"/>
      <c r="PGZ1001" s="104"/>
      <c r="PHA1001" s="103"/>
      <c r="PHM1001" s="104"/>
      <c r="PHN1001" s="103"/>
      <c r="PHZ1001" s="104"/>
      <c r="PIA1001" s="103"/>
      <c r="PIM1001" s="104"/>
      <c r="PIN1001" s="103"/>
      <c r="PIZ1001" s="104"/>
      <c r="PJA1001" s="103"/>
      <c r="PJM1001" s="104"/>
      <c r="PJN1001" s="103"/>
      <c r="PJZ1001" s="104"/>
      <c r="PKA1001" s="103"/>
      <c r="PKM1001" s="104"/>
      <c r="PKN1001" s="103"/>
      <c r="PKZ1001" s="104"/>
      <c r="PLA1001" s="103"/>
      <c r="PLM1001" s="104"/>
      <c r="PLN1001" s="103"/>
      <c r="PLZ1001" s="104"/>
      <c r="PMA1001" s="103"/>
      <c r="PMM1001" s="104"/>
      <c r="PMN1001" s="103"/>
      <c r="PMZ1001" s="104"/>
      <c r="PNA1001" s="103"/>
      <c r="PNM1001" s="104"/>
      <c r="PNN1001" s="103"/>
      <c r="PNZ1001" s="104"/>
      <c r="POA1001" s="103"/>
      <c r="POM1001" s="104"/>
      <c r="PON1001" s="103"/>
      <c r="POZ1001" s="104"/>
      <c r="PPA1001" s="103"/>
      <c r="PPM1001" s="104"/>
      <c r="PPN1001" s="103"/>
      <c r="PPZ1001" s="104"/>
      <c r="PQA1001" s="103"/>
      <c r="PQM1001" s="104"/>
      <c r="PQN1001" s="103"/>
      <c r="PQZ1001" s="104"/>
      <c r="PRA1001" s="103"/>
      <c r="PRM1001" s="104"/>
      <c r="PRN1001" s="103"/>
      <c r="PRZ1001" s="104"/>
      <c r="PSA1001" s="103"/>
      <c r="PSM1001" s="104"/>
      <c r="PSN1001" s="103"/>
      <c r="PSZ1001" s="104"/>
      <c r="PTA1001" s="103"/>
      <c r="PTM1001" s="104"/>
      <c r="PTN1001" s="103"/>
      <c r="PTZ1001" s="104"/>
      <c r="PUA1001" s="103"/>
      <c r="PUM1001" s="104"/>
      <c r="PUN1001" s="103"/>
      <c r="PUZ1001" s="104"/>
      <c r="PVA1001" s="103"/>
      <c r="PVM1001" s="104"/>
      <c r="PVN1001" s="103"/>
      <c r="PVZ1001" s="104"/>
      <c r="PWA1001" s="103"/>
      <c r="PWM1001" s="104"/>
      <c r="PWN1001" s="103"/>
      <c r="PWZ1001" s="104"/>
      <c r="PXA1001" s="103"/>
      <c r="PXM1001" s="104"/>
      <c r="PXN1001" s="103"/>
      <c r="PXZ1001" s="104"/>
      <c r="PYA1001" s="103"/>
      <c r="PYM1001" s="104"/>
      <c r="PYN1001" s="103"/>
      <c r="PYZ1001" s="104"/>
      <c r="PZA1001" s="103"/>
      <c r="PZM1001" s="104"/>
      <c r="PZN1001" s="103"/>
      <c r="PZZ1001" s="104"/>
      <c r="QAA1001" s="103"/>
      <c r="QAM1001" s="104"/>
      <c r="QAN1001" s="103"/>
      <c r="QAZ1001" s="104"/>
      <c r="QBA1001" s="103"/>
      <c r="QBM1001" s="104"/>
      <c r="QBN1001" s="103"/>
      <c r="QBZ1001" s="104"/>
      <c r="QCA1001" s="103"/>
      <c r="QCM1001" s="104"/>
      <c r="QCN1001" s="103"/>
      <c r="QCZ1001" s="104"/>
      <c r="QDA1001" s="103"/>
      <c r="QDM1001" s="104"/>
      <c r="QDN1001" s="103"/>
      <c r="QDZ1001" s="104"/>
      <c r="QEA1001" s="103"/>
      <c r="QEM1001" s="104"/>
      <c r="QEN1001" s="103"/>
      <c r="QEZ1001" s="104"/>
      <c r="QFA1001" s="103"/>
      <c r="QFM1001" s="104"/>
      <c r="QFN1001" s="103"/>
      <c r="QFZ1001" s="104"/>
      <c r="QGA1001" s="103"/>
      <c r="QGM1001" s="104"/>
      <c r="QGN1001" s="103"/>
      <c r="QGZ1001" s="104"/>
      <c r="QHA1001" s="103"/>
      <c r="QHM1001" s="104"/>
      <c r="QHN1001" s="103"/>
      <c r="QHZ1001" s="104"/>
      <c r="QIA1001" s="103"/>
      <c r="QIM1001" s="104"/>
      <c r="QIN1001" s="103"/>
      <c r="QIZ1001" s="104"/>
      <c r="QJA1001" s="103"/>
      <c r="QJM1001" s="104"/>
      <c r="QJN1001" s="103"/>
      <c r="QJZ1001" s="104"/>
      <c r="QKA1001" s="103"/>
      <c r="QKM1001" s="104"/>
      <c r="QKN1001" s="103"/>
      <c r="QKZ1001" s="104"/>
      <c r="QLA1001" s="103"/>
      <c r="QLM1001" s="104"/>
      <c r="QLN1001" s="103"/>
      <c r="QLZ1001" s="104"/>
      <c r="QMA1001" s="103"/>
      <c r="QMM1001" s="104"/>
      <c r="QMN1001" s="103"/>
      <c r="QMZ1001" s="104"/>
      <c r="QNA1001" s="103"/>
      <c r="QNM1001" s="104"/>
      <c r="QNN1001" s="103"/>
      <c r="QNZ1001" s="104"/>
      <c r="QOA1001" s="103"/>
      <c r="QOM1001" s="104"/>
      <c r="QON1001" s="103"/>
      <c r="QOZ1001" s="104"/>
      <c r="QPA1001" s="103"/>
      <c r="QPM1001" s="104"/>
      <c r="QPN1001" s="103"/>
      <c r="QPZ1001" s="104"/>
      <c r="QQA1001" s="103"/>
      <c r="QQM1001" s="104"/>
      <c r="QQN1001" s="103"/>
      <c r="QQZ1001" s="104"/>
      <c r="QRA1001" s="103"/>
      <c r="QRM1001" s="104"/>
      <c r="QRN1001" s="103"/>
      <c r="QRZ1001" s="104"/>
      <c r="QSA1001" s="103"/>
      <c r="QSM1001" s="104"/>
      <c r="QSN1001" s="103"/>
      <c r="QSZ1001" s="104"/>
      <c r="QTA1001" s="103"/>
      <c r="QTM1001" s="104"/>
      <c r="QTN1001" s="103"/>
      <c r="QTZ1001" s="104"/>
      <c r="QUA1001" s="103"/>
      <c r="QUM1001" s="104"/>
      <c r="QUN1001" s="103"/>
      <c r="QUZ1001" s="104"/>
      <c r="QVA1001" s="103"/>
      <c r="QVM1001" s="104"/>
      <c r="QVN1001" s="103"/>
      <c r="QVZ1001" s="104"/>
      <c r="QWA1001" s="103"/>
      <c r="QWM1001" s="104"/>
      <c r="QWN1001" s="103"/>
      <c r="QWZ1001" s="104"/>
      <c r="QXA1001" s="103"/>
      <c r="QXM1001" s="104"/>
      <c r="QXN1001" s="103"/>
      <c r="QXZ1001" s="104"/>
      <c r="QYA1001" s="103"/>
      <c r="QYM1001" s="104"/>
      <c r="QYN1001" s="103"/>
      <c r="QYZ1001" s="104"/>
      <c r="QZA1001" s="103"/>
      <c r="QZM1001" s="104"/>
      <c r="QZN1001" s="103"/>
      <c r="QZZ1001" s="104"/>
      <c r="RAA1001" s="103"/>
      <c r="RAM1001" s="104"/>
      <c r="RAN1001" s="103"/>
      <c r="RAZ1001" s="104"/>
      <c r="RBA1001" s="103"/>
      <c r="RBM1001" s="104"/>
      <c r="RBN1001" s="103"/>
      <c r="RBZ1001" s="104"/>
      <c r="RCA1001" s="103"/>
      <c r="RCM1001" s="104"/>
      <c r="RCN1001" s="103"/>
      <c r="RCZ1001" s="104"/>
      <c r="RDA1001" s="103"/>
      <c r="RDM1001" s="104"/>
      <c r="RDN1001" s="103"/>
      <c r="RDZ1001" s="104"/>
      <c r="REA1001" s="103"/>
      <c r="REM1001" s="104"/>
      <c r="REN1001" s="103"/>
      <c r="REZ1001" s="104"/>
      <c r="RFA1001" s="103"/>
      <c r="RFM1001" s="104"/>
      <c r="RFN1001" s="103"/>
      <c r="RFZ1001" s="104"/>
      <c r="RGA1001" s="103"/>
      <c r="RGM1001" s="104"/>
      <c r="RGN1001" s="103"/>
      <c r="RGZ1001" s="104"/>
      <c r="RHA1001" s="103"/>
      <c r="RHM1001" s="104"/>
      <c r="RHN1001" s="103"/>
      <c r="RHZ1001" s="104"/>
      <c r="RIA1001" s="103"/>
      <c r="RIM1001" s="104"/>
      <c r="RIN1001" s="103"/>
      <c r="RIZ1001" s="104"/>
      <c r="RJA1001" s="103"/>
      <c r="RJM1001" s="104"/>
      <c r="RJN1001" s="103"/>
      <c r="RJZ1001" s="104"/>
      <c r="RKA1001" s="103"/>
      <c r="RKM1001" s="104"/>
      <c r="RKN1001" s="103"/>
      <c r="RKZ1001" s="104"/>
      <c r="RLA1001" s="103"/>
      <c r="RLM1001" s="104"/>
      <c r="RLN1001" s="103"/>
      <c r="RLZ1001" s="104"/>
      <c r="RMA1001" s="103"/>
      <c r="RMM1001" s="104"/>
      <c r="RMN1001" s="103"/>
      <c r="RMZ1001" s="104"/>
      <c r="RNA1001" s="103"/>
      <c r="RNM1001" s="104"/>
      <c r="RNN1001" s="103"/>
      <c r="RNZ1001" s="104"/>
      <c r="ROA1001" s="103"/>
      <c r="ROM1001" s="104"/>
      <c r="RON1001" s="103"/>
      <c r="ROZ1001" s="104"/>
      <c r="RPA1001" s="103"/>
      <c r="RPM1001" s="104"/>
      <c r="RPN1001" s="103"/>
      <c r="RPZ1001" s="104"/>
      <c r="RQA1001" s="103"/>
      <c r="RQM1001" s="104"/>
      <c r="RQN1001" s="103"/>
      <c r="RQZ1001" s="104"/>
      <c r="RRA1001" s="103"/>
      <c r="RRM1001" s="104"/>
      <c r="RRN1001" s="103"/>
      <c r="RRZ1001" s="104"/>
      <c r="RSA1001" s="103"/>
      <c r="RSM1001" s="104"/>
      <c r="RSN1001" s="103"/>
      <c r="RSZ1001" s="104"/>
      <c r="RTA1001" s="103"/>
      <c r="RTM1001" s="104"/>
      <c r="RTN1001" s="103"/>
      <c r="RTZ1001" s="104"/>
      <c r="RUA1001" s="103"/>
      <c r="RUM1001" s="104"/>
      <c r="RUN1001" s="103"/>
      <c r="RUZ1001" s="104"/>
      <c r="RVA1001" s="103"/>
      <c r="RVM1001" s="104"/>
      <c r="RVN1001" s="103"/>
      <c r="RVZ1001" s="104"/>
      <c r="RWA1001" s="103"/>
      <c r="RWM1001" s="104"/>
      <c r="RWN1001" s="103"/>
      <c r="RWZ1001" s="104"/>
      <c r="RXA1001" s="103"/>
      <c r="RXM1001" s="104"/>
      <c r="RXN1001" s="103"/>
      <c r="RXZ1001" s="104"/>
      <c r="RYA1001" s="103"/>
      <c r="RYM1001" s="104"/>
      <c r="RYN1001" s="103"/>
      <c r="RYZ1001" s="104"/>
      <c r="RZA1001" s="103"/>
      <c r="RZM1001" s="104"/>
      <c r="RZN1001" s="103"/>
      <c r="RZZ1001" s="104"/>
      <c r="SAA1001" s="103"/>
      <c r="SAM1001" s="104"/>
      <c r="SAN1001" s="103"/>
      <c r="SAZ1001" s="104"/>
      <c r="SBA1001" s="103"/>
      <c r="SBM1001" s="104"/>
      <c r="SBN1001" s="103"/>
      <c r="SBZ1001" s="104"/>
      <c r="SCA1001" s="103"/>
      <c r="SCM1001" s="104"/>
      <c r="SCN1001" s="103"/>
      <c r="SCZ1001" s="104"/>
      <c r="SDA1001" s="103"/>
      <c r="SDM1001" s="104"/>
      <c r="SDN1001" s="103"/>
      <c r="SDZ1001" s="104"/>
      <c r="SEA1001" s="103"/>
      <c r="SEM1001" s="104"/>
      <c r="SEN1001" s="103"/>
      <c r="SEZ1001" s="104"/>
      <c r="SFA1001" s="103"/>
      <c r="SFM1001" s="104"/>
      <c r="SFN1001" s="103"/>
      <c r="SFZ1001" s="104"/>
      <c r="SGA1001" s="103"/>
      <c r="SGM1001" s="104"/>
      <c r="SGN1001" s="103"/>
      <c r="SGZ1001" s="104"/>
      <c r="SHA1001" s="103"/>
      <c r="SHM1001" s="104"/>
      <c r="SHN1001" s="103"/>
      <c r="SHZ1001" s="104"/>
      <c r="SIA1001" s="103"/>
      <c r="SIM1001" s="104"/>
      <c r="SIN1001" s="103"/>
      <c r="SIZ1001" s="104"/>
      <c r="SJA1001" s="103"/>
      <c r="SJM1001" s="104"/>
      <c r="SJN1001" s="103"/>
      <c r="SJZ1001" s="104"/>
      <c r="SKA1001" s="103"/>
      <c r="SKM1001" s="104"/>
      <c r="SKN1001" s="103"/>
      <c r="SKZ1001" s="104"/>
      <c r="SLA1001" s="103"/>
      <c r="SLM1001" s="104"/>
      <c r="SLN1001" s="103"/>
      <c r="SLZ1001" s="104"/>
      <c r="SMA1001" s="103"/>
      <c r="SMM1001" s="104"/>
      <c r="SMN1001" s="103"/>
      <c r="SMZ1001" s="104"/>
      <c r="SNA1001" s="103"/>
      <c r="SNM1001" s="104"/>
      <c r="SNN1001" s="103"/>
      <c r="SNZ1001" s="104"/>
      <c r="SOA1001" s="103"/>
      <c r="SOM1001" s="104"/>
      <c r="SON1001" s="103"/>
      <c r="SOZ1001" s="104"/>
      <c r="SPA1001" s="103"/>
      <c r="SPM1001" s="104"/>
      <c r="SPN1001" s="103"/>
      <c r="SPZ1001" s="104"/>
      <c r="SQA1001" s="103"/>
      <c r="SQM1001" s="104"/>
      <c r="SQN1001" s="103"/>
      <c r="SQZ1001" s="104"/>
      <c r="SRA1001" s="103"/>
      <c r="SRM1001" s="104"/>
      <c r="SRN1001" s="103"/>
      <c r="SRZ1001" s="104"/>
      <c r="SSA1001" s="103"/>
      <c r="SSM1001" s="104"/>
      <c r="SSN1001" s="103"/>
      <c r="SSZ1001" s="104"/>
      <c r="STA1001" s="103"/>
      <c r="STM1001" s="104"/>
      <c r="STN1001" s="103"/>
      <c r="STZ1001" s="104"/>
      <c r="SUA1001" s="103"/>
      <c r="SUM1001" s="104"/>
      <c r="SUN1001" s="103"/>
      <c r="SUZ1001" s="104"/>
      <c r="SVA1001" s="103"/>
      <c r="SVM1001" s="104"/>
      <c r="SVN1001" s="103"/>
      <c r="SVZ1001" s="104"/>
      <c r="SWA1001" s="103"/>
      <c r="SWM1001" s="104"/>
      <c r="SWN1001" s="103"/>
      <c r="SWZ1001" s="104"/>
      <c r="SXA1001" s="103"/>
      <c r="SXM1001" s="104"/>
      <c r="SXN1001" s="103"/>
      <c r="SXZ1001" s="104"/>
      <c r="SYA1001" s="103"/>
      <c r="SYM1001" s="104"/>
      <c r="SYN1001" s="103"/>
      <c r="SYZ1001" s="104"/>
      <c r="SZA1001" s="103"/>
      <c r="SZM1001" s="104"/>
      <c r="SZN1001" s="103"/>
      <c r="SZZ1001" s="104"/>
      <c r="TAA1001" s="103"/>
      <c r="TAM1001" s="104"/>
      <c r="TAN1001" s="103"/>
      <c r="TAZ1001" s="104"/>
      <c r="TBA1001" s="103"/>
      <c r="TBM1001" s="104"/>
      <c r="TBN1001" s="103"/>
      <c r="TBZ1001" s="104"/>
      <c r="TCA1001" s="103"/>
      <c r="TCM1001" s="104"/>
      <c r="TCN1001" s="103"/>
      <c r="TCZ1001" s="104"/>
      <c r="TDA1001" s="103"/>
      <c r="TDM1001" s="104"/>
      <c r="TDN1001" s="103"/>
      <c r="TDZ1001" s="104"/>
      <c r="TEA1001" s="103"/>
      <c r="TEM1001" s="104"/>
      <c r="TEN1001" s="103"/>
      <c r="TEZ1001" s="104"/>
      <c r="TFA1001" s="103"/>
      <c r="TFM1001" s="104"/>
      <c r="TFN1001" s="103"/>
      <c r="TFZ1001" s="104"/>
      <c r="TGA1001" s="103"/>
      <c r="TGM1001" s="104"/>
      <c r="TGN1001" s="103"/>
      <c r="TGZ1001" s="104"/>
      <c r="THA1001" s="103"/>
      <c r="THM1001" s="104"/>
      <c r="THN1001" s="103"/>
      <c r="THZ1001" s="104"/>
      <c r="TIA1001" s="103"/>
      <c r="TIM1001" s="104"/>
      <c r="TIN1001" s="103"/>
      <c r="TIZ1001" s="104"/>
      <c r="TJA1001" s="103"/>
      <c r="TJM1001" s="104"/>
      <c r="TJN1001" s="103"/>
      <c r="TJZ1001" s="104"/>
      <c r="TKA1001" s="103"/>
      <c r="TKM1001" s="104"/>
      <c r="TKN1001" s="103"/>
      <c r="TKZ1001" s="104"/>
      <c r="TLA1001" s="103"/>
      <c r="TLM1001" s="104"/>
      <c r="TLN1001" s="103"/>
      <c r="TLZ1001" s="104"/>
      <c r="TMA1001" s="103"/>
      <c r="TMM1001" s="104"/>
      <c r="TMN1001" s="103"/>
      <c r="TMZ1001" s="104"/>
      <c r="TNA1001" s="103"/>
      <c r="TNM1001" s="104"/>
      <c r="TNN1001" s="103"/>
      <c r="TNZ1001" s="104"/>
      <c r="TOA1001" s="103"/>
      <c r="TOM1001" s="104"/>
      <c r="TON1001" s="103"/>
      <c r="TOZ1001" s="104"/>
      <c r="TPA1001" s="103"/>
      <c r="TPM1001" s="104"/>
      <c r="TPN1001" s="103"/>
      <c r="TPZ1001" s="104"/>
      <c r="TQA1001" s="103"/>
      <c r="TQM1001" s="104"/>
      <c r="TQN1001" s="103"/>
      <c r="TQZ1001" s="104"/>
      <c r="TRA1001" s="103"/>
      <c r="TRM1001" s="104"/>
      <c r="TRN1001" s="103"/>
      <c r="TRZ1001" s="104"/>
      <c r="TSA1001" s="103"/>
      <c r="TSM1001" s="104"/>
      <c r="TSN1001" s="103"/>
      <c r="TSZ1001" s="104"/>
      <c r="TTA1001" s="103"/>
      <c r="TTM1001" s="104"/>
      <c r="TTN1001" s="103"/>
      <c r="TTZ1001" s="104"/>
      <c r="TUA1001" s="103"/>
      <c r="TUM1001" s="104"/>
      <c r="TUN1001" s="103"/>
      <c r="TUZ1001" s="104"/>
      <c r="TVA1001" s="103"/>
      <c r="TVM1001" s="104"/>
      <c r="TVN1001" s="103"/>
      <c r="TVZ1001" s="104"/>
      <c r="TWA1001" s="103"/>
      <c r="TWM1001" s="104"/>
      <c r="TWN1001" s="103"/>
      <c r="TWZ1001" s="104"/>
      <c r="TXA1001" s="103"/>
      <c r="TXM1001" s="104"/>
      <c r="TXN1001" s="103"/>
      <c r="TXZ1001" s="104"/>
      <c r="TYA1001" s="103"/>
      <c r="TYM1001" s="104"/>
      <c r="TYN1001" s="103"/>
      <c r="TYZ1001" s="104"/>
      <c r="TZA1001" s="103"/>
      <c r="TZM1001" s="104"/>
      <c r="TZN1001" s="103"/>
      <c r="TZZ1001" s="104"/>
      <c r="UAA1001" s="103"/>
      <c r="UAM1001" s="104"/>
      <c r="UAN1001" s="103"/>
      <c r="UAZ1001" s="104"/>
      <c r="UBA1001" s="103"/>
      <c r="UBM1001" s="104"/>
      <c r="UBN1001" s="103"/>
      <c r="UBZ1001" s="104"/>
      <c r="UCA1001" s="103"/>
      <c r="UCM1001" s="104"/>
      <c r="UCN1001" s="103"/>
      <c r="UCZ1001" s="104"/>
      <c r="UDA1001" s="103"/>
      <c r="UDM1001" s="104"/>
      <c r="UDN1001" s="103"/>
      <c r="UDZ1001" s="104"/>
      <c r="UEA1001" s="103"/>
      <c r="UEM1001" s="104"/>
      <c r="UEN1001" s="103"/>
      <c r="UEZ1001" s="104"/>
      <c r="UFA1001" s="103"/>
      <c r="UFM1001" s="104"/>
      <c r="UFN1001" s="103"/>
      <c r="UFZ1001" s="104"/>
      <c r="UGA1001" s="103"/>
      <c r="UGM1001" s="104"/>
      <c r="UGN1001" s="103"/>
      <c r="UGZ1001" s="104"/>
      <c r="UHA1001" s="103"/>
      <c r="UHM1001" s="104"/>
      <c r="UHN1001" s="103"/>
      <c r="UHZ1001" s="104"/>
      <c r="UIA1001" s="103"/>
      <c r="UIM1001" s="104"/>
      <c r="UIN1001" s="103"/>
      <c r="UIZ1001" s="104"/>
      <c r="UJA1001" s="103"/>
      <c r="UJM1001" s="104"/>
      <c r="UJN1001" s="103"/>
      <c r="UJZ1001" s="104"/>
      <c r="UKA1001" s="103"/>
      <c r="UKM1001" s="104"/>
      <c r="UKN1001" s="103"/>
      <c r="UKZ1001" s="104"/>
      <c r="ULA1001" s="103"/>
      <c r="ULM1001" s="104"/>
      <c r="ULN1001" s="103"/>
      <c r="ULZ1001" s="104"/>
      <c r="UMA1001" s="103"/>
      <c r="UMM1001" s="104"/>
      <c r="UMN1001" s="103"/>
      <c r="UMZ1001" s="104"/>
      <c r="UNA1001" s="103"/>
      <c r="UNM1001" s="104"/>
      <c r="UNN1001" s="103"/>
      <c r="UNZ1001" s="104"/>
      <c r="UOA1001" s="103"/>
      <c r="UOM1001" s="104"/>
      <c r="UON1001" s="103"/>
      <c r="UOZ1001" s="104"/>
      <c r="UPA1001" s="103"/>
      <c r="UPM1001" s="104"/>
      <c r="UPN1001" s="103"/>
      <c r="UPZ1001" s="104"/>
      <c r="UQA1001" s="103"/>
      <c r="UQM1001" s="104"/>
      <c r="UQN1001" s="103"/>
      <c r="UQZ1001" s="104"/>
      <c r="URA1001" s="103"/>
      <c r="URM1001" s="104"/>
      <c r="URN1001" s="103"/>
      <c r="URZ1001" s="104"/>
      <c r="USA1001" s="103"/>
      <c r="USM1001" s="104"/>
      <c r="USN1001" s="103"/>
      <c r="USZ1001" s="104"/>
      <c r="UTA1001" s="103"/>
      <c r="UTM1001" s="104"/>
      <c r="UTN1001" s="103"/>
      <c r="UTZ1001" s="104"/>
      <c r="UUA1001" s="103"/>
      <c r="UUM1001" s="104"/>
      <c r="UUN1001" s="103"/>
      <c r="UUZ1001" s="104"/>
      <c r="UVA1001" s="103"/>
      <c r="UVM1001" s="104"/>
      <c r="UVN1001" s="103"/>
      <c r="UVZ1001" s="104"/>
      <c r="UWA1001" s="103"/>
      <c r="UWM1001" s="104"/>
      <c r="UWN1001" s="103"/>
      <c r="UWZ1001" s="104"/>
      <c r="UXA1001" s="103"/>
      <c r="UXM1001" s="104"/>
      <c r="UXN1001" s="103"/>
      <c r="UXZ1001" s="104"/>
      <c r="UYA1001" s="103"/>
      <c r="UYM1001" s="104"/>
      <c r="UYN1001" s="103"/>
      <c r="UYZ1001" s="104"/>
      <c r="UZA1001" s="103"/>
      <c r="UZM1001" s="104"/>
      <c r="UZN1001" s="103"/>
      <c r="UZZ1001" s="104"/>
      <c r="VAA1001" s="103"/>
      <c r="VAM1001" s="104"/>
      <c r="VAN1001" s="103"/>
      <c r="VAZ1001" s="104"/>
      <c r="VBA1001" s="103"/>
      <c r="VBM1001" s="104"/>
      <c r="VBN1001" s="103"/>
      <c r="VBZ1001" s="104"/>
      <c r="VCA1001" s="103"/>
      <c r="VCM1001" s="104"/>
      <c r="VCN1001" s="103"/>
      <c r="VCZ1001" s="104"/>
      <c r="VDA1001" s="103"/>
      <c r="VDM1001" s="104"/>
      <c r="VDN1001" s="103"/>
      <c r="VDZ1001" s="104"/>
      <c r="VEA1001" s="103"/>
      <c r="VEM1001" s="104"/>
      <c r="VEN1001" s="103"/>
      <c r="VEZ1001" s="104"/>
      <c r="VFA1001" s="103"/>
      <c r="VFM1001" s="104"/>
      <c r="VFN1001" s="103"/>
      <c r="VFZ1001" s="104"/>
      <c r="VGA1001" s="103"/>
      <c r="VGM1001" s="104"/>
      <c r="VGN1001" s="103"/>
      <c r="VGZ1001" s="104"/>
      <c r="VHA1001" s="103"/>
      <c r="VHM1001" s="104"/>
      <c r="VHN1001" s="103"/>
      <c r="VHZ1001" s="104"/>
      <c r="VIA1001" s="103"/>
      <c r="VIM1001" s="104"/>
      <c r="VIN1001" s="103"/>
      <c r="VIZ1001" s="104"/>
      <c r="VJA1001" s="103"/>
      <c r="VJM1001" s="104"/>
      <c r="VJN1001" s="103"/>
      <c r="VJZ1001" s="104"/>
      <c r="VKA1001" s="103"/>
      <c r="VKM1001" s="104"/>
      <c r="VKN1001" s="103"/>
      <c r="VKZ1001" s="104"/>
      <c r="VLA1001" s="103"/>
      <c r="VLM1001" s="104"/>
      <c r="VLN1001" s="103"/>
      <c r="VLZ1001" s="104"/>
      <c r="VMA1001" s="103"/>
      <c r="VMM1001" s="104"/>
      <c r="VMN1001" s="103"/>
      <c r="VMZ1001" s="104"/>
      <c r="VNA1001" s="103"/>
      <c r="VNM1001" s="104"/>
      <c r="VNN1001" s="103"/>
      <c r="VNZ1001" s="104"/>
      <c r="VOA1001" s="103"/>
      <c r="VOM1001" s="104"/>
      <c r="VON1001" s="103"/>
      <c r="VOZ1001" s="104"/>
      <c r="VPA1001" s="103"/>
      <c r="VPM1001" s="104"/>
      <c r="VPN1001" s="103"/>
      <c r="VPZ1001" s="104"/>
      <c r="VQA1001" s="103"/>
      <c r="VQM1001" s="104"/>
      <c r="VQN1001" s="103"/>
      <c r="VQZ1001" s="104"/>
      <c r="VRA1001" s="103"/>
      <c r="VRM1001" s="104"/>
      <c r="VRN1001" s="103"/>
      <c r="VRZ1001" s="104"/>
      <c r="VSA1001" s="103"/>
      <c r="VSM1001" s="104"/>
      <c r="VSN1001" s="103"/>
      <c r="VSZ1001" s="104"/>
      <c r="VTA1001" s="103"/>
      <c r="VTM1001" s="104"/>
      <c r="VTN1001" s="103"/>
      <c r="VTZ1001" s="104"/>
      <c r="VUA1001" s="103"/>
      <c r="VUM1001" s="104"/>
      <c r="VUN1001" s="103"/>
      <c r="VUZ1001" s="104"/>
      <c r="VVA1001" s="103"/>
      <c r="VVM1001" s="104"/>
      <c r="VVN1001" s="103"/>
      <c r="VVZ1001" s="104"/>
      <c r="VWA1001" s="103"/>
      <c r="VWM1001" s="104"/>
      <c r="VWN1001" s="103"/>
      <c r="VWZ1001" s="104"/>
      <c r="VXA1001" s="103"/>
      <c r="VXM1001" s="104"/>
      <c r="VXN1001" s="103"/>
      <c r="VXZ1001" s="104"/>
      <c r="VYA1001" s="103"/>
      <c r="VYM1001" s="104"/>
      <c r="VYN1001" s="103"/>
      <c r="VYZ1001" s="104"/>
      <c r="VZA1001" s="103"/>
      <c r="VZM1001" s="104"/>
      <c r="VZN1001" s="103"/>
      <c r="VZZ1001" s="104"/>
      <c r="WAA1001" s="103"/>
      <c r="WAM1001" s="104"/>
      <c r="WAN1001" s="103"/>
      <c r="WAZ1001" s="104"/>
      <c r="WBA1001" s="103"/>
      <c r="WBM1001" s="104"/>
      <c r="WBN1001" s="103"/>
      <c r="WBZ1001" s="104"/>
      <c r="WCA1001" s="103"/>
      <c r="WCM1001" s="104"/>
      <c r="WCN1001" s="103"/>
      <c r="WCZ1001" s="104"/>
      <c r="WDA1001" s="103"/>
      <c r="WDM1001" s="104"/>
      <c r="WDN1001" s="103"/>
      <c r="WDZ1001" s="104"/>
      <c r="WEA1001" s="103"/>
      <c r="WEM1001" s="104"/>
      <c r="WEN1001" s="103"/>
      <c r="WEZ1001" s="104"/>
      <c r="WFA1001" s="103"/>
      <c r="WFM1001" s="104"/>
      <c r="WFN1001" s="103"/>
      <c r="WFZ1001" s="104"/>
      <c r="WGA1001" s="103"/>
      <c r="WGM1001" s="104"/>
      <c r="WGN1001" s="103"/>
      <c r="WGZ1001" s="104"/>
      <c r="WHA1001" s="103"/>
      <c r="WHM1001" s="104"/>
      <c r="WHN1001" s="103"/>
      <c r="WHZ1001" s="104"/>
      <c r="WIA1001" s="103"/>
      <c r="WIM1001" s="104"/>
      <c r="WIN1001" s="103"/>
      <c r="WIZ1001" s="104"/>
      <c r="WJA1001" s="103"/>
      <c r="WJM1001" s="104"/>
      <c r="WJN1001" s="103"/>
      <c r="WJZ1001" s="104"/>
      <c r="WKA1001" s="103"/>
      <c r="WKM1001" s="104"/>
      <c r="WKN1001" s="103"/>
      <c r="WKZ1001" s="104"/>
      <c r="WLA1001" s="103"/>
      <c r="WLM1001" s="104"/>
      <c r="WLN1001" s="103"/>
      <c r="WLZ1001" s="104"/>
      <c r="WMA1001" s="103"/>
      <c r="WMM1001" s="104"/>
      <c r="WMN1001" s="103"/>
      <c r="WMZ1001" s="104"/>
      <c r="WNA1001" s="103"/>
      <c r="WNM1001" s="104"/>
      <c r="WNN1001" s="103"/>
      <c r="WNZ1001" s="104"/>
      <c r="WOA1001" s="103"/>
      <c r="WOM1001" s="104"/>
      <c r="WON1001" s="103"/>
      <c r="WOZ1001" s="104"/>
      <c r="WPA1001" s="103"/>
      <c r="WPM1001" s="104"/>
      <c r="WPN1001" s="103"/>
      <c r="WPZ1001" s="104"/>
      <c r="WQA1001" s="103"/>
      <c r="WQM1001" s="104"/>
      <c r="WQN1001" s="103"/>
      <c r="WQZ1001" s="104"/>
      <c r="WRA1001" s="103"/>
      <c r="WRM1001" s="104"/>
      <c r="WRN1001" s="103"/>
      <c r="WRZ1001" s="104"/>
      <c r="WSA1001" s="103"/>
      <c r="WSM1001" s="104"/>
      <c r="WSN1001" s="103"/>
      <c r="WSZ1001" s="104"/>
      <c r="WTA1001" s="103"/>
      <c r="WTM1001" s="104"/>
      <c r="WTN1001" s="103"/>
      <c r="WTZ1001" s="104"/>
      <c r="WUA1001" s="103"/>
      <c r="WUM1001" s="104"/>
      <c r="WUN1001" s="103"/>
      <c r="WUZ1001" s="104"/>
      <c r="WVA1001" s="103"/>
      <c r="WVM1001" s="104"/>
      <c r="WVN1001" s="103"/>
      <c r="WVZ1001" s="104"/>
      <c r="WWA1001" s="103"/>
      <c r="WWM1001" s="104"/>
      <c r="WWN1001" s="103"/>
      <c r="WWZ1001" s="104"/>
      <c r="WXA1001" s="103"/>
      <c r="WXM1001" s="104"/>
      <c r="WXN1001" s="103"/>
      <c r="WXZ1001" s="104"/>
      <c r="WYA1001" s="103"/>
      <c r="WYM1001" s="104"/>
      <c r="WYN1001" s="103"/>
      <c r="WYZ1001" s="104"/>
      <c r="WZA1001" s="103"/>
      <c r="WZM1001" s="104"/>
      <c r="WZN1001" s="103"/>
      <c r="WZZ1001" s="104"/>
      <c r="XAA1001" s="103"/>
      <c r="XAM1001" s="104"/>
      <c r="XAN1001" s="103"/>
      <c r="XAZ1001" s="104"/>
      <c r="XBA1001" s="103"/>
      <c r="XBM1001" s="104"/>
      <c r="XBN1001" s="103"/>
      <c r="XBZ1001" s="104"/>
      <c r="XCA1001" s="103"/>
      <c r="XCM1001" s="104"/>
      <c r="XCN1001" s="103"/>
      <c r="XCZ1001" s="104"/>
      <c r="XDA1001" s="103"/>
      <c r="XDM1001" s="104"/>
      <c r="XDN1001" s="103"/>
      <c r="XDZ1001" s="104"/>
      <c r="XEA1001" s="103"/>
      <c r="XEM1001" s="104"/>
      <c r="XEN1001" s="103"/>
      <c r="XEZ1001" s="104"/>
      <c r="XFA1001" s="103"/>
    </row>
    <row r="1002" spans="1:1015 1027:2042 2054:3069 3081:4096 4108:5110 5122:6137 6149:7164 7176:8191 8203:9205 9217:10232 10244:11259 11271:12286 12298:14327 14339:15354 15366:16381">
      <c r="M1002" s="105"/>
      <c r="N1002" s="106"/>
      <c r="AM1002" s="104"/>
      <c r="AN1002" s="103"/>
      <c r="AZ1002" s="104"/>
      <c r="BA1002" s="103"/>
      <c r="BM1002" s="104"/>
      <c r="BN1002" s="103"/>
      <c r="BZ1002" s="104"/>
      <c r="CA1002" s="103"/>
      <c r="CM1002" s="104"/>
      <c r="CN1002" s="103"/>
      <c r="CZ1002" s="104"/>
      <c r="DA1002" s="103"/>
      <c r="DM1002" s="104"/>
      <c r="DN1002" s="103"/>
      <c r="DZ1002" s="104"/>
      <c r="EA1002" s="103"/>
      <c r="EM1002" s="104"/>
      <c r="EN1002" s="103"/>
      <c r="EZ1002" s="104"/>
      <c r="FA1002" s="103"/>
      <c r="FM1002" s="104"/>
      <c r="FN1002" s="103"/>
      <c r="FZ1002" s="104"/>
      <c r="GA1002" s="103"/>
      <c r="GM1002" s="104"/>
      <c r="GN1002" s="103"/>
      <c r="GZ1002" s="104"/>
      <c r="HA1002" s="103"/>
      <c r="HM1002" s="104"/>
      <c r="HN1002" s="103"/>
      <c r="HZ1002" s="104"/>
      <c r="IA1002" s="103"/>
      <c r="IM1002" s="104"/>
      <c r="IN1002" s="103"/>
      <c r="IZ1002" s="104"/>
      <c r="JA1002" s="103"/>
      <c r="JM1002" s="104"/>
      <c r="JN1002" s="103"/>
      <c r="JZ1002" s="104"/>
      <c r="KA1002" s="103"/>
      <c r="KM1002" s="104"/>
      <c r="KN1002" s="103"/>
      <c r="KZ1002" s="104"/>
      <c r="LA1002" s="103"/>
      <c r="LM1002" s="104"/>
      <c r="LN1002" s="103"/>
      <c r="LZ1002" s="104"/>
      <c r="MA1002" s="103"/>
      <c r="MM1002" s="104"/>
      <c r="MN1002" s="103"/>
      <c r="MZ1002" s="104"/>
      <c r="NA1002" s="103"/>
      <c r="NM1002" s="104"/>
      <c r="NN1002" s="103"/>
      <c r="NZ1002" s="104"/>
      <c r="OA1002" s="103"/>
      <c r="OM1002" s="104"/>
      <c r="ON1002" s="103"/>
      <c r="OZ1002" s="104"/>
      <c r="PA1002" s="103"/>
      <c r="PM1002" s="104"/>
      <c r="PN1002" s="103"/>
      <c r="PZ1002" s="104"/>
      <c r="QA1002" s="103"/>
      <c r="QM1002" s="104"/>
      <c r="QN1002" s="103"/>
      <c r="QZ1002" s="104"/>
      <c r="RA1002" s="103"/>
      <c r="RM1002" s="104"/>
      <c r="RN1002" s="103"/>
      <c r="RZ1002" s="104"/>
      <c r="SA1002" s="103"/>
      <c r="SM1002" s="104"/>
      <c r="SN1002" s="103"/>
      <c r="SZ1002" s="104"/>
      <c r="TA1002" s="103"/>
      <c r="TM1002" s="104"/>
      <c r="TN1002" s="103"/>
      <c r="TZ1002" s="104"/>
      <c r="UA1002" s="103"/>
      <c r="UM1002" s="104"/>
      <c r="UN1002" s="103"/>
      <c r="UZ1002" s="104"/>
      <c r="VA1002" s="103"/>
      <c r="VM1002" s="104"/>
      <c r="VN1002" s="103"/>
      <c r="VZ1002" s="104"/>
      <c r="WA1002" s="103"/>
      <c r="WM1002" s="104"/>
      <c r="WN1002" s="103"/>
      <c r="WZ1002" s="104"/>
      <c r="XA1002" s="103"/>
      <c r="XM1002" s="104"/>
      <c r="XN1002" s="103"/>
      <c r="XZ1002" s="104"/>
      <c r="YA1002" s="103"/>
      <c r="YM1002" s="104"/>
      <c r="YN1002" s="103"/>
      <c r="YZ1002" s="104"/>
      <c r="ZA1002" s="103"/>
      <c r="ZM1002" s="104"/>
      <c r="ZN1002" s="103"/>
      <c r="ZZ1002" s="104"/>
      <c r="AAA1002" s="103"/>
      <c r="AAM1002" s="104"/>
      <c r="AAN1002" s="103"/>
      <c r="AAZ1002" s="104"/>
      <c r="ABA1002" s="103"/>
      <c r="ABM1002" s="104"/>
      <c r="ABN1002" s="103"/>
      <c r="ABZ1002" s="104"/>
      <c r="ACA1002" s="103"/>
      <c r="ACM1002" s="104"/>
      <c r="ACN1002" s="103"/>
      <c r="ACZ1002" s="104"/>
      <c r="ADA1002" s="103"/>
      <c r="ADM1002" s="104"/>
      <c r="ADN1002" s="103"/>
      <c r="ADZ1002" s="104"/>
      <c r="AEA1002" s="103"/>
      <c r="AEM1002" s="104"/>
      <c r="AEN1002" s="103"/>
      <c r="AEZ1002" s="104"/>
      <c r="AFA1002" s="103"/>
      <c r="AFM1002" s="104"/>
      <c r="AFN1002" s="103"/>
      <c r="AFZ1002" s="104"/>
      <c r="AGA1002" s="103"/>
      <c r="AGM1002" s="104"/>
      <c r="AGN1002" s="103"/>
      <c r="AGZ1002" s="104"/>
      <c r="AHA1002" s="103"/>
      <c r="AHM1002" s="104"/>
      <c r="AHN1002" s="103"/>
      <c r="AHZ1002" s="104"/>
      <c r="AIA1002" s="103"/>
      <c r="AIM1002" s="104"/>
      <c r="AIN1002" s="103"/>
      <c r="AIZ1002" s="104"/>
      <c r="AJA1002" s="103"/>
      <c r="AJM1002" s="104"/>
      <c r="AJN1002" s="103"/>
      <c r="AJZ1002" s="104"/>
      <c r="AKA1002" s="103"/>
      <c r="AKM1002" s="104"/>
      <c r="AKN1002" s="103"/>
      <c r="AKZ1002" s="104"/>
      <c r="ALA1002" s="103"/>
      <c r="ALM1002" s="104"/>
      <c r="ALN1002" s="103"/>
      <c r="ALZ1002" s="104"/>
      <c r="AMA1002" s="103"/>
      <c r="AMM1002" s="104"/>
      <c r="AMN1002" s="103"/>
      <c r="AMZ1002" s="104"/>
      <c r="ANA1002" s="103"/>
      <c r="ANM1002" s="104"/>
      <c r="ANN1002" s="103"/>
      <c r="ANZ1002" s="104"/>
      <c r="AOA1002" s="103"/>
      <c r="AOM1002" s="104"/>
      <c r="AON1002" s="103"/>
      <c r="AOZ1002" s="104"/>
      <c r="APA1002" s="103"/>
      <c r="APM1002" s="104"/>
      <c r="APN1002" s="103"/>
      <c r="APZ1002" s="104"/>
      <c r="AQA1002" s="103"/>
      <c r="AQM1002" s="104"/>
      <c r="AQN1002" s="103"/>
      <c r="AQZ1002" s="104"/>
      <c r="ARA1002" s="103"/>
      <c r="ARM1002" s="104"/>
      <c r="ARN1002" s="103"/>
      <c r="ARZ1002" s="104"/>
      <c r="ASA1002" s="103"/>
      <c r="ASM1002" s="104"/>
      <c r="ASN1002" s="103"/>
      <c r="ASZ1002" s="104"/>
      <c r="ATA1002" s="103"/>
      <c r="ATM1002" s="104"/>
      <c r="ATN1002" s="103"/>
      <c r="ATZ1002" s="104"/>
      <c r="AUA1002" s="103"/>
      <c r="AUM1002" s="104"/>
      <c r="AUN1002" s="103"/>
      <c r="AUZ1002" s="104"/>
      <c r="AVA1002" s="103"/>
      <c r="AVM1002" s="104"/>
      <c r="AVN1002" s="103"/>
      <c r="AVZ1002" s="104"/>
      <c r="AWA1002" s="103"/>
      <c r="AWM1002" s="104"/>
      <c r="AWN1002" s="103"/>
      <c r="AWZ1002" s="104"/>
      <c r="AXA1002" s="103"/>
      <c r="AXM1002" s="104"/>
      <c r="AXN1002" s="103"/>
      <c r="AXZ1002" s="104"/>
      <c r="AYA1002" s="103"/>
      <c r="AYM1002" s="104"/>
      <c r="AYN1002" s="103"/>
      <c r="AYZ1002" s="104"/>
      <c r="AZA1002" s="103"/>
      <c r="AZM1002" s="104"/>
      <c r="AZN1002" s="103"/>
      <c r="AZZ1002" s="104"/>
      <c r="BAA1002" s="103"/>
      <c r="BAM1002" s="104"/>
      <c r="BAN1002" s="103"/>
      <c r="BAZ1002" s="104"/>
      <c r="BBA1002" s="103"/>
      <c r="BBM1002" s="104"/>
      <c r="BBN1002" s="103"/>
      <c r="BBZ1002" s="104"/>
      <c r="BCA1002" s="103"/>
      <c r="BCM1002" s="104"/>
      <c r="BCN1002" s="103"/>
      <c r="BCZ1002" s="104"/>
      <c r="BDA1002" s="103"/>
      <c r="BDM1002" s="104"/>
      <c r="BDN1002" s="103"/>
      <c r="BDZ1002" s="104"/>
      <c r="BEA1002" s="103"/>
      <c r="BEM1002" s="104"/>
      <c r="BEN1002" s="103"/>
      <c r="BEZ1002" s="104"/>
      <c r="BFA1002" s="103"/>
      <c r="BFM1002" s="104"/>
      <c r="BFN1002" s="103"/>
      <c r="BFZ1002" s="104"/>
      <c r="BGA1002" s="103"/>
      <c r="BGM1002" s="104"/>
      <c r="BGN1002" s="103"/>
      <c r="BGZ1002" s="104"/>
      <c r="BHA1002" s="103"/>
      <c r="BHM1002" s="104"/>
      <c r="BHN1002" s="103"/>
      <c r="BHZ1002" s="104"/>
      <c r="BIA1002" s="103"/>
      <c r="BIM1002" s="104"/>
      <c r="BIN1002" s="103"/>
      <c r="BIZ1002" s="104"/>
      <c r="BJA1002" s="103"/>
      <c r="BJM1002" s="104"/>
      <c r="BJN1002" s="103"/>
      <c r="BJZ1002" s="104"/>
      <c r="BKA1002" s="103"/>
      <c r="BKM1002" s="104"/>
      <c r="BKN1002" s="103"/>
      <c r="BKZ1002" s="104"/>
      <c r="BLA1002" s="103"/>
      <c r="BLM1002" s="104"/>
      <c r="BLN1002" s="103"/>
      <c r="BLZ1002" s="104"/>
      <c r="BMA1002" s="103"/>
      <c r="BMM1002" s="104"/>
      <c r="BMN1002" s="103"/>
      <c r="BMZ1002" s="104"/>
      <c r="BNA1002" s="103"/>
      <c r="BNM1002" s="104"/>
      <c r="BNN1002" s="103"/>
      <c r="BNZ1002" s="104"/>
      <c r="BOA1002" s="103"/>
      <c r="BOM1002" s="104"/>
      <c r="BON1002" s="103"/>
      <c r="BOZ1002" s="104"/>
      <c r="BPA1002" s="103"/>
      <c r="BPM1002" s="104"/>
      <c r="BPN1002" s="103"/>
      <c r="BPZ1002" s="104"/>
      <c r="BQA1002" s="103"/>
      <c r="BQM1002" s="104"/>
      <c r="BQN1002" s="103"/>
      <c r="BQZ1002" s="104"/>
      <c r="BRA1002" s="103"/>
      <c r="BRM1002" s="104"/>
      <c r="BRN1002" s="103"/>
      <c r="BRZ1002" s="104"/>
      <c r="BSA1002" s="103"/>
      <c r="BSM1002" s="104"/>
      <c r="BSN1002" s="103"/>
      <c r="BSZ1002" s="104"/>
      <c r="BTA1002" s="103"/>
      <c r="BTM1002" s="104"/>
      <c r="BTN1002" s="103"/>
      <c r="BTZ1002" s="104"/>
      <c r="BUA1002" s="103"/>
      <c r="BUM1002" s="104"/>
      <c r="BUN1002" s="103"/>
      <c r="BUZ1002" s="104"/>
      <c r="BVA1002" s="103"/>
      <c r="BVM1002" s="104"/>
      <c r="BVN1002" s="103"/>
      <c r="BVZ1002" s="104"/>
      <c r="BWA1002" s="103"/>
      <c r="BWM1002" s="104"/>
      <c r="BWN1002" s="103"/>
      <c r="BWZ1002" s="104"/>
      <c r="BXA1002" s="103"/>
      <c r="BXM1002" s="104"/>
      <c r="BXN1002" s="103"/>
      <c r="BXZ1002" s="104"/>
      <c r="BYA1002" s="103"/>
      <c r="BYM1002" s="104"/>
      <c r="BYN1002" s="103"/>
      <c r="BYZ1002" s="104"/>
      <c r="BZA1002" s="103"/>
      <c r="BZM1002" s="104"/>
      <c r="BZN1002" s="103"/>
      <c r="BZZ1002" s="104"/>
      <c r="CAA1002" s="103"/>
      <c r="CAM1002" s="104"/>
      <c r="CAN1002" s="103"/>
      <c r="CAZ1002" s="104"/>
      <c r="CBA1002" s="103"/>
      <c r="CBM1002" s="104"/>
      <c r="CBN1002" s="103"/>
      <c r="CBZ1002" s="104"/>
      <c r="CCA1002" s="103"/>
      <c r="CCM1002" s="104"/>
      <c r="CCN1002" s="103"/>
      <c r="CCZ1002" s="104"/>
      <c r="CDA1002" s="103"/>
      <c r="CDM1002" s="104"/>
      <c r="CDN1002" s="103"/>
      <c r="CDZ1002" s="104"/>
      <c r="CEA1002" s="103"/>
      <c r="CEM1002" s="104"/>
      <c r="CEN1002" s="103"/>
      <c r="CEZ1002" s="104"/>
      <c r="CFA1002" s="103"/>
      <c r="CFM1002" s="104"/>
      <c r="CFN1002" s="103"/>
      <c r="CFZ1002" s="104"/>
      <c r="CGA1002" s="103"/>
      <c r="CGM1002" s="104"/>
      <c r="CGN1002" s="103"/>
      <c r="CGZ1002" s="104"/>
      <c r="CHA1002" s="103"/>
      <c r="CHM1002" s="104"/>
      <c r="CHN1002" s="103"/>
      <c r="CHZ1002" s="104"/>
      <c r="CIA1002" s="103"/>
      <c r="CIM1002" s="104"/>
      <c r="CIN1002" s="103"/>
      <c r="CIZ1002" s="104"/>
      <c r="CJA1002" s="103"/>
      <c r="CJM1002" s="104"/>
      <c r="CJN1002" s="103"/>
      <c r="CJZ1002" s="104"/>
      <c r="CKA1002" s="103"/>
      <c r="CKM1002" s="104"/>
      <c r="CKN1002" s="103"/>
      <c r="CKZ1002" s="104"/>
      <c r="CLA1002" s="103"/>
      <c r="CLM1002" s="104"/>
      <c r="CLN1002" s="103"/>
      <c r="CLZ1002" s="104"/>
      <c r="CMA1002" s="103"/>
      <c r="CMM1002" s="104"/>
      <c r="CMN1002" s="103"/>
      <c r="CMZ1002" s="104"/>
      <c r="CNA1002" s="103"/>
      <c r="CNM1002" s="104"/>
      <c r="CNN1002" s="103"/>
      <c r="CNZ1002" s="104"/>
      <c r="COA1002" s="103"/>
      <c r="COM1002" s="104"/>
      <c r="CON1002" s="103"/>
      <c r="COZ1002" s="104"/>
      <c r="CPA1002" s="103"/>
      <c r="CPM1002" s="104"/>
      <c r="CPN1002" s="103"/>
      <c r="CPZ1002" s="104"/>
      <c r="CQA1002" s="103"/>
      <c r="CQM1002" s="104"/>
      <c r="CQN1002" s="103"/>
      <c r="CQZ1002" s="104"/>
      <c r="CRA1002" s="103"/>
      <c r="CRM1002" s="104"/>
      <c r="CRN1002" s="103"/>
      <c r="CRZ1002" s="104"/>
      <c r="CSA1002" s="103"/>
      <c r="CSM1002" s="104"/>
      <c r="CSN1002" s="103"/>
      <c r="CSZ1002" s="104"/>
      <c r="CTA1002" s="103"/>
      <c r="CTM1002" s="104"/>
      <c r="CTN1002" s="103"/>
      <c r="CTZ1002" s="104"/>
      <c r="CUA1002" s="103"/>
      <c r="CUM1002" s="104"/>
      <c r="CUN1002" s="103"/>
      <c r="CUZ1002" s="104"/>
      <c r="CVA1002" s="103"/>
      <c r="CVM1002" s="104"/>
      <c r="CVN1002" s="103"/>
      <c r="CVZ1002" s="104"/>
      <c r="CWA1002" s="103"/>
      <c r="CWM1002" s="104"/>
      <c r="CWN1002" s="103"/>
      <c r="CWZ1002" s="104"/>
      <c r="CXA1002" s="103"/>
      <c r="CXM1002" s="104"/>
      <c r="CXN1002" s="103"/>
      <c r="CXZ1002" s="104"/>
      <c r="CYA1002" s="103"/>
      <c r="CYM1002" s="104"/>
      <c r="CYN1002" s="103"/>
      <c r="CYZ1002" s="104"/>
      <c r="CZA1002" s="103"/>
      <c r="CZM1002" s="104"/>
      <c r="CZN1002" s="103"/>
      <c r="CZZ1002" s="104"/>
      <c r="DAA1002" s="103"/>
      <c r="DAM1002" s="104"/>
      <c r="DAN1002" s="103"/>
      <c r="DAZ1002" s="104"/>
      <c r="DBA1002" s="103"/>
      <c r="DBM1002" s="104"/>
      <c r="DBN1002" s="103"/>
      <c r="DBZ1002" s="104"/>
      <c r="DCA1002" s="103"/>
      <c r="DCM1002" s="104"/>
      <c r="DCN1002" s="103"/>
      <c r="DCZ1002" s="104"/>
      <c r="DDA1002" s="103"/>
      <c r="DDM1002" s="104"/>
      <c r="DDN1002" s="103"/>
      <c r="DDZ1002" s="104"/>
      <c r="DEA1002" s="103"/>
      <c r="DEM1002" s="104"/>
      <c r="DEN1002" s="103"/>
      <c r="DEZ1002" s="104"/>
      <c r="DFA1002" s="103"/>
      <c r="DFM1002" s="104"/>
      <c r="DFN1002" s="103"/>
      <c r="DFZ1002" s="104"/>
      <c r="DGA1002" s="103"/>
      <c r="DGM1002" s="104"/>
      <c r="DGN1002" s="103"/>
      <c r="DGZ1002" s="104"/>
      <c r="DHA1002" s="103"/>
      <c r="DHM1002" s="104"/>
      <c r="DHN1002" s="103"/>
      <c r="DHZ1002" s="104"/>
      <c r="DIA1002" s="103"/>
      <c r="DIM1002" s="104"/>
      <c r="DIN1002" s="103"/>
      <c r="DIZ1002" s="104"/>
      <c r="DJA1002" s="103"/>
      <c r="DJM1002" s="104"/>
      <c r="DJN1002" s="103"/>
      <c r="DJZ1002" s="104"/>
      <c r="DKA1002" s="103"/>
      <c r="DKM1002" s="104"/>
      <c r="DKN1002" s="103"/>
      <c r="DKZ1002" s="104"/>
      <c r="DLA1002" s="103"/>
      <c r="DLM1002" s="104"/>
      <c r="DLN1002" s="103"/>
      <c r="DLZ1002" s="104"/>
      <c r="DMA1002" s="103"/>
      <c r="DMM1002" s="104"/>
      <c r="DMN1002" s="103"/>
      <c r="DMZ1002" s="104"/>
      <c r="DNA1002" s="103"/>
      <c r="DNM1002" s="104"/>
      <c r="DNN1002" s="103"/>
      <c r="DNZ1002" s="104"/>
      <c r="DOA1002" s="103"/>
      <c r="DOM1002" s="104"/>
      <c r="DON1002" s="103"/>
      <c r="DOZ1002" s="104"/>
      <c r="DPA1002" s="103"/>
      <c r="DPM1002" s="104"/>
      <c r="DPN1002" s="103"/>
      <c r="DPZ1002" s="104"/>
      <c r="DQA1002" s="103"/>
      <c r="DQM1002" s="104"/>
      <c r="DQN1002" s="103"/>
      <c r="DQZ1002" s="104"/>
      <c r="DRA1002" s="103"/>
      <c r="DRM1002" s="104"/>
      <c r="DRN1002" s="103"/>
      <c r="DRZ1002" s="104"/>
      <c r="DSA1002" s="103"/>
      <c r="DSM1002" s="104"/>
      <c r="DSN1002" s="103"/>
      <c r="DSZ1002" s="104"/>
      <c r="DTA1002" s="103"/>
      <c r="DTM1002" s="104"/>
      <c r="DTN1002" s="103"/>
      <c r="DTZ1002" s="104"/>
      <c r="DUA1002" s="103"/>
      <c r="DUM1002" s="104"/>
      <c r="DUN1002" s="103"/>
      <c r="DUZ1002" s="104"/>
      <c r="DVA1002" s="103"/>
      <c r="DVM1002" s="104"/>
      <c r="DVN1002" s="103"/>
      <c r="DVZ1002" s="104"/>
      <c r="DWA1002" s="103"/>
      <c r="DWM1002" s="104"/>
      <c r="DWN1002" s="103"/>
      <c r="DWZ1002" s="104"/>
      <c r="DXA1002" s="103"/>
      <c r="DXM1002" s="104"/>
      <c r="DXN1002" s="103"/>
      <c r="DXZ1002" s="104"/>
      <c r="DYA1002" s="103"/>
      <c r="DYM1002" s="104"/>
      <c r="DYN1002" s="103"/>
      <c r="DYZ1002" s="104"/>
      <c r="DZA1002" s="103"/>
      <c r="DZM1002" s="104"/>
      <c r="DZN1002" s="103"/>
      <c r="DZZ1002" s="104"/>
      <c r="EAA1002" s="103"/>
      <c r="EAM1002" s="104"/>
      <c r="EAN1002" s="103"/>
      <c r="EAZ1002" s="104"/>
      <c r="EBA1002" s="103"/>
      <c r="EBM1002" s="104"/>
      <c r="EBN1002" s="103"/>
      <c r="EBZ1002" s="104"/>
      <c r="ECA1002" s="103"/>
      <c r="ECM1002" s="104"/>
      <c r="ECN1002" s="103"/>
      <c r="ECZ1002" s="104"/>
      <c r="EDA1002" s="103"/>
      <c r="EDM1002" s="104"/>
      <c r="EDN1002" s="103"/>
      <c r="EDZ1002" s="104"/>
      <c r="EEA1002" s="103"/>
      <c r="EEM1002" s="104"/>
      <c r="EEN1002" s="103"/>
      <c r="EEZ1002" s="104"/>
      <c r="EFA1002" s="103"/>
      <c r="EFM1002" s="104"/>
      <c r="EFN1002" s="103"/>
      <c r="EFZ1002" s="104"/>
      <c r="EGA1002" s="103"/>
      <c r="EGM1002" s="104"/>
      <c r="EGN1002" s="103"/>
      <c r="EGZ1002" s="104"/>
      <c r="EHA1002" s="103"/>
      <c r="EHM1002" s="104"/>
      <c r="EHN1002" s="103"/>
      <c r="EHZ1002" s="104"/>
      <c r="EIA1002" s="103"/>
      <c r="EIM1002" s="104"/>
      <c r="EIN1002" s="103"/>
      <c r="EIZ1002" s="104"/>
      <c r="EJA1002" s="103"/>
      <c r="EJM1002" s="104"/>
      <c r="EJN1002" s="103"/>
      <c r="EJZ1002" s="104"/>
      <c r="EKA1002" s="103"/>
      <c r="EKM1002" s="104"/>
      <c r="EKN1002" s="103"/>
      <c r="EKZ1002" s="104"/>
      <c r="ELA1002" s="103"/>
      <c r="ELM1002" s="104"/>
      <c r="ELN1002" s="103"/>
      <c r="ELZ1002" s="104"/>
      <c r="EMA1002" s="103"/>
      <c r="EMM1002" s="104"/>
      <c r="EMN1002" s="103"/>
      <c r="EMZ1002" s="104"/>
      <c r="ENA1002" s="103"/>
      <c r="ENM1002" s="104"/>
      <c r="ENN1002" s="103"/>
      <c r="ENZ1002" s="104"/>
      <c r="EOA1002" s="103"/>
      <c r="EOM1002" s="104"/>
      <c r="EON1002" s="103"/>
      <c r="EOZ1002" s="104"/>
      <c r="EPA1002" s="103"/>
      <c r="EPM1002" s="104"/>
      <c r="EPN1002" s="103"/>
      <c r="EPZ1002" s="104"/>
      <c r="EQA1002" s="103"/>
      <c r="EQM1002" s="104"/>
      <c r="EQN1002" s="103"/>
      <c r="EQZ1002" s="104"/>
      <c r="ERA1002" s="103"/>
      <c r="ERM1002" s="104"/>
      <c r="ERN1002" s="103"/>
      <c r="ERZ1002" s="104"/>
      <c r="ESA1002" s="103"/>
      <c r="ESM1002" s="104"/>
      <c r="ESN1002" s="103"/>
      <c r="ESZ1002" s="104"/>
      <c r="ETA1002" s="103"/>
      <c r="ETM1002" s="104"/>
      <c r="ETN1002" s="103"/>
      <c r="ETZ1002" s="104"/>
      <c r="EUA1002" s="103"/>
      <c r="EUM1002" s="104"/>
      <c r="EUN1002" s="103"/>
      <c r="EUZ1002" s="104"/>
      <c r="EVA1002" s="103"/>
      <c r="EVM1002" s="104"/>
      <c r="EVN1002" s="103"/>
      <c r="EVZ1002" s="104"/>
      <c r="EWA1002" s="103"/>
      <c r="EWM1002" s="104"/>
      <c r="EWN1002" s="103"/>
      <c r="EWZ1002" s="104"/>
      <c r="EXA1002" s="103"/>
      <c r="EXM1002" s="104"/>
      <c r="EXN1002" s="103"/>
      <c r="EXZ1002" s="104"/>
      <c r="EYA1002" s="103"/>
      <c r="EYM1002" s="104"/>
      <c r="EYN1002" s="103"/>
      <c r="EYZ1002" s="104"/>
      <c r="EZA1002" s="103"/>
      <c r="EZM1002" s="104"/>
      <c r="EZN1002" s="103"/>
      <c r="EZZ1002" s="104"/>
      <c r="FAA1002" s="103"/>
      <c r="FAM1002" s="104"/>
      <c r="FAN1002" s="103"/>
      <c r="FAZ1002" s="104"/>
      <c r="FBA1002" s="103"/>
      <c r="FBM1002" s="104"/>
      <c r="FBN1002" s="103"/>
      <c r="FBZ1002" s="104"/>
      <c r="FCA1002" s="103"/>
      <c r="FCM1002" s="104"/>
      <c r="FCN1002" s="103"/>
      <c r="FCZ1002" s="104"/>
      <c r="FDA1002" s="103"/>
      <c r="FDM1002" s="104"/>
      <c r="FDN1002" s="103"/>
      <c r="FDZ1002" s="104"/>
      <c r="FEA1002" s="103"/>
      <c r="FEM1002" s="104"/>
      <c r="FEN1002" s="103"/>
      <c r="FEZ1002" s="104"/>
      <c r="FFA1002" s="103"/>
      <c r="FFM1002" s="104"/>
      <c r="FFN1002" s="103"/>
      <c r="FFZ1002" s="104"/>
      <c r="FGA1002" s="103"/>
      <c r="FGM1002" s="104"/>
      <c r="FGN1002" s="103"/>
      <c r="FGZ1002" s="104"/>
      <c r="FHA1002" s="103"/>
      <c r="FHM1002" s="104"/>
      <c r="FHN1002" s="103"/>
      <c r="FHZ1002" s="104"/>
      <c r="FIA1002" s="103"/>
      <c r="FIM1002" s="104"/>
      <c r="FIN1002" s="103"/>
      <c r="FIZ1002" s="104"/>
      <c r="FJA1002" s="103"/>
      <c r="FJM1002" s="104"/>
      <c r="FJN1002" s="103"/>
      <c r="FJZ1002" s="104"/>
      <c r="FKA1002" s="103"/>
      <c r="FKM1002" s="104"/>
      <c r="FKN1002" s="103"/>
      <c r="FKZ1002" s="104"/>
      <c r="FLA1002" s="103"/>
      <c r="FLM1002" s="104"/>
      <c r="FLN1002" s="103"/>
      <c r="FLZ1002" s="104"/>
      <c r="FMA1002" s="103"/>
      <c r="FMM1002" s="104"/>
      <c r="FMN1002" s="103"/>
      <c r="FMZ1002" s="104"/>
      <c r="FNA1002" s="103"/>
      <c r="FNM1002" s="104"/>
      <c r="FNN1002" s="103"/>
      <c r="FNZ1002" s="104"/>
      <c r="FOA1002" s="103"/>
      <c r="FOM1002" s="104"/>
      <c r="FON1002" s="103"/>
      <c r="FOZ1002" s="104"/>
      <c r="FPA1002" s="103"/>
      <c r="FPM1002" s="104"/>
      <c r="FPN1002" s="103"/>
      <c r="FPZ1002" s="104"/>
      <c r="FQA1002" s="103"/>
      <c r="FQM1002" s="104"/>
      <c r="FQN1002" s="103"/>
      <c r="FQZ1002" s="104"/>
      <c r="FRA1002" s="103"/>
      <c r="FRM1002" s="104"/>
      <c r="FRN1002" s="103"/>
      <c r="FRZ1002" s="104"/>
      <c r="FSA1002" s="103"/>
      <c r="FSM1002" s="104"/>
      <c r="FSN1002" s="103"/>
      <c r="FSZ1002" s="104"/>
      <c r="FTA1002" s="103"/>
      <c r="FTM1002" s="104"/>
      <c r="FTN1002" s="103"/>
      <c r="FTZ1002" s="104"/>
      <c r="FUA1002" s="103"/>
      <c r="FUM1002" s="104"/>
      <c r="FUN1002" s="103"/>
      <c r="FUZ1002" s="104"/>
      <c r="FVA1002" s="103"/>
      <c r="FVM1002" s="104"/>
      <c r="FVN1002" s="103"/>
      <c r="FVZ1002" s="104"/>
      <c r="FWA1002" s="103"/>
      <c r="FWM1002" s="104"/>
      <c r="FWN1002" s="103"/>
      <c r="FWZ1002" s="104"/>
      <c r="FXA1002" s="103"/>
      <c r="FXM1002" s="104"/>
      <c r="FXN1002" s="103"/>
      <c r="FXZ1002" s="104"/>
      <c r="FYA1002" s="103"/>
      <c r="FYM1002" s="104"/>
      <c r="FYN1002" s="103"/>
      <c r="FYZ1002" s="104"/>
      <c r="FZA1002" s="103"/>
      <c r="FZM1002" s="104"/>
      <c r="FZN1002" s="103"/>
      <c r="FZZ1002" s="104"/>
      <c r="GAA1002" s="103"/>
      <c r="GAM1002" s="104"/>
      <c r="GAN1002" s="103"/>
      <c r="GAZ1002" s="104"/>
      <c r="GBA1002" s="103"/>
      <c r="GBM1002" s="104"/>
      <c r="GBN1002" s="103"/>
      <c r="GBZ1002" s="104"/>
      <c r="GCA1002" s="103"/>
      <c r="GCM1002" s="104"/>
      <c r="GCN1002" s="103"/>
      <c r="GCZ1002" s="104"/>
      <c r="GDA1002" s="103"/>
      <c r="GDM1002" s="104"/>
      <c r="GDN1002" s="103"/>
      <c r="GDZ1002" s="104"/>
      <c r="GEA1002" s="103"/>
      <c r="GEM1002" s="104"/>
      <c r="GEN1002" s="103"/>
      <c r="GEZ1002" s="104"/>
      <c r="GFA1002" s="103"/>
      <c r="GFM1002" s="104"/>
      <c r="GFN1002" s="103"/>
      <c r="GFZ1002" s="104"/>
      <c r="GGA1002" s="103"/>
      <c r="GGM1002" s="104"/>
      <c r="GGN1002" s="103"/>
      <c r="GGZ1002" s="104"/>
      <c r="GHA1002" s="103"/>
      <c r="GHM1002" s="104"/>
      <c r="GHN1002" s="103"/>
      <c r="GHZ1002" s="104"/>
      <c r="GIA1002" s="103"/>
      <c r="GIM1002" s="104"/>
      <c r="GIN1002" s="103"/>
      <c r="GIZ1002" s="104"/>
      <c r="GJA1002" s="103"/>
      <c r="GJM1002" s="104"/>
      <c r="GJN1002" s="103"/>
      <c r="GJZ1002" s="104"/>
      <c r="GKA1002" s="103"/>
      <c r="GKM1002" s="104"/>
      <c r="GKN1002" s="103"/>
      <c r="GKZ1002" s="104"/>
      <c r="GLA1002" s="103"/>
      <c r="GLM1002" s="104"/>
      <c r="GLN1002" s="103"/>
      <c r="GLZ1002" s="104"/>
      <c r="GMA1002" s="103"/>
      <c r="GMM1002" s="104"/>
      <c r="GMN1002" s="103"/>
      <c r="GMZ1002" s="104"/>
      <c r="GNA1002" s="103"/>
      <c r="GNM1002" s="104"/>
      <c r="GNN1002" s="103"/>
      <c r="GNZ1002" s="104"/>
      <c r="GOA1002" s="103"/>
      <c r="GOM1002" s="104"/>
      <c r="GON1002" s="103"/>
      <c r="GOZ1002" s="104"/>
      <c r="GPA1002" s="103"/>
      <c r="GPM1002" s="104"/>
      <c r="GPN1002" s="103"/>
      <c r="GPZ1002" s="104"/>
      <c r="GQA1002" s="103"/>
      <c r="GQM1002" s="104"/>
      <c r="GQN1002" s="103"/>
      <c r="GQZ1002" s="104"/>
      <c r="GRA1002" s="103"/>
      <c r="GRM1002" s="104"/>
      <c r="GRN1002" s="103"/>
      <c r="GRZ1002" s="104"/>
      <c r="GSA1002" s="103"/>
      <c r="GSM1002" s="104"/>
      <c r="GSN1002" s="103"/>
      <c r="GSZ1002" s="104"/>
      <c r="GTA1002" s="103"/>
      <c r="GTM1002" s="104"/>
      <c r="GTN1002" s="103"/>
      <c r="GTZ1002" s="104"/>
      <c r="GUA1002" s="103"/>
      <c r="GUM1002" s="104"/>
      <c r="GUN1002" s="103"/>
      <c r="GUZ1002" s="104"/>
      <c r="GVA1002" s="103"/>
      <c r="GVM1002" s="104"/>
      <c r="GVN1002" s="103"/>
      <c r="GVZ1002" s="104"/>
      <c r="GWA1002" s="103"/>
      <c r="GWM1002" s="104"/>
      <c r="GWN1002" s="103"/>
      <c r="GWZ1002" s="104"/>
      <c r="GXA1002" s="103"/>
      <c r="GXM1002" s="104"/>
      <c r="GXN1002" s="103"/>
      <c r="GXZ1002" s="104"/>
      <c r="GYA1002" s="103"/>
      <c r="GYM1002" s="104"/>
      <c r="GYN1002" s="103"/>
      <c r="GYZ1002" s="104"/>
      <c r="GZA1002" s="103"/>
      <c r="GZM1002" s="104"/>
      <c r="GZN1002" s="103"/>
      <c r="GZZ1002" s="104"/>
      <c r="HAA1002" s="103"/>
      <c r="HAM1002" s="104"/>
      <c r="HAN1002" s="103"/>
      <c r="HAZ1002" s="104"/>
      <c r="HBA1002" s="103"/>
      <c r="HBM1002" s="104"/>
      <c r="HBN1002" s="103"/>
      <c r="HBZ1002" s="104"/>
      <c r="HCA1002" s="103"/>
      <c r="HCM1002" s="104"/>
      <c r="HCN1002" s="103"/>
      <c r="HCZ1002" s="104"/>
      <c r="HDA1002" s="103"/>
      <c r="HDM1002" s="104"/>
      <c r="HDN1002" s="103"/>
      <c r="HDZ1002" s="104"/>
      <c r="HEA1002" s="103"/>
      <c r="HEM1002" s="104"/>
      <c r="HEN1002" s="103"/>
      <c r="HEZ1002" s="104"/>
      <c r="HFA1002" s="103"/>
      <c r="HFM1002" s="104"/>
      <c r="HFN1002" s="103"/>
      <c r="HFZ1002" s="104"/>
      <c r="HGA1002" s="103"/>
      <c r="HGM1002" s="104"/>
      <c r="HGN1002" s="103"/>
      <c r="HGZ1002" s="104"/>
      <c r="HHA1002" s="103"/>
      <c r="HHM1002" s="104"/>
      <c r="HHN1002" s="103"/>
      <c r="HHZ1002" s="104"/>
      <c r="HIA1002" s="103"/>
      <c r="HIM1002" s="104"/>
      <c r="HIN1002" s="103"/>
      <c r="HIZ1002" s="104"/>
      <c r="HJA1002" s="103"/>
      <c r="HJM1002" s="104"/>
      <c r="HJN1002" s="103"/>
      <c r="HJZ1002" s="104"/>
      <c r="HKA1002" s="103"/>
      <c r="HKM1002" s="104"/>
      <c r="HKN1002" s="103"/>
      <c r="HKZ1002" s="104"/>
      <c r="HLA1002" s="103"/>
      <c r="HLM1002" s="104"/>
      <c r="HLN1002" s="103"/>
      <c r="HLZ1002" s="104"/>
      <c r="HMA1002" s="103"/>
      <c r="HMM1002" s="104"/>
      <c r="HMN1002" s="103"/>
      <c r="HMZ1002" s="104"/>
      <c r="HNA1002" s="103"/>
      <c r="HNM1002" s="104"/>
      <c r="HNN1002" s="103"/>
      <c r="HNZ1002" s="104"/>
      <c r="HOA1002" s="103"/>
      <c r="HOM1002" s="104"/>
      <c r="HON1002" s="103"/>
      <c r="HOZ1002" s="104"/>
      <c r="HPA1002" s="103"/>
      <c r="HPM1002" s="104"/>
      <c r="HPN1002" s="103"/>
      <c r="HPZ1002" s="104"/>
      <c r="HQA1002" s="103"/>
      <c r="HQM1002" s="104"/>
      <c r="HQN1002" s="103"/>
      <c r="HQZ1002" s="104"/>
      <c r="HRA1002" s="103"/>
      <c r="HRM1002" s="104"/>
      <c r="HRN1002" s="103"/>
      <c r="HRZ1002" s="104"/>
      <c r="HSA1002" s="103"/>
      <c r="HSM1002" s="104"/>
      <c r="HSN1002" s="103"/>
      <c r="HSZ1002" s="104"/>
      <c r="HTA1002" s="103"/>
      <c r="HTM1002" s="104"/>
      <c r="HTN1002" s="103"/>
      <c r="HTZ1002" s="104"/>
      <c r="HUA1002" s="103"/>
      <c r="HUM1002" s="104"/>
      <c r="HUN1002" s="103"/>
      <c r="HUZ1002" s="104"/>
      <c r="HVA1002" s="103"/>
      <c r="HVM1002" s="104"/>
      <c r="HVN1002" s="103"/>
      <c r="HVZ1002" s="104"/>
      <c r="HWA1002" s="103"/>
      <c r="HWM1002" s="104"/>
      <c r="HWN1002" s="103"/>
      <c r="HWZ1002" s="104"/>
      <c r="HXA1002" s="103"/>
      <c r="HXM1002" s="104"/>
      <c r="HXN1002" s="103"/>
      <c r="HXZ1002" s="104"/>
      <c r="HYA1002" s="103"/>
      <c r="HYM1002" s="104"/>
      <c r="HYN1002" s="103"/>
      <c r="HYZ1002" s="104"/>
      <c r="HZA1002" s="103"/>
      <c r="HZM1002" s="104"/>
      <c r="HZN1002" s="103"/>
      <c r="HZZ1002" s="104"/>
      <c r="IAA1002" s="103"/>
      <c r="IAM1002" s="104"/>
      <c r="IAN1002" s="103"/>
      <c r="IAZ1002" s="104"/>
      <c r="IBA1002" s="103"/>
      <c r="IBM1002" s="104"/>
      <c r="IBN1002" s="103"/>
      <c r="IBZ1002" s="104"/>
      <c r="ICA1002" s="103"/>
      <c r="ICM1002" s="104"/>
      <c r="ICN1002" s="103"/>
      <c r="ICZ1002" s="104"/>
      <c r="IDA1002" s="103"/>
      <c r="IDM1002" s="104"/>
      <c r="IDN1002" s="103"/>
      <c r="IDZ1002" s="104"/>
      <c r="IEA1002" s="103"/>
      <c r="IEM1002" s="104"/>
      <c r="IEN1002" s="103"/>
      <c r="IEZ1002" s="104"/>
      <c r="IFA1002" s="103"/>
      <c r="IFM1002" s="104"/>
      <c r="IFN1002" s="103"/>
      <c r="IFZ1002" s="104"/>
      <c r="IGA1002" s="103"/>
      <c r="IGM1002" s="104"/>
      <c r="IGN1002" s="103"/>
      <c r="IGZ1002" s="104"/>
      <c r="IHA1002" s="103"/>
      <c r="IHM1002" s="104"/>
      <c r="IHN1002" s="103"/>
      <c r="IHZ1002" s="104"/>
      <c r="IIA1002" s="103"/>
      <c r="IIM1002" s="104"/>
      <c r="IIN1002" s="103"/>
      <c r="IIZ1002" s="104"/>
      <c r="IJA1002" s="103"/>
      <c r="IJM1002" s="104"/>
      <c r="IJN1002" s="103"/>
      <c r="IJZ1002" s="104"/>
      <c r="IKA1002" s="103"/>
      <c r="IKM1002" s="104"/>
      <c r="IKN1002" s="103"/>
      <c r="IKZ1002" s="104"/>
      <c r="ILA1002" s="103"/>
      <c r="ILM1002" s="104"/>
      <c r="ILN1002" s="103"/>
      <c r="ILZ1002" s="104"/>
      <c r="IMA1002" s="103"/>
      <c r="IMM1002" s="104"/>
      <c r="IMN1002" s="103"/>
      <c r="IMZ1002" s="104"/>
      <c r="INA1002" s="103"/>
      <c r="INM1002" s="104"/>
      <c r="INN1002" s="103"/>
      <c r="INZ1002" s="104"/>
      <c r="IOA1002" s="103"/>
      <c r="IOM1002" s="104"/>
      <c r="ION1002" s="103"/>
      <c r="IOZ1002" s="104"/>
      <c r="IPA1002" s="103"/>
      <c r="IPM1002" s="104"/>
      <c r="IPN1002" s="103"/>
      <c r="IPZ1002" s="104"/>
      <c r="IQA1002" s="103"/>
      <c r="IQM1002" s="104"/>
      <c r="IQN1002" s="103"/>
      <c r="IQZ1002" s="104"/>
      <c r="IRA1002" s="103"/>
      <c r="IRM1002" s="104"/>
      <c r="IRN1002" s="103"/>
      <c r="IRZ1002" s="104"/>
      <c r="ISA1002" s="103"/>
      <c r="ISM1002" s="104"/>
      <c r="ISN1002" s="103"/>
      <c r="ISZ1002" s="104"/>
      <c r="ITA1002" s="103"/>
      <c r="ITM1002" s="104"/>
      <c r="ITN1002" s="103"/>
      <c r="ITZ1002" s="104"/>
      <c r="IUA1002" s="103"/>
      <c r="IUM1002" s="104"/>
      <c r="IUN1002" s="103"/>
      <c r="IUZ1002" s="104"/>
      <c r="IVA1002" s="103"/>
      <c r="IVM1002" s="104"/>
      <c r="IVN1002" s="103"/>
      <c r="IVZ1002" s="104"/>
      <c r="IWA1002" s="103"/>
      <c r="IWM1002" s="104"/>
      <c r="IWN1002" s="103"/>
      <c r="IWZ1002" s="104"/>
      <c r="IXA1002" s="103"/>
      <c r="IXM1002" s="104"/>
      <c r="IXN1002" s="103"/>
      <c r="IXZ1002" s="104"/>
      <c r="IYA1002" s="103"/>
      <c r="IYM1002" s="104"/>
      <c r="IYN1002" s="103"/>
      <c r="IYZ1002" s="104"/>
      <c r="IZA1002" s="103"/>
      <c r="IZM1002" s="104"/>
      <c r="IZN1002" s="103"/>
      <c r="IZZ1002" s="104"/>
      <c r="JAA1002" s="103"/>
      <c r="JAM1002" s="104"/>
      <c r="JAN1002" s="103"/>
      <c r="JAZ1002" s="104"/>
      <c r="JBA1002" s="103"/>
      <c r="JBM1002" s="104"/>
      <c r="JBN1002" s="103"/>
      <c r="JBZ1002" s="104"/>
      <c r="JCA1002" s="103"/>
      <c r="JCM1002" s="104"/>
      <c r="JCN1002" s="103"/>
      <c r="JCZ1002" s="104"/>
      <c r="JDA1002" s="103"/>
      <c r="JDM1002" s="104"/>
      <c r="JDN1002" s="103"/>
      <c r="JDZ1002" s="104"/>
      <c r="JEA1002" s="103"/>
      <c r="JEM1002" s="104"/>
      <c r="JEN1002" s="103"/>
      <c r="JEZ1002" s="104"/>
      <c r="JFA1002" s="103"/>
      <c r="JFM1002" s="104"/>
      <c r="JFN1002" s="103"/>
      <c r="JFZ1002" s="104"/>
      <c r="JGA1002" s="103"/>
      <c r="JGM1002" s="104"/>
      <c r="JGN1002" s="103"/>
      <c r="JGZ1002" s="104"/>
      <c r="JHA1002" s="103"/>
      <c r="JHM1002" s="104"/>
      <c r="JHN1002" s="103"/>
      <c r="JHZ1002" s="104"/>
      <c r="JIA1002" s="103"/>
      <c r="JIM1002" s="104"/>
      <c r="JIN1002" s="103"/>
      <c r="JIZ1002" s="104"/>
      <c r="JJA1002" s="103"/>
      <c r="JJM1002" s="104"/>
      <c r="JJN1002" s="103"/>
      <c r="JJZ1002" s="104"/>
      <c r="JKA1002" s="103"/>
      <c r="JKM1002" s="104"/>
      <c r="JKN1002" s="103"/>
      <c r="JKZ1002" s="104"/>
      <c r="JLA1002" s="103"/>
      <c r="JLM1002" s="104"/>
      <c r="JLN1002" s="103"/>
      <c r="JLZ1002" s="104"/>
      <c r="JMA1002" s="103"/>
      <c r="JMM1002" s="104"/>
      <c r="JMN1002" s="103"/>
      <c r="JMZ1002" s="104"/>
      <c r="JNA1002" s="103"/>
      <c r="JNM1002" s="104"/>
      <c r="JNN1002" s="103"/>
      <c r="JNZ1002" s="104"/>
      <c r="JOA1002" s="103"/>
      <c r="JOM1002" s="104"/>
      <c r="JON1002" s="103"/>
      <c r="JOZ1002" s="104"/>
      <c r="JPA1002" s="103"/>
      <c r="JPM1002" s="104"/>
      <c r="JPN1002" s="103"/>
      <c r="JPZ1002" s="104"/>
      <c r="JQA1002" s="103"/>
      <c r="JQM1002" s="104"/>
      <c r="JQN1002" s="103"/>
      <c r="JQZ1002" s="104"/>
      <c r="JRA1002" s="103"/>
      <c r="JRM1002" s="104"/>
      <c r="JRN1002" s="103"/>
      <c r="JRZ1002" s="104"/>
      <c r="JSA1002" s="103"/>
      <c r="JSM1002" s="104"/>
      <c r="JSN1002" s="103"/>
      <c r="JSZ1002" s="104"/>
      <c r="JTA1002" s="103"/>
      <c r="JTM1002" s="104"/>
      <c r="JTN1002" s="103"/>
      <c r="JTZ1002" s="104"/>
      <c r="JUA1002" s="103"/>
      <c r="JUM1002" s="104"/>
      <c r="JUN1002" s="103"/>
      <c r="JUZ1002" s="104"/>
      <c r="JVA1002" s="103"/>
      <c r="JVM1002" s="104"/>
      <c r="JVN1002" s="103"/>
      <c r="JVZ1002" s="104"/>
      <c r="JWA1002" s="103"/>
      <c r="JWM1002" s="104"/>
      <c r="JWN1002" s="103"/>
      <c r="JWZ1002" s="104"/>
      <c r="JXA1002" s="103"/>
      <c r="JXM1002" s="104"/>
      <c r="JXN1002" s="103"/>
      <c r="JXZ1002" s="104"/>
      <c r="JYA1002" s="103"/>
      <c r="JYM1002" s="104"/>
      <c r="JYN1002" s="103"/>
      <c r="JYZ1002" s="104"/>
      <c r="JZA1002" s="103"/>
      <c r="JZM1002" s="104"/>
      <c r="JZN1002" s="103"/>
      <c r="JZZ1002" s="104"/>
      <c r="KAA1002" s="103"/>
      <c r="KAM1002" s="104"/>
      <c r="KAN1002" s="103"/>
      <c r="KAZ1002" s="104"/>
      <c r="KBA1002" s="103"/>
      <c r="KBM1002" s="104"/>
      <c r="KBN1002" s="103"/>
      <c r="KBZ1002" s="104"/>
      <c r="KCA1002" s="103"/>
      <c r="KCM1002" s="104"/>
      <c r="KCN1002" s="103"/>
      <c r="KCZ1002" s="104"/>
      <c r="KDA1002" s="103"/>
      <c r="KDM1002" s="104"/>
      <c r="KDN1002" s="103"/>
      <c r="KDZ1002" s="104"/>
      <c r="KEA1002" s="103"/>
      <c r="KEM1002" s="104"/>
      <c r="KEN1002" s="103"/>
      <c r="KEZ1002" s="104"/>
      <c r="KFA1002" s="103"/>
      <c r="KFM1002" s="104"/>
      <c r="KFN1002" s="103"/>
      <c r="KFZ1002" s="104"/>
      <c r="KGA1002" s="103"/>
      <c r="KGM1002" s="104"/>
      <c r="KGN1002" s="103"/>
      <c r="KGZ1002" s="104"/>
      <c r="KHA1002" s="103"/>
      <c r="KHM1002" s="104"/>
      <c r="KHN1002" s="103"/>
      <c r="KHZ1002" s="104"/>
      <c r="KIA1002" s="103"/>
      <c r="KIM1002" s="104"/>
      <c r="KIN1002" s="103"/>
      <c r="KIZ1002" s="104"/>
      <c r="KJA1002" s="103"/>
      <c r="KJM1002" s="104"/>
      <c r="KJN1002" s="103"/>
      <c r="KJZ1002" s="104"/>
      <c r="KKA1002" s="103"/>
      <c r="KKM1002" s="104"/>
      <c r="KKN1002" s="103"/>
      <c r="KKZ1002" s="104"/>
      <c r="KLA1002" s="103"/>
      <c r="KLM1002" s="104"/>
      <c r="KLN1002" s="103"/>
      <c r="KLZ1002" s="104"/>
      <c r="KMA1002" s="103"/>
      <c r="KMM1002" s="104"/>
      <c r="KMN1002" s="103"/>
      <c r="KMZ1002" s="104"/>
      <c r="KNA1002" s="103"/>
      <c r="KNM1002" s="104"/>
      <c r="KNN1002" s="103"/>
      <c r="KNZ1002" s="104"/>
      <c r="KOA1002" s="103"/>
      <c r="KOM1002" s="104"/>
      <c r="KON1002" s="103"/>
      <c r="KOZ1002" s="104"/>
      <c r="KPA1002" s="103"/>
      <c r="KPM1002" s="104"/>
      <c r="KPN1002" s="103"/>
      <c r="KPZ1002" s="104"/>
      <c r="KQA1002" s="103"/>
      <c r="KQM1002" s="104"/>
      <c r="KQN1002" s="103"/>
      <c r="KQZ1002" s="104"/>
      <c r="KRA1002" s="103"/>
      <c r="KRM1002" s="104"/>
      <c r="KRN1002" s="103"/>
      <c r="KRZ1002" s="104"/>
      <c r="KSA1002" s="103"/>
      <c r="KSM1002" s="104"/>
      <c r="KSN1002" s="103"/>
      <c r="KSZ1002" s="104"/>
      <c r="KTA1002" s="103"/>
      <c r="KTM1002" s="104"/>
      <c r="KTN1002" s="103"/>
      <c r="KTZ1002" s="104"/>
      <c r="KUA1002" s="103"/>
      <c r="KUM1002" s="104"/>
      <c r="KUN1002" s="103"/>
      <c r="KUZ1002" s="104"/>
      <c r="KVA1002" s="103"/>
      <c r="KVM1002" s="104"/>
      <c r="KVN1002" s="103"/>
      <c r="KVZ1002" s="104"/>
      <c r="KWA1002" s="103"/>
      <c r="KWM1002" s="104"/>
      <c r="KWN1002" s="103"/>
      <c r="KWZ1002" s="104"/>
      <c r="KXA1002" s="103"/>
      <c r="KXM1002" s="104"/>
      <c r="KXN1002" s="103"/>
      <c r="KXZ1002" s="104"/>
      <c r="KYA1002" s="103"/>
      <c r="KYM1002" s="104"/>
      <c r="KYN1002" s="103"/>
      <c r="KYZ1002" s="104"/>
      <c r="KZA1002" s="103"/>
      <c r="KZM1002" s="104"/>
      <c r="KZN1002" s="103"/>
      <c r="KZZ1002" s="104"/>
      <c r="LAA1002" s="103"/>
      <c r="LAM1002" s="104"/>
      <c r="LAN1002" s="103"/>
      <c r="LAZ1002" s="104"/>
      <c r="LBA1002" s="103"/>
      <c r="LBM1002" s="104"/>
      <c r="LBN1002" s="103"/>
      <c r="LBZ1002" s="104"/>
      <c r="LCA1002" s="103"/>
      <c r="LCM1002" s="104"/>
      <c r="LCN1002" s="103"/>
      <c r="LCZ1002" s="104"/>
      <c r="LDA1002" s="103"/>
      <c r="LDM1002" s="104"/>
      <c r="LDN1002" s="103"/>
      <c r="LDZ1002" s="104"/>
      <c r="LEA1002" s="103"/>
      <c r="LEM1002" s="104"/>
      <c r="LEN1002" s="103"/>
      <c r="LEZ1002" s="104"/>
      <c r="LFA1002" s="103"/>
      <c r="LFM1002" s="104"/>
      <c r="LFN1002" s="103"/>
      <c r="LFZ1002" s="104"/>
      <c r="LGA1002" s="103"/>
      <c r="LGM1002" s="104"/>
      <c r="LGN1002" s="103"/>
      <c r="LGZ1002" s="104"/>
      <c r="LHA1002" s="103"/>
      <c r="LHM1002" s="104"/>
      <c r="LHN1002" s="103"/>
      <c r="LHZ1002" s="104"/>
      <c r="LIA1002" s="103"/>
      <c r="LIM1002" s="104"/>
      <c r="LIN1002" s="103"/>
      <c r="LIZ1002" s="104"/>
      <c r="LJA1002" s="103"/>
      <c r="LJM1002" s="104"/>
      <c r="LJN1002" s="103"/>
      <c r="LJZ1002" s="104"/>
      <c r="LKA1002" s="103"/>
      <c r="LKM1002" s="104"/>
      <c r="LKN1002" s="103"/>
      <c r="LKZ1002" s="104"/>
      <c r="LLA1002" s="103"/>
      <c r="LLM1002" s="104"/>
      <c r="LLN1002" s="103"/>
      <c r="LLZ1002" s="104"/>
      <c r="LMA1002" s="103"/>
      <c r="LMM1002" s="104"/>
      <c r="LMN1002" s="103"/>
      <c r="LMZ1002" s="104"/>
      <c r="LNA1002" s="103"/>
      <c r="LNM1002" s="104"/>
      <c r="LNN1002" s="103"/>
      <c r="LNZ1002" s="104"/>
      <c r="LOA1002" s="103"/>
      <c r="LOM1002" s="104"/>
      <c r="LON1002" s="103"/>
      <c r="LOZ1002" s="104"/>
      <c r="LPA1002" s="103"/>
      <c r="LPM1002" s="104"/>
      <c r="LPN1002" s="103"/>
      <c r="LPZ1002" s="104"/>
      <c r="LQA1002" s="103"/>
      <c r="LQM1002" s="104"/>
      <c r="LQN1002" s="103"/>
      <c r="LQZ1002" s="104"/>
      <c r="LRA1002" s="103"/>
      <c r="LRM1002" s="104"/>
      <c r="LRN1002" s="103"/>
      <c r="LRZ1002" s="104"/>
      <c r="LSA1002" s="103"/>
      <c r="LSM1002" s="104"/>
      <c r="LSN1002" s="103"/>
      <c r="LSZ1002" s="104"/>
      <c r="LTA1002" s="103"/>
      <c r="LTM1002" s="104"/>
      <c r="LTN1002" s="103"/>
      <c r="LTZ1002" s="104"/>
      <c r="LUA1002" s="103"/>
      <c r="LUM1002" s="104"/>
      <c r="LUN1002" s="103"/>
      <c r="LUZ1002" s="104"/>
      <c r="LVA1002" s="103"/>
      <c r="LVM1002" s="104"/>
      <c r="LVN1002" s="103"/>
      <c r="LVZ1002" s="104"/>
      <c r="LWA1002" s="103"/>
      <c r="LWM1002" s="104"/>
      <c r="LWN1002" s="103"/>
      <c r="LWZ1002" s="104"/>
      <c r="LXA1002" s="103"/>
      <c r="LXM1002" s="104"/>
      <c r="LXN1002" s="103"/>
      <c r="LXZ1002" s="104"/>
      <c r="LYA1002" s="103"/>
      <c r="LYM1002" s="104"/>
      <c r="LYN1002" s="103"/>
      <c r="LYZ1002" s="104"/>
      <c r="LZA1002" s="103"/>
      <c r="LZM1002" s="104"/>
      <c r="LZN1002" s="103"/>
      <c r="LZZ1002" s="104"/>
      <c r="MAA1002" s="103"/>
      <c r="MAM1002" s="104"/>
      <c r="MAN1002" s="103"/>
      <c r="MAZ1002" s="104"/>
      <c r="MBA1002" s="103"/>
      <c r="MBM1002" s="104"/>
      <c r="MBN1002" s="103"/>
      <c r="MBZ1002" s="104"/>
      <c r="MCA1002" s="103"/>
      <c r="MCM1002" s="104"/>
      <c r="MCN1002" s="103"/>
      <c r="MCZ1002" s="104"/>
      <c r="MDA1002" s="103"/>
      <c r="MDM1002" s="104"/>
      <c r="MDN1002" s="103"/>
      <c r="MDZ1002" s="104"/>
      <c r="MEA1002" s="103"/>
      <c r="MEM1002" s="104"/>
      <c r="MEN1002" s="103"/>
      <c r="MEZ1002" s="104"/>
      <c r="MFA1002" s="103"/>
      <c r="MFM1002" s="104"/>
      <c r="MFN1002" s="103"/>
      <c r="MFZ1002" s="104"/>
      <c r="MGA1002" s="103"/>
      <c r="MGM1002" s="104"/>
      <c r="MGN1002" s="103"/>
      <c r="MGZ1002" s="104"/>
      <c r="MHA1002" s="103"/>
      <c r="MHM1002" s="104"/>
      <c r="MHN1002" s="103"/>
      <c r="MHZ1002" s="104"/>
      <c r="MIA1002" s="103"/>
      <c r="MIM1002" s="104"/>
      <c r="MIN1002" s="103"/>
      <c r="MIZ1002" s="104"/>
      <c r="MJA1002" s="103"/>
      <c r="MJM1002" s="104"/>
      <c r="MJN1002" s="103"/>
      <c r="MJZ1002" s="104"/>
      <c r="MKA1002" s="103"/>
      <c r="MKM1002" s="104"/>
      <c r="MKN1002" s="103"/>
      <c r="MKZ1002" s="104"/>
      <c r="MLA1002" s="103"/>
      <c r="MLM1002" s="104"/>
      <c r="MLN1002" s="103"/>
      <c r="MLZ1002" s="104"/>
      <c r="MMA1002" s="103"/>
      <c r="MMM1002" s="104"/>
      <c r="MMN1002" s="103"/>
      <c r="MMZ1002" s="104"/>
      <c r="MNA1002" s="103"/>
      <c r="MNM1002" s="104"/>
      <c r="MNN1002" s="103"/>
      <c r="MNZ1002" s="104"/>
      <c r="MOA1002" s="103"/>
      <c r="MOM1002" s="104"/>
      <c r="MON1002" s="103"/>
      <c r="MOZ1002" s="104"/>
      <c r="MPA1002" s="103"/>
      <c r="MPM1002" s="104"/>
      <c r="MPN1002" s="103"/>
      <c r="MPZ1002" s="104"/>
      <c r="MQA1002" s="103"/>
      <c r="MQM1002" s="104"/>
      <c r="MQN1002" s="103"/>
      <c r="MQZ1002" s="104"/>
      <c r="MRA1002" s="103"/>
      <c r="MRM1002" s="104"/>
      <c r="MRN1002" s="103"/>
      <c r="MRZ1002" s="104"/>
      <c r="MSA1002" s="103"/>
      <c r="MSM1002" s="104"/>
      <c r="MSN1002" s="103"/>
      <c r="MSZ1002" s="104"/>
      <c r="MTA1002" s="103"/>
      <c r="MTM1002" s="104"/>
      <c r="MTN1002" s="103"/>
      <c r="MTZ1002" s="104"/>
      <c r="MUA1002" s="103"/>
      <c r="MUM1002" s="104"/>
      <c r="MUN1002" s="103"/>
      <c r="MUZ1002" s="104"/>
      <c r="MVA1002" s="103"/>
      <c r="MVM1002" s="104"/>
      <c r="MVN1002" s="103"/>
      <c r="MVZ1002" s="104"/>
      <c r="MWA1002" s="103"/>
      <c r="MWM1002" s="104"/>
      <c r="MWN1002" s="103"/>
      <c r="MWZ1002" s="104"/>
      <c r="MXA1002" s="103"/>
      <c r="MXM1002" s="104"/>
      <c r="MXN1002" s="103"/>
      <c r="MXZ1002" s="104"/>
      <c r="MYA1002" s="103"/>
      <c r="MYM1002" s="104"/>
      <c r="MYN1002" s="103"/>
      <c r="MYZ1002" s="104"/>
      <c r="MZA1002" s="103"/>
      <c r="MZM1002" s="104"/>
      <c r="MZN1002" s="103"/>
      <c r="MZZ1002" s="104"/>
      <c r="NAA1002" s="103"/>
      <c r="NAM1002" s="104"/>
      <c r="NAN1002" s="103"/>
      <c r="NAZ1002" s="104"/>
      <c r="NBA1002" s="103"/>
      <c r="NBM1002" s="104"/>
      <c r="NBN1002" s="103"/>
      <c r="NBZ1002" s="104"/>
      <c r="NCA1002" s="103"/>
      <c r="NCM1002" s="104"/>
      <c r="NCN1002" s="103"/>
      <c r="NCZ1002" s="104"/>
      <c r="NDA1002" s="103"/>
      <c r="NDM1002" s="104"/>
      <c r="NDN1002" s="103"/>
      <c r="NDZ1002" s="104"/>
      <c r="NEA1002" s="103"/>
      <c r="NEM1002" s="104"/>
      <c r="NEN1002" s="103"/>
      <c r="NEZ1002" s="104"/>
      <c r="NFA1002" s="103"/>
      <c r="NFM1002" s="104"/>
      <c r="NFN1002" s="103"/>
      <c r="NFZ1002" s="104"/>
      <c r="NGA1002" s="103"/>
      <c r="NGM1002" s="104"/>
      <c r="NGN1002" s="103"/>
      <c r="NGZ1002" s="104"/>
      <c r="NHA1002" s="103"/>
      <c r="NHM1002" s="104"/>
      <c r="NHN1002" s="103"/>
      <c r="NHZ1002" s="104"/>
      <c r="NIA1002" s="103"/>
      <c r="NIM1002" s="104"/>
      <c r="NIN1002" s="103"/>
      <c r="NIZ1002" s="104"/>
      <c r="NJA1002" s="103"/>
      <c r="NJM1002" s="104"/>
      <c r="NJN1002" s="103"/>
      <c r="NJZ1002" s="104"/>
      <c r="NKA1002" s="103"/>
      <c r="NKM1002" s="104"/>
      <c r="NKN1002" s="103"/>
      <c r="NKZ1002" s="104"/>
      <c r="NLA1002" s="103"/>
      <c r="NLM1002" s="104"/>
      <c r="NLN1002" s="103"/>
      <c r="NLZ1002" s="104"/>
      <c r="NMA1002" s="103"/>
      <c r="NMM1002" s="104"/>
      <c r="NMN1002" s="103"/>
      <c r="NMZ1002" s="104"/>
      <c r="NNA1002" s="103"/>
      <c r="NNM1002" s="104"/>
      <c r="NNN1002" s="103"/>
      <c r="NNZ1002" s="104"/>
      <c r="NOA1002" s="103"/>
      <c r="NOM1002" s="104"/>
      <c r="NON1002" s="103"/>
      <c r="NOZ1002" s="104"/>
      <c r="NPA1002" s="103"/>
      <c r="NPM1002" s="104"/>
      <c r="NPN1002" s="103"/>
      <c r="NPZ1002" s="104"/>
      <c r="NQA1002" s="103"/>
      <c r="NQM1002" s="104"/>
      <c r="NQN1002" s="103"/>
      <c r="NQZ1002" s="104"/>
      <c r="NRA1002" s="103"/>
      <c r="NRM1002" s="104"/>
      <c r="NRN1002" s="103"/>
      <c r="NRZ1002" s="104"/>
      <c r="NSA1002" s="103"/>
      <c r="NSM1002" s="104"/>
      <c r="NSN1002" s="103"/>
      <c r="NSZ1002" s="104"/>
      <c r="NTA1002" s="103"/>
      <c r="NTM1002" s="104"/>
      <c r="NTN1002" s="103"/>
      <c r="NTZ1002" s="104"/>
      <c r="NUA1002" s="103"/>
      <c r="NUM1002" s="104"/>
      <c r="NUN1002" s="103"/>
      <c r="NUZ1002" s="104"/>
      <c r="NVA1002" s="103"/>
      <c r="NVM1002" s="104"/>
      <c r="NVN1002" s="103"/>
      <c r="NVZ1002" s="104"/>
      <c r="NWA1002" s="103"/>
      <c r="NWM1002" s="104"/>
      <c r="NWN1002" s="103"/>
      <c r="NWZ1002" s="104"/>
      <c r="NXA1002" s="103"/>
      <c r="NXM1002" s="104"/>
      <c r="NXN1002" s="103"/>
      <c r="NXZ1002" s="104"/>
      <c r="NYA1002" s="103"/>
      <c r="NYM1002" s="104"/>
      <c r="NYN1002" s="103"/>
      <c r="NYZ1002" s="104"/>
      <c r="NZA1002" s="103"/>
      <c r="NZM1002" s="104"/>
      <c r="NZN1002" s="103"/>
      <c r="NZZ1002" s="104"/>
      <c r="OAA1002" s="103"/>
      <c r="OAM1002" s="104"/>
      <c r="OAN1002" s="103"/>
      <c r="OAZ1002" s="104"/>
      <c r="OBA1002" s="103"/>
      <c r="OBM1002" s="104"/>
      <c r="OBN1002" s="103"/>
      <c r="OBZ1002" s="104"/>
      <c r="OCA1002" s="103"/>
      <c r="OCM1002" s="104"/>
      <c r="OCN1002" s="103"/>
      <c r="OCZ1002" s="104"/>
      <c r="ODA1002" s="103"/>
      <c r="ODM1002" s="104"/>
      <c r="ODN1002" s="103"/>
      <c r="ODZ1002" s="104"/>
      <c r="OEA1002" s="103"/>
      <c r="OEM1002" s="104"/>
      <c r="OEN1002" s="103"/>
      <c r="OEZ1002" s="104"/>
      <c r="OFA1002" s="103"/>
      <c r="OFM1002" s="104"/>
      <c r="OFN1002" s="103"/>
      <c r="OFZ1002" s="104"/>
      <c r="OGA1002" s="103"/>
      <c r="OGM1002" s="104"/>
      <c r="OGN1002" s="103"/>
      <c r="OGZ1002" s="104"/>
      <c r="OHA1002" s="103"/>
      <c r="OHM1002" s="104"/>
      <c r="OHN1002" s="103"/>
      <c r="OHZ1002" s="104"/>
      <c r="OIA1002" s="103"/>
      <c r="OIM1002" s="104"/>
      <c r="OIN1002" s="103"/>
      <c r="OIZ1002" s="104"/>
      <c r="OJA1002" s="103"/>
      <c r="OJM1002" s="104"/>
      <c r="OJN1002" s="103"/>
      <c r="OJZ1002" s="104"/>
      <c r="OKA1002" s="103"/>
      <c r="OKM1002" s="104"/>
      <c r="OKN1002" s="103"/>
      <c r="OKZ1002" s="104"/>
      <c r="OLA1002" s="103"/>
      <c r="OLM1002" s="104"/>
      <c r="OLN1002" s="103"/>
      <c r="OLZ1002" s="104"/>
      <c r="OMA1002" s="103"/>
      <c r="OMM1002" s="104"/>
      <c r="OMN1002" s="103"/>
      <c r="OMZ1002" s="104"/>
      <c r="ONA1002" s="103"/>
      <c r="ONM1002" s="104"/>
      <c r="ONN1002" s="103"/>
      <c r="ONZ1002" s="104"/>
      <c r="OOA1002" s="103"/>
      <c r="OOM1002" s="104"/>
      <c r="OON1002" s="103"/>
      <c r="OOZ1002" s="104"/>
      <c r="OPA1002" s="103"/>
      <c r="OPM1002" s="104"/>
      <c r="OPN1002" s="103"/>
      <c r="OPZ1002" s="104"/>
      <c r="OQA1002" s="103"/>
      <c r="OQM1002" s="104"/>
      <c r="OQN1002" s="103"/>
      <c r="OQZ1002" s="104"/>
      <c r="ORA1002" s="103"/>
      <c r="ORM1002" s="104"/>
      <c r="ORN1002" s="103"/>
      <c r="ORZ1002" s="104"/>
      <c r="OSA1002" s="103"/>
      <c r="OSM1002" s="104"/>
      <c r="OSN1002" s="103"/>
      <c r="OSZ1002" s="104"/>
      <c r="OTA1002" s="103"/>
      <c r="OTM1002" s="104"/>
      <c r="OTN1002" s="103"/>
      <c r="OTZ1002" s="104"/>
      <c r="OUA1002" s="103"/>
      <c r="OUM1002" s="104"/>
      <c r="OUN1002" s="103"/>
      <c r="OUZ1002" s="104"/>
      <c r="OVA1002" s="103"/>
      <c r="OVM1002" s="104"/>
      <c r="OVN1002" s="103"/>
      <c r="OVZ1002" s="104"/>
      <c r="OWA1002" s="103"/>
      <c r="OWM1002" s="104"/>
      <c r="OWN1002" s="103"/>
      <c r="OWZ1002" s="104"/>
      <c r="OXA1002" s="103"/>
      <c r="OXM1002" s="104"/>
      <c r="OXN1002" s="103"/>
      <c r="OXZ1002" s="104"/>
      <c r="OYA1002" s="103"/>
      <c r="OYM1002" s="104"/>
      <c r="OYN1002" s="103"/>
      <c r="OYZ1002" s="104"/>
      <c r="OZA1002" s="103"/>
      <c r="OZM1002" s="104"/>
      <c r="OZN1002" s="103"/>
      <c r="OZZ1002" s="104"/>
      <c r="PAA1002" s="103"/>
      <c r="PAM1002" s="104"/>
      <c r="PAN1002" s="103"/>
      <c r="PAZ1002" s="104"/>
      <c r="PBA1002" s="103"/>
      <c r="PBM1002" s="104"/>
      <c r="PBN1002" s="103"/>
      <c r="PBZ1002" s="104"/>
      <c r="PCA1002" s="103"/>
      <c r="PCM1002" s="104"/>
      <c r="PCN1002" s="103"/>
      <c r="PCZ1002" s="104"/>
      <c r="PDA1002" s="103"/>
      <c r="PDM1002" s="104"/>
      <c r="PDN1002" s="103"/>
      <c r="PDZ1002" s="104"/>
      <c r="PEA1002" s="103"/>
      <c r="PEM1002" s="104"/>
      <c r="PEN1002" s="103"/>
      <c r="PEZ1002" s="104"/>
      <c r="PFA1002" s="103"/>
      <c r="PFM1002" s="104"/>
      <c r="PFN1002" s="103"/>
      <c r="PFZ1002" s="104"/>
      <c r="PGA1002" s="103"/>
      <c r="PGM1002" s="104"/>
      <c r="PGN1002" s="103"/>
      <c r="PGZ1002" s="104"/>
      <c r="PHA1002" s="103"/>
      <c r="PHM1002" s="104"/>
      <c r="PHN1002" s="103"/>
      <c r="PHZ1002" s="104"/>
      <c r="PIA1002" s="103"/>
      <c r="PIM1002" s="104"/>
      <c r="PIN1002" s="103"/>
      <c r="PIZ1002" s="104"/>
      <c r="PJA1002" s="103"/>
      <c r="PJM1002" s="104"/>
      <c r="PJN1002" s="103"/>
      <c r="PJZ1002" s="104"/>
      <c r="PKA1002" s="103"/>
      <c r="PKM1002" s="104"/>
      <c r="PKN1002" s="103"/>
      <c r="PKZ1002" s="104"/>
      <c r="PLA1002" s="103"/>
      <c r="PLM1002" s="104"/>
      <c r="PLN1002" s="103"/>
      <c r="PLZ1002" s="104"/>
      <c r="PMA1002" s="103"/>
      <c r="PMM1002" s="104"/>
      <c r="PMN1002" s="103"/>
      <c r="PMZ1002" s="104"/>
      <c r="PNA1002" s="103"/>
      <c r="PNM1002" s="104"/>
      <c r="PNN1002" s="103"/>
      <c r="PNZ1002" s="104"/>
      <c r="POA1002" s="103"/>
      <c r="POM1002" s="104"/>
      <c r="PON1002" s="103"/>
      <c r="POZ1002" s="104"/>
      <c r="PPA1002" s="103"/>
      <c r="PPM1002" s="104"/>
      <c r="PPN1002" s="103"/>
      <c r="PPZ1002" s="104"/>
      <c r="PQA1002" s="103"/>
      <c r="PQM1002" s="104"/>
      <c r="PQN1002" s="103"/>
      <c r="PQZ1002" s="104"/>
      <c r="PRA1002" s="103"/>
      <c r="PRM1002" s="104"/>
      <c r="PRN1002" s="103"/>
      <c r="PRZ1002" s="104"/>
      <c r="PSA1002" s="103"/>
      <c r="PSM1002" s="104"/>
      <c r="PSN1002" s="103"/>
      <c r="PSZ1002" s="104"/>
      <c r="PTA1002" s="103"/>
      <c r="PTM1002" s="104"/>
      <c r="PTN1002" s="103"/>
      <c r="PTZ1002" s="104"/>
      <c r="PUA1002" s="103"/>
      <c r="PUM1002" s="104"/>
      <c r="PUN1002" s="103"/>
      <c r="PUZ1002" s="104"/>
      <c r="PVA1002" s="103"/>
      <c r="PVM1002" s="104"/>
      <c r="PVN1002" s="103"/>
      <c r="PVZ1002" s="104"/>
      <c r="PWA1002" s="103"/>
      <c r="PWM1002" s="104"/>
      <c r="PWN1002" s="103"/>
      <c r="PWZ1002" s="104"/>
      <c r="PXA1002" s="103"/>
      <c r="PXM1002" s="104"/>
      <c r="PXN1002" s="103"/>
      <c r="PXZ1002" s="104"/>
      <c r="PYA1002" s="103"/>
      <c r="PYM1002" s="104"/>
      <c r="PYN1002" s="103"/>
      <c r="PYZ1002" s="104"/>
      <c r="PZA1002" s="103"/>
      <c r="PZM1002" s="104"/>
      <c r="PZN1002" s="103"/>
      <c r="PZZ1002" s="104"/>
      <c r="QAA1002" s="103"/>
      <c r="QAM1002" s="104"/>
      <c r="QAN1002" s="103"/>
      <c r="QAZ1002" s="104"/>
      <c r="QBA1002" s="103"/>
      <c r="QBM1002" s="104"/>
      <c r="QBN1002" s="103"/>
      <c r="QBZ1002" s="104"/>
      <c r="QCA1002" s="103"/>
      <c r="QCM1002" s="104"/>
      <c r="QCN1002" s="103"/>
      <c r="QCZ1002" s="104"/>
      <c r="QDA1002" s="103"/>
      <c r="QDM1002" s="104"/>
      <c r="QDN1002" s="103"/>
      <c r="QDZ1002" s="104"/>
      <c r="QEA1002" s="103"/>
      <c r="QEM1002" s="104"/>
      <c r="QEN1002" s="103"/>
      <c r="QEZ1002" s="104"/>
      <c r="QFA1002" s="103"/>
      <c r="QFM1002" s="104"/>
      <c r="QFN1002" s="103"/>
      <c r="QFZ1002" s="104"/>
      <c r="QGA1002" s="103"/>
      <c r="QGM1002" s="104"/>
      <c r="QGN1002" s="103"/>
      <c r="QGZ1002" s="104"/>
      <c r="QHA1002" s="103"/>
      <c r="QHM1002" s="104"/>
      <c r="QHN1002" s="103"/>
      <c r="QHZ1002" s="104"/>
      <c r="QIA1002" s="103"/>
      <c r="QIM1002" s="104"/>
      <c r="QIN1002" s="103"/>
      <c r="QIZ1002" s="104"/>
      <c r="QJA1002" s="103"/>
      <c r="QJM1002" s="104"/>
      <c r="QJN1002" s="103"/>
      <c r="QJZ1002" s="104"/>
      <c r="QKA1002" s="103"/>
      <c r="QKM1002" s="104"/>
      <c r="QKN1002" s="103"/>
      <c r="QKZ1002" s="104"/>
      <c r="QLA1002" s="103"/>
      <c r="QLM1002" s="104"/>
      <c r="QLN1002" s="103"/>
      <c r="QLZ1002" s="104"/>
      <c r="QMA1002" s="103"/>
      <c r="QMM1002" s="104"/>
      <c r="QMN1002" s="103"/>
      <c r="QMZ1002" s="104"/>
      <c r="QNA1002" s="103"/>
      <c r="QNM1002" s="104"/>
      <c r="QNN1002" s="103"/>
      <c r="QNZ1002" s="104"/>
      <c r="QOA1002" s="103"/>
      <c r="QOM1002" s="104"/>
      <c r="QON1002" s="103"/>
      <c r="QOZ1002" s="104"/>
      <c r="QPA1002" s="103"/>
      <c r="QPM1002" s="104"/>
      <c r="QPN1002" s="103"/>
      <c r="QPZ1002" s="104"/>
      <c r="QQA1002" s="103"/>
      <c r="QQM1002" s="104"/>
      <c r="QQN1002" s="103"/>
      <c r="QQZ1002" s="104"/>
      <c r="QRA1002" s="103"/>
      <c r="QRM1002" s="104"/>
      <c r="QRN1002" s="103"/>
      <c r="QRZ1002" s="104"/>
      <c r="QSA1002" s="103"/>
      <c r="QSM1002" s="104"/>
      <c r="QSN1002" s="103"/>
      <c r="QSZ1002" s="104"/>
      <c r="QTA1002" s="103"/>
      <c r="QTM1002" s="104"/>
      <c r="QTN1002" s="103"/>
      <c r="QTZ1002" s="104"/>
      <c r="QUA1002" s="103"/>
      <c r="QUM1002" s="104"/>
      <c r="QUN1002" s="103"/>
      <c r="QUZ1002" s="104"/>
      <c r="QVA1002" s="103"/>
      <c r="QVM1002" s="104"/>
      <c r="QVN1002" s="103"/>
      <c r="QVZ1002" s="104"/>
      <c r="QWA1002" s="103"/>
      <c r="QWM1002" s="104"/>
      <c r="QWN1002" s="103"/>
      <c r="QWZ1002" s="104"/>
      <c r="QXA1002" s="103"/>
      <c r="QXM1002" s="104"/>
      <c r="QXN1002" s="103"/>
      <c r="QXZ1002" s="104"/>
      <c r="QYA1002" s="103"/>
      <c r="QYM1002" s="104"/>
      <c r="QYN1002" s="103"/>
      <c r="QYZ1002" s="104"/>
      <c r="QZA1002" s="103"/>
      <c r="QZM1002" s="104"/>
      <c r="QZN1002" s="103"/>
      <c r="QZZ1002" s="104"/>
      <c r="RAA1002" s="103"/>
      <c r="RAM1002" s="104"/>
      <c r="RAN1002" s="103"/>
      <c r="RAZ1002" s="104"/>
      <c r="RBA1002" s="103"/>
      <c r="RBM1002" s="104"/>
      <c r="RBN1002" s="103"/>
      <c r="RBZ1002" s="104"/>
      <c r="RCA1002" s="103"/>
      <c r="RCM1002" s="104"/>
      <c r="RCN1002" s="103"/>
      <c r="RCZ1002" s="104"/>
      <c r="RDA1002" s="103"/>
      <c r="RDM1002" s="104"/>
      <c r="RDN1002" s="103"/>
      <c r="RDZ1002" s="104"/>
      <c r="REA1002" s="103"/>
      <c r="REM1002" s="104"/>
      <c r="REN1002" s="103"/>
      <c r="REZ1002" s="104"/>
      <c r="RFA1002" s="103"/>
      <c r="RFM1002" s="104"/>
      <c r="RFN1002" s="103"/>
      <c r="RFZ1002" s="104"/>
      <c r="RGA1002" s="103"/>
      <c r="RGM1002" s="104"/>
      <c r="RGN1002" s="103"/>
      <c r="RGZ1002" s="104"/>
      <c r="RHA1002" s="103"/>
      <c r="RHM1002" s="104"/>
      <c r="RHN1002" s="103"/>
      <c r="RHZ1002" s="104"/>
      <c r="RIA1002" s="103"/>
      <c r="RIM1002" s="104"/>
      <c r="RIN1002" s="103"/>
      <c r="RIZ1002" s="104"/>
      <c r="RJA1002" s="103"/>
      <c r="RJM1002" s="104"/>
      <c r="RJN1002" s="103"/>
      <c r="RJZ1002" s="104"/>
      <c r="RKA1002" s="103"/>
      <c r="RKM1002" s="104"/>
      <c r="RKN1002" s="103"/>
      <c r="RKZ1002" s="104"/>
      <c r="RLA1002" s="103"/>
      <c r="RLM1002" s="104"/>
      <c r="RLN1002" s="103"/>
      <c r="RLZ1002" s="104"/>
      <c r="RMA1002" s="103"/>
      <c r="RMM1002" s="104"/>
      <c r="RMN1002" s="103"/>
      <c r="RMZ1002" s="104"/>
      <c r="RNA1002" s="103"/>
      <c r="RNM1002" s="104"/>
      <c r="RNN1002" s="103"/>
      <c r="RNZ1002" s="104"/>
      <c r="ROA1002" s="103"/>
      <c r="ROM1002" s="104"/>
      <c r="RON1002" s="103"/>
      <c r="ROZ1002" s="104"/>
      <c r="RPA1002" s="103"/>
      <c r="RPM1002" s="104"/>
      <c r="RPN1002" s="103"/>
      <c r="RPZ1002" s="104"/>
      <c r="RQA1002" s="103"/>
      <c r="RQM1002" s="104"/>
      <c r="RQN1002" s="103"/>
      <c r="RQZ1002" s="104"/>
      <c r="RRA1002" s="103"/>
      <c r="RRM1002" s="104"/>
      <c r="RRN1002" s="103"/>
      <c r="RRZ1002" s="104"/>
      <c r="RSA1002" s="103"/>
      <c r="RSM1002" s="104"/>
      <c r="RSN1002" s="103"/>
      <c r="RSZ1002" s="104"/>
      <c r="RTA1002" s="103"/>
      <c r="RTM1002" s="104"/>
      <c r="RTN1002" s="103"/>
      <c r="RTZ1002" s="104"/>
      <c r="RUA1002" s="103"/>
      <c r="RUM1002" s="104"/>
      <c r="RUN1002" s="103"/>
      <c r="RUZ1002" s="104"/>
      <c r="RVA1002" s="103"/>
      <c r="RVM1002" s="104"/>
      <c r="RVN1002" s="103"/>
      <c r="RVZ1002" s="104"/>
      <c r="RWA1002" s="103"/>
      <c r="RWM1002" s="104"/>
      <c r="RWN1002" s="103"/>
      <c r="RWZ1002" s="104"/>
      <c r="RXA1002" s="103"/>
      <c r="RXM1002" s="104"/>
      <c r="RXN1002" s="103"/>
      <c r="RXZ1002" s="104"/>
      <c r="RYA1002" s="103"/>
      <c r="RYM1002" s="104"/>
      <c r="RYN1002" s="103"/>
      <c r="RYZ1002" s="104"/>
      <c r="RZA1002" s="103"/>
      <c r="RZM1002" s="104"/>
      <c r="RZN1002" s="103"/>
      <c r="RZZ1002" s="104"/>
      <c r="SAA1002" s="103"/>
      <c r="SAM1002" s="104"/>
      <c r="SAN1002" s="103"/>
      <c r="SAZ1002" s="104"/>
      <c r="SBA1002" s="103"/>
      <c r="SBM1002" s="104"/>
      <c r="SBN1002" s="103"/>
      <c r="SBZ1002" s="104"/>
      <c r="SCA1002" s="103"/>
      <c r="SCM1002" s="104"/>
      <c r="SCN1002" s="103"/>
      <c r="SCZ1002" s="104"/>
      <c r="SDA1002" s="103"/>
      <c r="SDM1002" s="104"/>
      <c r="SDN1002" s="103"/>
      <c r="SDZ1002" s="104"/>
      <c r="SEA1002" s="103"/>
      <c r="SEM1002" s="104"/>
      <c r="SEN1002" s="103"/>
      <c r="SEZ1002" s="104"/>
      <c r="SFA1002" s="103"/>
      <c r="SFM1002" s="104"/>
      <c r="SFN1002" s="103"/>
      <c r="SFZ1002" s="104"/>
      <c r="SGA1002" s="103"/>
      <c r="SGM1002" s="104"/>
      <c r="SGN1002" s="103"/>
      <c r="SGZ1002" s="104"/>
      <c r="SHA1002" s="103"/>
      <c r="SHM1002" s="104"/>
      <c r="SHN1002" s="103"/>
      <c r="SHZ1002" s="104"/>
      <c r="SIA1002" s="103"/>
      <c r="SIM1002" s="104"/>
      <c r="SIN1002" s="103"/>
      <c r="SIZ1002" s="104"/>
      <c r="SJA1002" s="103"/>
      <c r="SJM1002" s="104"/>
      <c r="SJN1002" s="103"/>
      <c r="SJZ1002" s="104"/>
      <c r="SKA1002" s="103"/>
      <c r="SKM1002" s="104"/>
      <c r="SKN1002" s="103"/>
      <c r="SKZ1002" s="104"/>
      <c r="SLA1002" s="103"/>
      <c r="SLM1002" s="104"/>
      <c r="SLN1002" s="103"/>
      <c r="SLZ1002" s="104"/>
      <c r="SMA1002" s="103"/>
      <c r="SMM1002" s="104"/>
      <c r="SMN1002" s="103"/>
      <c r="SMZ1002" s="104"/>
      <c r="SNA1002" s="103"/>
      <c r="SNM1002" s="104"/>
      <c r="SNN1002" s="103"/>
      <c r="SNZ1002" s="104"/>
      <c r="SOA1002" s="103"/>
      <c r="SOM1002" s="104"/>
      <c r="SON1002" s="103"/>
      <c r="SOZ1002" s="104"/>
      <c r="SPA1002" s="103"/>
      <c r="SPM1002" s="104"/>
      <c r="SPN1002" s="103"/>
      <c r="SPZ1002" s="104"/>
      <c r="SQA1002" s="103"/>
      <c r="SQM1002" s="104"/>
      <c r="SQN1002" s="103"/>
      <c r="SQZ1002" s="104"/>
      <c r="SRA1002" s="103"/>
      <c r="SRM1002" s="104"/>
      <c r="SRN1002" s="103"/>
      <c r="SRZ1002" s="104"/>
      <c r="SSA1002" s="103"/>
      <c r="SSM1002" s="104"/>
      <c r="SSN1002" s="103"/>
      <c r="SSZ1002" s="104"/>
      <c r="STA1002" s="103"/>
      <c r="STM1002" s="104"/>
      <c r="STN1002" s="103"/>
      <c r="STZ1002" s="104"/>
      <c r="SUA1002" s="103"/>
      <c r="SUM1002" s="104"/>
      <c r="SUN1002" s="103"/>
      <c r="SUZ1002" s="104"/>
      <c r="SVA1002" s="103"/>
      <c r="SVM1002" s="104"/>
      <c r="SVN1002" s="103"/>
      <c r="SVZ1002" s="104"/>
      <c r="SWA1002" s="103"/>
      <c r="SWM1002" s="104"/>
      <c r="SWN1002" s="103"/>
      <c r="SWZ1002" s="104"/>
      <c r="SXA1002" s="103"/>
      <c r="SXM1002" s="104"/>
      <c r="SXN1002" s="103"/>
      <c r="SXZ1002" s="104"/>
      <c r="SYA1002" s="103"/>
      <c r="SYM1002" s="104"/>
      <c r="SYN1002" s="103"/>
      <c r="SYZ1002" s="104"/>
      <c r="SZA1002" s="103"/>
      <c r="SZM1002" s="104"/>
      <c r="SZN1002" s="103"/>
      <c r="SZZ1002" s="104"/>
      <c r="TAA1002" s="103"/>
      <c r="TAM1002" s="104"/>
      <c r="TAN1002" s="103"/>
      <c r="TAZ1002" s="104"/>
      <c r="TBA1002" s="103"/>
      <c r="TBM1002" s="104"/>
      <c r="TBN1002" s="103"/>
      <c r="TBZ1002" s="104"/>
      <c r="TCA1002" s="103"/>
      <c r="TCM1002" s="104"/>
      <c r="TCN1002" s="103"/>
      <c r="TCZ1002" s="104"/>
      <c r="TDA1002" s="103"/>
      <c r="TDM1002" s="104"/>
      <c r="TDN1002" s="103"/>
      <c r="TDZ1002" s="104"/>
      <c r="TEA1002" s="103"/>
      <c r="TEM1002" s="104"/>
      <c r="TEN1002" s="103"/>
      <c r="TEZ1002" s="104"/>
      <c r="TFA1002" s="103"/>
      <c r="TFM1002" s="104"/>
      <c r="TFN1002" s="103"/>
      <c r="TFZ1002" s="104"/>
      <c r="TGA1002" s="103"/>
      <c r="TGM1002" s="104"/>
      <c r="TGN1002" s="103"/>
      <c r="TGZ1002" s="104"/>
      <c r="THA1002" s="103"/>
      <c r="THM1002" s="104"/>
      <c r="THN1002" s="103"/>
      <c r="THZ1002" s="104"/>
      <c r="TIA1002" s="103"/>
      <c r="TIM1002" s="104"/>
      <c r="TIN1002" s="103"/>
      <c r="TIZ1002" s="104"/>
      <c r="TJA1002" s="103"/>
      <c r="TJM1002" s="104"/>
      <c r="TJN1002" s="103"/>
      <c r="TJZ1002" s="104"/>
      <c r="TKA1002" s="103"/>
      <c r="TKM1002" s="104"/>
      <c r="TKN1002" s="103"/>
      <c r="TKZ1002" s="104"/>
      <c r="TLA1002" s="103"/>
      <c r="TLM1002" s="104"/>
      <c r="TLN1002" s="103"/>
      <c r="TLZ1002" s="104"/>
      <c r="TMA1002" s="103"/>
      <c r="TMM1002" s="104"/>
      <c r="TMN1002" s="103"/>
      <c r="TMZ1002" s="104"/>
      <c r="TNA1002" s="103"/>
      <c r="TNM1002" s="104"/>
      <c r="TNN1002" s="103"/>
      <c r="TNZ1002" s="104"/>
      <c r="TOA1002" s="103"/>
      <c r="TOM1002" s="104"/>
      <c r="TON1002" s="103"/>
      <c r="TOZ1002" s="104"/>
      <c r="TPA1002" s="103"/>
      <c r="TPM1002" s="104"/>
      <c r="TPN1002" s="103"/>
      <c r="TPZ1002" s="104"/>
      <c r="TQA1002" s="103"/>
      <c r="TQM1002" s="104"/>
      <c r="TQN1002" s="103"/>
      <c r="TQZ1002" s="104"/>
      <c r="TRA1002" s="103"/>
      <c r="TRM1002" s="104"/>
      <c r="TRN1002" s="103"/>
      <c r="TRZ1002" s="104"/>
      <c r="TSA1002" s="103"/>
      <c r="TSM1002" s="104"/>
      <c r="TSN1002" s="103"/>
      <c r="TSZ1002" s="104"/>
      <c r="TTA1002" s="103"/>
      <c r="TTM1002" s="104"/>
      <c r="TTN1002" s="103"/>
      <c r="TTZ1002" s="104"/>
      <c r="TUA1002" s="103"/>
      <c r="TUM1002" s="104"/>
      <c r="TUN1002" s="103"/>
      <c r="TUZ1002" s="104"/>
      <c r="TVA1002" s="103"/>
      <c r="TVM1002" s="104"/>
      <c r="TVN1002" s="103"/>
      <c r="TVZ1002" s="104"/>
      <c r="TWA1002" s="103"/>
      <c r="TWM1002" s="104"/>
      <c r="TWN1002" s="103"/>
      <c r="TWZ1002" s="104"/>
      <c r="TXA1002" s="103"/>
      <c r="TXM1002" s="104"/>
      <c r="TXN1002" s="103"/>
      <c r="TXZ1002" s="104"/>
      <c r="TYA1002" s="103"/>
      <c r="TYM1002" s="104"/>
      <c r="TYN1002" s="103"/>
      <c r="TYZ1002" s="104"/>
      <c r="TZA1002" s="103"/>
      <c r="TZM1002" s="104"/>
      <c r="TZN1002" s="103"/>
      <c r="TZZ1002" s="104"/>
      <c r="UAA1002" s="103"/>
      <c r="UAM1002" s="104"/>
      <c r="UAN1002" s="103"/>
      <c r="UAZ1002" s="104"/>
      <c r="UBA1002" s="103"/>
      <c r="UBM1002" s="104"/>
      <c r="UBN1002" s="103"/>
      <c r="UBZ1002" s="104"/>
      <c r="UCA1002" s="103"/>
      <c r="UCM1002" s="104"/>
      <c r="UCN1002" s="103"/>
      <c r="UCZ1002" s="104"/>
      <c r="UDA1002" s="103"/>
      <c r="UDM1002" s="104"/>
      <c r="UDN1002" s="103"/>
      <c r="UDZ1002" s="104"/>
      <c r="UEA1002" s="103"/>
      <c r="UEM1002" s="104"/>
      <c r="UEN1002" s="103"/>
      <c r="UEZ1002" s="104"/>
      <c r="UFA1002" s="103"/>
      <c r="UFM1002" s="104"/>
      <c r="UFN1002" s="103"/>
      <c r="UFZ1002" s="104"/>
      <c r="UGA1002" s="103"/>
      <c r="UGM1002" s="104"/>
      <c r="UGN1002" s="103"/>
      <c r="UGZ1002" s="104"/>
      <c r="UHA1002" s="103"/>
      <c r="UHM1002" s="104"/>
      <c r="UHN1002" s="103"/>
      <c r="UHZ1002" s="104"/>
      <c r="UIA1002" s="103"/>
      <c r="UIM1002" s="104"/>
      <c r="UIN1002" s="103"/>
      <c r="UIZ1002" s="104"/>
      <c r="UJA1002" s="103"/>
      <c r="UJM1002" s="104"/>
      <c r="UJN1002" s="103"/>
      <c r="UJZ1002" s="104"/>
      <c r="UKA1002" s="103"/>
      <c r="UKM1002" s="104"/>
      <c r="UKN1002" s="103"/>
      <c r="UKZ1002" s="104"/>
      <c r="ULA1002" s="103"/>
      <c r="ULM1002" s="104"/>
      <c r="ULN1002" s="103"/>
      <c r="ULZ1002" s="104"/>
      <c r="UMA1002" s="103"/>
      <c r="UMM1002" s="104"/>
      <c r="UMN1002" s="103"/>
      <c r="UMZ1002" s="104"/>
      <c r="UNA1002" s="103"/>
      <c r="UNM1002" s="104"/>
      <c r="UNN1002" s="103"/>
      <c r="UNZ1002" s="104"/>
      <c r="UOA1002" s="103"/>
      <c r="UOM1002" s="104"/>
      <c r="UON1002" s="103"/>
      <c r="UOZ1002" s="104"/>
      <c r="UPA1002" s="103"/>
      <c r="UPM1002" s="104"/>
      <c r="UPN1002" s="103"/>
      <c r="UPZ1002" s="104"/>
      <c r="UQA1002" s="103"/>
      <c r="UQM1002" s="104"/>
      <c r="UQN1002" s="103"/>
      <c r="UQZ1002" s="104"/>
      <c r="URA1002" s="103"/>
      <c r="URM1002" s="104"/>
      <c r="URN1002" s="103"/>
      <c r="URZ1002" s="104"/>
      <c r="USA1002" s="103"/>
      <c r="USM1002" s="104"/>
      <c r="USN1002" s="103"/>
      <c r="USZ1002" s="104"/>
      <c r="UTA1002" s="103"/>
      <c r="UTM1002" s="104"/>
      <c r="UTN1002" s="103"/>
      <c r="UTZ1002" s="104"/>
      <c r="UUA1002" s="103"/>
      <c r="UUM1002" s="104"/>
      <c r="UUN1002" s="103"/>
      <c r="UUZ1002" s="104"/>
      <c r="UVA1002" s="103"/>
      <c r="UVM1002" s="104"/>
      <c r="UVN1002" s="103"/>
      <c r="UVZ1002" s="104"/>
      <c r="UWA1002" s="103"/>
      <c r="UWM1002" s="104"/>
      <c r="UWN1002" s="103"/>
      <c r="UWZ1002" s="104"/>
      <c r="UXA1002" s="103"/>
      <c r="UXM1002" s="104"/>
      <c r="UXN1002" s="103"/>
      <c r="UXZ1002" s="104"/>
      <c r="UYA1002" s="103"/>
      <c r="UYM1002" s="104"/>
      <c r="UYN1002" s="103"/>
      <c r="UYZ1002" s="104"/>
      <c r="UZA1002" s="103"/>
      <c r="UZM1002" s="104"/>
      <c r="UZN1002" s="103"/>
      <c r="UZZ1002" s="104"/>
      <c r="VAA1002" s="103"/>
      <c r="VAM1002" s="104"/>
      <c r="VAN1002" s="103"/>
      <c r="VAZ1002" s="104"/>
      <c r="VBA1002" s="103"/>
      <c r="VBM1002" s="104"/>
      <c r="VBN1002" s="103"/>
      <c r="VBZ1002" s="104"/>
      <c r="VCA1002" s="103"/>
      <c r="VCM1002" s="104"/>
      <c r="VCN1002" s="103"/>
      <c r="VCZ1002" s="104"/>
      <c r="VDA1002" s="103"/>
      <c r="VDM1002" s="104"/>
      <c r="VDN1002" s="103"/>
      <c r="VDZ1002" s="104"/>
      <c r="VEA1002" s="103"/>
      <c r="VEM1002" s="104"/>
      <c r="VEN1002" s="103"/>
      <c r="VEZ1002" s="104"/>
      <c r="VFA1002" s="103"/>
      <c r="VFM1002" s="104"/>
      <c r="VFN1002" s="103"/>
      <c r="VFZ1002" s="104"/>
      <c r="VGA1002" s="103"/>
      <c r="VGM1002" s="104"/>
      <c r="VGN1002" s="103"/>
      <c r="VGZ1002" s="104"/>
      <c r="VHA1002" s="103"/>
      <c r="VHM1002" s="104"/>
      <c r="VHN1002" s="103"/>
      <c r="VHZ1002" s="104"/>
      <c r="VIA1002" s="103"/>
      <c r="VIM1002" s="104"/>
      <c r="VIN1002" s="103"/>
      <c r="VIZ1002" s="104"/>
      <c r="VJA1002" s="103"/>
      <c r="VJM1002" s="104"/>
      <c r="VJN1002" s="103"/>
      <c r="VJZ1002" s="104"/>
      <c r="VKA1002" s="103"/>
      <c r="VKM1002" s="104"/>
      <c r="VKN1002" s="103"/>
      <c r="VKZ1002" s="104"/>
      <c r="VLA1002" s="103"/>
      <c r="VLM1002" s="104"/>
      <c r="VLN1002" s="103"/>
      <c r="VLZ1002" s="104"/>
      <c r="VMA1002" s="103"/>
      <c r="VMM1002" s="104"/>
      <c r="VMN1002" s="103"/>
      <c r="VMZ1002" s="104"/>
      <c r="VNA1002" s="103"/>
      <c r="VNM1002" s="104"/>
      <c r="VNN1002" s="103"/>
      <c r="VNZ1002" s="104"/>
      <c r="VOA1002" s="103"/>
      <c r="VOM1002" s="104"/>
      <c r="VON1002" s="103"/>
      <c r="VOZ1002" s="104"/>
      <c r="VPA1002" s="103"/>
      <c r="VPM1002" s="104"/>
      <c r="VPN1002" s="103"/>
      <c r="VPZ1002" s="104"/>
      <c r="VQA1002" s="103"/>
      <c r="VQM1002" s="104"/>
      <c r="VQN1002" s="103"/>
      <c r="VQZ1002" s="104"/>
      <c r="VRA1002" s="103"/>
      <c r="VRM1002" s="104"/>
      <c r="VRN1002" s="103"/>
      <c r="VRZ1002" s="104"/>
      <c r="VSA1002" s="103"/>
      <c r="VSM1002" s="104"/>
      <c r="VSN1002" s="103"/>
      <c r="VSZ1002" s="104"/>
      <c r="VTA1002" s="103"/>
      <c r="VTM1002" s="104"/>
      <c r="VTN1002" s="103"/>
      <c r="VTZ1002" s="104"/>
      <c r="VUA1002" s="103"/>
      <c r="VUM1002" s="104"/>
      <c r="VUN1002" s="103"/>
      <c r="VUZ1002" s="104"/>
      <c r="VVA1002" s="103"/>
      <c r="VVM1002" s="104"/>
      <c r="VVN1002" s="103"/>
      <c r="VVZ1002" s="104"/>
      <c r="VWA1002" s="103"/>
      <c r="VWM1002" s="104"/>
      <c r="VWN1002" s="103"/>
      <c r="VWZ1002" s="104"/>
      <c r="VXA1002" s="103"/>
      <c r="VXM1002" s="104"/>
      <c r="VXN1002" s="103"/>
      <c r="VXZ1002" s="104"/>
      <c r="VYA1002" s="103"/>
      <c r="VYM1002" s="104"/>
      <c r="VYN1002" s="103"/>
      <c r="VYZ1002" s="104"/>
      <c r="VZA1002" s="103"/>
      <c r="VZM1002" s="104"/>
      <c r="VZN1002" s="103"/>
      <c r="VZZ1002" s="104"/>
      <c r="WAA1002" s="103"/>
      <c r="WAM1002" s="104"/>
      <c r="WAN1002" s="103"/>
      <c r="WAZ1002" s="104"/>
      <c r="WBA1002" s="103"/>
      <c r="WBM1002" s="104"/>
      <c r="WBN1002" s="103"/>
      <c r="WBZ1002" s="104"/>
      <c r="WCA1002" s="103"/>
      <c r="WCM1002" s="104"/>
      <c r="WCN1002" s="103"/>
      <c r="WCZ1002" s="104"/>
      <c r="WDA1002" s="103"/>
      <c r="WDM1002" s="104"/>
      <c r="WDN1002" s="103"/>
      <c r="WDZ1002" s="104"/>
      <c r="WEA1002" s="103"/>
      <c r="WEM1002" s="104"/>
      <c r="WEN1002" s="103"/>
      <c r="WEZ1002" s="104"/>
      <c r="WFA1002" s="103"/>
      <c r="WFM1002" s="104"/>
      <c r="WFN1002" s="103"/>
      <c r="WFZ1002" s="104"/>
      <c r="WGA1002" s="103"/>
      <c r="WGM1002" s="104"/>
      <c r="WGN1002" s="103"/>
      <c r="WGZ1002" s="104"/>
      <c r="WHA1002" s="103"/>
      <c r="WHM1002" s="104"/>
      <c r="WHN1002" s="103"/>
      <c r="WHZ1002" s="104"/>
      <c r="WIA1002" s="103"/>
      <c r="WIM1002" s="104"/>
      <c r="WIN1002" s="103"/>
      <c r="WIZ1002" s="104"/>
      <c r="WJA1002" s="103"/>
      <c r="WJM1002" s="104"/>
      <c r="WJN1002" s="103"/>
      <c r="WJZ1002" s="104"/>
      <c r="WKA1002" s="103"/>
      <c r="WKM1002" s="104"/>
      <c r="WKN1002" s="103"/>
      <c r="WKZ1002" s="104"/>
      <c r="WLA1002" s="103"/>
      <c r="WLM1002" s="104"/>
      <c r="WLN1002" s="103"/>
      <c r="WLZ1002" s="104"/>
      <c r="WMA1002" s="103"/>
      <c r="WMM1002" s="104"/>
      <c r="WMN1002" s="103"/>
      <c r="WMZ1002" s="104"/>
      <c r="WNA1002" s="103"/>
      <c r="WNM1002" s="104"/>
      <c r="WNN1002" s="103"/>
      <c r="WNZ1002" s="104"/>
      <c r="WOA1002" s="103"/>
      <c r="WOM1002" s="104"/>
      <c r="WON1002" s="103"/>
      <c r="WOZ1002" s="104"/>
      <c r="WPA1002" s="103"/>
      <c r="WPM1002" s="104"/>
      <c r="WPN1002" s="103"/>
      <c r="WPZ1002" s="104"/>
      <c r="WQA1002" s="103"/>
      <c r="WQM1002" s="104"/>
      <c r="WQN1002" s="103"/>
      <c r="WQZ1002" s="104"/>
      <c r="WRA1002" s="103"/>
      <c r="WRM1002" s="104"/>
      <c r="WRN1002" s="103"/>
      <c r="WRZ1002" s="104"/>
      <c r="WSA1002" s="103"/>
      <c r="WSM1002" s="104"/>
      <c r="WSN1002" s="103"/>
      <c r="WSZ1002" s="104"/>
      <c r="WTA1002" s="103"/>
      <c r="WTM1002" s="104"/>
      <c r="WTN1002" s="103"/>
      <c r="WTZ1002" s="104"/>
      <c r="WUA1002" s="103"/>
      <c r="WUM1002" s="104"/>
      <c r="WUN1002" s="103"/>
      <c r="WUZ1002" s="104"/>
      <c r="WVA1002" s="103"/>
      <c r="WVM1002" s="104"/>
      <c r="WVN1002" s="103"/>
      <c r="WVZ1002" s="104"/>
      <c r="WWA1002" s="103"/>
      <c r="WWM1002" s="104"/>
      <c r="WWN1002" s="103"/>
      <c r="WWZ1002" s="104"/>
      <c r="WXA1002" s="103"/>
      <c r="WXM1002" s="104"/>
      <c r="WXN1002" s="103"/>
      <c r="WXZ1002" s="104"/>
      <c r="WYA1002" s="103"/>
      <c r="WYM1002" s="104"/>
      <c r="WYN1002" s="103"/>
      <c r="WYZ1002" s="104"/>
      <c r="WZA1002" s="103"/>
      <c r="WZM1002" s="104"/>
      <c r="WZN1002" s="103"/>
      <c r="WZZ1002" s="104"/>
      <c r="XAA1002" s="103"/>
      <c r="XAM1002" s="104"/>
      <c r="XAN1002" s="103"/>
      <c r="XAZ1002" s="104"/>
      <c r="XBA1002" s="103"/>
      <c r="XBM1002" s="104"/>
      <c r="XBN1002" s="103"/>
      <c r="XBZ1002" s="104"/>
      <c r="XCA1002" s="103"/>
      <c r="XCM1002" s="104"/>
      <c r="XCN1002" s="103"/>
      <c r="XCZ1002" s="104"/>
      <c r="XDA1002" s="103"/>
      <c r="XDM1002" s="104"/>
      <c r="XDN1002" s="103"/>
      <c r="XDZ1002" s="104"/>
      <c r="XEA1002" s="103"/>
      <c r="XEM1002" s="104"/>
      <c r="XEN1002" s="103"/>
      <c r="XEZ1002" s="104"/>
      <c r="XFA1002" s="103"/>
    </row>
    <row r="1003" spans="1:1015 1027:2042 2054:3069 3081:4096 4108:5110 5122:6137 6149:7164 7176:8191 8203:9205 9217:10232 10244:11259 11271:12286 12298:14327 14339:15354 15366:16381">
      <c r="B1003" s="107" t="s">
        <v>162</v>
      </c>
      <c r="C1003" s="106"/>
      <c r="AM1003" s="104"/>
      <c r="AN1003" s="103"/>
      <c r="AZ1003" s="104"/>
      <c r="BA1003" s="103"/>
      <c r="BM1003" s="104"/>
      <c r="BN1003" s="103"/>
      <c r="BZ1003" s="104"/>
      <c r="CA1003" s="103"/>
      <c r="CM1003" s="104"/>
      <c r="CN1003" s="103"/>
      <c r="CZ1003" s="104"/>
      <c r="DA1003" s="103"/>
      <c r="DM1003" s="104"/>
      <c r="DN1003" s="103"/>
      <c r="DZ1003" s="104"/>
      <c r="EA1003" s="103"/>
      <c r="EM1003" s="104"/>
      <c r="EN1003" s="103"/>
      <c r="EZ1003" s="104"/>
      <c r="FA1003" s="103"/>
      <c r="FM1003" s="104"/>
      <c r="FN1003" s="103"/>
      <c r="FZ1003" s="104"/>
      <c r="GA1003" s="103"/>
      <c r="GM1003" s="104"/>
      <c r="GN1003" s="103"/>
      <c r="GZ1003" s="104"/>
      <c r="HA1003" s="103"/>
      <c r="HM1003" s="104"/>
      <c r="HN1003" s="103"/>
      <c r="HZ1003" s="104"/>
      <c r="IA1003" s="103"/>
      <c r="IM1003" s="104"/>
      <c r="IN1003" s="103"/>
      <c r="IZ1003" s="104"/>
      <c r="JA1003" s="103"/>
      <c r="JM1003" s="104"/>
      <c r="JN1003" s="103"/>
      <c r="JZ1003" s="104"/>
      <c r="KA1003" s="103"/>
      <c r="KM1003" s="104"/>
      <c r="KN1003" s="103"/>
      <c r="KZ1003" s="104"/>
      <c r="LA1003" s="103"/>
      <c r="LM1003" s="104"/>
      <c r="LN1003" s="103"/>
      <c r="LZ1003" s="104"/>
      <c r="MA1003" s="103"/>
      <c r="MM1003" s="104"/>
      <c r="MN1003" s="103"/>
      <c r="MZ1003" s="104"/>
      <c r="NA1003" s="103"/>
      <c r="NM1003" s="104"/>
      <c r="NN1003" s="103"/>
      <c r="NZ1003" s="104"/>
      <c r="OA1003" s="103"/>
      <c r="OM1003" s="104"/>
      <c r="ON1003" s="103"/>
      <c r="OZ1003" s="104"/>
      <c r="PA1003" s="103"/>
      <c r="PM1003" s="104"/>
      <c r="PN1003" s="103"/>
      <c r="PZ1003" s="104"/>
      <c r="QA1003" s="103"/>
      <c r="QM1003" s="104"/>
      <c r="QN1003" s="103"/>
      <c r="QZ1003" s="104"/>
      <c r="RA1003" s="103"/>
      <c r="RM1003" s="104"/>
      <c r="RN1003" s="103"/>
      <c r="RZ1003" s="104"/>
      <c r="SA1003" s="103"/>
      <c r="SM1003" s="104"/>
      <c r="SN1003" s="103"/>
      <c r="SZ1003" s="104"/>
      <c r="TA1003" s="103"/>
      <c r="TM1003" s="104"/>
      <c r="TN1003" s="103"/>
      <c r="TZ1003" s="104"/>
      <c r="UA1003" s="103"/>
      <c r="UM1003" s="104"/>
      <c r="UN1003" s="103"/>
      <c r="UZ1003" s="104"/>
      <c r="VA1003" s="103"/>
      <c r="VM1003" s="104"/>
      <c r="VN1003" s="103"/>
      <c r="VZ1003" s="104"/>
      <c r="WA1003" s="103"/>
      <c r="WM1003" s="104"/>
      <c r="WN1003" s="103"/>
      <c r="WZ1003" s="104"/>
      <c r="XA1003" s="103"/>
      <c r="XM1003" s="104"/>
      <c r="XN1003" s="103"/>
      <c r="XZ1003" s="104"/>
      <c r="YA1003" s="103"/>
      <c r="YM1003" s="104"/>
      <c r="YN1003" s="103"/>
      <c r="YZ1003" s="104"/>
      <c r="ZA1003" s="103"/>
      <c r="ZM1003" s="104"/>
      <c r="ZN1003" s="103"/>
      <c r="ZZ1003" s="104"/>
      <c r="AAA1003" s="103"/>
      <c r="AAM1003" s="104"/>
      <c r="AAN1003" s="103"/>
      <c r="AAZ1003" s="104"/>
      <c r="ABA1003" s="103"/>
      <c r="ABM1003" s="104"/>
      <c r="ABN1003" s="103"/>
      <c r="ABZ1003" s="104"/>
      <c r="ACA1003" s="103"/>
      <c r="ACM1003" s="104"/>
      <c r="ACN1003" s="103"/>
      <c r="ACZ1003" s="104"/>
      <c r="ADA1003" s="103"/>
      <c r="ADM1003" s="104"/>
      <c r="ADN1003" s="103"/>
      <c r="ADZ1003" s="104"/>
      <c r="AEA1003" s="103"/>
      <c r="AEM1003" s="104"/>
      <c r="AEN1003" s="103"/>
      <c r="AEZ1003" s="104"/>
      <c r="AFA1003" s="103"/>
      <c r="AFM1003" s="104"/>
      <c r="AFN1003" s="103"/>
      <c r="AFZ1003" s="104"/>
      <c r="AGA1003" s="103"/>
      <c r="AGM1003" s="104"/>
      <c r="AGN1003" s="103"/>
      <c r="AGZ1003" s="104"/>
      <c r="AHA1003" s="103"/>
      <c r="AHM1003" s="104"/>
      <c r="AHN1003" s="103"/>
      <c r="AHZ1003" s="104"/>
      <c r="AIA1003" s="103"/>
      <c r="AIM1003" s="104"/>
      <c r="AIN1003" s="103"/>
      <c r="AIZ1003" s="104"/>
      <c r="AJA1003" s="103"/>
      <c r="AJM1003" s="104"/>
      <c r="AJN1003" s="103"/>
      <c r="AJZ1003" s="104"/>
      <c r="AKA1003" s="103"/>
      <c r="AKM1003" s="104"/>
      <c r="AKN1003" s="103"/>
      <c r="AKZ1003" s="104"/>
      <c r="ALA1003" s="103"/>
      <c r="ALM1003" s="104"/>
      <c r="ALN1003" s="103"/>
      <c r="ALZ1003" s="104"/>
      <c r="AMA1003" s="103"/>
      <c r="AMM1003" s="104"/>
      <c r="AMN1003" s="103"/>
      <c r="AMZ1003" s="104"/>
      <c r="ANA1003" s="103"/>
      <c r="ANM1003" s="104"/>
      <c r="ANN1003" s="103"/>
      <c r="ANZ1003" s="104"/>
      <c r="AOA1003" s="103"/>
      <c r="AOM1003" s="104"/>
      <c r="AON1003" s="103"/>
      <c r="AOZ1003" s="104"/>
      <c r="APA1003" s="103"/>
      <c r="APM1003" s="104"/>
      <c r="APN1003" s="103"/>
      <c r="APZ1003" s="104"/>
      <c r="AQA1003" s="103"/>
      <c r="AQM1003" s="104"/>
      <c r="AQN1003" s="103"/>
      <c r="AQZ1003" s="104"/>
      <c r="ARA1003" s="103"/>
      <c r="ARM1003" s="104"/>
      <c r="ARN1003" s="103"/>
      <c r="ARZ1003" s="104"/>
      <c r="ASA1003" s="103"/>
      <c r="ASM1003" s="104"/>
      <c r="ASN1003" s="103"/>
      <c r="ASZ1003" s="104"/>
      <c r="ATA1003" s="103"/>
      <c r="ATM1003" s="104"/>
      <c r="ATN1003" s="103"/>
      <c r="ATZ1003" s="104"/>
      <c r="AUA1003" s="103"/>
      <c r="AUM1003" s="104"/>
      <c r="AUN1003" s="103"/>
      <c r="AUZ1003" s="104"/>
      <c r="AVA1003" s="103"/>
      <c r="AVM1003" s="104"/>
      <c r="AVN1003" s="103"/>
      <c r="AVZ1003" s="104"/>
      <c r="AWA1003" s="103"/>
      <c r="AWM1003" s="104"/>
      <c r="AWN1003" s="103"/>
      <c r="AWZ1003" s="104"/>
      <c r="AXA1003" s="103"/>
      <c r="AXM1003" s="104"/>
      <c r="AXN1003" s="103"/>
      <c r="AXZ1003" s="104"/>
      <c r="AYA1003" s="103"/>
      <c r="AYM1003" s="104"/>
      <c r="AYN1003" s="103"/>
      <c r="AYZ1003" s="104"/>
      <c r="AZA1003" s="103"/>
      <c r="AZM1003" s="104"/>
      <c r="AZN1003" s="103"/>
      <c r="AZZ1003" s="104"/>
      <c r="BAA1003" s="103"/>
      <c r="BAM1003" s="104"/>
      <c r="BAN1003" s="103"/>
      <c r="BAZ1003" s="104"/>
      <c r="BBA1003" s="103"/>
      <c r="BBM1003" s="104"/>
      <c r="BBN1003" s="103"/>
      <c r="BBZ1003" s="104"/>
      <c r="BCA1003" s="103"/>
      <c r="BCM1003" s="104"/>
      <c r="BCN1003" s="103"/>
      <c r="BCZ1003" s="104"/>
      <c r="BDA1003" s="103"/>
      <c r="BDM1003" s="104"/>
      <c r="BDN1003" s="103"/>
      <c r="BDZ1003" s="104"/>
      <c r="BEA1003" s="103"/>
      <c r="BEM1003" s="104"/>
      <c r="BEN1003" s="103"/>
      <c r="BEZ1003" s="104"/>
      <c r="BFA1003" s="103"/>
      <c r="BFM1003" s="104"/>
      <c r="BFN1003" s="103"/>
      <c r="BFZ1003" s="104"/>
      <c r="BGA1003" s="103"/>
      <c r="BGM1003" s="104"/>
      <c r="BGN1003" s="103"/>
      <c r="BGZ1003" s="104"/>
      <c r="BHA1003" s="103"/>
      <c r="BHM1003" s="104"/>
      <c r="BHN1003" s="103"/>
      <c r="BHZ1003" s="104"/>
      <c r="BIA1003" s="103"/>
      <c r="BIM1003" s="104"/>
      <c r="BIN1003" s="103"/>
      <c r="BIZ1003" s="104"/>
      <c r="BJA1003" s="103"/>
      <c r="BJM1003" s="104"/>
      <c r="BJN1003" s="103"/>
      <c r="BJZ1003" s="104"/>
      <c r="BKA1003" s="103"/>
      <c r="BKM1003" s="104"/>
      <c r="BKN1003" s="103"/>
      <c r="BKZ1003" s="104"/>
      <c r="BLA1003" s="103"/>
      <c r="BLM1003" s="104"/>
      <c r="BLN1003" s="103"/>
      <c r="BLZ1003" s="104"/>
      <c r="BMA1003" s="103"/>
      <c r="BMM1003" s="104"/>
      <c r="BMN1003" s="103"/>
      <c r="BMZ1003" s="104"/>
      <c r="BNA1003" s="103"/>
      <c r="BNM1003" s="104"/>
      <c r="BNN1003" s="103"/>
      <c r="BNZ1003" s="104"/>
      <c r="BOA1003" s="103"/>
      <c r="BOM1003" s="104"/>
      <c r="BON1003" s="103"/>
      <c r="BOZ1003" s="104"/>
      <c r="BPA1003" s="103"/>
      <c r="BPM1003" s="104"/>
      <c r="BPN1003" s="103"/>
      <c r="BPZ1003" s="104"/>
      <c r="BQA1003" s="103"/>
      <c r="BQM1003" s="104"/>
      <c r="BQN1003" s="103"/>
      <c r="BQZ1003" s="104"/>
      <c r="BRA1003" s="103"/>
      <c r="BRM1003" s="104"/>
      <c r="BRN1003" s="103"/>
      <c r="BRZ1003" s="104"/>
      <c r="BSA1003" s="103"/>
      <c r="BSM1003" s="104"/>
      <c r="BSN1003" s="103"/>
      <c r="BSZ1003" s="104"/>
      <c r="BTA1003" s="103"/>
      <c r="BTM1003" s="104"/>
      <c r="BTN1003" s="103"/>
      <c r="BTZ1003" s="104"/>
      <c r="BUA1003" s="103"/>
      <c r="BUM1003" s="104"/>
      <c r="BUN1003" s="103"/>
      <c r="BUZ1003" s="104"/>
      <c r="BVA1003" s="103"/>
      <c r="BVM1003" s="104"/>
      <c r="BVN1003" s="103"/>
      <c r="BVZ1003" s="104"/>
      <c r="BWA1003" s="103"/>
      <c r="BWM1003" s="104"/>
      <c r="BWN1003" s="103"/>
      <c r="BWZ1003" s="104"/>
      <c r="BXA1003" s="103"/>
      <c r="BXM1003" s="104"/>
      <c r="BXN1003" s="103"/>
      <c r="BXZ1003" s="104"/>
      <c r="BYA1003" s="103"/>
      <c r="BYM1003" s="104"/>
      <c r="BYN1003" s="103"/>
      <c r="BYZ1003" s="104"/>
      <c r="BZA1003" s="103"/>
      <c r="BZM1003" s="104"/>
      <c r="BZN1003" s="103"/>
      <c r="BZZ1003" s="104"/>
      <c r="CAA1003" s="103"/>
      <c r="CAM1003" s="104"/>
      <c r="CAN1003" s="103"/>
      <c r="CAZ1003" s="104"/>
      <c r="CBA1003" s="103"/>
      <c r="CBM1003" s="104"/>
      <c r="CBN1003" s="103"/>
      <c r="CBZ1003" s="104"/>
      <c r="CCA1003" s="103"/>
      <c r="CCM1003" s="104"/>
      <c r="CCN1003" s="103"/>
      <c r="CCZ1003" s="104"/>
      <c r="CDA1003" s="103"/>
      <c r="CDM1003" s="104"/>
      <c r="CDN1003" s="103"/>
      <c r="CDZ1003" s="104"/>
      <c r="CEA1003" s="103"/>
      <c r="CEM1003" s="104"/>
      <c r="CEN1003" s="103"/>
      <c r="CEZ1003" s="104"/>
      <c r="CFA1003" s="103"/>
      <c r="CFM1003" s="104"/>
      <c r="CFN1003" s="103"/>
      <c r="CFZ1003" s="104"/>
      <c r="CGA1003" s="103"/>
      <c r="CGM1003" s="104"/>
      <c r="CGN1003" s="103"/>
      <c r="CGZ1003" s="104"/>
      <c r="CHA1003" s="103"/>
      <c r="CHM1003" s="104"/>
      <c r="CHN1003" s="103"/>
      <c r="CHZ1003" s="104"/>
      <c r="CIA1003" s="103"/>
      <c r="CIM1003" s="104"/>
      <c r="CIN1003" s="103"/>
      <c r="CIZ1003" s="104"/>
      <c r="CJA1003" s="103"/>
      <c r="CJM1003" s="104"/>
      <c r="CJN1003" s="103"/>
      <c r="CJZ1003" s="104"/>
      <c r="CKA1003" s="103"/>
      <c r="CKM1003" s="104"/>
      <c r="CKN1003" s="103"/>
      <c r="CKZ1003" s="104"/>
      <c r="CLA1003" s="103"/>
      <c r="CLM1003" s="104"/>
      <c r="CLN1003" s="103"/>
      <c r="CLZ1003" s="104"/>
      <c r="CMA1003" s="103"/>
      <c r="CMM1003" s="104"/>
      <c r="CMN1003" s="103"/>
      <c r="CMZ1003" s="104"/>
      <c r="CNA1003" s="103"/>
      <c r="CNM1003" s="104"/>
      <c r="CNN1003" s="103"/>
      <c r="CNZ1003" s="104"/>
      <c r="COA1003" s="103"/>
      <c r="COM1003" s="104"/>
      <c r="CON1003" s="103"/>
      <c r="COZ1003" s="104"/>
      <c r="CPA1003" s="103"/>
      <c r="CPM1003" s="104"/>
      <c r="CPN1003" s="103"/>
      <c r="CPZ1003" s="104"/>
      <c r="CQA1003" s="103"/>
      <c r="CQM1003" s="104"/>
      <c r="CQN1003" s="103"/>
      <c r="CQZ1003" s="104"/>
      <c r="CRA1003" s="103"/>
      <c r="CRM1003" s="104"/>
      <c r="CRN1003" s="103"/>
      <c r="CRZ1003" s="104"/>
      <c r="CSA1003" s="103"/>
      <c r="CSM1003" s="104"/>
      <c r="CSN1003" s="103"/>
      <c r="CSZ1003" s="104"/>
      <c r="CTA1003" s="103"/>
      <c r="CTM1003" s="104"/>
      <c r="CTN1003" s="103"/>
      <c r="CTZ1003" s="104"/>
      <c r="CUA1003" s="103"/>
      <c r="CUM1003" s="104"/>
      <c r="CUN1003" s="103"/>
      <c r="CUZ1003" s="104"/>
      <c r="CVA1003" s="103"/>
      <c r="CVM1003" s="104"/>
      <c r="CVN1003" s="103"/>
      <c r="CVZ1003" s="104"/>
      <c r="CWA1003" s="103"/>
      <c r="CWM1003" s="104"/>
      <c r="CWN1003" s="103"/>
      <c r="CWZ1003" s="104"/>
      <c r="CXA1003" s="103"/>
      <c r="CXM1003" s="104"/>
      <c r="CXN1003" s="103"/>
      <c r="CXZ1003" s="104"/>
      <c r="CYA1003" s="103"/>
      <c r="CYM1003" s="104"/>
      <c r="CYN1003" s="103"/>
      <c r="CYZ1003" s="104"/>
      <c r="CZA1003" s="103"/>
      <c r="CZM1003" s="104"/>
      <c r="CZN1003" s="103"/>
      <c r="CZZ1003" s="104"/>
      <c r="DAA1003" s="103"/>
      <c r="DAM1003" s="104"/>
      <c r="DAN1003" s="103"/>
      <c r="DAZ1003" s="104"/>
      <c r="DBA1003" s="103"/>
      <c r="DBM1003" s="104"/>
      <c r="DBN1003" s="103"/>
      <c r="DBZ1003" s="104"/>
      <c r="DCA1003" s="103"/>
      <c r="DCM1003" s="104"/>
      <c r="DCN1003" s="103"/>
      <c r="DCZ1003" s="104"/>
      <c r="DDA1003" s="103"/>
      <c r="DDM1003" s="104"/>
      <c r="DDN1003" s="103"/>
      <c r="DDZ1003" s="104"/>
      <c r="DEA1003" s="103"/>
      <c r="DEM1003" s="104"/>
      <c r="DEN1003" s="103"/>
      <c r="DEZ1003" s="104"/>
      <c r="DFA1003" s="103"/>
      <c r="DFM1003" s="104"/>
      <c r="DFN1003" s="103"/>
      <c r="DFZ1003" s="104"/>
      <c r="DGA1003" s="103"/>
      <c r="DGM1003" s="104"/>
      <c r="DGN1003" s="103"/>
      <c r="DGZ1003" s="104"/>
      <c r="DHA1003" s="103"/>
      <c r="DHM1003" s="104"/>
      <c r="DHN1003" s="103"/>
      <c r="DHZ1003" s="104"/>
      <c r="DIA1003" s="103"/>
      <c r="DIM1003" s="104"/>
      <c r="DIN1003" s="103"/>
      <c r="DIZ1003" s="104"/>
      <c r="DJA1003" s="103"/>
      <c r="DJM1003" s="104"/>
      <c r="DJN1003" s="103"/>
      <c r="DJZ1003" s="104"/>
      <c r="DKA1003" s="103"/>
      <c r="DKM1003" s="104"/>
      <c r="DKN1003" s="103"/>
      <c r="DKZ1003" s="104"/>
      <c r="DLA1003" s="103"/>
      <c r="DLM1003" s="104"/>
      <c r="DLN1003" s="103"/>
      <c r="DLZ1003" s="104"/>
      <c r="DMA1003" s="103"/>
      <c r="DMM1003" s="104"/>
      <c r="DMN1003" s="103"/>
      <c r="DMZ1003" s="104"/>
      <c r="DNA1003" s="103"/>
      <c r="DNM1003" s="104"/>
      <c r="DNN1003" s="103"/>
      <c r="DNZ1003" s="104"/>
      <c r="DOA1003" s="103"/>
      <c r="DOM1003" s="104"/>
      <c r="DON1003" s="103"/>
      <c r="DOZ1003" s="104"/>
      <c r="DPA1003" s="103"/>
      <c r="DPM1003" s="104"/>
      <c r="DPN1003" s="103"/>
      <c r="DPZ1003" s="104"/>
      <c r="DQA1003" s="103"/>
      <c r="DQM1003" s="104"/>
      <c r="DQN1003" s="103"/>
      <c r="DQZ1003" s="104"/>
      <c r="DRA1003" s="103"/>
      <c r="DRM1003" s="104"/>
      <c r="DRN1003" s="103"/>
      <c r="DRZ1003" s="104"/>
      <c r="DSA1003" s="103"/>
      <c r="DSM1003" s="104"/>
      <c r="DSN1003" s="103"/>
      <c r="DSZ1003" s="104"/>
      <c r="DTA1003" s="103"/>
      <c r="DTM1003" s="104"/>
      <c r="DTN1003" s="103"/>
      <c r="DTZ1003" s="104"/>
      <c r="DUA1003" s="103"/>
      <c r="DUM1003" s="104"/>
      <c r="DUN1003" s="103"/>
      <c r="DUZ1003" s="104"/>
      <c r="DVA1003" s="103"/>
      <c r="DVM1003" s="104"/>
      <c r="DVN1003" s="103"/>
      <c r="DVZ1003" s="104"/>
      <c r="DWA1003" s="103"/>
      <c r="DWM1003" s="104"/>
      <c r="DWN1003" s="103"/>
      <c r="DWZ1003" s="104"/>
      <c r="DXA1003" s="103"/>
      <c r="DXM1003" s="104"/>
      <c r="DXN1003" s="103"/>
      <c r="DXZ1003" s="104"/>
      <c r="DYA1003" s="103"/>
      <c r="DYM1003" s="104"/>
      <c r="DYN1003" s="103"/>
      <c r="DYZ1003" s="104"/>
      <c r="DZA1003" s="103"/>
      <c r="DZM1003" s="104"/>
      <c r="DZN1003" s="103"/>
      <c r="DZZ1003" s="104"/>
      <c r="EAA1003" s="103"/>
      <c r="EAM1003" s="104"/>
      <c r="EAN1003" s="103"/>
      <c r="EAZ1003" s="104"/>
      <c r="EBA1003" s="103"/>
      <c r="EBM1003" s="104"/>
      <c r="EBN1003" s="103"/>
      <c r="EBZ1003" s="104"/>
      <c r="ECA1003" s="103"/>
      <c r="ECM1003" s="104"/>
      <c r="ECN1003" s="103"/>
      <c r="ECZ1003" s="104"/>
      <c r="EDA1003" s="103"/>
      <c r="EDM1003" s="104"/>
      <c r="EDN1003" s="103"/>
      <c r="EDZ1003" s="104"/>
      <c r="EEA1003" s="103"/>
      <c r="EEM1003" s="104"/>
      <c r="EEN1003" s="103"/>
      <c r="EEZ1003" s="104"/>
      <c r="EFA1003" s="103"/>
      <c r="EFM1003" s="104"/>
      <c r="EFN1003" s="103"/>
      <c r="EFZ1003" s="104"/>
      <c r="EGA1003" s="103"/>
      <c r="EGM1003" s="104"/>
      <c r="EGN1003" s="103"/>
      <c r="EGZ1003" s="104"/>
      <c r="EHA1003" s="103"/>
      <c r="EHM1003" s="104"/>
      <c r="EHN1003" s="103"/>
      <c r="EHZ1003" s="104"/>
      <c r="EIA1003" s="103"/>
      <c r="EIM1003" s="104"/>
      <c r="EIN1003" s="103"/>
      <c r="EIZ1003" s="104"/>
      <c r="EJA1003" s="103"/>
      <c r="EJM1003" s="104"/>
      <c r="EJN1003" s="103"/>
      <c r="EJZ1003" s="104"/>
      <c r="EKA1003" s="103"/>
      <c r="EKM1003" s="104"/>
      <c r="EKN1003" s="103"/>
      <c r="EKZ1003" s="104"/>
      <c r="ELA1003" s="103"/>
      <c r="ELM1003" s="104"/>
      <c r="ELN1003" s="103"/>
      <c r="ELZ1003" s="104"/>
      <c r="EMA1003" s="103"/>
      <c r="EMM1003" s="104"/>
      <c r="EMN1003" s="103"/>
      <c r="EMZ1003" s="104"/>
      <c r="ENA1003" s="103"/>
      <c r="ENM1003" s="104"/>
      <c r="ENN1003" s="103"/>
      <c r="ENZ1003" s="104"/>
      <c r="EOA1003" s="103"/>
      <c r="EOM1003" s="104"/>
      <c r="EON1003" s="103"/>
      <c r="EOZ1003" s="104"/>
      <c r="EPA1003" s="103"/>
      <c r="EPM1003" s="104"/>
      <c r="EPN1003" s="103"/>
      <c r="EPZ1003" s="104"/>
      <c r="EQA1003" s="103"/>
      <c r="EQM1003" s="104"/>
      <c r="EQN1003" s="103"/>
      <c r="EQZ1003" s="104"/>
      <c r="ERA1003" s="103"/>
      <c r="ERM1003" s="104"/>
      <c r="ERN1003" s="103"/>
      <c r="ERZ1003" s="104"/>
      <c r="ESA1003" s="103"/>
      <c r="ESM1003" s="104"/>
      <c r="ESN1003" s="103"/>
      <c r="ESZ1003" s="104"/>
      <c r="ETA1003" s="103"/>
      <c r="ETM1003" s="104"/>
      <c r="ETN1003" s="103"/>
      <c r="ETZ1003" s="104"/>
      <c r="EUA1003" s="103"/>
      <c r="EUM1003" s="104"/>
      <c r="EUN1003" s="103"/>
      <c r="EUZ1003" s="104"/>
      <c r="EVA1003" s="103"/>
      <c r="EVM1003" s="104"/>
      <c r="EVN1003" s="103"/>
      <c r="EVZ1003" s="104"/>
      <c r="EWA1003" s="103"/>
      <c r="EWM1003" s="104"/>
      <c r="EWN1003" s="103"/>
      <c r="EWZ1003" s="104"/>
      <c r="EXA1003" s="103"/>
      <c r="EXM1003" s="104"/>
      <c r="EXN1003" s="103"/>
      <c r="EXZ1003" s="104"/>
      <c r="EYA1003" s="103"/>
      <c r="EYM1003" s="104"/>
      <c r="EYN1003" s="103"/>
      <c r="EYZ1003" s="104"/>
      <c r="EZA1003" s="103"/>
      <c r="EZM1003" s="104"/>
      <c r="EZN1003" s="103"/>
      <c r="EZZ1003" s="104"/>
      <c r="FAA1003" s="103"/>
      <c r="FAM1003" s="104"/>
      <c r="FAN1003" s="103"/>
      <c r="FAZ1003" s="104"/>
      <c r="FBA1003" s="103"/>
      <c r="FBM1003" s="104"/>
      <c r="FBN1003" s="103"/>
      <c r="FBZ1003" s="104"/>
      <c r="FCA1003" s="103"/>
      <c r="FCM1003" s="104"/>
      <c r="FCN1003" s="103"/>
      <c r="FCZ1003" s="104"/>
      <c r="FDA1003" s="103"/>
      <c r="FDM1003" s="104"/>
      <c r="FDN1003" s="103"/>
      <c r="FDZ1003" s="104"/>
      <c r="FEA1003" s="103"/>
      <c r="FEM1003" s="104"/>
      <c r="FEN1003" s="103"/>
      <c r="FEZ1003" s="104"/>
      <c r="FFA1003" s="103"/>
      <c r="FFM1003" s="104"/>
      <c r="FFN1003" s="103"/>
      <c r="FFZ1003" s="104"/>
      <c r="FGA1003" s="103"/>
      <c r="FGM1003" s="104"/>
      <c r="FGN1003" s="103"/>
      <c r="FGZ1003" s="104"/>
      <c r="FHA1003" s="103"/>
      <c r="FHM1003" s="104"/>
      <c r="FHN1003" s="103"/>
      <c r="FHZ1003" s="104"/>
      <c r="FIA1003" s="103"/>
      <c r="FIM1003" s="104"/>
      <c r="FIN1003" s="103"/>
      <c r="FIZ1003" s="104"/>
      <c r="FJA1003" s="103"/>
      <c r="FJM1003" s="104"/>
      <c r="FJN1003" s="103"/>
      <c r="FJZ1003" s="104"/>
      <c r="FKA1003" s="103"/>
      <c r="FKM1003" s="104"/>
      <c r="FKN1003" s="103"/>
      <c r="FKZ1003" s="104"/>
      <c r="FLA1003" s="103"/>
      <c r="FLM1003" s="104"/>
      <c r="FLN1003" s="103"/>
      <c r="FLZ1003" s="104"/>
      <c r="FMA1003" s="103"/>
      <c r="FMM1003" s="104"/>
      <c r="FMN1003" s="103"/>
      <c r="FMZ1003" s="104"/>
      <c r="FNA1003" s="103"/>
      <c r="FNM1003" s="104"/>
      <c r="FNN1003" s="103"/>
      <c r="FNZ1003" s="104"/>
      <c r="FOA1003" s="103"/>
      <c r="FOM1003" s="104"/>
      <c r="FON1003" s="103"/>
      <c r="FOZ1003" s="104"/>
      <c r="FPA1003" s="103"/>
      <c r="FPM1003" s="104"/>
      <c r="FPN1003" s="103"/>
      <c r="FPZ1003" s="104"/>
      <c r="FQA1003" s="103"/>
      <c r="FQM1003" s="104"/>
      <c r="FQN1003" s="103"/>
      <c r="FQZ1003" s="104"/>
      <c r="FRA1003" s="103"/>
      <c r="FRM1003" s="104"/>
      <c r="FRN1003" s="103"/>
      <c r="FRZ1003" s="104"/>
      <c r="FSA1003" s="103"/>
      <c r="FSM1003" s="104"/>
      <c r="FSN1003" s="103"/>
      <c r="FSZ1003" s="104"/>
      <c r="FTA1003" s="103"/>
      <c r="FTM1003" s="104"/>
      <c r="FTN1003" s="103"/>
      <c r="FTZ1003" s="104"/>
      <c r="FUA1003" s="103"/>
      <c r="FUM1003" s="104"/>
      <c r="FUN1003" s="103"/>
      <c r="FUZ1003" s="104"/>
      <c r="FVA1003" s="103"/>
      <c r="FVM1003" s="104"/>
      <c r="FVN1003" s="103"/>
      <c r="FVZ1003" s="104"/>
      <c r="FWA1003" s="103"/>
      <c r="FWM1003" s="104"/>
      <c r="FWN1003" s="103"/>
      <c r="FWZ1003" s="104"/>
      <c r="FXA1003" s="103"/>
      <c r="FXM1003" s="104"/>
      <c r="FXN1003" s="103"/>
      <c r="FXZ1003" s="104"/>
      <c r="FYA1003" s="103"/>
      <c r="FYM1003" s="104"/>
      <c r="FYN1003" s="103"/>
      <c r="FYZ1003" s="104"/>
      <c r="FZA1003" s="103"/>
      <c r="FZM1003" s="104"/>
      <c r="FZN1003" s="103"/>
      <c r="FZZ1003" s="104"/>
      <c r="GAA1003" s="103"/>
      <c r="GAM1003" s="104"/>
      <c r="GAN1003" s="103"/>
      <c r="GAZ1003" s="104"/>
      <c r="GBA1003" s="103"/>
      <c r="GBM1003" s="104"/>
      <c r="GBN1003" s="103"/>
      <c r="GBZ1003" s="104"/>
      <c r="GCA1003" s="103"/>
      <c r="GCM1003" s="104"/>
      <c r="GCN1003" s="103"/>
      <c r="GCZ1003" s="104"/>
      <c r="GDA1003" s="103"/>
      <c r="GDM1003" s="104"/>
      <c r="GDN1003" s="103"/>
      <c r="GDZ1003" s="104"/>
      <c r="GEA1003" s="103"/>
      <c r="GEM1003" s="104"/>
      <c r="GEN1003" s="103"/>
      <c r="GEZ1003" s="104"/>
      <c r="GFA1003" s="103"/>
      <c r="GFM1003" s="104"/>
      <c r="GFN1003" s="103"/>
      <c r="GFZ1003" s="104"/>
      <c r="GGA1003" s="103"/>
      <c r="GGM1003" s="104"/>
      <c r="GGN1003" s="103"/>
      <c r="GGZ1003" s="104"/>
      <c r="GHA1003" s="103"/>
      <c r="GHM1003" s="104"/>
      <c r="GHN1003" s="103"/>
      <c r="GHZ1003" s="104"/>
      <c r="GIA1003" s="103"/>
      <c r="GIM1003" s="104"/>
      <c r="GIN1003" s="103"/>
      <c r="GIZ1003" s="104"/>
      <c r="GJA1003" s="103"/>
      <c r="GJM1003" s="104"/>
      <c r="GJN1003" s="103"/>
      <c r="GJZ1003" s="104"/>
      <c r="GKA1003" s="103"/>
      <c r="GKM1003" s="104"/>
      <c r="GKN1003" s="103"/>
      <c r="GKZ1003" s="104"/>
      <c r="GLA1003" s="103"/>
      <c r="GLM1003" s="104"/>
      <c r="GLN1003" s="103"/>
      <c r="GLZ1003" s="104"/>
      <c r="GMA1003" s="103"/>
      <c r="GMM1003" s="104"/>
      <c r="GMN1003" s="103"/>
      <c r="GMZ1003" s="104"/>
      <c r="GNA1003" s="103"/>
      <c r="GNM1003" s="104"/>
      <c r="GNN1003" s="103"/>
      <c r="GNZ1003" s="104"/>
      <c r="GOA1003" s="103"/>
      <c r="GOM1003" s="104"/>
      <c r="GON1003" s="103"/>
      <c r="GOZ1003" s="104"/>
      <c r="GPA1003" s="103"/>
      <c r="GPM1003" s="104"/>
      <c r="GPN1003" s="103"/>
      <c r="GPZ1003" s="104"/>
      <c r="GQA1003" s="103"/>
      <c r="GQM1003" s="104"/>
      <c r="GQN1003" s="103"/>
      <c r="GQZ1003" s="104"/>
      <c r="GRA1003" s="103"/>
      <c r="GRM1003" s="104"/>
      <c r="GRN1003" s="103"/>
      <c r="GRZ1003" s="104"/>
      <c r="GSA1003" s="103"/>
      <c r="GSM1003" s="104"/>
      <c r="GSN1003" s="103"/>
      <c r="GSZ1003" s="104"/>
      <c r="GTA1003" s="103"/>
      <c r="GTM1003" s="104"/>
      <c r="GTN1003" s="103"/>
      <c r="GTZ1003" s="104"/>
      <c r="GUA1003" s="103"/>
      <c r="GUM1003" s="104"/>
      <c r="GUN1003" s="103"/>
      <c r="GUZ1003" s="104"/>
      <c r="GVA1003" s="103"/>
      <c r="GVM1003" s="104"/>
      <c r="GVN1003" s="103"/>
      <c r="GVZ1003" s="104"/>
      <c r="GWA1003" s="103"/>
      <c r="GWM1003" s="104"/>
      <c r="GWN1003" s="103"/>
      <c r="GWZ1003" s="104"/>
      <c r="GXA1003" s="103"/>
      <c r="GXM1003" s="104"/>
      <c r="GXN1003" s="103"/>
      <c r="GXZ1003" s="104"/>
      <c r="GYA1003" s="103"/>
      <c r="GYM1003" s="104"/>
      <c r="GYN1003" s="103"/>
      <c r="GYZ1003" s="104"/>
      <c r="GZA1003" s="103"/>
      <c r="GZM1003" s="104"/>
      <c r="GZN1003" s="103"/>
      <c r="GZZ1003" s="104"/>
      <c r="HAA1003" s="103"/>
      <c r="HAM1003" s="104"/>
      <c r="HAN1003" s="103"/>
      <c r="HAZ1003" s="104"/>
      <c r="HBA1003" s="103"/>
      <c r="HBM1003" s="104"/>
      <c r="HBN1003" s="103"/>
      <c r="HBZ1003" s="104"/>
      <c r="HCA1003" s="103"/>
      <c r="HCM1003" s="104"/>
      <c r="HCN1003" s="103"/>
      <c r="HCZ1003" s="104"/>
      <c r="HDA1003" s="103"/>
      <c r="HDM1003" s="104"/>
      <c r="HDN1003" s="103"/>
      <c r="HDZ1003" s="104"/>
      <c r="HEA1003" s="103"/>
      <c r="HEM1003" s="104"/>
      <c r="HEN1003" s="103"/>
      <c r="HEZ1003" s="104"/>
      <c r="HFA1003" s="103"/>
      <c r="HFM1003" s="104"/>
      <c r="HFN1003" s="103"/>
      <c r="HFZ1003" s="104"/>
      <c r="HGA1003" s="103"/>
      <c r="HGM1003" s="104"/>
      <c r="HGN1003" s="103"/>
      <c r="HGZ1003" s="104"/>
      <c r="HHA1003" s="103"/>
      <c r="HHM1003" s="104"/>
      <c r="HHN1003" s="103"/>
      <c r="HHZ1003" s="104"/>
      <c r="HIA1003" s="103"/>
      <c r="HIM1003" s="104"/>
      <c r="HIN1003" s="103"/>
      <c r="HIZ1003" s="104"/>
      <c r="HJA1003" s="103"/>
      <c r="HJM1003" s="104"/>
      <c r="HJN1003" s="103"/>
      <c r="HJZ1003" s="104"/>
      <c r="HKA1003" s="103"/>
      <c r="HKM1003" s="104"/>
      <c r="HKN1003" s="103"/>
      <c r="HKZ1003" s="104"/>
      <c r="HLA1003" s="103"/>
      <c r="HLM1003" s="104"/>
      <c r="HLN1003" s="103"/>
      <c r="HLZ1003" s="104"/>
      <c r="HMA1003" s="103"/>
      <c r="HMM1003" s="104"/>
      <c r="HMN1003" s="103"/>
      <c r="HMZ1003" s="104"/>
      <c r="HNA1003" s="103"/>
      <c r="HNM1003" s="104"/>
      <c r="HNN1003" s="103"/>
      <c r="HNZ1003" s="104"/>
      <c r="HOA1003" s="103"/>
      <c r="HOM1003" s="104"/>
      <c r="HON1003" s="103"/>
      <c r="HOZ1003" s="104"/>
      <c r="HPA1003" s="103"/>
      <c r="HPM1003" s="104"/>
      <c r="HPN1003" s="103"/>
      <c r="HPZ1003" s="104"/>
      <c r="HQA1003" s="103"/>
      <c r="HQM1003" s="104"/>
      <c r="HQN1003" s="103"/>
      <c r="HQZ1003" s="104"/>
      <c r="HRA1003" s="103"/>
      <c r="HRM1003" s="104"/>
      <c r="HRN1003" s="103"/>
      <c r="HRZ1003" s="104"/>
      <c r="HSA1003" s="103"/>
      <c r="HSM1003" s="104"/>
      <c r="HSN1003" s="103"/>
      <c r="HSZ1003" s="104"/>
      <c r="HTA1003" s="103"/>
      <c r="HTM1003" s="104"/>
      <c r="HTN1003" s="103"/>
      <c r="HTZ1003" s="104"/>
      <c r="HUA1003" s="103"/>
      <c r="HUM1003" s="104"/>
      <c r="HUN1003" s="103"/>
      <c r="HUZ1003" s="104"/>
      <c r="HVA1003" s="103"/>
      <c r="HVM1003" s="104"/>
      <c r="HVN1003" s="103"/>
      <c r="HVZ1003" s="104"/>
      <c r="HWA1003" s="103"/>
      <c r="HWM1003" s="104"/>
      <c r="HWN1003" s="103"/>
      <c r="HWZ1003" s="104"/>
      <c r="HXA1003" s="103"/>
      <c r="HXM1003" s="104"/>
      <c r="HXN1003" s="103"/>
      <c r="HXZ1003" s="104"/>
      <c r="HYA1003" s="103"/>
      <c r="HYM1003" s="104"/>
      <c r="HYN1003" s="103"/>
      <c r="HYZ1003" s="104"/>
      <c r="HZA1003" s="103"/>
      <c r="HZM1003" s="104"/>
      <c r="HZN1003" s="103"/>
      <c r="HZZ1003" s="104"/>
      <c r="IAA1003" s="103"/>
      <c r="IAM1003" s="104"/>
      <c r="IAN1003" s="103"/>
      <c r="IAZ1003" s="104"/>
      <c r="IBA1003" s="103"/>
      <c r="IBM1003" s="104"/>
      <c r="IBN1003" s="103"/>
      <c r="IBZ1003" s="104"/>
      <c r="ICA1003" s="103"/>
      <c r="ICM1003" s="104"/>
      <c r="ICN1003" s="103"/>
      <c r="ICZ1003" s="104"/>
      <c r="IDA1003" s="103"/>
      <c r="IDM1003" s="104"/>
      <c r="IDN1003" s="103"/>
      <c r="IDZ1003" s="104"/>
      <c r="IEA1003" s="103"/>
      <c r="IEM1003" s="104"/>
      <c r="IEN1003" s="103"/>
      <c r="IEZ1003" s="104"/>
      <c r="IFA1003" s="103"/>
      <c r="IFM1003" s="104"/>
      <c r="IFN1003" s="103"/>
      <c r="IFZ1003" s="104"/>
      <c r="IGA1003" s="103"/>
      <c r="IGM1003" s="104"/>
      <c r="IGN1003" s="103"/>
      <c r="IGZ1003" s="104"/>
      <c r="IHA1003" s="103"/>
      <c r="IHM1003" s="104"/>
      <c r="IHN1003" s="103"/>
      <c r="IHZ1003" s="104"/>
      <c r="IIA1003" s="103"/>
      <c r="IIM1003" s="104"/>
      <c r="IIN1003" s="103"/>
      <c r="IIZ1003" s="104"/>
      <c r="IJA1003" s="103"/>
      <c r="IJM1003" s="104"/>
      <c r="IJN1003" s="103"/>
      <c r="IJZ1003" s="104"/>
      <c r="IKA1003" s="103"/>
      <c r="IKM1003" s="104"/>
      <c r="IKN1003" s="103"/>
      <c r="IKZ1003" s="104"/>
      <c r="ILA1003" s="103"/>
      <c r="ILM1003" s="104"/>
      <c r="ILN1003" s="103"/>
      <c r="ILZ1003" s="104"/>
      <c r="IMA1003" s="103"/>
      <c r="IMM1003" s="104"/>
      <c r="IMN1003" s="103"/>
      <c r="IMZ1003" s="104"/>
      <c r="INA1003" s="103"/>
      <c r="INM1003" s="104"/>
      <c r="INN1003" s="103"/>
      <c r="INZ1003" s="104"/>
      <c r="IOA1003" s="103"/>
      <c r="IOM1003" s="104"/>
      <c r="ION1003" s="103"/>
      <c r="IOZ1003" s="104"/>
      <c r="IPA1003" s="103"/>
      <c r="IPM1003" s="104"/>
      <c r="IPN1003" s="103"/>
      <c r="IPZ1003" s="104"/>
      <c r="IQA1003" s="103"/>
      <c r="IQM1003" s="104"/>
      <c r="IQN1003" s="103"/>
      <c r="IQZ1003" s="104"/>
      <c r="IRA1003" s="103"/>
      <c r="IRM1003" s="104"/>
      <c r="IRN1003" s="103"/>
      <c r="IRZ1003" s="104"/>
      <c r="ISA1003" s="103"/>
      <c r="ISM1003" s="104"/>
      <c r="ISN1003" s="103"/>
      <c r="ISZ1003" s="104"/>
      <c r="ITA1003" s="103"/>
      <c r="ITM1003" s="104"/>
      <c r="ITN1003" s="103"/>
      <c r="ITZ1003" s="104"/>
      <c r="IUA1003" s="103"/>
      <c r="IUM1003" s="104"/>
      <c r="IUN1003" s="103"/>
      <c r="IUZ1003" s="104"/>
      <c r="IVA1003" s="103"/>
      <c r="IVM1003" s="104"/>
      <c r="IVN1003" s="103"/>
      <c r="IVZ1003" s="104"/>
      <c r="IWA1003" s="103"/>
      <c r="IWM1003" s="104"/>
      <c r="IWN1003" s="103"/>
      <c r="IWZ1003" s="104"/>
      <c r="IXA1003" s="103"/>
      <c r="IXM1003" s="104"/>
      <c r="IXN1003" s="103"/>
      <c r="IXZ1003" s="104"/>
      <c r="IYA1003" s="103"/>
      <c r="IYM1003" s="104"/>
      <c r="IYN1003" s="103"/>
      <c r="IYZ1003" s="104"/>
      <c r="IZA1003" s="103"/>
      <c r="IZM1003" s="104"/>
      <c r="IZN1003" s="103"/>
      <c r="IZZ1003" s="104"/>
      <c r="JAA1003" s="103"/>
      <c r="JAM1003" s="104"/>
      <c r="JAN1003" s="103"/>
      <c r="JAZ1003" s="104"/>
      <c r="JBA1003" s="103"/>
      <c r="JBM1003" s="104"/>
      <c r="JBN1003" s="103"/>
      <c r="JBZ1003" s="104"/>
      <c r="JCA1003" s="103"/>
      <c r="JCM1003" s="104"/>
      <c r="JCN1003" s="103"/>
      <c r="JCZ1003" s="104"/>
      <c r="JDA1003" s="103"/>
      <c r="JDM1003" s="104"/>
      <c r="JDN1003" s="103"/>
      <c r="JDZ1003" s="104"/>
      <c r="JEA1003" s="103"/>
      <c r="JEM1003" s="104"/>
      <c r="JEN1003" s="103"/>
      <c r="JEZ1003" s="104"/>
      <c r="JFA1003" s="103"/>
      <c r="JFM1003" s="104"/>
      <c r="JFN1003" s="103"/>
      <c r="JFZ1003" s="104"/>
      <c r="JGA1003" s="103"/>
      <c r="JGM1003" s="104"/>
      <c r="JGN1003" s="103"/>
      <c r="JGZ1003" s="104"/>
      <c r="JHA1003" s="103"/>
      <c r="JHM1003" s="104"/>
      <c r="JHN1003" s="103"/>
      <c r="JHZ1003" s="104"/>
      <c r="JIA1003" s="103"/>
      <c r="JIM1003" s="104"/>
      <c r="JIN1003" s="103"/>
      <c r="JIZ1003" s="104"/>
      <c r="JJA1003" s="103"/>
      <c r="JJM1003" s="104"/>
      <c r="JJN1003" s="103"/>
      <c r="JJZ1003" s="104"/>
      <c r="JKA1003" s="103"/>
      <c r="JKM1003" s="104"/>
      <c r="JKN1003" s="103"/>
      <c r="JKZ1003" s="104"/>
      <c r="JLA1003" s="103"/>
      <c r="JLM1003" s="104"/>
      <c r="JLN1003" s="103"/>
      <c r="JLZ1003" s="104"/>
      <c r="JMA1003" s="103"/>
      <c r="JMM1003" s="104"/>
      <c r="JMN1003" s="103"/>
      <c r="JMZ1003" s="104"/>
      <c r="JNA1003" s="103"/>
      <c r="JNM1003" s="104"/>
      <c r="JNN1003" s="103"/>
      <c r="JNZ1003" s="104"/>
      <c r="JOA1003" s="103"/>
      <c r="JOM1003" s="104"/>
      <c r="JON1003" s="103"/>
      <c r="JOZ1003" s="104"/>
      <c r="JPA1003" s="103"/>
      <c r="JPM1003" s="104"/>
      <c r="JPN1003" s="103"/>
      <c r="JPZ1003" s="104"/>
      <c r="JQA1003" s="103"/>
      <c r="JQM1003" s="104"/>
      <c r="JQN1003" s="103"/>
      <c r="JQZ1003" s="104"/>
      <c r="JRA1003" s="103"/>
      <c r="JRM1003" s="104"/>
      <c r="JRN1003" s="103"/>
      <c r="JRZ1003" s="104"/>
      <c r="JSA1003" s="103"/>
      <c r="JSM1003" s="104"/>
      <c r="JSN1003" s="103"/>
      <c r="JSZ1003" s="104"/>
      <c r="JTA1003" s="103"/>
      <c r="JTM1003" s="104"/>
      <c r="JTN1003" s="103"/>
      <c r="JTZ1003" s="104"/>
      <c r="JUA1003" s="103"/>
      <c r="JUM1003" s="104"/>
      <c r="JUN1003" s="103"/>
      <c r="JUZ1003" s="104"/>
      <c r="JVA1003" s="103"/>
      <c r="JVM1003" s="104"/>
      <c r="JVN1003" s="103"/>
      <c r="JVZ1003" s="104"/>
      <c r="JWA1003" s="103"/>
      <c r="JWM1003" s="104"/>
      <c r="JWN1003" s="103"/>
      <c r="JWZ1003" s="104"/>
      <c r="JXA1003" s="103"/>
      <c r="JXM1003" s="104"/>
      <c r="JXN1003" s="103"/>
      <c r="JXZ1003" s="104"/>
      <c r="JYA1003" s="103"/>
      <c r="JYM1003" s="104"/>
      <c r="JYN1003" s="103"/>
      <c r="JYZ1003" s="104"/>
      <c r="JZA1003" s="103"/>
      <c r="JZM1003" s="104"/>
      <c r="JZN1003" s="103"/>
      <c r="JZZ1003" s="104"/>
      <c r="KAA1003" s="103"/>
      <c r="KAM1003" s="104"/>
      <c r="KAN1003" s="103"/>
      <c r="KAZ1003" s="104"/>
      <c r="KBA1003" s="103"/>
      <c r="KBM1003" s="104"/>
      <c r="KBN1003" s="103"/>
      <c r="KBZ1003" s="104"/>
      <c r="KCA1003" s="103"/>
      <c r="KCM1003" s="104"/>
      <c r="KCN1003" s="103"/>
      <c r="KCZ1003" s="104"/>
      <c r="KDA1003" s="103"/>
      <c r="KDM1003" s="104"/>
      <c r="KDN1003" s="103"/>
      <c r="KDZ1003" s="104"/>
      <c r="KEA1003" s="103"/>
      <c r="KEM1003" s="104"/>
      <c r="KEN1003" s="103"/>
      <c r="KEZ1003" s="104"/>
      <c r="KFA1003" s="103"/>
      <c r="KFM1003" s="104"/>
      <c r="KFN1003" s="103"/>
      <c r="KFZ1003" s="104"/>
      <c r="KGA1003" s="103"/>
      <c r="KGM1003" s="104"/>
      <c r="KGN1003" s="103"/>
      <c r="KGZ1003" s="104"/>
      <c r="KHA1003" s="103"/>
      <c r="KHM1003" s="104"/>
      <c r="KHN1003" s="103"/>
      <c r="KHZ1003" s="104"/>
      <c r="KIA1003" s="103"/>
      <c r="KIM1003" s="104"/>
      <c r="KIN1003" s="103"/>
      <c r="KIZ1003" s="104"/>
      <c r="KJA1003" s="103"/>
      <c r="KJM1003" s="104"/>
      <c r="KJN1003" s="103"/>
      <c r="KJZ1003" s="104"/>
      <c r="KKA1003" s="103"/>
      <c r="KKM1003" s="104"/>
      <c r="KKN1003" s="103"/>
      <c r="KKZ1003" s="104"/>
      <c r="KLA1003" s="103"/>
      <c r="KLM1003" s="104"/>
      <c r="KLN1003" s="103"/>
      <c r="KLZ1003" s="104"/>
      <c r="KMA1003" s="103"/>
      <c r="KMM1003" s="104"/>
      <c r="KMN1003" s="103"/>
      <c r="KMZ1003" s="104"/>
      <c r="KNA1003" s="103"/>
      <c r="KNM1003" s="104"/>
      <c r="KNN1003" s="103"/>
      <c r="KNZ1003" s="104"/>
      <c r="KOA1003" s="103"/>
      <c r="KOM1003" s="104"/>
      <c r="KON1003" s="103"/>
      <c r="KOZ1003" s="104"/>
      <c r="KPA1003" s="103"/>
      <c r="KPM1003" s="104"/>
      <c r="KPN1003" s="103"/>
      <c r="KPZ1003" s="104"/>
      <c r="KQA1003" s="103"/>
      <c r="KQM1003" s="104"/>
      <c r="KQN1003" s="103"/>
      <c r="KQZ1003" s="104"/>
      <c r="KRA1003" s="103"/>
      <c r="KRM1003" s="104"/>
      <c r="KRN1003" s="103"/>
      <c r="KRZ1003" s="104"/>
      <c r="KSA1003" s="103"/>
      <c r="KSM1003" s="104"/>
      <c r="KSN1003" s="103"/>
      <c r="KSZ1003" s="104"/>
      <c r="KTA1003" s="103"/>
      <c r="KTM1003" s="104"/>
      <c r="KTN1003" s="103"/>
      <c r="KTZ1003" s="104"/>
      <c r="KUA1003" s="103"/>
      <c r="KUM1003" s="104"/>
      <c r="KUN1003" s="103"/>
      <c r="KUZ1003" s="104"/>
      <c r="KVA1003" s="103"/>
      <c r="KVM1003" s="104"/>
      <c r="KVN1003" s="103"/>
      <c r="KVZ1003" s="104"/>
      <c r="KWA1003" s="103"/>
      <c r="KWM1003" s="104"/>
      <c r="KWN1003" s="103"/>
      <c r="KWZ1003" s="104"/>
      <c r="KXA1003" s="103"/>
      <c r="KXM1003" s="104"/>
      <c r="KXN1003" s="103"/>
      <c r="KXZ1003" s="104"/>
      <c r="KYA1003" s="103"/>
      <c r="KYM1003" s="104"/>
      <c r="KYN1003" s="103"/>
      <c r="KYZ1003" s="104"/>
      <c r="KZA1003" s="103"/>
      <c r="KZM1003" s="104"/>
      <c r="KZN1003" s="103"/>
      <c r="KZZ1003" s="104"/>
      <c r="LAA1003" s="103"/>
      <c r="LAM1003" s="104"/>
      <c r="LAN1003" s="103"/>
      <c r="LAZ1003" s="104"/>
      <c r="LBA1003" s="103"/>
      <c r="LBM1003" s="104"/>
      <c r="LBN1003" s="103"/>
      <c r="LBZ1003" s="104"/>
      <c r="LCA1003" s="103"/>
      <c r="LCM1003" s="104"/>
      <c r="LCN1003" s="103"/>
      <c r="LCZ1003" s="104"/>
      <c r="LDA1003" s="103"/>
      <c r="LDM1003" s="104"/>
      <c r="LDN1003" s="103"/>
      <c r="LDZ1003" s="104"/>
      <c r="LEA1003" s="103"/>
      <c r="LEM1003" s="104"/>
      <c r="LEN1003" s="103"/>
      <c r="LEZ1003" s="104"/>
      <c r="LFA1003" s="103"/>
      <c r="LFM1003" s="104"/>
      <c r="LFN1003" s="103"/>
      <c r="LFZ1003" s="104"/>
      <c r="LGA1003" s="103"/>
      <c r="LGM1003" s="104"/>
      <c r="LGN1003" s="103"/>
      <c r="LGZ1003" s="104"/>
      <c r="LHA1003" s="103"/>
      <c r="LHM1003" s="104"/>
      <c r="LHN1003" s="103"/>
      <c r="LHZ1003" s="104"/>
      <c r="LIA1003" s="103"/>
      <c r="LIM1003" s="104"/>
      <c r="LIN1003" s="103"/>
      <c r="LIZ1003" s="104"/>
      <c r="LJA1003" s="103"/>
      <c r="LJM1003" s="104"/>
      <c r="LJN1003" s="103"/>
      <c r="LJZ1003" s="104"/>
      <c r="LKA1003" s="103"/>
      <c r="LKM1003" s="104"/>
      <c r="LKN1003" s="103"/>
      <c r="LKZ1003" s="104"/>
      <c r="LLA1003" s="103"/>
      <c r="LLM1003" s="104"/>
      <c r="LLN1003" s="103"/>
      <c r="LLZ1003" s="104"/>
      <c r="LMA1003" s="103"/>
      <c r="LMM1003" s="104"/>
      <c r="LMN1003" s="103"/>
      <c r="LMZ1003" s="104"/>
      <c r="LNA1003" s="103"/>
      <c r="LNM1003" s="104"/>
      <c r="LNN1003" s="103"/>
      <c r="LNZ1003" s="104"/>
      <c r="LOA1003" s="103"/>
      <c r="LOM1003" s="104"/>
      <c r="LON1003" s="103"/>
      <c r="LOZ1003" s="104"/>
      <c r="LPA1003" s="103"/>
      <c r="LPM1003" s="104"/>
      <c r="LPN1003" s="103"/>
      <c r="LPZ1003" s="104"/>
      <c r="LQA1003" s="103"/>
      <c r="LQM1003" s="104"/>
      <c r="LQN1003" s="103"/>
      <c r="LQZ1003" s="104"/>
      <c r="LRA1003" s="103"/>
      <c r="LRM1003" s="104"/>
      <c r="LRN1003" s="103"/>
      <c r="LRZ1003" s="104"/>
      <c r="LSA1003" s="103"/>
      <c r="LSM1003" s="104"/>
      <c r="LSN1003" s="103"/>
      <c r="LSZ1003" s="104"/>
      <c r="LTA1003" s="103"/>
      <c r="LTM1003" s="104"/>
      <c r="LTN1003" s="103"/>
      <c r="LTZ1003" s="104"/>
      <c r="LUA1003" s="103"/>
      <c r="LUM1003" s="104"/>
      <c r="LUN1003" s="103"/>
      <c r="LUZ1003" s="104"/>
      <c r="LVA1003" s="103"/>
      <c r="LVM1003" s="104"/>
      <c r="LVN1003" s="103"/>
      <c r="LVZ1003" s="104"/>
      <c r="LWA1003" s="103"/>
      <c r="LWM1003" s="104"/>
      <c r="LWN1003" s="103"/>
      <c r="LWZ1003" s="104"/>
      <c r="LXA1003" s="103"/>
      <c r="LXM1003" s="104"/>
      <c r="LXN1003" s="103"/>
      <c r="LXZ1003" s="104"/>
      <c r="LYA1003" s="103"/>
      <c r="LYM1003" s="104"/>
      <c r="LYN1003" s="103"/>
      <c r="LYZ1003" s="104"/>
      <c r="LZA1003" s="103"/>
      <c r="LZM1003" s="104"/>
      <c r="LZN1003" s="103"/>
      <c r="LZZ1003" s="104"/>
      <c r="MAA1003" s="103"/>
      <c r="MAM1003" s="104"/>
      <c r="MAN1003" s="103"/>
      <c r="MAZ1003" s="104"/>
      <c r="MBA1003" s="103"/>
      <c r="MBM1003" s="104"/>
      <c r="MBN1003" s="103"/>
      <c r="MBZ1003" s="104"/>
      <c r="MCA1003" s="103"/>
      <c r="MCM1003" s="104"/>
      <c r="MCN1003" s="103"/>
      <c r="MCZ1003" s="104"/>
      <c r="MDA1003" s="103"/>
      <c r="MDM1003" s="104"/>
      <c r="MDN1003" s="103"/>
      <c r="MDZ1003" s="104"/>
      <c r="MEA1003" s="103"/>
      <c r="MEM1003" s="104"/>
      <c r="MEN1003" s="103"/>
      <c r="MEZ1003" s="104"/>
      <c r="MFA1003" s="103"/>
      <c r="MFM1003" s="104"/>
      <c r="MFN1003" s="103"/>
      <c r="MFZ1003" s="104"/>
      <c r="MGA1003" s="103"/>
      <c r="MGM1003" s="104"/>
      <c r="MGN1003" s="103"/>
      <c r="MGZ1003" s="104"/>
      <c r="MHA1003" s="103"/>
      <c r="MHM1003" s="104"/>
      <c r="MHN1003" s="103"/>
      <c r="MHZ1003" s="104"/>
      <c r="MIA1003" s="103"/>
      <c r="MIM1003" s="104"/>
      <c r="MIN1003" s="103"/>
      <c r="MIZ1003" s="104"/>
      <c r="MJA1003" s="103"/>
      <c r="MJM1003" s="104"/>
      <c r="MJN1003" s="103"/>
      <c r="MJZ1003" s="104"/>
      <c r="MKA1003" s="103"/>
      <c r="MKM1003" s="104"/>
      <c r="MKN1003" s="103"/>
      <c r="MKZ1003" s="104"/>
      <c r="MLA1003" s="103"/>
      <c r="MLM1003" s="104"/>
      <c r="MLN1003" s="103"/>
      <c r="MLZ1003" s="104"/>
      <c r="MMA1003" s="103"/>
      <c r="MMM1003" s="104"/>
      <c r="MMN1003" s="103"/>
      <c r="MMZ1003" s="104"/>
      <c r="MNA1003" s="103"/>
      <c r="MNM1003" s="104"/>
      <c r="MNN1003" s="103"/>
      <c r="MNZ1003" s="104"/>
      <c r="MOA1003" s="103"/>
      <c r="MOM1003" s="104"/>
      <c r="MON1003" s="103"/>
      <c r="MOZ1003" s="104"/>
      <c r="MPA1003" s="103"/>
      <c r="MPM1003" s="104"/>
      <c r="MPN1003" s="103"/>
      <c r="MPZ1003" s="104"/>
      <c r="MQA1003" s="103"/>
      <c r="MQM1003" s="104"/>
      <c r="MQN1003" s="103"/>
      <c r="MQZ1003" s="104"/>
      <c r="MRA1003" s="103"/>
      <c r="MRM1003" s="104"/>
      <c r="MRN1003" s="103"/>
      <c r="MRZ1003" s="104"/>
      <c r="MSA1003" s="103"/>
      <c r="MSM1003" s="104"/>
      <c r="MSN1003" s="103"/>
      <c r="MSZ1003" s="104"/>
      <c r="MTA1003" s="103"/>
      <c r="MTM1003" s="104"/>
      <c r="MTN1003" s="103"/>
      <c r="MTZ1003" s="104"/>
      <c r="MUA1003" s="103"/>
      <c r="MUM1003" s="104"/>
      <c r="MUN1003" s="103"/>
      <c r="MUZ1003" s="104"/>
      <c r="MVA1003" s="103"/>
      <c r="MVM1003" s="104"/>
      <c r="MVN1003" s="103"/>
      <c r="MVZ1003" s="104"/>
      <c r="MWA1003" s="103"/>
      <c r="MWM1003" s="104"/>
      <c r="MWN1003" s="103"/>
      <c r="MWZ1003" s="104"/>
      <c r="MXA1003" s="103"/>
      <c r="MXM1003" s="104"/>
      <c r="MXN1003" s="103"/>
      <c r="MXZ1003" s="104"/>
      <c r="MYA1003" s="103"/>
      <c r="MYM1003" s="104"/>
      <c r="MYN1003" s="103"/>
      <c r="MYZ1003" s="104"/>
      <c r="MZA1003" s="103"/>
      <c r="MZM1003" s="104"/>
      <c r="MZN1003" s="103"/>
      <c r="MZZ1003" s="104"/>
      <c r="NAA1003" s="103"/>
      <c r="NAM1003" s="104"/>
      <c r="NAN1003" s="103"/>
      <c r="NAZ1003" s="104"/>
      <c r="NBA1003" s="103"/>
      <c r="NBM1003" s="104"/>
      <c r="NBN1003" s="103"/>
      <c r="NBZ1003" s="104"/>
      <c r="NCA1003" s="103"/>
      <c r="NCM1003" s="104"/>
      <c r="NCN1003" s="103"/>
      <c r="NCZ1003" s="104"/>
      <c r="NDA1003" s="103"/>
      <c r="NDM1003" s="104"/>
      <c r="NDN1003" s="103"/>
      <c r="NDZ1003" s="104"/>
      <c r="NEA1003" s="103"/>
      <c r="NEM1003" s="104"/>
      <c r="NEN1003" s="103"/>
      <c r="NEZ1003" s="104"/>
      <c r="NFA1003" s="103"/>
      <c r="NFM1003" s="104"/>
      <c r="NFN1003" s="103"/>
      <c r="NFZ1003" s="104"/>
      <c r="NGA1003" s="103"/>
      <c r="NGM1003" s="104"/>
      <c r="NGN1003" s="103"/>
      <c r="NGZ1003" s="104"/>
      <c r="NHA1003" s="103"/>
      <c r="NHM1003" s="104"/>
      <c r="NHN1003" s="103"/>
      <c r="NHZ1003" s="104"/>
      <c r="NIA1003" s="103"/>
      <c r="NIM1003" s="104"/>
      <c r="NIN1003" s="103"/>
      <c r="NIZ1003" s="104"/>
      <c r="NJA1003" s="103"/>
      <c r="NJM1003" s="104"/>
      <c r="NJN1003" s="103"/>
      <c r="NJZ1003" s="104"/>
      <c r="NKA1003" s="103"/>
      <c r="NKM1003" s="104"/>
      <c r="NKN1003" s="103"/>
      <c r="NKZ1003" s="104"/>
      <c r="NLA1003" s="103"/>
      <c r="NLM1003" s="104"/>
      <c r="NLN1003" s="103"/>
      <c r="NLZ1003" s="104"/>
      <c r="NMA1003" s="103"/>
      <c r="NMM1003" s="104"/>
      <c r="NMN1003" s="103"/>
      <c r="NMZ1003" s="104"/>
      <c r="NNA1003" s="103"/>
      <c r="NNM1003" s="104"/>
      <c r="NNN1003" s="103"/>
      <c r="NNZ1003" s="104"/>
      <c r="NOA1003" s="103"/>
      <c r="NOM1003" s="104"/>
      <c r="NON1003" s="103"/>
      <c r="NOZ1003" s="104"/>
      <c r="NPA1003" s="103"/>
      <c r="NPM1003" s="104"/>
      <c r="NPN1003" s="103"/>
      <c r="NPZ1003" s="104"/>
      <c r="NQA1003" s="103"/>
      <c r="NQM1003" s="104"/>
      <c r="NQN1003" s="103"/>
      <c r="NQZ1003" s="104"/>
      <c r="NRA1003" s="103"/>
      <c r="NRM1003" s="104"/>
      <c r="NRN1003" s="103"/>
      <c r="NRZ1003" s="104"/>
      <c r="NSA1003" s="103"/>
      <c r="NSM1003" s="104"/>
      <c r="NSN1003" s="103"/>
      <c r="NSZ1003" s="104"/>
      <c r="NTA1003" s="103"/>
      <c r="NTM1003" s="104"/>
      <c r="NTN1003" s="103"/>
      <c r="NTZ1003" s="104"/>
      <c r="NUA1003" s="103"/>
      <c r="NUM1003" s="104"/>
      <c r="NUN1003" s="103"/>
      <c r="NUZ1003" s="104"/>
      <c r="NVA1003" s="103"/>
      <c r="NVM1003" s="104"/>
      <c r="NVN1003" s="103"/>
      <c r="NVZ1003" s="104"/>
      <c r="NWA1003" s="103"/>
      <c r="NWM1003" s="104"/>
      <c r="NWN1003" s="103"/>
      <c r="NWZ1003" s="104"/>
      <c r="NXA1003" s="103"/>
      <c r="NXM1003" s="104"/>
      <c r="NXN1003" s="103"/>
      <c r="NXZ1003" s="104"/>
      <c r="NYA1003" s="103"/>
      <c r="NYM1003" s="104"/>
      <c r="NYN1003" s="103"/>
      <c r="NYZ1003" s="104"/>
      <c r="NZA1003" s="103"/>
      <c r="NZM1003" s="104"/>
      <c r="NZN1003" s="103"/>
      <c r="NZZ1003" s="104"/>
      <c r="OAA1003" s="103"/>
      <c r="OAM1003" s="104"/>
      <c r="OAN1003" s="103"/>
      <c r="OAZ1003" s="104"/>
      <c r="OBA1003" s="103"/>
      <c r="OBM1003" s="104"/>
      <c r="OBN1003" s="103"/>
      <c r="OBZ1003" s="104"/>
      <c r="OCA1003" s="103"/>
      <c r="OCM1003" s="104"/>
      <c r="OCN1003" s="103"/>
      <c r="OCZ1003" s="104"/>
      <c r="ODA1003" s="103"/>
      <c r="ODM1003" s="104"/>
      <c r="ODN1003" s="103"/>
      <c r="ODZ1003" s="104"/>
      <c r="OEA1003" s="103"/>
      <c r="OEM1003" s="104"/>
      <c r="OEN1003" s="103"/>
      <c r="OEZ1003" s="104"/>
      <c r="OFA1003" s="103"/>
      <c r="OFM1003" s="104"/>
      <c r="OFN1003" s="103"/>
      <c r="OFZ1003" s="104"/>
      <c r="OGA1003" s="103"/>
      <c r="OGM1003" s="104"/>
      <c r="OGN1003" s="103"/>
      <c r="OGZ1003" s="104"/>
      <c r="OHA1003" s="103"/>
      <c r="OHM1003" s="104"/>
      <c r="OHN1003" s="103"/>
      <c r="OHZ1003" s="104"/>
      <c r="OIA1003" s="103"/>
      <c r="OIM1003" s="104"/>
      <c r="OIN1003" s="103"/>
      <c r="OIZ1003" s="104"/>
      <c r="OJA1003" s="103"/>
      <c r="OJM1003" s="104"/>
      <c r="OJN1003" s="103"/>
      <c r="OJZ1003" s="104"/>
      <c r="OKA1003" s="103"/>
      <c r="OKM1003" s="104"/>
      <c r="OKN1003" s="103"/>
      <c r="OKZ1003" s="104"/>
      <c r="OLA1003" s="103"/>
      <c r="OLM1003" s="104"/>
      <c r="OLN1003" s="103"/>
      <c r="OLZ1003" s="104"/>
      <c r="OMA1003" s="103"/>
      <c r="OMM1003" s="104"/>
      <c r="OMN1003" s="103"/>
      <c r="OMZ1003" s="104"/>
      <c r="ONA1003" s="103"/>
      <c r="ONM1003" s="104"/>
      <c r="ONN1003" s="103"/>
      <c r="ONZ1003" s="104"/>
      <c r="OOA1003" s="103"/>
      <c r="OOM1003" s="104"/>
      <c r="OON1003" s="103"/>
      <c r="OOZ1003" s="104"/>
      <c r="OPA1003" s="103"/>
      <c r="OPM1003" s="104"/>
      <c r="OPN1003" s="103"/>
      <c r="OPZ1003" s="104"/>
      <c r="OQA1003" s="103"/>
      <c r="OQM1003" s="104"/>
      <c r="OQN1003" s="103"/>
      <c r="OQZ1003" s="104"/>
      <c r="ORA1003" s="103"/>
      <c r="ORM1003" s="104"/>
      <c r="ORN1003" s="103"/>
      <c r="ORZ1003" s="104"/>
      <c r="OSA1003" s="103"/>
      <c r="OSM1003" s="104"/>
      <c r="OSN1003" s="103"/>
      <c r="OSZ1003" s="104"/>
      <c r="OTA1003" s="103"/>
      <c r="OTM1003" s="104"/>
      <c r="OTN1003" s="103"/>
      <c r="OTZ1003" s="104"/>
      <c r="OUA1003" s="103"/>
      <c r="OUM1003" s="104"/>
      <c r="OUN1003" s="103"/>
      <c r="OUZ1003" s="104"/>
      <c r="OVA1003" s="103"/>
      <c r="OVM1003" s="104"/>
      <c r="OVN1003" s="103"/>
      <c r="OVZ1003" s="104"/>
      <c r="OWA1003" s="103"/>
      <c r="OWM1003" s="104"/>
      <c r="OWN1003" s="103"/>
      <c r="OWZ1003" s="104"/>
      <c r="OXA1003" s="103"/>
      <c r="OXM1003" s="104"/>
      <c r="OXN1003" s="103"/>
      <c r="OXZ1003" s="104"/>
      <c r="OYA1003" s="103"/>
      <c r="OYM1003" s="104"/>
      <c r="OYN1003" s="103"/>
      <c r="OYZ1003" s="104"/>
      <c r="OZA1003" s="103"/>
      <c r="OZM1003" s="104"/>
      <c r="OZN1003" s="103"/>
      <c r="OZZ1003" s="104"/>
      <c r="PAA1003" s="103"/>
      <c r="PAM1003" s="104"/>
      <c r="PAN1003" s="103"/>
      <c r="PAZ1003" s="104"/>
      <c r="PBA1003" s="103"/>
      <c r="PBM1003" s="104"/>
      <c r="PBN1003" s="103"/>
      <c r="PBZ1003" s="104"/>
      <c r="PCA1003" s="103"/>
      <c r="PCM1003" s="104"/>
      <c r="PCN1003" s="103"/>
      <c r="PCZ1003" s="104"/>
      <c r="PDA1003" s="103"/>
      <c r="PDM1003" s="104"/>
      <c r="PDN1003" s="103"/>
      <c r="PDZ1003" s="104"/>
      <c r="PEA1003" s="103"/>
      <c r="PEM1003" s="104"/>
      <c r="PEN1003" s="103"/>
      <c r="PEZ1003" s="104"/>
      <c r="PFA1003" s="103"/>
      <c r="PFM1003" s="104"/>
      <c r="PFN1003" s="103"/>
      <c r="PFZ1003" s="104"/>
      <c r="PGA1003" s="103"/>
      <c r="PGM1003" s="104"/>
      <c r="PGN1003" s="103"/>
      <c r="PGZ1003" s="104"/>
      <c r="PHA1003" s="103"/>
      <c r="PHM1003" s="104"/>
      <c r="PHN1003" s="103"/>
      <c r="PHZ1003" s="104"/>
      <c r="PIA1003" s="103"/>
      <c r="PIM1003" s="104"/>
      <c r="PIN1003" s="103"/>
      <c r="PIZ1003" s="104"/>
      <c r="PJA1003" s="103"/>
      <c r="PJM1003" s="104"/>
      <c r="PJN1003" s="103"/>
      <c r="PJZ1003" s="104"/>
      <c r="PKA1003" s="103"/>
      <c r="PKM1003" s="104"/>
      <c r="PKN1003" s="103"/>
      <c r="PKZ1003" s="104"/>
      <c r="PLA1003" s="103"/>
      <c r="PLM1003" s="104"/>
      <c r="PLN1003" s="103"/>
      <c r="PLZ1003" s="104"/>
      <c r="PMA1003" s="103"/>
      <c r="PMM1003" s="104"/>
      <c r="PMN1003" s="103"/>
      <c r="PMZ1003" s="104"/>
      <c r="PNA1003" s="103"/>
      <c r="PNM1003" s="104"/>
      <c r="PNN1003" s="103"/>
      <c r="PNZ1003" s="104"/>
      <c r="POA1003" s="103"/>
      <c r="POM1003" s="104"/>
      <c r="PON1003" s="103"/>
      <c r="POZ1003" s="104"/>
      <c r="PPA1003" s="103"/>
      <c r="PPM1003" s="104"/>
      <c r="PPN1003" s="103"/>
      <c r="PPZ1003" s="104"/>
      <c r="PQA1003" s="103"/>
      <c r="PQM1003" s="104"/>
      <c r="PQN1003" s="103"/>
      <c r="PQZ1003" s="104"/>
      <c r="PRA1003" s="103"/>
      <c r="PRM1003" s="104"/>
      <c r="PRN1003" s="103"/>
      <c r="PRZ1003" s="104"/>
      <c r="PSA1003" s="103"/>
      <c r="PSM1003" s="104"/>
      <c r="PSN1003" s="103"/>
      <c r="PSZ1003" s="104"/>
      <c r="PTA1003" s="103"/>
      <c r="PTM1003" s="104"/>
      <c r="PTN1003" s="103"/>
      <c r="PTZ1003" s="104"/>
      <c r="PUA1003" s="103"/>
      <c r="PUM1003" s="104"/>
      <c r="PUN1003" s="103"/>
      <c r="PUZ1003" s="104"/>
      <c r="PVA1003" s="103"/>
      <c r="PVM1003" s="104"/>
      <c r="PVN1003" s="103"/>
      <c r="PVZ1003" s="104"/>
      <c r="PWA1003" s="103"/>
      <c r="PWM1003" s="104"/>
      <c r="PWN1003" s="103"/>
      <c r="PWZ1003" s="104"/>
      <c r="PXA1003" s="103"/>
      <c r="PXM1003" s="104"/>
      <c r="PXN1003" s="103"/>
      <c r="PXZ1003" s="104"/>
      <c r="PYA1003" s="103"/>
      <c r="PYM1003" s="104"/>
      <c r="PYN1003" s="103"/>
      <c r="PYZ1003" s="104"/>
      <c r="PZA1003" s="103"/>
      <c r="PZM1003" s="104"/>
      <c r="PZN1003" s="103"/>
      <c r="PZZ1003" s="104"/>
      <c r="QAA1003" s="103"/>
      <c r="QAM1003" s="104"/>
      <c r="QAN1003" s="103"/>
      <c r="QAZ1003" s="104"/>
      <c r="QBA1003" s="103"/>
      <c r="QBM1003" s="104"/>
      <c r="QBN1003" s="103"/>
      <c r="QBZ1003" s="104"/>
      <c r="QCA1003" s="103"/>
      <c r="QCM1003" s="104"/>
      <c r="QCN1003" s="103"/>
      <c r="QCZ1003" s="104"/>
      <c r="QDA1003" s="103"/>
      <c r="QDM1003" s="104"/>
      <c r="QDN1003" s="103"/>
      <c r="QDZ1003" s="104"/>
      <c r="QEA1003" s="103"/>
      <c r="QEM1003" s="104"/>
      <c r="QEN1003" s="103"/>
      <c r="QEZ1003" s="104"/>
      <c r="QFA1003" s="103"/>
      <c r="QFM1003" s="104"/>
      <c r="QFN1003" s="103"/>
      <c r="QFZ1003" s="104"/>
      <c r="QGA1003" s="103"/>
      <c r="QGM1003" s="104"/>
      <c r="QGN1003" s="103"/>
      <c r="QGZ1003" s="104"/>
      <c r="QHA1003" s="103"/>
      <c r="QHM1003" s="104"/>
      <c r="QHN1003" s="103"/>
      <c r="QHZ1003" s="104"/>
      <c r="QIA1003" s="103"/>
      <c r="QIM1003" s="104"/>
      <c r="QIN1003" s="103"/>
      <c r="QIZ1003" s="104"/>
      <c r="QJA1003" s="103"/>
      <c r="QJM1003" s="104"/>
      <c r="QJN1003" s="103"/>
      <c r="QJZ1003" s="104"/>
      <c r="QKA1003" s="103"/>
      <c r="QKM1003" s="104"/>
      <c r="QKN1003" s="103"/>
      <c r="QKZ1003" s="104"/>
      <c r="QLA1003" s="103"/>
      <c r="QLM1003" s="104"/>
      <c r="QLN1003" s="103"/>
      <c r="QLZ1003" s="104"/>
      <c r="QMA1003" s="103"/>
      <c r="QMM1003" s="104"/>
      <c r="QMN1003" s="103"/>
      <c r="QMZ1003" s="104"/>
      <c r="QNA1003" s="103"/>
      <c r="QNM1003" s="104"/>
      <c r="QNN1003" s="103"/>
      <c r="QNZ1003" s="104"/>
      <c r="QOA1003" s="103"/>
      <c r="QOM1003" s="104"/>
      <c r="QON1003" s="103"/>
      <c r="QOZ1003" s="104"/>
      <c r="QPA1003" s="103"/>
      <c r="QPM1003" s="104"/>
      <c r="QPN1003" s="103"/>
      <c r="QPZ1003" s="104"/>
      <c r="QQA1003" s="103"/>
      <c r="QQM1003" s="104"/>
      <c r="QQN1003" s="103"/>
      <c r="QQZ1003" s="104"/>
      <c r="QRA1003" s="103"/>
      <c r="QRM1003" s="104"/>
      <c r="QRN1003" s="103"/>
      <c r="QRZ1003" s="104"/>
      <c r="QSA1003" s="103"/>
      <c r="QSM1003" s="104"/>
      <c r="QSN1003" s="103"/>
      <c r="QSZ1003" s="104"/>
      <c r="QTA1003" s="103"/>
      <c r="QTM1003" s="104"/>
      <c r="QTN1003" s="103"/>
      <c r="QTZ1003" s="104"/>
      <c r="QUA1003" s="103"/>
      <c r="QUM1003" s="104"/>
      <c r="QUN1003" s="103"/>
      <c r="QUZ1003" s="104"/>
      <c r="QVA1003" s="103"/>
      <c r="QVM1003" s="104"/>
      <c r="QVN1003" s="103"/>
      <c r="QVZ1003" s="104"/>
      <c r="QWA1003" s="103"/>
      <c r="QWM1003" s="104"/>
      <c r="QWN1003" s="103"/>
      <c r="QWZ1003" s="104"/>
      <c r="QXA1003" s="103"/>
      <c r="QXM1003" s="104"/>
      <c r="QXN1003" s="103"/>
      <c r="QXZ1003" s="104"/>
      <c r="QYA1003" s="103"/>
      <c r="QYM1003" s="104"/>
      <c r="QYN1003" s="103"/>
      <c r="QYZ1003" s="104"/>
      <c r="QZA1003" s="103"/>
      <c r="QZM1003" s="104"/>
      <c r="QZN1003" s="103"/>
      <c r="QZZ1003" s="104"/>
      <c r="RAA1003" s="103"/>
      <c r="RAM1003" s="104"/>
      <c r="RAN1003" s="103"/>
      <c r="RAZ1003" s="104"/>
      <c r="RBA1003" s="103"/>
      <c r="RBM1003" s="104"/>
      <c r="RBN1003" s="103"/>
      <c r="RBZ1003" s="104"/>
      <c r="RCA1003" s="103"/>
      <c r="RCM1003" s="104"/>
      <c r="RCN1003" s="103"/>
      <c r="RCZ1003" s="104"/>
      <c r="RDA1003" s="103"/>
      <c r="RDM1003" s="104"/>
      <c r="RDN1003" s="103"/>
      <c r="RDZ1003" s="104"/>
      <c r="REA1003" s="103"/>
      <c r="REM1003" s="104"/>
      <c r="REN1003" s="103"/>
      <c r="REZ1003" s="104"/>
      <c r="RFA1003" s="103"/>
      <c r="RFM1003" s="104"/>
      <c r="RFN1003" s="103"/>
      <c r="RFZ1003" s="104"/>
      <c r="RGA1003" s="103"/>
      <c r="RGM1003" s="104"/>
      <c r="RGN1003" s="103"/>
      <c r="RGZ1003" s="104"/>
      <c r="RHA1003" s="103"/>
      <c r="RHM1003" s="104"/>
      <c r="RHN1003" s="103"/>
      <c r="RHZ1003" s="104"/>
      <c r="RIA1003" s="103"/>
      <c r="RIM1003" s="104"/>
      <c r="RIN1003" s="103"/>
      <c r="RIZ1003" s="104"/>
      <c r="RJA1003" s="103"/>
      <c r="RJM1003" s="104"/>
      <c r="RJN1003" s="103"/>
      <c r="RJZ1003" s="104"/>
      <c r="RKA1003" s="103"/>
      <c r="RKM1003" s="104"/>
      <c r="RKN1003" s="103"/>
      <c r="RKZ1003" s="104"/>
      <c r="RLA1003" s="103"/>
      <c r="RLM1003" s="104"/>
      <c r="RLN1003" s="103"/>
      <c r="RLZ1003" s="104"/>
      <c r="RMA1003" s="103"/>
      <c r="RMM1003" s="104"/>
      <c r="RMN1003" s="103"/>
      <c r="RMZ1003" s="104"/>
      <c r="RNA1003" s="103"/>
      <c r="RNM1003" s="104"/>
      <c r="RNN1003" s="103"/>
      <c r="RNZ1003" s="104"/>
      <c r="ROA1003" s="103"/>
      <c r="ROM1003" s="104"/>
      <c r="RON1003" s="103"/>
      <c r="ROZ1003" s="104"/>
      <c r="RPA1003" s="103"/>
      <c r="RPM1003" s="104"/>
      <c r="RPN1003" s="103"/>
      <c r="RPZ1003" s="104"/>
      <c r="RQA1003" s="103"/>
      <c r="RQM1003" s="104"/>
      <c r="RQN1003" s="103"/>
      <c r="RQZ1003" s="104"/>
      <c r="RRA1003" s="103"/>
      <c r="RRM1003" s="104"/>
      <c r="RRN1003" s="103"/>
      <c r="RRZ1003" s="104"/>
      <c r="RSA1003" s="103"/>
      <c r="RSM1003" s="104"/>
      <c r="RSN1003" s="103"/>
      <c r="RSZ1003" s="104"/>
      <c r="RTA1003" s="103"/>
      <c r="RTM1003" s="104"/>
      <c r="RTN1003" s="103"/>
      <c r="RTZ1003" s="104"/>
      <c r="RUA1003" s="103"/>
      <c r="RUM1003" s="104"/>
      <c r="RUN1003" s="103"/>
      <c r="RUZ1003" s="104"/>
      <c r="RVA1003" s="103"/>
      <c r="RVM1003" s="104"/>
      <c r="RVN1003" s="103"/>
      <c r="RVZ1003" s="104"/>
      <c r="RWA1003" s="103"/>
      <c r="RWM1003" s="104"/>
      <c r="RWN1003" s="103"/>
      <c r="RWZ1003" s="104"/>
      <c r="RXA1003" s="103"/>
      <c r="RXM1003" s="104"/>
      <c r="RXN1003" s="103"/>
      <c r="RXZ1003" s="104"/>
      <c r="RYA1003" s="103"/>
      <c r="RYM1003" s="104"/>
      <c r="RYN1003" s="103"/>
      <c r="RYZ1003" s="104"/>
      <c r="RZA1003" s="103"/>
      <c r="RZM1003" s="104"/>
      <c r="RZN1003" s="103"/>
      <c r="RZZ1003" s="104"/>
      <c r="SAA1003" s="103"/>
      <c r="SAM1003" s="104"/>
      <c r="SAN1003" s="103"/>
      <c r="SAZ1003" s="104"/>
      <c r="SBA1003" s="103"/>
      <c r="SBM1003" s="104"/>
      <c r="SBN1003" s="103"/>
      <c r="SBZ1003" s="104"/>
      <c r="SCA1003" s="103"/>
      <c r="SCM1003" s="104"/>
      <c r="SCN1003" s="103"/>
      <c r="SCZ1003" s="104"/>
      <c r="SDA1003" s="103"/>
      <c r="SDM1003" s="104"/>
      <c r="SDN1003" s="103"/>
      <c r="SDZ1003" s="104"/>
      <c r="SEA1003" s="103"/>
      <c r="SEM1003" s="104"/>
      <c r="SEN1003" s="103"/>
      <c r="SEZ1003" s="104"/>
      <c r="SFA1003" s="103"/>
      <c r="SFM1003" s="104"/>
      <c r="SFN1003" s="103"/>
      <c r="SFZ1003" s="104"/>
      <c r="SGA1003" s="103"/>
      <c r="SGM1003" s="104"/>
      <c r="SGN1003" s="103"/>
      <c r="SGZ1003" s="104"/>
      <c r="SHA1003" s="103"/>
      <c r="SHM1003" s="104"/>
      <c r="SHN1003" s="103"/>
      <c r="SHZ1003" s="104"/>
      <c r="SIA1003" s="103"/>
      <c r="SIM1003" s="104"/>
      <c r="SIN1003" s="103"/>
      <c r="SIZ1003" s="104"/>
      <c r="SJA1003" s="103"/>
      <c r="SJM1003" s="104"/>
      <c r="SJN1003" s="103"/>
      <c r="SJZ1003" s="104"/>
      <c r="SKA1003" s="103"/>
      <c r="SKM1003" s="104"/>
      <c r="SKN1003" s="103"/>
      <c r="SKZ1003" s="104"/>
      <c r="SLA1003" s="103"/>
      <c r="SLM1003" s="104"/>
      <c r="SLN1003" s="103"/>
      <c r="SLZ1003" s="104"/>
      <c r="SMA1003" s="103"/>
      <c r="SMM1003" s="104"/>
      <c r="SMN1003" s="103"/>
      <c r="SMZ1003" s="104"/>
      <c r="SNA1003" s="103"/>
      <c r="SNM1003" s="104"/>
      <c r="SNN1003" s="103"/>
      <c r="SNZ1003" s="104"/>
      <c r="SOA1003" s="103"/>
      <c r="SOM1003" s="104"/>
      <c r="SON1003" s="103"/>
      <c r="SOZ1003" s="104"/>
      <c r="SPA1003" s="103"/>
      <c r="SPM1003" s="104"/>
      <c r="SPN1003" s="103"/>
      <c r="SPZ1003" s="104"/>
      <c r="SQA1003" s="103"/>
      <c r="SQM1003" s="104"/>
      <c r="SQN1003" s="103"/>
      <c r="SQZ1003" s="104"/>
      <c r="SRA1003" s="103"/>
      <c r="SRM1003" s="104"/>
      <c r="SRN1003" s="103"/>
      <c r="SRZ1003" s="104"/>
      <c r="SSA1003" s="103"/>
      <c r="SSM1003" s="104"/>
      <c r="SSN1003" s="103"/>
      <c r="SSZ1003" s="104"/>
      <c r="STA1003" s="103"/>
      <c r="STM1003" s="104"/>
      <c r="STN1003" s="103"/>
      <c r="STZ1003" s="104"/>
      <c r="SUA1003" s="103"/>
      <c r="SUM1003" s="104"/>
      <c r="SUN1003" s="103"/>
      <c r="SUZ1003" s="104"/>
      <c r="SVA1003" s="103"/>
      <c r="SVM1003" s="104"/>
      <c r="SVN1003" s="103"/>
      <c r="SVZ1003" s="104"/>
      <c r="SWA1003" s="103"/>
      <c r="SWM1003" s="104"/>
      <c r="SWN1003" s="103"/>
      <c r="SWZ1003" s="104"/>
      <c r="SXA1003" s="103"/>
      <c r="SXM1003" s="104"/>
      <c r="SXN1003" s="103"/>
      <c r="SXZ1003" s="104"/>
      <c r="SYA1003" s="103"/>
      <c r="SYM1003" s="104"/>
      <c r="SYN1003" s="103"/>
      <c r="SYZ1003" s="104"/>
      <c r="SZA1003" s="103"/>
      <c r="SZM1003" s="104"/>
      <c r="SZN1003" s="103"/>
      <c r="SZZ1003" s="104"/>
      <c r="TAA1003" s="103"/>
      <c r="TAM1003" s="104"/>
      <c r="TAN1003" s="103"/>
      <c r="TAZ1003" s="104"/>
      <c r="TBA1003" s="103"/>
      <c r="TBM1003" s="104"/>
      <c r="TBN1003" s="103"/>
      <c r="TBZ1003" s="104"/>
      <c r="TCA1003" s="103"/>
      <c r="TCM1003" s="104"/>
      <c r="TCN1003" s="103"/>
      <c r="TCZ1003" s="104"/>
      <c r="TDA1003" s="103"/>
      <c r="TDM1003" s="104"/>
      <c r="TDN1003" s="103"/>
      <c r="TDZ1003" s="104"/>
      <c r="TEA1003" s="103"/>
      <c r="TEM1003" s="104"/>
      <c r="TEN1003" s="103"/>
      <c r="TEZ1003" s="104"/>
      <c r="TFA1003" s="103"/>
      <c r="TFM1003" s="104"/>
      <c r="TFN1003" s="103"/>
      <c r="TFZ1003" s="104"/>
      <c r="TGA1003" s="103"/>
      <c r="TGM1003" s="104"/>
      <c r="TGN1003" s="103"/>
      <c r="TGZ1003" s="104"/>
      <c r="THA1003" s="103"/>
      <c r="THM1003" s="104"/>
      <c r="THN1003" s="103"/>
      <c r="THZ1003" s="104"/>
      <c r="TIA1003" s="103"/>
      <c r="TIM1003" s="104"/>
      <c r="TIN1003" s="103"/>
      <c r="TIZ1003" s="104"/>
      <c r="TJA1003" s="103"/>
      <c r="TJM1003" s="104"/>
      <c r="TJN1003" s="103"/>
      <c r="TJZ1003" s="104"/>
      <c r="TKA1003" s="103"/>
      <c r="TKM1003" s="104"/>
      <c r="TKN1003" s="103"/>
      <c r="TKZ1003" s="104"/>
      <c r="TLA1003" s="103"/>
      <c r="TLM1003" s="104"/>
      <c r="TLN1003" s="103"/>
      <c r="TLZ1003" s="104"/>
      <c r="TMA1003" s="103"/>
      <c r="TMM1003" s="104"/>
      <c r="TMN1003" s="103"/>
      <c r="TMZ1003" s="104"/>
      <c r="TNA1003" s="103"/>
      <c r="TNM1003" s="104"/>
      <c r="TNN1003" s="103"/>
      <c r="TNZ1003" s="104"/>
      <c r="TOA1003" s="103"/>
      <c r="TOM1003" s="104"/>
      <c r="TON1003" s="103"/>
      <c r="TOZ1003" s="104"/>
      <c r="TPA1003" s="103"/>
      <c r="TPM1003" s="104"/>
      <c r="TPN1003" s="103"/>
      <c r="TPZ1003" s="104"/>
      <c r="TQA1003" s="103"/>
      <c r="TQM1003" s="104"/>
      <c r="TQN1003" s="103"/>
      <c r="TQZ1003" s="104"/>
      <c r="TRA1003" s="103"/>
      <c r="TRM1003" s="104"/>
      <c r="TRN1003" s="103"/>
      <c r="TRZ1003" s="104"/>
      <c r="TSA1003" s="103"/>
      <c r="TSM1003" s="104"/>
      <c r="TSN1003" s="103"/>
      <c r="TSZ1003" s="104"/>
      <c r="TTA1003" s="103"/>
      <c r="TTM1003" s="104"/>
      <c r="TTN1003" s="103"/>
      <c r="TTZ1003" s="104"/>
      <c r="TUA1003" s="103"/>
      <c r="TUM1003" s="104"/>
      <c r="TUN1003" s="103"/>
      <c r="TUZ1003" s="104"/>
      <c r="TVA1003" s="103"/>
      <c r="TVM1003" s="104"/>
      <c r="TVN1003" s="103"/>
      <c r="TVZ1003" s="104"/>
      <c r="TWA1003" s="103"/>
      <c r="TWM1003" s="104"/>
      <c r="TWN1003" s="103"/>
      <c r="TWZ1003" s="104"/>
      <c r="TXA1003" s="103"/>
      <c r="TXM1003" s="104"/>
      <c r="TXN1003" s="103"/>
      <c r="TXZ1003" s="104"/>
      <c r="TYA1003" s="103"/>
      <c r="TYM1003" s="104"/>
      <c r="TYN1003" s="103"/>
      <c r="TYZ1003" s="104"/>
      <c r="TZA1003" s="103"/>
      <c r="TZM1003" s="104"/>
      <c r="TZN1003" s="103"/>
      <c r="TZZ1003" s="104"/>
      <c r="UAA1003" s="103"/>
      <c r="UAM1003" s="104"/>
      <c r="UAN1003" s="103"/>
      <c r="UAZ1003" s="104"/>
      <c r="UBA1003" s="103"/>
      <c r="UBM1003" s="104"/>
      <c r="UBN1003" s="103"/>
      <c r="UBZ1003" s="104"/>
      <c r="UCA1003" s="103"/>
      <c r="UCM1003" s="104"/>
      <c r="UCN1003" s="103"/>
      <c r="UCZ1003" s="104"/>
      <c r="UDA1003" s="103"/>
      <c r="UDM1003" s="104"/>
      <c r="UDN1003" s="103"/>
      <c r="UDZ1003" s="104"/>
      <c r="UEA1003" s="103"/>
      <c r="UEM1003" s="104"/>
      <c r="UEN1003" s="103"/>
      <c r="UEZ1003" s="104"/>
      <c r="UFA1003" s="103"/>
      <c r="UFM1003" s="104"/>
      <c r="UFN1003" s="103"/>
      <c r="UFZ1003" s="104"/>
      <c r="UGA1003" s="103"/>
      <c r="UGM1003" s="104"/>
      <c r="UGN1003" s="103"/>
      <c r="UGZ1003" s="104"/>
      <c r="UHA1003" s="103"/>
      <c r="UHM1003" s="104"/>
      <c r="UHN1003" s="103"/>
      <c r="UHZ1003" s="104"/>
      <c r="UIA1003" s="103"/>
      <c r="UIM1003" s="104"/>
      <c r="UIN1003" s="103"/>
      <c r="UIZ1003" s="104"/>
      <c r="UJA1003" s="103"/>
      <c r="UJM1003" s="104"/>
      <c r="UJN1003" s="103"/>
      <c r="UJZ1003" s="104"/>
      <c r="UKA1003" s="103"/>
      <c r="UKM1003" s="104"/>
      <c r="UKN1003" s="103"/>
      <c r="UKZ1003" s="104"/>
      <c r="ULA1003" s="103"/>
      <c r="ULM1003" s="104"/>
      <c r="ULN1003" s="103"/>
      <c r="ULZ1003" s="104"/>
      <c r="UMA1003" s="103"/>
      <c r="UMM1003" s="104"/>
      <c r="UMN1003" s="103"/>
      <c r="UMZ1003" s="104"/>
      <c r="UNA1003" s="103"/>
      <c r="UNM1003" s="104"/>
      <c r="UNN1003" s="103"/>
      <c r="UNZ1003" s="104"/>
      <c r="UOA1003" s="103"/>
      <c r="UOM1003" s="104"/>
      <c r="UON1003" s="103"/>
      <c r="UOZ1003" s="104"/>
      <c r="UPA1003" s="103"/>
      <c r="UPM1003" s="104"/>
      <c r="UPN1003" s="103"/>
      <c r="UPZ1003" s="104"/>
      <c r="UQA1003" s="103"/>
      <c r="UQM1003" s="104"/>
      <c r="UQN1003" s="103"/>
      <c r="UQZ1003" s="104"/>
      <c r="URA1003" s="103"/>
      <c r="URM1003" s="104"/>
      <c r="URN1003" s="103"/>
      <c r="URZ1003" s="104"/>
      <c r="USA1003" s="103"/>
      <c r="USM1003" s="104"/>
      <c r="USN1003" s="103"/>
      <c r="USZ1003" s="104"/>
      <c r="UTA1003" s="103"/>
      <c r="UTM1003" s="104"/>
      <c r="UTN1003" s="103"/>
      <c r="UTZ1003" s="104"/>
      <c r="UUA1003" s="103"/>
      <c r="UUM1003" s="104"/>
      <c r="UUN1003" s="103"/>
      <c r="UUZ1003" s="104"/>
      <c r="UVA1003" s="103"/>
      <c r="UVM1003" s="104"/>
      <c r="UVN1003" s="103"/>
      <c r="UVZ1003" s="104"/>
      <c r="UWA1003" s="103"/>
      <c r="UWM1003" s="104"/>
      <c r="UWN1003" s="103"/>
      <c r="UWZ1003" s="104"/>
      <c r="UXA1003" s="103"/>
      <c r="UXM1003" s="104"/>
      <c r="UXN1003" s="103"/>
      <c r="UXZ1003" s="104"/>
      <c r="UYA1003" s="103"/>
      <c r="UYM1003" s="104"/>
      <c r="UYN1003" s="103"/>
      <c r="UYZ1003" s="104"/>
      <c r="UZA1003" s="103"/>
      <c r="UZM1003" s="104"/>
      <c r="UZN1003" s="103"/>
      <c r="UZZ1003" s="104"/>
      <c r="VAA1003" s="103"/>
      <c r="VAM1003" s="104"/>
      <c r="VAN1003" s="103"/>
      <c r="VAZ1003" s="104"/>
      <c r="VBA1003" s="103"/>
      <c r="VBM1003" s="104"/>
      <c r="VBN1003" s="103"/>
      <c r="VBZ1003" s="104"/>
      <c r="VCA1003" s="103"/>
      <c r="VCM1003" s="104"/>
      <c r="VCN1003" s="103"/>
      <c r="VCZ1003" s="104"/>
      <c r="VDA1003" s="103"/>
      <c r="VDM1003" s="104"/>
      <c r="VDN1003" s="103"/>
      <c r="VDZ1003" s="104"/>
      <c r="VEA1003" s="103"/>
      <c r="VEM1003" s="104"/>
      <c r="VEN1003" s="103"/>
      <c r="VEZ1003" s="104"/>
      <c r="VFA1003" s="103"/>
      <c r="VFM1003" s="104"/>
      <c r="VFN1003" s="103"/>
      <c r="VFZ1003" s="104"/>
      <c r="VGA1003" s="103"/>
      <c r="VGM1003" s="104"/>
      <c r="VGN1003" s="103"/>
      <c r="VGZ1003" s="104"/>
      <c r="VHA1003" s="103"/>
      <c r="VHM1003" s="104"/>
      <c r="VHN1003" s="103"/>
      <c r="VHZ1003" s="104"/>
      <c r="VIA1003" s="103"/>
      <c r="VIM1003" s="104"/>
      <c r="VIN1003" s="103"/>
      <c r="VIZ1003" s="104"/>
      <c r="VJA1003" s="103"/>
      <c r="VJM1003" s="104"/>
      <c r="VJN1003" s="103"/>
      <c r="VJZ1003" s="104"/>
      <c r="VKA1003" s="103"/>
      <c r="VKM1003" s="104"/>
      <c r="VKN1003" s="103"/>
      <c r="VKZ1003" s="104"/>
      <c r="VLA1003" s="103"/>
      <c r="VLM1003" s="104"/>
      <c r="VLN1003" s="103"/>
      <c r="VLZ1003" s="104"/>
      <c r="VMA1003" s="103"/>
      <c r="VMM1003" s="104"/>
      <c r="VMN1003" s="103"/>
      <c r="VMZ1003" s="104"/>
      <c r="VNA1003" s="103"/>
      <c r="VNM1003" s="104"/>
      <c r="VNN1003" s="103"/>
      <c r="VNZ1003" s="104"/>
      <c r="VOA1003" s="103"/>
      <c r="VOM1003" s="104"/>
      <c r="VON1003" s="103"/>
      <c r="VOZ1003" s="104"/>
      <c r="VPA1003" s="103"/>
      <c r="VPM1003" s="104"/>
      <c r="VPN1003" s="103"/>
      <c r="VPZ1003" s="104"/>
      <c r="VQA1003" s="103"/>
      <c r="VQM1003" s="104"/>
      <c r="VQN1003" s="103"/>
      <c r="VQZ1003" s="104"/>
      <c r="VRA1003" s="103"/>
      <c r="VRM1003" s="104"/>
      <c r="VRN1003" s="103"/>
      <c r="VRZ1003" s="104"/>
      <c r="VSA1003" s="103"/>
      <c r="VSM1003" s="104"/>
      <c r="VSN1003" s="103"/>
      <c r="VSZ1003" s="104"/>
      <c r="VTA1003" s="103"/>
      <c r="VTM1003" s="104"/>
      <c r="VTN1003" s="103"/>
      <c r="VTZ1003" s="104"/>
      <c r="VUA1003" s="103"/>
      <c r="VUM1003" s="104"/>
      <c r="VUN1003" s="103"/>
      <c r="VUZ1003" s="104"/>
      <c r="VVA1003" s="103"/>
      <c r="VVM1003" s="104"/>
      <c r="VVN1003" s="103"/>
      <c r="VVZ1003" s="104"/>
      <c r="VWA1003" s="103"/>
      <c r="VWM1003" s="104"/>
      <c r="VWN1003" s="103"/>
      <c r="VWZ1003" s="104"/>
      <c r="VXA1003" s="103"/>
      <c r="VXM1003" s="104"/>
      <c r="VXN1003" s="103"/>
      <c r="VXZ1003" s="104"/>
      <c r="VYA1003" s="103"/>
      <c r="VYM1003" s="104"/>
      <c r="VYN1003" s="103"/>
      <c r="VYZ1003" s="104"/>
      <c r="VZA1003" s="103"/>
      <c r="VZM1003" s="104"/>
      <c r="VZN1003" s="103"/>
      <c r="VZZ1003" s="104"/>
      <c r="WAA1003" s="103"/>
      <c r="WAM1003" s="104"/>
      <c r="WAN1003" s="103"/>
      <c r="WAZ1003" s="104"/>
      <c r="WBA1003" s="103"/>
      <c r="WBM1003" s="104"/>
      <c r="WBN1003" s="103"/>
      <c r="WBZ1003" s="104"/>
      <c r="WCA1003" s="103"/>
      <c r="WCM1003" s="104"/>
      <c r="WCN1003" s="103"/>
      <c r="WCZ1003" s="104"/>
      <c r="WDA1003" s="103"/>
      <c r="WDM1003" s="104"/>
      <c r="WDN1003" s="103"/>
      <c r="WDZ1003" s="104"/>
      <c r="WEA1003" s="103"/>
      <c r="WEM1003" s="104"/>
      <c r="WEN1003" s="103"/>
      <c r="WEZ1003" s="104"/>
      <c r="WFA1003" s="103"/>
      <c r="WFM1003" s="104"/>
      <c r="WFN1003" s="103"/>
      <c r="WFZ1003" s="104"/>
      <c r="WGA1003" s="103"/>
      <c r="WGM1003" s="104"/>
      <c r="WGN1003" s="103"/>
      <c r="WGZ1003" s="104"/>
      <c r="WHA1003" s="103"/>
      <c r="WHM1003" s="104"/>
      <c r="WHN1003" s="103"/>
      <c r="WHZ1003" s="104"/>
      <c r="WIA1003" s="103"/>
      <c r="WIM1003" s="104"/>
      <c r="WIN1003" s="103"/>
      <c r="WIZ1003" s="104"/>
      <c r="WJA1003" s="103"/>
      <c r="WJM1003" s="104"/>
      <c r="WJN1003" s="103"/>
      <c r="WJZ1003" s="104"/>
      <c r="WKA1003" s="103"/>
      <c r="WKM1003" s="104"/>
      <c r="WKN1003" s="103"/>
      <c r="WKZ1003" s="104"/>
      <c r="WLA1003" s="103"/>
      <c r="WLM1003" s="104"/>
      <c r="WLN1003" s="103"/>
      <c r="WLZ1003" s="104"/>
      <c r="WMA1003" s="103"/>
      <c r="WMM1003" s="104"/>
      <c r="WMN1003" s="103"/>
      <c r="WMZ1003" s="104"/>
      <c r="WNA1003" s="103"/>
      <c r="WNM1003" s="104"/>
      <c r="WNN1003" s="103"/>
      <c r="WNZ1003" s="104"/>
      <c r="WOA1003" s="103"/>
      <c r="WOM1003" s="104"/>
      <c r="WON1003" s="103"/>
      <c r="WOZ1003" s="104"/>
      <c r="WPA1003" s="103"/>
      <c r="WPM1003" s="104"/>
      <c r="WPN1003" s="103"/>
      <c r="WPZ1003" s="104"/>
      <c r="WQA1003" s="103"/>
      <c r="WQM1003" s="104"/>
      <c r="WQN1003" s="103"/>
      <c r="WQZ1003" s="104"/>
      <c r="WRA1003" s="103"/>
      <c r="WRM1003" s="104"/>
      <c r="WRN1003" s="103"/>
      <c r="WRZ1003" s="104"/>
      <c r="WSA1003" s="103"/>
      <c r="WSM1003" s="104"/>
      <c r="WSN1003" s="103"/>
      <c r="WSZ1003" s="104"/>
      <c r="WTA1003" s="103"/>
      <c r="WTM1003" s="104"/>
      <c r="WTN1003" s="103"/>
      <c r="WTZ1003" s="104"/>
      <c r="WUA1003" s="103"/>
      <c r="WUM1003" s="104"/>
      <c r="WUN1003" s="103"/>
      <c r="WUZ1003" s="104"/>
      <c r="WVA1003" s="103"/>
      <c r="WVM1003" s="104"/>
      <c r="WVN1003" s="103"/>
      <c r="WVZ1003" s="104"/>
      <c r="WWA1003" s="103"/>
      <c r="WWM1003" s="104"/>
      <c r="WWN1003" s="103"/>
      <c r="WWZ1003" s="104"/>
      <c r="WXA1003" s="103"/>
      <c r="WXM1003" s="104"/>
      <c r="WXN1003" s="103"/>
      <c r="WXZ1003" s="104"/>
      <c r="WYA1003" s="103"/>
      <c r="WYM1003" s="104"/>
      <c r="WYN1003" s="103"/>
      <c r="WYZ1003" s="104"/>
      <c r="WZA1003" s="103"/>
      <c r="WZM1003" s="104"/>
      <c r="WZN1003" s="103"/>
      <c r="WZZ1003" s="104"/>
      <c r="XAA1003" s="103"/>
      <c r="XAM1003" s="104"/>
      <c r="XAN1003" s="103"/>
      <c r="XAZ1003" s="104"/>
      <c r="XBA1003" s="103"/>
      <c r="XBM1003" s="104"/>
      <c r="XBN1003" s="103"/>
      <c r="XBZ1003" s="104"/>
      <c r="XCA1003" s="103"/>
      <c r="XCM1003" s="104"/>
      <c r="XCN1003" s="103"/>
      <c r="XCZ1003" s="104"/>
      <c r="XDA1003" s="103"/>
      <c r="XDM1003" s="104"/>
      <c r="XDN1003" s="103"/>
      <c r="XDZ1003" s="104"/>
      <c r="XEA1003" s="103"/>
      <c r="XEM1003" s="104"/>
      <c r="XEN1003" s="103"/>
      <c r="XEZ1003" s="104"/>
      <c r="XFA1003" s="103"/>
    </row>
    <row r="1004" spans="1:1015 1027:2042 2054:3069 3081:4096 4108:5110 5122:6137 6149:7164 7176:8191 8203:9205 9217:10232 10244:11259 11271:12286 12298:14327 14339:15354 15366:16381" ht="26.25">
      <c r="B1004" s="108" t="s">
        <v>175</v>
      </c>
      <c r="C1004" s="109" t="s">
        <v>85</v>
      </c>
      <c r="D1004" s="109" t="s">
        <v>88</v>
      </c>
      <c r="E1004" s="110" t="s">
        <v>89</v>
      </c>
      <c r="F1004" s="110" t="s">
        <v>7</v>
      </c>
      <c r="AM1004" s="104"/>
      <c r="AN1004" s="103"/>
      <c r="AZ1004" s="104"/>
      <c r="BA1004" s="103"/>
      <c r="BM1004" s="104"/>
      <c r="BN1004" s="103"/>
      <c r="BZ1004" s="104"/>
      <c r="CA1004" s="103"/>
      <c r="CM1004" s="104"/>
      <c r="CN1004" s="103"/>
      <c r="CZ1004" s="104"/>
      <c r="DA1004" s="103"/>
      <c r="DM1004" s="104"/>
      <c r="DN1004" s="103"/>
      <c r="DZ1004" s="104"/>
      <c r="EA1004" s="103"/>
      <c r="EM1004" s="104"/>
      <c r="EN1004" s="103"/>
      <c r="EZ1004" s="104"/>
      <c r="FA1004" s="103"/>
      <c r="FM1004" s="104"/>
      <c r="FN1004" s="103"/>
      <c r="FZ1004" s="104"/>
      <c r="GA1004" s="103"/>
      <c r="GM1004" s="104"/>
      <c r="GN1004" s="103"/>
      <c r="GZ1004" s="104"/>
      <c r="HA1004" s="103"/>
      <c r="HM1004" s="104"/>
      <c r="HN1004" s="103"/>
      <c r="HZ1004" s="104"/>
      <c r="IA1004" s="103"/>
      <c r="IM1004" s="104"/>
      <c r="IN1004" s="103"/>
      <c r="IZ1004" s="104"/>
      <c r="JA1004" s="103"/>
      <c r="JM1004" s="104"/>
      <c r="JN1004" s="103"/>
      <c r="JZ1004" s="104"/>
      <c r="KA1004" s="103"/>
      <c r="KM1004" s="104"/>
      <c r="KN1004" s="103"/>
      <c r="KZ1004" s="104"/>
      <c r="LA1004" s="103"/>
      <c r="LM1004" s="104"/>
      <c r="LN1004" s="103"/>
      <c r="LZ1004" s="104"/>
      <c r="MA1004" s="103"/>
      <c r="MM1004" s="104"/>
      <c r="MN1004" s="103"/>
      <c r="MZ1004" s="104"/>
      <c r="NA1004" s="103"/>
      <c r="NM1004" s="104"/>
      <c r="NN1004" s="103"/>
      <c r="NZ1004" s="104"/>
      <c r="OA1004" s="103"/>
      <c r="OM1004" s="104"/>
      <c r="ON1004" s="103"/>
      <c r="OZ1004" s="104"/>
      <c r="PA1004" s="103"/>
      <c r="PM1004" s="104"/>
      <c r="PN1004" s="103"/>
      <c r="PZ1004" s="104"/>
      <c r="QA1004" s="103"/>
      <c r="QM1004" s="104"/>
      <c r="QN1004" s="103"/>
      <c r="QZ1004" s="104"/>
      <c r="RA1004" s="103"/>
      <c r="RM1004" s="104"/>
      <c r="RN1004" s="103"/>
      <c r="RZ1004" s="104"/>
      <c r="SA1004" s="103"/>
      <c r="SM1004" s="104"/>
      <c r="SN1004" s="103"/>
      <c r="SZ1004" s="104"/>
      <c r="TA1004" s="103"/>
      <c r="TM1004" s="104"/>
      <c r="TN1004" s="103"/>
      <c r="TZ1004" s="104"/>
      <c r="UA1004" s="103"/>
      <c r="UM1004" s="104"/>
      <c r="UN1004" s="103"/>
      <c r="UZ1004" s="104"/>
      <c r="VA1004" s="103"/>
      <c r="VM1004" s="104"/>
      <c r="VN1004" s="103"/>
      <c r="VZ1004" s="104"/>
      <c r="WA1004" s="103"/>
      <c r="WM1004" s="104"/>
      <c r="WN1004" s="103"/>
      <c r="WZ1004" s="104"/>
      <c r="XA1004" s="103"/>
      <c r="XM1004" s="104"/>
      <c r="XN1004" s="103"/>
      <c r="XZ1004" s="104"/>
      <c r="YA1004" s="103"/>
      <c r="YM1004" s="104"/>
      <c r="YN1004" s="103"/>
      <c r="YZ1004" s="104"/>
      <c r="ZA1004" s="103"/>
      <c r="ZM1004" s="104"/>
      <c r="ZN1004" s="103"/>
      <c r="ZZ1004" s="104"/>
      <c r="AAA1004" s="103"/>
      <c r="AAM1004" s="104"/>
      <c r="AAN1004" s="103"/>
      <c r="AAZ1004" s="104"/>
      <c r="ABA1004" s="103"/>
      <c r="ABM1004" s="104"/>
      <c r="ABN1004" s="103"/>
      <c r="ABZ1004" s="104"/>
      <c r="ACA1004" s="103"/>
      <c r="ACM1004" s="104"/>
      <c r="ACN1004" s="103"/>
      <c r="ACZ1004" s="104"/>
      <c r="ADA1004" s="103"/>
      <c r="ADM1004" s="104"/>
      <c r="ADN1004" s="103"/>
      <c r="ADZ1004" s="104"/>
      <c r="AEA1004" s="103"/>
      <c r="AEM1004" s="104"/>
      <c r="AEN1004" s="103"/>
      <c r="AEZ1004" s="104"/>
      <c r="AFA1004" s="103"/>
      <c r="AFM1004" s="104"/>
      <c r="AFN1004" s="103"/>
      <c r="AFZ1004" s="104"/>
      <c r="AGA1004" s="103"/>
      <c r="AGM1004" s="104"/>
      <c r="AGN1004" s="103"/>
      <c r="AGZ1004" s="104"/>
      <c r="AHA1004" s="103"/>
      <c r="AHM1004" s="104"/>
      <c r="AHN1004" s="103"/>
      <c r="AHZ1004" s="104"/>
      <c r="AIA1004" s="103"/>
      <c r="AIM1004" s="104"/>
      <c r="AIN1004" s="103"/>
      <c r="AIZ1004" s="104"/>
      <c r="AJA1004" s="103"/>
      <c r="AJM1004" s="104"/>
      <c r="AJN1004" s="103"/>
      <c r="AJZ1004" s="104"/>
      <c r="AKA1004" s="103"/>
      <c r="AKM1004" s="104"/>
      <c r="AKN1004" s="103"/>
      <c r="AKZ1004" s="104"/>
      <c r="ALA1004" s="103"/>
      <c r="ALM1004" s="104"/>
      <c r="ALN1004" s="103"/>
      <c r="ALZ1004" s="104"/>
      <c r="AMA1004" s="103"/>
      <c r="AMM1004" s="104"/>
      <c r="AMN1004" s="103"/>
      <c r="AMZ1004" s="104"/>
      <c r="ANA1004" s="103"/>
      <c r="ANM1004" s="104"/>
      <c r="ANN1004" s="103"/>
      <c r="ANZ1004" s="104"/>
      <c r="AOA1004" s="103"/>
      <c r="AOM1004" s="104"/>
      <c r="AON1004" s="103"/>
      <c r="AOZ1004" s="104"/>
      <c r="APA1004" s="103"/>
      <c r="APM1004" s="104"/>
      <c r="APN1004" s="103"/>
      <c r="APZ1004" s="104"/>
      <c r="AQA1004" s="103"/>
      <c r="AQM1004" s="104"/>
      <c r="AQN1004" s="103"/>
      <c r="AQZ1004" s="104"/>
      <c r="ARA1004" s="103"/>
      <c r="ARM1004" s="104"/>
      <c r="ARN1004" s="103"/>
      <c r="ARZ1004" s="104"/>
      <c r="ASA1004" s="103"/>
      <c r="ASM1004" s="104"/>
      <c r="ASN1004" s="103"/>
      <c r="ASZ1004" s="104"/>
      <c r="ATA1004" s="103"/>
      <c r="ATM1004" s="104"/>
      <c r="ATN1004" s="103"/>
      <c r="ATZ1004" s="104"/>
      <c r="AUA1004" s="103"/>
      <c r="AUM1004" s="104"/>
      <c r="AUN1004" s="103"/>
      <c r="AUZ1004" s="104"/>
      <c r="AVA1004" s="103"/>
      <c r="AVM1004" s="104"/>
      <c r="AVN1004" s="103"/>
      <c r="AVZ1004" s="104"/>
      <c r="AWA1004" s="103"/>
      <c r="AWM1004" s="104"/>
      <c r="AWN1004" s="103"/>
      <c r="AWZ1004" s="104"/>
      <c r="AXA1004" s="103"/>
      <c r="AXM1004" s="104"/>
      <c r="AXN1004" s="103"/>
      <c r="AXZ1004" s="104"/>
      <c r="AYA1004" s="103"/>
      <c r="AYM1004" s="104"/>
      <c r="AYN1004" s="103"/>
      <c r="AYZ1004" s="104"/>
      <c r="AZA1004" s="103"/>
      <c r="AZM1004" s="104"/>
      <c r="AZN1004" s="103"/>
      <c r="AZZ1004" s="104"/>
      <c r="BAA1004" s="103"/>
      <c r="BAM1004" s="104"/>
      <c r="BAN1004" s="103"/>
      <c r="BAZ1004" s="104"/>
      <c r="BBA1004" s="103"/>
      <c r="BBM1004" s="104"/>
      <c r="BBN1004" s="103"/>
      <c r="BBZ1004" s="104"/>
      <c r="BCA1004" s="103"/>
      <c r="BCM1004" s="104"/>
      <c r="BCN1004" s="103"/>
      <c r="BCZ1004" s="104"/>
      <c r="BDA1004" s="103"/>
      <c r="BDM1004" s="104"/>
      <c r="BDN1004" s="103"/>
      <c r="BDZ1004" s="104"/>
      <c r="BEA1004" s="103"/>
      <c r="BEM1004" s="104"/>
      <c r="BEN1004" s="103"/>
      <c r="BEZ1004" s="104"/>
      <c r="BFA1004" s="103"/>
      <c r="BFM1004" s="104"/>
      <c r="BFN1004" s="103"/>
      <c r="BFZ1004" s="104"/>
      <c r="BGA1004" s="103"/>
      <c r="BGM1004" s="104"/>
      <c r="BGN1004" s="103"/>
      <c r="BGZ1004" s="104"/>
      <c r="BHA1004" s="103"/>
      <c r="BHM1004" s="104"/>
      <c r="BHN1004" s="103"/>
      <c r="BHZ1004" s="104"/>
      <c r="BIA1004" s="103"/>
      <c r="BIM1004" s="104"/>
      <c r="BIN1004" s="103"/>
      <c r="BIZ1004" s="104"/>
      <c r="BJA1004" s="103"/>
      <c r="BJM1004" s="104"/>
      <c r="BJN1004" s="103"/>
      <c r="BJZ1004" s="104"/>
      <c r="BKA1004" s="103"/>
      <c r="BKM1004" s="104"/>
      <c r="BKN1004" s="103"/>
      <c r="BKZ1004" s="104"/>
      <c r="BLA1004" s="103"/>
      <c r="BLM1004" s="104"/>
      <c r="BLN1004" s="103"/>
      <c r="BLZ1004" s="104"/>
      <c r="BMA1004" s="103"/>
      <c r="BMM1004" s="104"/>
      <c r="BMN1004" s="103"/>
      <c r="BMZ1004" s="104"/>
      <c r="BNA1004" s="103"/>
      <c r="BNM1004" s="104"/>
      <c r="BNN1004" s="103"/>
      <c r="BNZ1004" s="104"/>
      <c r="BOA1004" s="103"/>
      <c r="BOM1004" s="104"/>
      <c r="BON1004" s="103"/>
      <c r="BOZ1004" s="104"/>
      <c r="BPA1004" s="103"/>
      <c r="BPM1004" s="104"/>
      <c r="BPN1004" s="103"/>
      <c r="BPZ1004" s="104"/>
      <c r="BQA1004" s="103"/>
      <c r="BQM1004" s="104"/>
      <c r="BQN1004" s="103"/>
      <c r="BQZ1004" s="104"/>
      <c r="BRA1004" s="103"/>
      <c r="BRM1004" s="104"/>
      <c r="BRN1004" s="103"/>
      <c r="BRZ1004" s="104"/>
      <c r="BSA1004" s="103"/>
      <c r="BSM1004" s="104"/>
      <c r="BSN1004" s="103"/>
      <c r="BSZ1004" s="104"/>
      <c r="BTA1004" s="103"/>
      <c r="BTM1004" s="104"/>
      <c r="BTN1004" s="103"/>
      <c r="BTZ1004" s="104"/>
      <c r="BUA1004" s="103"/>
      <c r="BUM1004" s="104"/>
      <c r="BUN1004" s="103"/>
      <c r="BUZ1004" s="104"/>
      <c r="BVA1004" s="103"/>
      <c r="BVM1004" s="104"/>
      <c r="BVN1004" s="103"/>
      <c r="BVZ1004" s="104"/>
      <c r="BWA1004" s="103"/>
      <c r="BWM1004" s="104"/>
      <c r="BWN1004" s="103"/>
      <c r="BWZ1004" s="104"/>
      <c r="BXA1004" s="103"/>
      <c r="BXM1004" s="104"/>
      <c r="BXN1004" s="103"/>
      <c r="BXZ1004" s="104"/>
      <c r="BYA1004" s="103"/>
      <c r="BYM1004" s="104"/>
      <c r="BYN1004" s="103"/>
      <c r="BYZ1004" s="104"/>
      <c r="BZA1004" s="103"/>
      <c r="BZM1004" s="104"/>
      <c r="BZN1004" s="103"/>
      <c r="BZZ1004" s="104"/>
      <c r="CAA1004" s="103"/>
      <c r="CAM1004" s="104"/>
      <c r="CAN1004" s="103"/>
      <c r="CAZ1004" s="104"/>
      <c r="CBA1004" s="103"/>
      <c r="CBM1004" s="104"/>
      <c r="CBN1004" s="103"/>
      <c r="CBZ1004" s="104"/>
      <c r="CCA1004" s="103"/>
      <c r="CCM1004" s="104"/>
      <c r="CCN1004" s="103"/>
      <c r="CCZ1004" s="104"/>
      <c r="CDA1004" s="103"/>
      <c r="CDM1004" s="104"/>
      <c r="CDN1004" s="103"/>
      <c r="CDZ1004" s="104"/>
      <c r="CEA1004" s="103"/>
      <c r="CEM1004" s="104"/>
      <c r="CEN1004" s="103"/>
      <c r="CEZ1004" s="104"/>
      <c r="CFA1004" s="103"/>
      <c r="CFM1004" s="104"/>
      <c r="CFN1004" s="103"/>
      <c r="CFZ1004" s="104"/>
      <c r="CGA1004" s="103"/>
      <c r="CGM1004" s="104"/>
      <c r="CGN1004" s="103"/>
      <c r="CGZ1004" s="104"/>
      <c r="CHA1004" s="103"/>
      <c r="CHM1004" s="104"/>
      <c r="CHN1004" s="103"/>
      <c r="CHZ1004" s="104"/>
      <c r="CIA1004" s="103"/>
      <c r="CIM1004" s="104"/>
      <c r="CIN1004" s="103"/>
      <c r="CIZ1004" s="104"/>
      <c r="CJA1004" s="103"/>
      <c r="CJM1004" s="104"/>
      <c r="CJN1004" s="103"/>
      <c r="CJZ1004" s="104"/>
      <c r="CKA1004" s="103"/>
      <c r="CKM1004" s="104"/>
      <c r="CKN1004" s="103"/>
      <c r="CKZ1004" s="104"/>
      <c r="CLA1004" s="103"/>
      <c r="CLM1004" s="104"/>
      <c r="CLN1004" s="103"/>
      <c r="CLZ1004" s="104"/>
      <c r="CMA1004" s="103"/>
      <c r="CMM1004" s="104"/>
      <c r="CMN1004" s="103"/>
      <c r="CMZ1004" s="104"/>
      <c r="CNA1004" s="103"/>
      <c r="CNM1004" s="104"/>
      <c r="CNN1004" s="103"/>
      <c r="CNZ1004" s="104"/>
      <c r="COA1004" s="103"/>
      <c r="COM1004" s="104"/>
      <c r="CON1004" s="103"/>
      <c r="COZ1004" s="104"/>
      <c r="CPA1004" s="103"/>
      <c r="CPM1004" s="104"/>
      <c r="CPN1004" s="103"/>
      <c r="CPZ1004" s="104"/>
      <c r="CQA1004" s="103"/>
      <c r="CQM1004" s="104"/>
      <c r="CQN1004" s="103"/>
      <c r="CQZ1004" s="104"/>
      <c r="CRA1004" s="103"/>
      <c r="CRM1004" s="104"/>
      <c r="CRN1004" s="103"/>
      <c r="CRZ1004" s="104"/>
      <c r="CSA1004" s="103"/>
      <c r="CSM1004" s="104"/>
      <c r="CSN1004" s="103"/>
      <c r="CSZ1004" s="104"/>
      <c r="CTA1004" s="103"/>
      <c r="CTM1004" s="104"/>
      <c r="CTN1004" s="103"/>
      <c r="CTZ1004" s="104"/>
      <c r="CUA1004" s="103"/>
      <c r="CUM1004" s="104"/>
      <c r="CUN1004" s="103"/>
      <c r="CUZ1004" s="104"/>
      <c r="CVA1004" s="103"/>
      <c r="CVM1004" s="104"/>
      <c r="CVN1004" s="103"/>
      <c r="CVZ1004" s="104"/>
      <c r="CWA1004" s="103"/>
      <c r="CWM1004" s="104"/>
      <c r="CWN1004" s="103"/>
      <c r="CWZ1004" s="104"/>
      <c r="CXA1004" s="103"/>
      <c r="CXM1004" s="104"/>
      <c r="CXN1004" s="103"/>
      <c r="CXZ1004" s="104"/>
      <c r="CYA1004" s="103"/>
      <c r="CYM1004" s="104"/>
      <c r="CYN1004" s="103"/>
      <c r="CYZ1004" s="104"/>
      <c r="CZA1004" s="103"/>
      <c r="CZM1004" s="104"/>
      <c r="CZN1004" s="103"/>
      <c r="CZZ1004" s="104"/>
      <c r="DAA1004" s="103"/>
      <c r="DAM1004" s="104"/>
      <c r="DAN1004" s="103"/>
      <c r="DAZ1004" s="104"/>
      <c r="DBA1004" s="103"/>
      <c r="DBM1004" s="104"/>
      <c r="DBN1004" s="103"/>
      <c r="DBZ1004" s="104"/>
      <c r="DCA1004" s="103"/>
      <c r="DCM1004" s="104"/>
      <c r="DCN1004" s="103"/>
      <c r="DCZ1004" s="104"/>
      <c r="DDA1004" s="103"/>
      <c r="DDM1004" s="104"/>
      <c r="DDN1004" s="103"/>
      <c r="DDZ1004" s="104"/>
      <c r="DEA1004" s="103"/>
      <c r="DEM1004" s="104"/>
      <c r="DEN1004" s="103"/>
      <c r="DEZ1004" s="104"/>
      <c r="DFA1004" s="103"/>
      <c r="DFM1004" s="104"/>
      <c r="DFN1004" s="103"/>
      <c r="DFZ1004" s="104"/>
      <c r="DGA1004" s="103"/>
      <c r="DGM1004" s="104"/>
      <c r="DGN1004" s="103"/>
      <c r="DGZ1004" s="104"/>
      <c r="DHA1004" s="103"/>
      <c r="DHM1004" s="104"/>
      <c r="DHN1004" s="103"/>
      <c r="DHZ1004" s="104"/>
      <c r="DIA1004" s="103"/>
      <c r="DIM1004" s="104"/>
      <c r="DIN1004" s="103"/>
      <c r="DIZ1004" s="104"/>
      <c r="DJA1004" s="103"/>
      <c r="DJM1004" s="104"/>
      <c r="DJN1004" s="103"/>
      <c r="DJZ1004" s="104"/>
      <c r="DKA1004" s="103"/>
      <c r="DKM1004" s="104"/>
      <c r="DKN1004" s="103"/>
      <c r="DKZ1004" s="104"/>
      <c r="DLA1004" s="103"/>
      <c r="DLM1004" s="104"/>
      <c r="DLN1004" s="103"/>
      <c r="DLZ1004" s="104"/>
      <c r="DMA1004" s="103"/>
      <c r="DMM1004" s="104"/>
      <c r="DMN1004" s="103"/>
      <c r="DMZ1004" s="104"/>
      <c r="DNA1004" s="103"/>
      <c r="DNM1004" s="104"/>
      <c r="DNN1004" s="103"/>
      <c r="DNZ1004" s="104"/>
      <c r="DOA1004" s="103"/>
      <c r="DOM1004" s="104"/>
      <c r="DON1004" s="103"/>
      <c r="DOZ1004" s="104"/>
      <c r="DPA1004" s="103"/>
      <c r="DPM1004" s="104"/>
      <c r="DPN1004" s="103"/>
      <c r="DPZ1004" s="104"/>
      <c r="DQA1004" s="103"/>
      <c r="DQM1004" s="104"/>
      <c r="DQN1004" s="103"/>
      <c r="DQZ1004" s="104"/>
      <c r="DRA1004" s="103"/>
      <c r="DRM1004" s="104"/>
      <c r="DRN1004" s="103"/>
      <c r="DRZ1004" s="104"/>
      <c r="DSA1004" s="103"/>
      <c r="DSM1004" s="104"/>
      <c r="DSN1004" s="103"/>
      <c r="DSZ1004" s="104"/>
      <c r="DTA1004" s="103"/>
      <c r="DTM1004" s="104"/>
      <c r="DTN1004" s="103"/>
      <c r="DTZ1004" s="104"/>
      <c r="DUA1004" s="103"/>
      <c r="DUM1004" s="104"/>
      <c r="DUN1004" s="103"/>
      <c r="DUZ1004" s="104"/>
      <c r="DVA1004" s="103"/>
      <c r="DVM1004" s="104"/>
      <c r="DVN1004" s="103"/>
      <c r="DVZ1004" s="104"/>
      <c r="DWA1004" s="103"/>
      <c r="DWM1004" s="104"/>
      <c r="DWN1004" s="103"/>
      <c r="DWZ1004" s="104"/>
      <c r="DXA1004" s="103"/>
      <c r="DXM1004" s="104"/>
      <c r="DXN1004" s="103"/>
      <c r="DXZ1004" s="104"/>
      <c r="DYA1004" s="103"/>
      <c r="DYM1004" s="104"/>
      <c r="DYN1004" s="103"/>
      <c r="DYZ1004" s="104"/>
      <c r="DZA1004" s="103"/>
      <c r="DZM1004" s="104"/>
      <c r="DZN1004" s="103"/>
      <c r="DZZ1004" s="104"/>
      <c r="EAA1004" s="103"/>
      <c r="EAM1004" s="104"/>
      <c r="EAN1004" s="103"/>
      <c r="EAZ1004" s="104"/>
      <c r="EBA1004" s="103"/>
      <c r="EBM1004" s="104"/>
      <c r="EBN1004" s="103"/>
      <c r="EBZ1004" s="104"/>
      <c r="ECA1004" s="103"/>
      <c r="ECM1004" s="104"/>
      <c r="ECN1004" s="103"/>
      <c r="ECZ1004" s="104"/>
      <c r="EDA1004" s="103"/>
      <c r="EDM1004" s="104"/>
      <c r="EDN1004" s="103"/>
      <c r="EDZ1004" s="104"/>
      <c r="EEA1004" s="103"/>
      <c r="EEM1004" s="104"/>
      <c r="EEN1004" s="103"/>
      <c r="EEZ1004" s="104"/>
      <c r="EFA1004" s="103"/>
      <c r="EFM1004" s="104"/>
      <c r="EFN1004" s="103"/>
      <c r="EFZ1004" s="104"/>
      <c r="EGA1004" s="103"/>
      <c r="EGM1004" s="104"/>
      <c r="EGN1004" s="103"/>
      <c r="EGZ1004" s="104"/>
      <c r="EHA1004" s="103"/>
      <c r="EHM1004" s="104"/>
      <c r="EHN1004" s="103"/>
      <c r="EHZ1004" s="104"/>
      <c r="EIA1004" s="103"/>
      <c r="EIM1004" s="104"/>
      <c r="EIN1004" s="103"/>
      <c r="EIZ1004" s="104"/>
      <c r="EJA1004" s="103"/>
      <c r="EJM1004" s="104"/>
      <c r="EJN1004" s="103"/>
      <c r="EJZ1004" s="104"/>
      <c r="EKA1004" s="103"/>
      <c r="EKM1004" s="104"/>
      <c r="EKN1004" s="103"/>
      <c r="EKZ1004" s="104"/>
      <c r="ELA1004" s="103"/>
      <c r="ELM1004" s="104"/>
      <c r="ELN1004" s="103"/>
      <c r="ELZ1004" s="104"/>
      <c r="EMA1004" s="103"/>
      <c r="EMM1004" s="104"/>
      <c r="EMN1004" s="103"/>
      <c r="EMZ1004" s="104"/>
      <c r="ENA1004" s="103"/>
      <c r="ENM1004" s="104"/>
      <c r="ENN1004" s="103"/>
      <c r="ENZ1004" s="104"/>
      <c r="EOA1004" s="103"/>
      <c r="EOM1004" s="104"/>
      <c r="EON1004" s="103"/>
      <c r="EOZ1004" s="104"/>
      <c r="EPA1004" s="103"/>
      <c r="EPM1004" s="104"/>
      <c r="EPN1004" s="103"/>
      <c r="EPZ1004" s="104"/>
      <c r="EQA1004" s="103"/>
      <c r="EQM1004" s="104"/>
      <c r="EQN1004" s="103"/>
      <c r="EQZ1004" s="104"/>
      <c r="ERA1004" s="103"/>
      <c r="ERM1004" s="104"/>
      <c r="ERN1004" s="103"/>
      <c r="ERZ1004" s="104"/>
      <c r="ESA1004" s="103"/>
      <c r="ESM1004" s="104"/>
      <c r="ESN1004" s="103"/>
      <c r="ESZ1004" s="104"/>
      <c r="ETA1004" s="103"/>
      <c r="ETM1004" s="104"/>
      <c r="ETN1004" s="103"/>
      <c r="ETZ1004" s="104"/>
      <c r="EUA1004" s="103"/>
      <c r="EUM1004" s="104"/>
      <c r="EUN1004" s="103"/>
      <c r="EUZ1004" s="104"/>
      <c r="EVA1004" s="103"/>
      <c r="EVM1004" s="104"/>
      <c r="EVN1004" s="103"/>
      <c r="EVZ1004" s="104"/>
      <c r="EWA1004" s="103"/>
      <c r="EWM1004" s="104"/>
      <c r="EWN1004" s="103"/>
      <c r="EWZ1004" s="104"/>
      <c r="EXA1004" s="103"/>
      <c r="EXM1004" s="104"/>
      <c r="EXN1004" s="103"/>
      <c r="EXZ1004" s="104"/>
      <c r="EYA1004" s="103"/>
      <c r="EYM1004" s="104"/>
      <c r="EYN1004" s="103"/>
      <c r="EYZ1004" s="104"/>
      <c r="EZA1004" s="103"/>
      <c r="EZM1004" s="104"/>
      <c r="EZN1004" s="103"/>
      <c r="EZZ1004" s="104"/>
      <c r="FAA1004" s="103"/>
      <c r="FAM1004" s="104"/>
      <c r="FAN1004" s="103"/>
      <c r="FAZ1004" s="104"/>
      <c r="FBA1004" s="103"/>
      <c r="FBM1004" s="104"/>
      <c r="FBN1004" s="103"/>
      <c r="FBZ1004" s="104"/>
      <c r="FCA1004" s="103"/>
      <c r="FCM1004" s="104"/>
      <c r="FCN1004" s="103"/>
      <c r="FCZ1004" s="104"/>
      <c r="FDA1004" s="103"/>
      <c r="FDM1004" s="104"/>
      <c r="FDN1004" s="103"/>
      <c r="FDZ1004" s="104"/>
      <c r="FEA1004" s="103"/>
      <c r="FEM1004" s="104"/>
      <c r="FEN1004" s="103"/>
      <c r="FEZ1004" s="104"/>
      <c r="FFA1004" s="103"/>
      <c r="FFM1004" s="104"/>
      <c r="FFN1004" s="103"/>
      <c r="FFZ1004" s="104"/>
      <c r="FGA1004" s="103"/>
      <c r="FGM1004" s="104"/>
      <c r="FGN1004" s="103"/>
      <c r="FGZ1004" s="104"/>
      <c r="FHA1004" s="103"/>
      <c r="FHM1004" s="104"/>
      <c r="FHN1004" s="103"/>
      <c r="FHZ1004" s="104"/>
      <c r="FIA1004" s="103"/>
      <c r="FIM1004" s="104"/>
      <c r="FIN1004" s="103"/>
      <c r="FIZ1004" s="104"/>
      <c r="FJA1004" s="103"/>
      <c r="FJM1004" s="104"/>
      <c r="FJN1004" s="103"/>
      <c r="FJZ1004" s="104"/>
      <c r="FKA1004" s="103"/>
      <c r="FKM1004" s="104"/>
      <c r="FKN1004" s="103"/>
      <c r="FKZ1004" s="104"/>
      <c r="FLA1004" s="103"/>
      <c r="FLM1004" s="104"/>
      <c r="FLN1004" s="103"/>
      <c r="FLZ1004" s="104"/>
      <c r="FMA1004" s="103"/>
      <c r="FMM1004" s="104"/>
      <c r="FMN1004" s="103"/>
      <c r="FMZ1004" s="104"/>
      <c r="FNA1004" s="103"/>
      <c r="FNM1004" s="104"/>
      <c r="FNN1004" s="103"/>
      <c r="FNZ1004" s="104"/>
      <c r="FOA1004" s="103"/>
      <c r="FOM1004" s="104"/>
      <c r="FON1004" s="103"/>
      <c r="FOZ1004" s="104"/>
      <c r="FPA1004" s="103"/>
      <c r="FPM1004" s="104"/>
      <c r="FPN1004" s="103"/>
      <c r="FPZ1004" s="104"/>
      <c r="FQA1004" s="103"/>
      <c r="FQM1004" s="104"/>
      <c r="FQN1004" s="103"/>
      <c r="FQZ1004" s="104"/>
      <c r="FRA1004" s="103"/>
      <c r="FRM1004" s="104"/>
      <c r="FRN1004" s="103"/>
      <c r="FRZ1004" s="104"/>
      <c r="FSA1004" s="103"/>
      <c r="FSM1004" s="104"/>
      <c r="FSN1004" s="103"/>
      <c r="FSZ1004" s="104"/>
      <c r="FTA1004" s="103"/>
      <c r="FTM1004" s="104"/>
      <c r="FTN1004" s="103"/>
      <c r="FTZ1004" s="104"/>
      <c r="FUA1004" s="103"/>
      <c r="FUM1004" s="104"/>
      <c r="FUN1004" s="103"/>
      <c r="FUZ1004" s="104"/>
      <c r="FVA1004" s="103"/>
      <c r="FVM1004" s="104"/>
      <c r="FVN1004" s="103"/>
      <c r="FVZ1004" s="104"/>
      <c r="FWA1004" s="103"/>
      <c r="FWM1004" s="104"/>
      <c r="FWN1004" s="103"/>
      <c r="FWZ1004" s="104"/>
      <c r="FXA1004" s="103"/>
      <c r="FXM1004" s="104"/>
      <c r="FXN1004" s="103"/>
      <c r="FXZ1004" s="104"/>
      <c r="FYA1004" s="103"/>
      <c r="FYM1004" s="104"/>
      <c r="FYN1004" s="103"/>
      <c r="FYZ1004" s="104"/>
      <c r="FZA1004" s="103"/>
      <c r="FZM1004" s="104"/>
      <c r="FZN1004" s="103"/>
      <c r="FZZ1004" s="104"/>
      <c r="GAA1004" s="103"/>
      <c r="GAM1004" s="104"/>
      <c r="GAN1004" s="103"/>
      <c r="GAZ1004" s="104"/>
      <c r="GBA1004" s="103"/>
      <c r="GBM1004" s="104"/>
      <c r="GBN1004" s="103"/>
      <c r="GBZ1004" s="104"/>
      <c r="GCA1004" s="103"/>
      <c r="GCM1004" s="104"/>
      <c r="GCN1004" s="103"/>
      <c r="GCZ1004" s="104"/>
      <c r="GDA1004" s="103"/>
      <c r="GDM1004" s="104"/>
      <c r="GDN1004" s="103"/>
      <c r="GDZ1004" s="104"/>
      <c r="GEA1004" s="103"/>
      <c r="GEM1004" s="104"/>
      <c r="GEN1004" s="103"/>
      <c r="GEZ1004" s="104"/>
      <c r="GFA1004" s="103"/>
      <c r="GFM1004" s="104"/>
      <c r="GFN1004" s="103"/>
      <c r="GFZ1004" s="104"/>
      <c r="GGA1004" s="103"/>
      <c r="GGM1004" s="104"/>
      <c r="GGN1004" s="103"/>
      <c r="GGZ1004" s="104"/>
      <c r="GHA1004" s="103"/>
      <c r="GHM1004" s="104"/>
      <c r="GHN1004" s="103"/>
      <c r="GHZ1004" s="104"/>
      <c r="GIA1004" s="103"/>
      <c r="GIM1004" s="104"/>
      <c r="GIN1004" s="103"/>
      <c r="GIZ1004" s="104"/>
      <c r="GJA1004" s="103"/>
      <c r="GJM1004" s="104"/>
      <c r="GJN1004" s="103"/>
      <c r="GJZ1004" s="104"/>
      <c r="GKA1004" s="103"/>
      <c r="GKM1004" s="104"/>
      <c r="GKN1004" s="103"/>
      <c r="GKZ1004" s="104"/>
      <c r="GLA1004" s="103"/>
      <c r="GLM1004" s="104"/>
      <c r="GLN1004" s="103"/>
      <c r="GLZ1004" s="104"/>
      <c r="GMA1004" s="103"/>
      <c r="GMM1004" s="104"/>
      <c r="GMN1004" s="103"/>
      <c r="GMZ1004" s="104"/>
      <c r="GNA1004" s="103"/>
      <c r="GNM1004" s="104"/>
      <c r="GNN1004" s="103"/>
      <c r="GNZ1004" s="104"/>
      <c r="GOA1004" s="103"/>
      <c r="GOM1004" s="104"/>
      <c r="GON1004" s="103"/>
      <c r="GOZ1004" s="104"/>
      <c r="GPA1004" s="103"/>
      <c r="GPM1004" s="104"/>
      <c r="GPN1004" s="103"/>
      <c r="GPZ1004" s="104"/>
      <c r="GQA1004" s="103"/>
      <c r="GQM1004" s="104"/>
      <c r="GQN1004" s="103"/>
      <c r="GQZ1004" s="104"/>
      <c r="GRA1004" s="103"/>
      <c r="GRM1004" s="104"/>
      <c r="GRN1004" s="103"/>
      <c r="GRZ1004" s="104"/>
      <c r="GSA1004" s="103"/>
      <c r="GSM1004" s="104"/>
      <c r="GSN1004" s="103"/>
      <c r="GSZ1004" s="104"/>
      <c r="GTA1004" s="103"/>
      <c r="GTM1004" s="104"/>
      <c r="GTN1004" s="103"/>
      <c r="GTZ1004" s="104"/>
      <c r="GUA1004" s="103"/>
      <c r="GUM1004" s="104"/>
      <c r="GUN1004" s="103"/>
      <c r="GUZ1004" s="104"/>
      <c r="GVA1004" s="103"/>
      <c r="GVM1004" s="104"/>
      <c r="GVN1004" s="103"/>
      <c r="GVZ1004" s="104"/>
      <c r="GWA1004" s="103"/>
      <c r="GWM1004" s="104"/>
      <c r="GWN1004" s="103"/>
      <c r="GWZ1004" s="104"/>
      <c r="GXA1004" s="103"/>
      <c r="GXM1004" s="104"/>
      <c r="GXN1004" s="103"/>
      <c r="GXZ1004" s="104"/>
      <c r="GYA1004" s="103"/>
      <c r="GYM1004" s="104"/>
      <c r="GYN1004" s="103"/>
      <c r="GYZ1004" s="104"/>
      <c r="GZA1004" s="103"/>
      <c r="GZM1004" s="104"/>
      <c r="GZN1004" s="103"/>
      <c r="GZZ1004" s="104"/>
      <c r="HAA1004" s="103"/>
      <c r="HAM1004" s="104"/>
      <c r="HAN1004" s="103"/>
      <c r="HAZ1004" s="104"/>
      <c r="HBA1004" s="103"/>
      <c r="HBM1004" s="104"/>
      <c r="HBN1004" s="103"/>
      <c r="HBZ1004" s="104"/>
      <c r="HCA1004" s="103"/>
      <c r="HCM1004" s="104"/>
      <c r="HCN1004" s="103"/>
      <c r="HCZ1004" s="104"/>
      <c r="HDA1004" s="103"/>
      <c r="HDM1004" s="104"/>
      <c r="HDN1004" s="103"/>
      <c r="HDZ1004" s="104"/>
      <c r="HEA1004" s="103"/>
      <c r="HEM1004" s="104"/>
      <c r="HEN1004" s="103"/>
      <c r="HEZ1004" s="104"/>
      <c r="HFA1004" s="103"/>
      <c r="HFM1004" s="104"/>
      <c r="HFN1004" s="103"/>
      <c r="HFZ1004" s="104"/>
      <c r="HGA1004" s="103"/>
      <c r="HGM1004" s="104"/>
      <c r="HGN1004" s="103"/>
      <c r="HGZ1004" s="104"/>
      <c r="HHA1004" s="103"/>
      <c r="HHM1004" s="104"/>
      <c r="HHN1004" s="103"/>
      <c r="HHZ1004" s="104"/>
      <c r="HIA1004" s="103"/>
      <c r="HIM1004" s="104"/>
      <c r="HIN1004" s="103"/>
      <c r="HIZ1004" s="104"/>
      <c r="HJA1004" s="103"/>
      <c r="HJM1004" s="104"/>
      <c r="HJN1004" s="103"/>
      <c r="HJZ1004" s="104"/>
      <c r="HKA1004" s="103"/>
      <c r="HKM1004" s="104"/>
      <c r="HKN1004" s="103"/>
      <c r="HKZ1004" s="104"/>
      <c r="HLA1004" s="103"/>
      <c r="HLM1004" s="104"/>
      <c r="HLN1004" s="103"/>
      <c r="HLZ1004" s="104"/>
      <c r="HMA1004" s="103"/>
      <c r="HMM1004" s="104"/>
      <c r="HMN1004" s="103"/>
      <c r="HMZ1004" s="104"/>
      <c r="HNA1004" s="103"/>
      <c r="HNM1004" s="104"/>
      <c r="HNN1004" s="103"/>
      <c r="HNZ1004" s="104"/>
      <c r="HOA1004" s="103"/>
      <c r="HOM1004" s="104"/>
      <c r="HON1004" s="103"/>
      <c r="HOZ1004" s="104"/>
      <c r="HPA1004" s="103"/>
      <c r="HPM1004" s="104"/>
      <c r="HPN1004" s="103"/>
      <c r="HPZ1004" s="104"/>
      <c r="HQA1004" s="103"/>
      <c r="HQM1004" s="104"/>
      <c r="HQN1004" s="103"/>
      <c r="HQZ1004" s="104"/>
      <c r="HRA1004" s="103"/>
      <c r="HRM1004" s="104"/>
      <c r="HRN1004" s="103"/>
      <c r="HRZ1004" s="104"/>
      <c r="HSA1004" s="103"/>
      <c r="HSM1004" s="104"/>
      <c r="HSN1004" s="103"/>
      <c r="HSZ1004" s="104"/>
      <c r="HTA1004" s="103"/>
      <c r="HTM1004" s="104"/>
      <c r="HTN1004" s="103"/>
      <c r="HTZ1004" s="104"/>
      <c r="HUA1004" s="103"/>
      <c r="HUM1004" s="104"/>
      <c r="HUN1004" s="103"/>
      <c r="HUZ1004" s="104"/>
      <c r="HVA1004" s="103"/>
      <c r="HVM1004" s="104"/>
      <c r="HVN1004" s="103"/>
      <c r="HVZ1004" s="104"/>
      <c r="HWA1004" s="103"/>
      <c r="HWM1004" s="104"/>
      <c r="HWN1004" s="103"/>
      <c r="HWZ1004" s="104"/>
      <c r="HXA1004" s="103"/>
      <c r="HXM1004" s="104"/>
      <c r="HXN1004" s="103"/>
      <c r="HXZ1004" s="104"/>
      <c r="HYA1004" s="103"/>
      <c r="HYM1004" s="104"/>
      <c r="HYN1004" s="103"/>
      <c r="HYZ1004" s="104"/>
      <c r="HZA1004" s="103"/>
      <c r="HZM1004" s="104"/>
      <c r="HZN1004" s="103"/>
      <c r="HZZ1004" s="104"/>
      <c r="IAA1004" s="103"/>
      <c r="IAM1004" s="104"/>
      <c r="IAN1004" s="103"/>
      <c r="IAZ1004" s="104"/>
      <c r="IBA1004" s="103"/>
      <c r="IBM1004" s="104"/>
      <c r="IBN1004" s="103"/>
      <c r="IBZ1004" s="104"/>
      <c r="ICA1004" s="103"/>
      <c r="ICM1004" s="104"/>
      <c r="ICN1004" s="103"/>
      <c r="ICZ1004" s="104"/>
      <c r="IDA1004" s="103"/>
      <c r="IDM1004" s="104"/>
      <c r="IDN1004" s="103"/>
      <c r="IDZ1004" s="104"/>
      <c r="IEA1004" s="103"/>
      <c r="IEM1004" s="104"/>
      <c r="IEN1004" s="103"/>
      <c r="IEZ1004" s="104"/>
      <c r="IFA1004" s="103"/>
      <c r="IFM1004" s="104"/>
      <c r="IFN1004" s="103"/>
      <c r="IFZ1004" s="104"/>
      <c r="IGA1004" s="103"/>
      <c r="IGM1004" s="104"/>
      <c r="IGN1004" s="103"/>
      <c r="IGZ1004" s="104"/>
      <c r="IHA1004" s="103"/>
      <c r="IHM1004" s="104"/>
      <c r="IHN1004" s="103"/>
      <c r="IHZ1004" s="104"/>
      <c r="IIA1004" s="103"/>
      <c r="IIM1004" s="104"/>
      <c r="IIN1004" s="103"/>
      <c r="IIZ1004" s="104"/>
      <c r="IJA1004" s="103"/>
      <c r="IJM1004" s="104"/>
      <c r="IJN1004" s="103"/>
      <c r="IJZ1004" s="104"/>
      <c r="IKA1004" s="103"/>
      <c r="IKM1004" s="104"/>
      <c r="IKN1004" s="103"/>
      <c r="IKZ1004" s="104"/>
      <c r="ILA1004" s="103"/>
      <c r="ILM1004" s="104"/>
      <c r="ILN1004" s="103"/>
      <c r="ILZ1004" s="104"/>
      <c r="IMA1004" s="103"/>
      <c r="IMM1004" s="104"/>
      <c r="IMN1004" s="103"/>
      <c r="IMZ1004" s="104"/>
      <c r="INA1004" s="103"/>
      <c r="INM1004" s="104"/>
      <c r="INN1004" s="103"/>
      <c r="INZ1004" s="104"/>
      <c r="IOA1004" s="103"/>
      <c r="IOM1004" s="104"/>
      <c r="ION1004" s="103"/>
      <c r="IOZ1004" s="104"/>
      <c r="IPA1004" s="103"/>
      <c r="IPM1004" s="104"/>
      <c r="IPN1004" s="103"/>
      <c r="IPZ1004" s="104"/>
      <c r="IQA1004" s="103"/>
      <c r="IQM1004" s="104"/>
      <c r="IQN1004" s="103"/>
      <c r="IQZ1004" s="104"/>
      <c r="IRA1004" s="103"/>
      <c r="IRM1004" s="104"/>
      <c r="IRN1004" s="103"/>
      <c r="IRZ1004" s="104"/>
      <c r="ISA1004" s="103"/>
      <c r="ISM1004" s="104"/>
      <c r="ISN1004" s="103"/>
      <c r="ISZ1004" s="104"/>
      <c r="ITA1004" s="103"/>
      <c r="ITM1004" s="104"/>
      <c r="ITN1004" s="103"/>
      <c r="ITZ1004" s="104"/>
      <c r="IUA1004" s="103"/>
      <c r="IUM1004" s="104"/>
      <c r="IUN1004" s="103"/>
      <c r="IUZ1004" s="104"/>
      <c r="IVA1004" s="103"/>
      <c r="IVM1004" s="104"/>
      <c r="IVN1004" s="103"/>
      <c r="IVZ1004" s="104"/>
      <c r="IWA1004" s="103"/>
      <c r="IWM1004" s="104"/>
      <c r="IWN1004" s="103"/>
      <c r="IWZ1004" s="104"/>
      <c r="IXA1004" s="103"/>
      <c r="IXM1004" s="104"/>
      <c r="IXN1004" s="103"/>
      <c r="IXZ1004" s="104"/>
      <c r="IYA1004" s="103"/>
      <c r="IYM1004" s="104"/>
      <c r="IYN1004" s="103"/>
      <c r="IYZ1004" s="104"/>
      <c r="IZA1004" s="103"/>
      <c r="IZM1004" s="104"/>
      <c r="IZN1004" s="103"/>
      <c r="IZZ1004" s="104"/>
      <c r="JAA1004" s="103"/>
      <c r="JAM1004" s="104"/>
      <c r="JAN1004" s="103"/>
      <c r="JAZ1004" s="104"/>
      <c r="JBA1004" s="103"/>
      <c r="JBM1004" s="104"/>
      <c r="JBN1004" s="103"/>
      <c r="JBZ1004" s="104"/>
      <c r="JCA1004" s="103"/>
      <c r="JCM1004" s="104"/>
      <c r="JCN1004" s="103"/>
      <c r="JCZ1004" s="104"/>
      <c r="JDA1004" s="103"/>
      <c r="JDM1004" s="104"/>
      <c r="JDN1004" s="103"/>
      <c r="JDZ1004" s="104"/>
      <c r="JEA1004" s="103"/>
      <c r="JEM1004" s="104"/>
      <c r="JEN1004" s="103"/>
      <c r="JEZ1004" s="104"/>
      <c r="JFA1004" s="103"/>
      <c r="JFM1004" s="104"/>
      <c r="JFN1004" s="103"/>
      <c r="JFZ1004" s="104"/>
      <c r="JGA1004" s="103"/>
      <c r="JGM1004" s="104"/>
      <c r="JGN1004" s="103"/>
      <c r="JGZ1004" s="104"/>
      <c r="JHA1004" s="103"/>
      <c r="JHM1004" s="104"/>
      <c r="JHN1004" s="103"/>
      <c r="JHZ1004" s="104"/>
      <c r="JIA1004" s="103"/>
      <c r="JIM1004" s="104"/>
      <c r="JIN1004" s="103"/>
      <c r="JIZ1004" s="104"/>
      <c r="JJA1004" s="103"/>
      <c r="JJM1004" s="104"/>
      <c r="JJN1004" s="103"/>
      <c r="JJZ1004" s="104"/>
      <c r="JKA1004" s="103"/>
      <c r="JKM1004" s="104"/>
      <c r="JKN1004" s="103"/>
      <c r="JKZ1004" s="104"/>
      <c r="JLA1004" s="103"/>
      <c r="JLM1004" s="104"/>
      <c r="JLN1004" s="103"/>
      <c r="JLZ1004" s="104"/>
      <c r="JMA1004" s="103"/>
      <c r="JMM1004" s="104"/>
      <c r="JMN1004" s="103"/>
      <c r="JMZ1004" s="104"/>
      <c r="JNA1004" s="103"/>
      <c r="JNM1004" s="104"/>
      <c r="JNN1004" s="103"/>
      <c r="JNZ1004" s="104"/>
      <c r="JOA1004" s="103"/>
      <c r="JOM1004" s="104"/>
      <c r="JON1004" s="103"/>
      <c r="JOZ1004" s="104"/>
      <c r="JPA1004" s="103"/>
      <c r="JPM1004" s="104"/>
      <c r="JPN1004" s="103"/>
      <c r="JPZ1004" s="104"/>
      <c r="JQA1004" s="103"/>
      <c r="JQM1004" s="104"/>
      <c r="JQN1004" s="103"/>
      <c r="JQZ1004" s="104"/>
      <c r="JRA1004" s="103"/>
      <c r="JRM1004" s="104"/>
      <c r="JRN1004" s="103"/>
      <c r="JRZ1004" s="104"/>
      <c r="JSA1004" s="103"/>
      <c r="JSM1004" s="104"/>
      <c r="JSN1004" s="103"/>
      <c r="JSZ1004" s="104"/>
      <c r="JTA1004" s="103"/>
      <c r="JTM1004" s="104"/>
      <c r="JTN1004" s="103"/>
      <c r="JTZ1004" s="104"/>
      <c r="JUA1004" s="103"/>
      <c r="JUM1004" s="104"/>
      <c r="JUN1004" s="103"/>
      <c r="JUZ1004" s="104"/>
      <c r="JVA1004" s="103"/>
      <c r="JVM1004" s="104"/>
      <c r="JVN1004" s="103"/>
      <c r="JVZ1004" s="104"/>
      <c r="JWA1004" s="103"/>
      <c r="JWM1004" s="104"/>
      <c r="JWN1004" s="103"/>
      <c r="JWZ1004" s="104"/>
      <c r="JXA1004" s="103"/>
      <c r="JXM1004" s="104"/>
      <c r="JXN1004" s="103"/>
      <c r="JXZ1004" s="104"/>
      <c r="JYA1004" s="103"/>
      <c r="JYM1004" s="104"/>
      <c r="JYN1004" s="103"/>
      <c r="JYZ1004" s="104"/>
      <c r="JZA1004" s="103"/>
      <c r="JZM1004" s="104"/>
      <c r="JZN1004" s="103"/>
      <c r="JZZ1004" s="104"/>
      <c r="KAA1004" s="103"/>
      <c r="KAM1004" s="104"/>
      <c r="KAN1004" s="103"/>
      <c r="KAZ1004" s="104"/>
      <c r="KBA1004" s="103"/>
      <c r="KBM1004" s="104"/>
      <c r="KBN1004" s="103"/>
      <c r="KBZ1004" s="104"/>
      <c r="KCA1004" s="103"/>
      <c r="KCM1004" s="104"/>
      <c r="KCN1004" s="103"/>
      <c r="KCZ1004" s="104"/>
      <c r="KDA1004" s="103"/>
      <c r="KDM1004" s="104"/>
      <c r="KDN1004" s="103"/>
      <c r="KDZ1004" s="104"/>
      <c r="KEA1004" s="103"/>
      <c r="KEM1004" s="104"/>
      <c r="KEN1004" s="103"/>
      <c r="KEZ1004" s="104"/>
      <c r="KFA1004" s="103"/>
      <c r="KFM1004" s="104"/>
      <c r="KFN1004" s="103"/>
      <c r="KFZ1004" s="104"/>
      <c r="KGA1004" s="103"/>
      <c r="KGM1004" s="104"/>
      <c r="KGN1004" s="103"/>
      <c r="KGZ1004" s="104"/>
      <c r="KHA1004" s="103"/>
      <c r="KHM1004" s="104"/>
      <c r="KHN1004" s="103"/>
      <c r="KHZ1004" s="104"/>
      <c r="KIA1004" s="103"/>
      <c r="KIM1004" s="104"/>
      <c r="KIN1004" s="103"/>
      <c r="KIZ1004" s="104"/>
      <c r="KJA1004" s="103"/>
      <c r="KJM1004" s="104"/>
      <c r="KJN1004" s="103"/>
      <c r="KJZ1004" s="104"/>
      <c r="KKA1004" s="103"/>
      <c r="KKM1004" s="104"/>
      <c r="KKN1004" s="103"/>
      <c r="KKZ1004" s="104"/>
      <c r="KLA1004" s="103"/>
      <c r="KLM1004" s="104"/>
      <c r="KLN1004" s="103"/>
      <c r="KLZ1004" s="104"/>
      <c r="KMA1004" s="103"/>
      <c r="KMM1004" s="104"/>
      <c r="KMN1004" s="103"/>
      <c r="KMZ1004" s="104"/>
      <c r="KNA1004" s="103"/>
      <c r="KNM1004" s="104"/>
      <c r="KNN1004" s="103"/>
      <c r="KNZ1004" s="104"/>
      <c r="KOA1004" s="103"/>
      <c r="KOM1004" s="104"/>
      <c r="KON1004" s="103"/>
      <c r="KOZ1004" s="104"/>
      <c r="KPA1004" s="103"/>
      <c r="KPM1004" s="104"/>
      <c r="KPN1004" s="103"/>
      <c r="KPZ1004" s="104"/>
      <c r="KQA1004" s="103"/>
      <c r="KQM1004" s="104"/>
      <c r="KQN1004" s="103"/>
      <c r="KQZ1004" s="104"/>
      <c r="KRA1004" s="103"/>
      <c r="KRM1004" s="104"/>
      <c r="KRN1004" s="103"/>
      <c r="KRZ1004" s="104"/>
      <c r="KSA1004" s="103"/>
      <c r="KSM1004" s="104"/>
      <c r="KSN1004" s="103"/>
      <c r="KSZ1004" s="104"/>
      <c r="KTA1004" s="103"/>
      <c r="KTM1004" s="104"/>
      <c r="KTN1004" s="103"/>
      <c r="KTZ1004" s="104"/>
      <c r="KUA1004" s="103"/>
      <c r="KUM1004" s="104"/>
      <c r="KUN1004" s="103"/>
      <c r="KUZ1004" s="104"/>
      <c r="KVA1004" s="103"/>
      <c r="KVM1004" s="104"/>
      <c r="KVN1004" s="103"/>
      <c r="KVZ1004" s="104"/>
      <c r="KWA1004" s="103"/>
      <c r="KWM1004" s="104"/>
      <c r="KWN1004" s="103"/>
      <c r="KWZ1004" s="104"/>
      <c r="KXA1004" s="103"/>
      <c r="KXM1004" s="104"/>
      <c r="KXN1004" s="103"/>
      <c r="KXZ1004" s="104"/>
      <c r="KYA1004" s="103"/>
      <c r="KYM1004" s="104"/>
      <c r="KYN1004" s="103"/>
      <c r="KYZ1004" s="104"/>
      <c r="KZA1004" s="103"/>
      <c r="KZM1004" s="104"/>
      <c r="KZN1004" s="103"/>
      <c r="KZZ1004" s="104"/>
      <c r="LAA1004" s="103"/>
      <c r="LAM1004" s="104"/>
      <c r="LAN1004" s="103"/>
      <c r="LAZ1004" s="104"/>
      <c r="LBA1004" s="103"/>
      <c r="LBM1004" s="104"/>
      <c r="LBN1004" s="103"/>
      <c r="LBZ1004" s="104"/>
      <c r="LCA1004" s="103"/>
      <c r="LCM1004" s="104"/>
      <c r="LCN1004" s="103"/>
      <c r="LCZ1004" s="104"/>
      <c r="LDA1004" s="103"/>
      <c r="LDM1004" s="104"/>
      <c r="LDN1004" s="103"/>
      <c r="LDZ1004" s="104"/>
      <c r="LEA1004" s="103"/>
      <c r="LEM1004" s="104"/>
      <c r="LEN1004" s="103"/>
      <c r="LEZ1004" s="104"/>
      <c r="LFA1004" s="103"/>
      <c r="LFM1004" s="104"/>
      <c r="LFN1004" s="103"/>
      <c r="LFZ1004" s="104"/>
      <c r="LGA1004" s="103"/>
      <c r="LGM1004" s="104"/>
      <c r="LGN1004" s="103"/>
      <c r="LGZ1004" s="104"/>
      <c r="LHA1004" s="103"/>
      <c r="LHM1004" s="104"/>
      <c r="LHN1004" s="103"/>
      <c r="LHZ1004" s="104"/>
      <c r="LIA1004" s="103"/>
      <c r="LIM1004" s="104"/>
      <c r="LIN1004" s="103"/>
      <c r="LIZ1004" s="104"/>
      <c r="LJA1004" s="103"/>
      <c r="LJM1004" s="104"/>
      <c r="LJN1004" s="103"/>
      <c r="LJZ1004" s="104"/>
      <c r="LKA1004" s="103"/>
      <c r="LKM1004" s="104"/>
      <c r="LKN1004" s="103"/>
      <c r="LKZ1004" s="104"/>
      <c r="LLA1004" s="103"/>
      <c r="LLM1004" s="104"/>
      <c r="LLN1004" s="103"/>
      <c r="LLZ1004" s="104"/>
      <c r="LMA1004" s="103"/>
      <c r="LMM1004" s="104"/>
      <c r="LMN1004" s="103"/>
      <c r="LMZ1004" s="104"/>
      <c r="LNA1004" s="103"/>
      <c r="LNM1004" s="104"/>
      <c r="LNN1004" s="103"/>
      <c r="LNZ1004" s="104"/>
      <c r="LOA1004" s="103"/>
      <c r="LOM1004" s="104"/>
      <c r="LON1004" s="103"/>
      <c r="LOZ1004" s="104"/>
      <c r="LPA1004" s="103"/>
      <c r="LPM1004" s="104"/>
      <c r="LPN1004" s="103"/>
      <c r="LPZ1004" s="104"/>
      <c r="LQA1004" s="103"/>
      <c r="LQM1004" s="104"/>
      <c r="LQN1004" s="103"/>
      <c r="LQZ1004" s="104"/>
      <c r="LRA1004" s="103"/>
      <c r="LRM1004" s="104"/>
      <c r="LRN1004" s="103"/>
      <c r="LRZ1004" s="104"/>
      <c r="LSA1004" s="103"/>
      <c r="LSM1004" s="104"/>
      <c r="LSN1004" s="103"/>
      <c r="LSZ1004" s="104"/>
      <c r="LTA1004" s="103"/>
      <c r="LTM1004" s="104"/>
      <c r="LTN1004" s="103"/>
      <c r="LTZ1004" s="104"/>
      <c r="LUA1004" s="103"/>
      <c r="LUM1004" s="104"/>
      <c r="LUN1004" s="103"/>
      <c r="LUZ1004" s="104"/>
      <c r="LVA1004" s="103"/>
      <c r="LVM1004" s="104"/>
      <c r="LVN1004" s="103"/>
      <c r="LVZ1004" s="104"/>
      <c r="LWA1004" s="103"/>
      <c r="LWM1004" s="104"/>
      <c r="LWN1004" s="103"/>
      <c r="LWZ1004" s="104"/>
      <c r="LXA1004" s="103"/>
      <c r="LXM1004" s="104"/>
      <c r="LXN1004" s="103"/>
      <c r="LXZ1004" s="104"/>
      <c r="LYA1004" s="103"/>
      <c r="LYM1004" s="104"/>
      <c r="LYN1004" s="103"/>
      <c r="LYZ1004" s="104"/>
      <c r="LZA1004" s="103"/>
      <c r="LZM1004" s="104"/>
      <c r="LZN1004" s="103"/>
      <c r="LZZ1004" s="104"/>
      <c r="MAA1004" s="103"/>
      <c r="MAM1004" s="104"/>
      <c r="MAN1004" s="103"/>
      <c r="MAZ1004" s="104"/>
      <c r="MBA1004" s="103"/>
      <c r="MBM1004" s="104"/>
      <c r="MBN1004" s="103"/>
      <c r="MBZ1004" s="104"/>
      <c r="MCA1004" s="103"/>
      <c r="MCM1004" s="104"/>
      <c r="MCN1004" s="103"/>
      <c r="MCZ1004" s="104"/>
      <c r="MDA1004" s="103"/>
      <c r="MDM1004" s="104"/>
      <c r="MDN1004" s="103"/>
      <c r="MDZ1004" s="104"/>
      <c r="MEA1004" s="103"/>
      <c r="MEM1004" s="104"/>
      <c r="MEN1004" s="103"/>
      <c r="MEZ1004" s="104"/>
      <c r="MFA1004" s="103"/>
      <c r="MFM1004" s="104"/>
      <c r="MFN1004" s="103"/>
      <c r="MFZ1004" s="104"/>
      <c r="MGA1004" s="103"/>
      <c r="MGM1004" s="104"/>
      <c r="MGN1004" s="103"/>
      <c r="MGZ1004" s="104"/>
      <c r="MHA1004" s="103"/>
      <c r="MHM1004" s="104"/>
      <c r="MHN1004" s="103"/>
      <c r="MHZ1004" s="104"/>
      <c r="MIA1004" s="103"/>
      <c r="MIM1004" s="104"/>
      <c r="MIN1004" s="103"/>
      <c r="MIZ1004" s="104"/>
      <c r="MJA1004" s="103"/>
      <c r="MJM1004" s="104"/>
      <c r="MJN1004" s="103"/>
      <c r="MJZ1004" s="104"/>
      <c r="MKA1004" s="103"/>
      <c r="MKM1004" s="104"/>
      <c r="MKN1004" s="103"/>
      <c r="MKZ1004" s="104"/>
      <c r="MLA1004" s="103"/>
      <c r="MLM1004" s="104"/>
      <c r="MLN1004" s="103"/>
      <c r="MLZ1004" s="104"/>
      <c r="MMA1004" s="103"/>
      <c r="MMM1004" s="104"/>
      <c r="MMN1004" s="103"/>
      <c r="MMZ1004" s="104"/>
      <c r="MNA1004" s="103"/>
      <c r="MNM1004" s="104"/>
      <c r="MNN1004" s="103"/>
      <c r="MNZ1004" s="104"/>
      <c r="MOA1004" s="103"/>
      <c r="MOM1004" s="104"/>
      <c r="MON1004" s="103"/>
      <c r="MOZ1004" s="104"/>
      <c r="MPA1004" s="103"/>
      <c r="MPM1004" s="104"/>
      <c r="MPN1004" s="103"/>
      <c r="MPZ1004" s="104"/>
      <c r="MQA1004" s="103"/>
      <c r="MQM1004" s="104"/>
      <c r="MQN1004" s="103"/>
      <c r="MQZ1004" s="104"/>
      <c r="MRA1004" s="103"/>
      <c r="MRM1004" s="104"/>
      <c r="MRN1004" s="103"/>
      <c r="MRZ1004" s="104"/>
      <c r="MSA1004" s="103"/>
      <c r="MSM1004" s="104"/>
      <c r="MSN1004" s="103"/>
      <c r="MSZ1004" s="104"/>
      <c r="MTA1004" s="103"/>
      <c r="MTM1004" s="104"/>
      <c r="MTN1004" s="103"/>
      <c r="MTZ1004" s="104"/>
      <c r="MUA1004" s="103"/>
      <c r="MUM1004" s="104"/>
      <c r="MUN1004" s="103"/>
      <c r="MUZ1004" s="104"/>
      <c r="MVA1004" s="103"/>
      <c r="MVM1004" s="104"/>
      <c r="MVN1004" s="103"/>
      <c r="MVZ1004" s="104"/>
      <c r="MWA1004" s="103"/>
      <c r="MWM1004" s="104"/>
      <c r="MWN1004" s="103"/>
      <c r="MWZ1004" s="104"/>
      <c r="MXA1004" s="103"/>
      <c r="MXM1004" s="104"/>
      <c r="MXN1004" s="103"/>
      <c r="MXZ1004" s="104"/>
      <c r="MYA1004" s="103"/>
      <c r="MYM1004" s="104"/>
      <c r="MYN1004" s="103"/>
      <c r="MYZ1004" s="104"/>
      <c r="MZA1004" s="103"/>
      <c r="MZM1004" s="104"/>
      <c r="MZN1004" s="103"/>
      <c r="MZZ1004" s="104"/>
      <c r="NAA1004" s="103"/>
      <c r="NAM1004" s="104"/>
      <c r="NAN1004" s="103"/>
      <c r="NAZ1004" s="104"/>
      <c r="NBA1004" s="103"/>
      <c r="NBM1004" s="104"/>
      <c r="NBN1004" s="103"/>
      <c r="NBZ1004" s="104"/>
      <c r="NCA1004" s="103"/>
      <c r="NCM1004" s="104"/>
      <c r="NCN1004" s="103"/>
      <c r="NCZ1004" s="104"/>
      <c r="NDA1004" s="103"/>
      <c r="NDM1004" s="104"/>
      <c r="NDN1004" s="103"/>
      <c r="NDZ1004" s="104"/>
      <c r="NEA1004" s="103"/>
      <c r="NEM1004" s="104"/>
      <c r="NEN1004" s="103"/>
      <c r="NEZ1004" s="104"/>
      <c r="NFA1004" s="103"/>
      <c r="NFM1004" s="104"/>
      <c r="NFN1004" s="103"/>
      <c r="NFZ1004" s="104"/>
      <c r="NGA1004" s="103"/>
      <c r="NGM1004" s="104"/>
      <c r="NGN1004" s="103"/>
      <c r="NGZ1004" s="104"/>
      <c r="NHA1004" s="103"/>
      <c r="NHM1004" s="104"/>
      <c r="NHN1004" s="103"/>
      <c r="NHZ1004" s="104"/>
      <c r="NIA1004" s="103"/>
      <c r="NIM1004" s="104"/>
      <c r="NIN1004" s="103"/>
      <c r="NIZ1004" s="104"/>
      <c r="NJA1004" s="103"/>
      <c r="NJM1004" s="104"/>
      <c r="NJN1004" s="103"/>
      <c r="NJZ1004" s="104"/>
      <c r="NKA1004" s="103"/>
      <c r="NKM1004" s="104"/>
      <c r="NKN1004" s="103"/>
      <c r="NKZ1004" s="104"/>
      <c r="NLA1004" s="103"/>
      <c r="NLM1004" s="104"/>
      <c r="NLN1004" s="103"/>
      <c r="NLZ1004" s="104"/>
      <c r="NMA1004" s="103"/>
      <c r="NMM1004" s="104"/>
      <c r="NMN1004" s="103"/>
      <c r="NMZ1004" s="104"/>
      <c r="NNA1004" s="103"/>
      <c r="NNM1004" s="104"/>
      <c r="NNN1004" s="103"/>
      <c r="NNZ1004" s="104"/>
      <c r="NOA1004" s="103"/>
      <c r="NOM1004" s="104"/>
      <c r="NON1004" s="103"/>
      <c r="NOZ1004" s="104"/>
      <c r="NPA1004" s="103"/>
      <c r="NPM1004" s="104"/>
      <c r="NPN1004" s="103"/>
      <c r="NPZ1004" s="104"/>
      <c r="NQA1004" s="103"/>
      <c r="NQM1004" s="104"/>
      <c r="NQN1004" s="103"/>
      <c r="NQZ1004" s="104"/>
      <c r="NRA1004" s="103"/>
      <c r="NRM1004" s="104"/>
      <c r="NRN1004" s="103"/>
      <c r="NRZ1004" s="104"/>
      <c r="NSA1004" s="103"/>
      <c r="NSM1004" s="104"/>
      <c r="NSN1004" s="103"/>
      <c r="NSZ1004" s="104"/>
      <c r="NTA1004" s="103"/>
      <c r="NTM1004" s="104"/>
      <c r="NTN1004" s="103"/>
      <c r="NTZ1004" s="104"/>
      <c r="NUA1004" s="103"/>
      <c r="NUM1004" s="104"/>
      <c r="NUN1004" s="103"/>
      <c r="NUZ1004" s="104"/>
      <c r="NVA1004" s="103"/>
      <c r="NVM1004" s="104"/>
      <c r="NVN1004" s="103"/>
      <c r="NVZ1004" s="104"/>
      <c r="NWA1004" s="103"/>
      <c r="NWM1004" s="104"/>
      <c r="NWN1004" s="103"/>
      <c r="NWZ1004" s="104"/>
      <c r="NXA1004" s="103"/>
      <c r="NXM1004" s="104"/>
      <c r="NXN1004" s="103"/>
      <c r="NXZ1004" s="104"/>
      <c r="NYA1004" s="103"/>
      <c r="NYM1004" s="104"/>
      <c r="NYN1004" s="103"/>
      <c r="NYZ1004" s="104"/>
      <c r="NZA1004" s="103"/>
      <c r="NZM1004" s="104"/>
      <c r="NZN1004" s="103"/>
      <c r="NZZ1004" s="104"/>
      <c r="OAA1004" s="103"/>
      <c r="OAM1004" s="104"/>
      <c r="OAN1004" s="103"/>
      <c r="OAZ1004" s="104"/>
      <c r="OBA1004" s="103"/>
      <c r="OBM1004" s="104"/>
      <c r="OBN1004" s="103"/>
      <c r="OBZ1004" s="104"/>
      <c r="OCA1004" s="103"/>
      <c r="OCM1004" s="104"/>
      <c r="OCN1004" s="103"/>
      <c r="OCZ1004" s="104"/>
      <c r="ODA1004" s="103"/>
      <c r="ODM1004" s="104"/>
      <c r="ODN1004" s="103"/>
      <c r="ODZ1004" s="104"/>
      <c r="OEA1004" s="103"/>
      <c r="OEM1004" s="104"/>
      <c r="OEN1004" s="103"/>
      <c r="OEZ1004" s="104"/>
      <c r="OFA1004" s="103"/>
      <c r="OFM1004" s="104"/>
      <c r="OFN1004" s="103"/>
      <c r="OFZ1004" s="104"/>
      <c r="OGA1004" s="103"/>
      <c r="OGM1004" s="104"/>
      <c r="OGN1004" s="103"/>
      <c r="OGZ1004" s="104"/>
      <c r="OHA1004" s="103"/>
      <c r="OHM1004" s="104"/>
      <c r="OHN1004" s="103"/>
      <c r="OHZ1004" s="104"/>
      <c r="OIA1004" s="103"/>
      <c r="OIM1004" s="104"/>
      <c r="OIN1004" s="103"/>
      <c r="OIZ1004" s="104"/>
      <c r="OJA1004" s="103"/>
      <c r="OJM1004" s="104"/>
      <c r="OJN1004" s="103"/>
      <c r="OJZ1004" s="104"/>
      <c r="OKA1004" s="103"/>
      <c r="OKM1004" s="104"/>
      <c r="OKN1004" s="103"/>
      <c r="OKZ1004" s="104"/>
      <c r="OLA1004" s="103"/>
      <c r="OLM1004" s="104"/>
      <c r="OLN1004" s="103"/>
      <c r="OLZ1004" s="104"/>
      <c r="OMA1004" s="103"/>
      <c r="OMM1004" s="104"/>
      <c r="OMN1004" s="103"/>
      <c r="OMZ1004" s="104"/>
      <c r="ONA1004" s="103"/>
      <c r="ONM1004" s="104"/>
      <c r="ONN1004" s="103"/>
      <c r="ONZ1004" s="104"/>
      <c r="OOA1004" s="103"/>
      <c r="OOM1004" s="104"/>
      <c r="OON1004" s="103"/>
      <c r="OOZ1004" s="104"/>
      <c r="OPA1004" s="103"/>
      <c r="OPM1004" s="104"/>
      <c r="OPN1004" s="103"/>
      <c r="OPZ1004" s="104"/>
      <c r="OQA1004" s="103"/>
      <c r="OQM1004" s="104"/>
      <c r="OQN1004" s="103"/>
      <c r="OQZ1004" s="104"/>
      <c r="ORA1004" s="103"/>
      <c r="ORM1004" s="104"/>
      <c r="ORN1004" s="103"/>
      <c r="ORZ1004" s="104"/>
      <c r="OSA1004" s="103"/>
      <c r="OSM1004" s="104"/>
      <c r="OSN1004" s="103"/>
      <c r="OSZ1004" s="104"/>
      <c r="OTA1004" s="103"/>
      <c r="OTM1004" s="104"/>
      <c r="OTN1004" s="103"/>
      <c r="OTZ1004" s="104"/>
      <c r="OUA1004" s="103"/>
      <c r="OUM1004" s="104"/>
      <c r="OUN1004" s="103"/>
      <c r="OUZ1004" s="104"/>
      <c r="OVA1004" s="103"/>
      <c r="OVM1004" s="104"/>
      <c r="OVN1004" s="103"/>
      <c r="OVZ1004" s="104"/>
      <c r="OWA1004" s="103"/>
      <c r="OWM1004" s="104"/>
      <c r="OWN1004" s="103"/>
      <c r="OWZ1004" s="104"/>
      <c r="OXA1004" s="103"/>
      <c r="OXM1004" s="104"/>
      <c r="OXN1004" s="103"/>
      <c r="OXZ1004" s="104"/>
      <c r="OYA1004" s="103"/>
      <c r="OYM1004" s="104"/>
      <c r="OYN1004" s="103"/>
      <c r="OYZ1004" s="104"/>
      <c r="OZA1004" s="103"/>
      <c r="OZM1004" s="104"/>
      <c r="OZN1004" s="103"/>
      <c r="OZZ1004" s="104"/>
      <c r="PAA1004" s="103"/>
      <c r="PAM1004" s="104"/>
      <c r="PAN1004" s="103"/>
      <c r="PAZ1004" s="104"/>
      <c r="PBA1004" s="103"/>
      <c r="PBM1004" s="104"/>
      <c r="PBN1004" s="103"/>
      <c r="PBZ1004" s="104"/>
      <c r="PCA1004" s="103"/>
      <c r="PCM1004" s="104"/>
      <c r="PCN1004" s="103"/>
      <c r="PCZ1004" s="104"/>
      <c r="PDA1004" s="103"/>
      <c r="PDM1004" s="104"/>
      <c r="PDN1004" s="103"/>
      <c r="PDZ1004" s="104"/>
      <c r="PEA1004" s="103"/>
      <c r="PEM1004" s="104"/>
      <c r="PEN1004" s="103"/>
      <c r="PEZ1004" s="104"/>
      <c r="PFA1004" s="103"/>
      <c r="PFM1004" s="104"/>
      <c r="PFN1004" s="103"/>
      <c r="PFZ1004" s="104"/>
      <c r="PGA1004" s="103"/>
      <c r="PGM1004" s="104"/>
      <c r="PGN1004" s="103"/>
      <c r="PGZ1004" s="104"/>
      <c r="PHA1004" s="103"/>
      <c r="PHM1004" s="104"/>
      <c r="PHN1004" s="103"/>
      <c r="PHZ1004" s="104"/>
      <c r="PIA1004" s="103"/>
      <c r="PIM1004" s="104"/>
      <c r="PIN1004" s="103"/>
      <c r="PIZ1004" s="104"/>
      <c r="PJA1004" s="103"/>
      <c r="PJM1004" s="104"/>
      <c r="PJN1004" s="103"/>
      <c r="PJZ1004" s="104"/>
      <c r="PKA1004" s="103"/>
      <c r="PKM1004" s="104"/>
      <c r="PKN1004" s="103"/>
      <c r="PKZ1004" s="104"/>
      <c r="PLA1004" s="103"/>
      <c r="PLM1004" s="104"/>
      <c r="PLN1004" s="103"/>
      <c r="PLZ1004" s="104"/>
      <c r="PMA1004" s="103"/>
      <c r="PMM1004" s="104"/>
      <c r="PMN1004" s="103"/>
      <c r="PMZ1004" s="104"/>
      <c r="PNA1004" s="103"/>
      <c r="PNM1004" s="104"/>
      <c r="PNN1004" s="103"/>
      <c r="PNZ1004" s="104"/>
      <c r="POA1004" s="103"/>
      <c r="POM1004" s="104"/>
      <c r="PON1004" s="103"/>
      <c r="POZ1004" s="104"/>
      <c r="PPA1004" s="103"/>
      <c r="PPM1004" s="104"/>
      <c r="PPN1004" s="103"/>
      <c r="PPZ1004" s="104"/>
      <c r="PQA1004" s="103"/>
      <c r="PQM1004" s="104"/>
      <c r="PQN1004" s="103"/>
      <c r="PQZ1004" s="104"/>
      <c r="PRA1004" s="103"/>
      <c r="PRM1004" s="104"/>
      <c r="PRN1004" s="103"/>
      <c r="PRZ1004" s="104"/>
      <c r="PSA1004" s="103"/>
      <c r="PSM1004" s="104"/>
      <c r="PSN1004" s="103"/>
      <c r="PSZ1004" s="104"/>
      <c r="PTA1004" s="103"/>
      <c r="PTM1004" s="104"/>
      <c r="PTN1004" s="103"/>
      <c r="PTZ1004" s="104"/>
      <c r="PUA1004" s="103"/>
      <c r="PUM1004" s="104"/>
      <c r="PUN1004" s="103"/>
      <c r="PUZ1004" s="104"/>
      <c r="PVA1004" s="103"/>
      <c r="PVM1004" s="104"/>
      <c r="PVN1004" s="103"/>
      <c r="PVZ1004" s="104"/>
      <c r="PWA1004" s="103"/>
      <c r="PWM1004" s="104"/>
      <c r="PWN1004" s="103"/>
      <c r="PWZ1004" s="104"/>
      <c r="PXA1004" s="103"/>
      <c r="PXM1004" s="104"/>
      <c r="PXN1004" s="103"/>
      <c r="PXZ1004" s="104"/>
      <c r="PYA1004" s="103"/>
      <c r="PYM1004" s="104"/>
      <c r="PYN1004" s="103"/>
      <c r="PYZ1004" s="104"/>
      <c r="PZA1004" s="103"/>
      <c r="PZM1004" s="104"/>
      <c r="PZN1004" s="103"/>
      <c r="PZZ1004" s="104"/>
      <c r="QAA1004" s="103"/>
      <c r="QAM1004" s="104"/>
      <c r="QAN1004" s="103"/>
      <c r="QAZ1004" s="104"/>
      <c r="QBA1004" s="103"/>
      <c r="QBM1004" s="104"/>
      <c r="QBN1004" s="103"/>
      <c r="QBZ1004" s="104"/>
      <c r="QCA1004" s="103"/>
      <c r="QCM1004" s="104"/>
      <c r="QCN1004" s="103"/>
      <c r="QCZ1004" s="104"/>
      <c r="QDA1004" s="103"/>
      <c r="QDM1004" s="104"/>
      <c r="QDN1004" s="103"/>
      <c r="QDZ1004" s="104"/>
      <c r="QEA1004" s="103"/>
      <c r="QEM1004" s="104"/>
      <c r="QEN1004" s="103"/>
      <c r="QEZ1004" s="104"/>
      <c r="QFA1004" s="103"/>
      <c r="QFM1004" s="104"/>
      <c r="QFN1004" s="103"/>
      <c r="QFZ1004" s="104"/>
      <c r="QGA1004" s="103"/>
      <c r="QGM1004" s="104"/>
      <c r="QGN1004" s="103"/>
      <c r="QGZ1004" s="104"/>
      <c r="QHA1004" s="103"/>
      <c r="QHM1004" s="104"/>
      <c r="QHN1004" s="103"/>
      <c r="QHZ1004" s="104"/>
      <c r="QIA1004" s="103"/>
      <c r="QIM1004" s="104"/>
      <c r="QIN1004" s="103"/>
      <c r="QIZ1004" s="104"/>
      <c r="QJA1004" s="103"/>
      <c r="QJM1004" s="104"/>
      <c r="QJN1004" s="103"/>
      <c r="QJZ1004" s="104"/>
      <c r="QKA1004" s="103"/>
      <c r="QKM1004" s="104"/>
      <c r="QKN1004" s="103"/>
      <c r="QKZ1004" s="104"/>
      <c r="QLA1004" s="103"/>
      <c r="QLM1004" s="104"/>
      <c r="QLN1004" s="103"/>
      <c r="QLZ1004" s="104"/>
      <c r="QMA1004" s="103"/>
      <c r="QMM1004" s="104"/>
      <c r="QMN1004" s="103"/>
      <c r="QMZ1004" s="104"/>
      <c r="QNA1004" s="103"/>
      <c r="QNM1004" s="104"/>
      <c r="QNN1004" s="103"/>
      <c r="QNZ1004" s="104"/>
      <c r="QOA1004" s="103"/>
      <c r="QOM1004" s="104"/>
      <c r="QON1004" s="103"/>
      <c r="QOZ1004" s="104"/>
      <c r="QPA1004" s="103"/>
      <c r="QPM1004" s="104"/>
      <c r="QPN1004" s="103"/>
      <c r="QPZ1004" s="104"/>
      <c r="QQA1004" s="103"/>
      <c r="QQM1004" s="104"/>
      <c r="QQN1004" s="103"/>
      <c r="QQZ1004" s="104"/>
      <c r="QRA1004" s="103"/>
      <c r="QRM1004" s="104"/>
      <c r="QRN1004" s="103"/>
      <c r="QRZ1004" s="104"/>
      <c r="QSA1004" s="103"/>
      <c r="QSM1004" s="104"/>
      <c r="QSN1004" s="103"/>
      <c r="QSZ1004" s="104"/>
      <c r="QTA1004" s="103"/>
      <c r="QTM1004" s="104"/>
      <c r="QTN1004" s="103"/>
      <c r="QTZ1004" s="104"/>
      <c r="QUA1004" s="103"/>
      <c r="QUM1004" s="104"/>
      <c r="QUN1004" s="103"/>
      <c r="QUZ1004" s="104"/>
      <c r="QVA1004" s="103"/>
      <c r="QVM1004" s="104"/>
      <c r="QVN1004" s="103"/>
      <c r="QVZ1004" s="104"/>
      <c r="QWA1004" s="103"/>
      <c r="QWM1004" s="104"/>
      <c r="QWN1004" s="103"/>
      <c r="QWZ1004" s="104"/>
      <c r="QXA1004" s="103"/>
      <c r="QXM1004" s="104"/>
      <c r="QXN1004" s="103"/>
      <c r="QXZ1004" s="104"/>
      <c r="QYA1004" s="103"/>
      <c r="QYM1004" s="104"/>
      <c r="QYN1004" s="103"/>
      <c r="QYZ1004" s="104"/>
      <c r="QZA1004" s="103"/>
      <c r="QZM1004" s="104"/>
      <c r="QZN1004" s="103"/>
      <c r="QZZ1004" s="104"/>
      <c r="RAA1004" s="103"/>
      <c r="RAM1004" s="104"/>
      <c r="RAN1004" s="103"/>
      <c r="RAZ1004" s="104"/>
      <c r="RBA1004" s="103"/>
      <c r="RBM1004" s="104"/>
      <c r="RBN1004" s="103"/>
      <c r="RBZ1004" s="104"/>
      <c r="RCA1004" s="103"/>
      <c r="RCM1004" s="104"/>
      <c r="RCN1004" s="103"/>
      <c r="RCZ1004" s="104"/>
      <c r="RDA1004" s="103"/>
      <c r="RDM1004" s="104"/>
      <c r="RDN1004" s="103"/>
      <c r="RDZ1004" s="104"/>
      <c r="REA1004" s="103"/>
      <c r="REM1004" s="104"/>
      <c r="REN1004" s="103"/>
      <c r="REZ1004" s="104"/>
      <c r="RFA1004" s="103"/>
      <c r="RFM1004" s="104"/>
      <c r="RFN1004" s="103"/>
      <c r="RFZ1004" s="104"/>
      <c r="RGA1004" s="103"/>
      <c r="RGM1004" s="104"/>
      <c r="RGN1004" s="103"/>
      <c r="RGZ1004" s="104"/>
      <c r="RHA1004" s="103"/>
      <c r="RHM1004" s="104"/>
      <c r="RHN1004" s="103"/>
      <c r="RHZ1004" s="104"/>
      <c r="RIA1004" s="103"/>
      <c r="RIM1004" s="104"/>
      <c r="RIN1004" s="103"/>
      <c r="RIZ1004" s="104"/>
      <c r="RJA1004" s="103"/>
      <c r="RJM1004" s="104"/>
      <c r="RJN1004" s="103"/>
      <c r="RJZ1004" s="104"/>
      <c r="RKA1004" s="103"/>
      <c r="RKM1004" s="104"/>
      <c r="RKN1004" s="103"/>
      <c r="RKZ1004" s="104"/>
      <c r="RLA1004" s="103"/>
      <c r="RLM1004" s="104"/>
      <c r="RLN1004" s="103"/>
      <c r="RLZ1004" s="104"/>
      <c r="RMA1004" s="103"/>
      <c r="RMM1004" s="104"/>
      <c r="RMN1004" s="103"/>
      <c r="RMZ1004" s="104"/>
      <c r="RNA1004" s="103"/>
      <c r="RNM1004" s="104"/>
      <c r="RNN1004" s="103"/>
      <c r="RNZ1004" s="104"/>
      <c r="ROA1004" s="103"/>
      <c r="ROM1004" s="104"/>
      <c r="RON1004" s="103"/>
      <c r="ROZ1004" s="104"/>
      <c r="RPA1004" s="103"/>
      <c r="RPM1004" s="104"/>
      <c r="RPN1004" s="103"/>
      <c r="RPZ1004" s="104"/>
      <c r="RQA1004" s="103"/>
      <c r="RQM1004" s="104"/>
      <c r="RQN1004" s="103"/>
      <c r="RQZ1004" s="104"/>
      <c r="RRA1004" s="103"/>
      <c r="RRM1004" s="104"/>
      <c r="RRN1004" s="103"/>
      <c r="RRZ1004" s="104"/>
      <c r="RSA1004" s="103"/>
      <c r="RSM1004" s="104"/>
      <c r="RSN1004" s="103"/>
      <c r="RSZ1004" s="104"/>
      <c r="RTA1004" s="103"/>
      <c r="RTM1004" s="104"/>
      <c r="RTN1004" s="103"/>
      <c r="RTZ1004" s="104"/>
      <c r="RUA1004" s="103"/>
      <c r="RUM1004" s="104"/>
      <c r="RUN1004" s="103"/>
      <c r="RUZ1004" s="104"/>
      <c r="RVA1004" s="103"/>
      <c r="RVM1004" s="104"/>
      <c r="RVN1004" s="103"/>
      <c r="RVZ1004" s="104"/>
      <c r="RWA1004" s="103"/>
      <c r="RWM1004" s="104"/>
      <c r="RWN1004" s="103"/>
      <c r="RWZ1004" s="104"/>
      <c r="RXA1004" s="103"/>
      <c r="RXM1004" s="104"/>
      <c r="RXN1004" s="103"/>
      <c r="RXZ1004" s="104"/>
      <c r="RYA1004" s="103"/>
      <c r="RYM1004" s="104"/>
      <c r="RYN1004" s="103"/>
      <c r="RYZ1004" s="104"/>
      <c r="RZA1004" s="103"/>
      <c r="RZM1004" s="104"/>
      <c r="RZN1004" s="103"/>
      <c r="RZZ1004" s="104"/>
      <c r="SAA1004" s="103"/>
      <c r="SAM1004" s="104"/>
      <c r="SAN1004" s="103"/>
      <c r="SAZ1004" s="104"/>
      <c r="SBA1004" s="103"/>
      <c r="SBM1004" s="104"/>
      <c r="SBN1004" s="103"/>
      <c r="SBZ1004" s="104"/>
      <c r="SCA1004" s="103"/>
      <c r="SCM1004" s="104"/>
      <c r="SCN1004" s="103"/>
      <c r="SCZ1004" s="104"/>
      <c r="SDA1004" s="103"/>
      <c r="SDM1004" s="104"/>
      <c r="SDN1004" s="103"/>
      <c r="SDZ1004" s="104"/>
      <c r="SEA1004" s="103"/>
      <c r="SEM1004" s="104"/>
      <c r="SEN1004" s="103"/>
      <c r="SEZ1004" s="104"/>
      <c r="SFA1004" s="103"/>
      <c r="SFM1004" s="104"/>
      <c r="SFN1004" s="103"/>
      <c r="SFZ1004" s="104"/>
      <c r="SGA1004" s="103"/>
      <c r="SGM1004" s="104"/>
      <c r="SGN1004" s="103"/>
      <c r="SGZ1004" s="104"/>
      <c r="SHA1004" s="103"/>
      <c r="SHM1004" s="104"/>
      <c r="SHN1004" s="103"/>
      <c r="SHZ1004" s="104"/>
      <c r="SIA1004" s="103"/>
      <c r="SIM1004" s="104"/>
      <c r="SIN1004" s="103"/>
      <c r="SIZ1004" s="104"/>
      <c r="SJA1004" s="103"/>
      <c r="SJM1004" s="104"/>
      <c r="SJN1004" s="103"/>
      <c r="SJZ1004" s="104"/>
      <c r="SKA1004" s="103"/>
      <c r="SKM1004" s="104"/>
      <c r="SKN1004" s="103"/>
      <c r="SKZ1004" s="104"/>
      <c r="SLA1004" s="103"/>
      <c r="SLM1004" s="104"/>
      <c r="SLN1004" s="103"/>
      <c r="SLZ1004" s="104"/>
      <c r="SMA1004" s="103"/>
      <c r="SMM1004" s="104"/>
      <c r="SMN1004" s="103"/>
      <c r="SMZ1004" s="104"/>
      <c r="SNA1004" s="103"/>
      <c r="SNM1004" s="104"/>
      <c r="SNN1004" s="103"/>
      <c r="SNZ1004" s="104"/>
      <c r="SOA1004" s="103"/>
      <c r="SOM1004" s="104"/>
      <c r="SON1004" s="103"/>
      <c r="SOZ1004" s="104"/>
      <c r="SPA1004" s="103"/>
      <c r="SPM1004" s="104"/>
      <c r="SPN1004" s="103"/>
      <c r="SPZ1004" s="104"/>
      <c r="SQA1004" s="103"/>
      <c r="SQM1004" s="104"/>
      <c r="SQN1004" s="103"/>
      <c r="SQZ1004" s="104"/>
      <c r="SRA1004" s="103"/>
      <c r="SRM1004" s="104"/>
      <c r="SRN1004" s="103"/>
      <c r="SRZ1004" s="104"/>
      <c r="SSA1004" s="103"/>
      <c r="SSM1004" s="104"/>
      <c r="SSN1004" s="103"/>
      <c r="SSZ1004" s="104"/>
      <c r="STA1004" s="103"/>
      <c r="STM1004" s="104"/>
      <c r="STN1004" s="103"/>
      <c r="STZ1004" s="104"/>
      <c r="SUA1004" s="103"/>
      <c r="SUM1004" s="104"/>
      <c r="SUN1004" s="103"/>
      <c r="SUZ1004" s="104"/>
      <c r="SVA1004" s="103"/>
      <c r="SVM1004" s="104"/>
      <c r="SVN1004" s="103"/>
      <c r="SVZ1004" s="104"/>
      <c r="SWA1004" s="103"/>
      <c r="SWM1004" s="104"/>
      <c r="SWN1004" s="103"/>
      <c r="SWZ1004" s="104"/>
      <c r="SXA1004" s="103"/>
      <c r="SXM1004" s="104"/>
      <c r="SXN1004" s="103"/>
      <c r="SXZ1004" s="104"/>
      <c r="SYA1004" s="103"/>
      <c r="SYM1004" s="104"/>
      <c r="SYN1004" s="103"/>
      <c r="SYZ1004" s="104"/>
      <c r="SZA1004" s="103"/>
      <c r="SZM1004" s="104"/>
      <c r="SZN1004" s="103"/>
      <c r="SZZ1004" s="104"/>
      <c r="TAA1004" s="103"/>
      <c r="TAM1004" s="104"/>
      <c r="TAN1004" s="103"/>
      <c r="TAZ1004" s="104"/>
      <c r="TBA1004" s="103"/>
      <c r="TBM1004" s="104"/>
      <c r="TBN1004" s="103"/>
      <c r="TBZ1004" s="104"/>
      <c r="TCA1004" s="103"/>
      <c r="TCM1004" s="104"/>
      <c r="TCN1004" s="103"/>
      <c r="TCZ1004" s="104"/>
      <c r="TDA1004" s="103"/>
      <c r="TDM1004" s="104"/>
      <c r="TDN1004" s="103"/>
      <c r="TDZ1004" s="104"/>
      <c r="TEA1004" s="103"/>
      <c r="TEM1004" s="104"/>
      <c r="TEN1004" s="103"/>
      <c r="TEZ1004" s="104"/>
      <c r="TFA1004" s="103"/>
      <c r="TFM1004" s="104"/>
      <c r="TFN1004" s="103"/>
      <c r="TFZ1004" s="104"/>
      <c r="TGA1004" s="103"/>
      <c r="TGM1004" s="104"/>
      <c r="TGN1004" s="103"/>
      <c r="TGZ1004" s="104"/>
      <c r="THA1004" s="103"/>
      <c r="THM1004" s="104"/>
      <c r="THN1004" s="103"/>
      <c r="THZ1004" s="104"/>
      <c r="TIA1004" s="103"/>
      <c r="TIM1004" s="104"/>
      <c r="TIN1004" s="103"/>
      <c r="TIZ1004" s="104"/>
      <c r="TJA1004" s="103"/>
      <c r="TJM1004" s="104"/>
      <c r="TJN1004" s="103"/>
      <c r="TJZ1004" s="104"/>
      <c r="TKA1004" s="103"/>
      <c r="TKM1004" s="104"/>
      <c r="TKN1004" s="103"/>
      <c r="TKZ1004" s="104"/>
      <c r="TLA1004" s="103"/>
      <c r="TLM1004" s="104"/>
      <c r="TLN1004" s="103"/>
      <c r="TLZ1004" s="104"/>
      <c r="TMA1004" s="103"/>
      <c r="TMM1004" s="104"/>
      <c r="TMN1004" s="103"/>
      <c r="TMZ1004" s="104"/>
      <c r="TNA1004" s="103"/>
      <c r="TNM1004" s="104"/>
      <c r="TNN1004" s="103"/>
      <c r="TNZ1004" s="104"/>
      <c r="TOA1004" s="103"/>
      <c r="TOM1004" s="104"/>
      <c r="TON1004" s="103"/>
      <c r="TOZ1004" s="104"/>
      <c r="TPA1004" s="103"/>
      <c r="TPM1004" s="104"/>
      <c r="TPN1004" s="103"/>
      <c r="TPZ1004" s="104"/>
      <c r="TQA1004" s="103"/>
      <c r="TQM1004" s="104"/>
      <c r="TQN1004" s="103"/>
      <c r="TQZ1004" s="104"/>
      <c r="TRA1004" s="103"/>
      <c r="TRM1004" s="104"/>
      <c r="TRN1004" s="103"/>
      <c r="TRZ1004" s="104"/>
      <c r="TSA1004" s="103"/>
      <c r="TSM1004" s="104"/>
      <c r="TSN1004" s="103"/>
      <c r="TSZ1004" s="104"/>
      <c r="TTA1004" s="103"/>
      <c r="TTM1004" s="104"/>
      <c r="TTN1004" s="103"/>
      <c r="TTZ1004" s="104"/>
      <c r="TUA1004" s="103"/>
      <c r="TUM1004" s="104"/>
      <c r="TUN1004" s="103"/>
      <c r="TUZ1004" s="104"/>
      <c r="TVA1004" s="103"/>
      <c r="TVM1004" s="104"/>
      <c r="TVN1004" s="103"/>
      <c r="TVZ1004" s="104"/>
      <c r="TWA1004" s="103"/>
      <c r="TWM1004" s="104"/>
      <c r="TWN1004" s="103"/>
      <c r="TWZ1004" s="104"/>
      <c r="TXA1004" s="103"/>
      <c r="TXM1004" s="104"/>
      <c r="TXN1004" s="103"/>
      <c r="TXZ1004" s="104"/>
      <c r="TYA1004" s="103"/>
      <c r="TYM1004" s="104"/>
      <c r="TYN1004" s="103"/>
      <c r="TYZ1004" s="104"/>
      <c r="TZA1004" s="103"/>
      <c r="TZM1004" s="104"/>
      <c r="TZN1004" s="103"/>
      <c r="TZZ1004" s="104"/>
      <c r="UAA1004" s="103"/>
      <c r="UAM1004" s="104"/>
      <c r="UAN1004" s="103"/>
      <c r="UAZ1004" s="104"/>
      <c r="UBA1004" s="103"/>
      <c r="UBM1004" s="104"/>
      <c r="UBN1004" s="103"/>
      <c r="UBZ1004" s="104"/>
      <c r="UCA1004" s="103"/>
      <c r="UCM1004" s="104"/>
      <c r="UCN1004" s="103"/>
      <c r="UCZ1004" s="104"/>
      <c r="UDA1004" s="103"/>
      <c r="UDM1004" s="104"/>
      <c r="UDN1004" s="103"/>
      <c r="UDZ1004" s="104"/>
      <c r="UEA1004" s="103"/>
      <c r="UEM1004" s="104"/>
      <c r="UEN1004" s="103"/>
      <c r="UEZ1004" s="104"/>
      <c r="UFA1004" s="103"/>
      <c r="UFM1004" s="104"/>
      <c r="UFN1004" s="103"/>
      <c r="UFZ1004" s="104"/>
      <c r="UGA1004" s="103"/>
      <c r="UGM1004" s="104"/>
      <c r="UGN1004" s="103"/>
      <c r="UGZ1004" s="104"/>
      <c r="UHA1004" s="103"/>
      <c r="UHM1004" s="104"/>
      <c r="UHN1004" s="103"/>
      <c r="UHZ1004" s="104"/>
      <c r="UIA1004" s="103"/>
      <c r="UIM1004" s="104"/>
      <c r="UIN1004" s="103"/>
      <c r="UIZ1004" s="104"/>
      <c r="UJA1004" s="103"/>
      <c r="UJM1004" s="104"/>
      <c r="UJN1004" s="103"/>
      <c r="UJZ1004" s="104"/>
      <c r="UKA1004" s="103"/>
      <c r="UKM1004" s="104"/>
      <c r="UKN1004" s="103"/>
      <c r="UKZ1004" s="104"/>
      <c r="ULA1004" s="103"/>
      <c r="ULM1004" s="104"/>
      <c r="ULN1004" s="103"/>
      <c r="ULZ1004" s="104"/>
      <c r="UMA1004" s="103"/>
      <c r="UMM1004" s="104"/>
      <c r="UMN1004" s="103"/>
      <c r="UMZ1004" s="104"/>
      <c r="UNA1004" s="103"/>
      <c r="UNM1004" s="104"/>
      <c r="UNN1004" s="103"/>
      <c r="UNZ1004" s="104"/>
      <c r="UOA1004" s="103"/>
      <c r="UOM1004" s="104"/>
      <c r="UON1004" s="103"/>
      <c r="UOZ1004" s="104"/>
      <c r="UPA1004" s="103"/>
      <c r="UPM1004" s="104"/>
      <c r="UPN1004" s="103"/>
      <c r="UPZ1004" s="104"/>
      <c r="UQA1004" s="103"/>
      <c r="UQM1004" s="104"/>
      <c r="UQN1004" s="103"/>
      <c r="UQZ1004" s="104"/>
      <c r="URA1004" s="103"/>
      <c r="URM1004" s="104"/>
      <c r="URN1004" s="103"/>
      <c r="URZ1004" s="104"/>
      <c r="USA1004" s="103"/>
      <c r="USM1004" s="104"/>
      <c r="USN1004" s="103"/>
      <c r="USZ1004" s="104"/>
      <c r="UTA1004" s="103"/>
      <c r="UTM1004" s="104"/>
      <c r="UTN1004" s="103"/>
      <c r="UTZ1004" s="104"/>
      <c r="UUA1004" s="103"/>
      <c r="UUM1004" s="104"/>
      <c r="UUN1004" s="103"/>
      <c r="UUZ1004" s="104"/>
      <c r="UVA1004" s="103"/>
      <c r="UVM1004" s="104"/>
      <c r="UVN1004" s="103"/>
      <c r="UVZ1004" s="104"/>
      <c r="UWA1004" s="103"/>
      <c r="UWM1004" s="104"/>
      <c r="UWN1004" s="103"/>
      <c r="UWZ1004" s="104"/>
      <c r="UXA1004" s="103"/>
      <c r="UXM1004" s="104"/>
      <c r="UXN1004" s="103"/>
      <c r="UXZ1004" s="104"/>
      <c r="UYA1004" s="103"/>
      <c r="UYM1004" s="104"/>
      <c r="UYN1004" s="103"/>
      <c r="UYZ1004" s="104"/>
      <c r="UZA1004" s="103"/>
      <c r="UZM1004" s="104"/>
      <c r="UZN1004" s="103"/>
      <c r="UZZ1004" s="104"/>
      <c r="VAA1004" s="103"/>
      <c r="VAM1004" s="104"/>
      <c r="VAN1004" s="103"/>
      <c r="VAZ1004" s="104"/>
      <c r="VBA1004" s="103"/>
      <c r="VBM1004" s="104"/>
      <c r="VBN1004" s="103"/>
      <c r="VBZ1004" s="104"/>
      <c r="VCA1004" s="103"/>
      <c r="VCM1004" s="104"/>
      <c r="VCN1004" s="103"/>
      <c r="VCZ1004" s="104"/>
      <c r="VDA1004" s="103"/>
      <c r="VDM1004" s="104"/>
      <c r="VDN1004" s="103"/>
      <c r="VDZ1004" s="104"/>
      <c r="VEA1004" s="103"/>
      <c r="VEM1004" s="104"/>
      <c r="VEN1004" s="103"/>
      <c r="VEZ1004" s="104"/>
      <c r="VFA1004" s="103"/>
      <c r="VFM1004" s="104"/>
      <c r="VFN1004" s="103"/>
      <c r="VFZ1004" s="104"/>
      <c r="VGA1004" s="103"/>
      <c r="VGM1004" s="104"/>
      <c r="VGN1004" s="103"/>
      <c r="VGZ1004" s="104"/>
      <c r="VHA1004" s="103"/>
      <c r="VHM1004" s="104"/>
      <c r="VHN1004" s="103"/>
      <c r="VHZ1004" s="104"/>
      <c r="VIA1004" s="103"/>
      <c r="VIM1004" s="104"/>
      <c r="VIN1004" s="103"/>
      <c r="VIZ1004" s="104"/>
      <c r="VJA1004" s="103"/>
      <c r="VJM1004" s="104"/>
      <c r="VJN1004" s="103"/>
      <c r="VJZ1004" s="104"/>
      <c r="VKA1004" s="103"/>
      <c r="VKM1004" s="104"/>
      <c r="VKN1004" s="103"/>
      <c r="VKZ1004" s="104"/>
      <c r="VLA1004" s="103"/>
      <c r="VLM1004" s="104"/>
      <c r="VLN1004" s="103"/>
      <c r="VLZ1004" s="104"/>
      <c r="VMA1004" s="103"/>
      <c r="VMM1004" s="104"/>
      <c r="VMN1004" s="103"/>
      <c r="VMZ1004" s="104"/>
      <c r="VNA1004" s="103"/>
      <c r="VNM1004" s="104"/>
      <c r="VNN1004" s="103"/>
      <c r="VNZ1004" s="104"/>
      <c r="VOA1004" s="103"/>
      <c r="VOM1004" s="104"/>
      <c r="VON1004" s="103"/>
      <c r="VOZ1004" s="104"/>
      <c r="VPA1004" s="103"/>
      <c r="VPM1004" s="104"/>
      <c r="VPN1004" s="103"/>
      <c r="VPZ1004" s="104"/>
      <c r="VQA1004" s="103"/>
      <c r="VQM1004" s="104"/>
      <c r="VQN1004" s="103"/>
      <c r="VQZ1004" s="104"/>
      <c r="VRA1004" s="103"/>
      <c r="VRM1004" s="104"/>
      <c r="VRN1004" s="103"/>
      <c r="VRZ1004" s="104"/>
      <c r="VSA1004" s="103"/>
      <c r="VSM1004" s="104"/>
      <c r="VSN1004" s="103"/>
      <c r="VSZ1004" s="104"/>
      <c r="VTA1004" s="103"/>
      <c r="VTM1004" s="104"/>
      <c r="VTN1004" s="103"/>
      <c r="VTZ1004" s="104"/>
      <c r="VUA1004" s="103"/>
      <c r="VUM1004" s="104"/>
      <c r="VUN1004" s="103"/>
      <c r="VUZ1004" s="104"/>
      <c r="VVA1004" s="103"/>
      <c r="VVM1004" s="104"/>
      <c r="VVN1004" s="103"/>
      <c r="VVZ1004" s="104"/>
      <c r="VWA1004" s="103"/>
      <c r="VWM1004" s="104"/>
      <c r="VWN1004" s="103"/>
      <c r="VWZ1004" s="104"/>
      <c r="VXA1004" s="103"/>
      <c r="VXM1004" s="104"/>
      <c r="VXN1004" s="103"/>
      <c r="VXZ1004" s="104"/>
      <c r="VYA1004" s="103"/>
      <c r="VYM1004" s="104"/>
      <c r="VYN1004" s="103"/>
      <c r="VYZ1004" s="104"/>
      <c r="VZA1004" s="103"/>
      <c r="VZM1004" s="104"/>
      <c r="VZN1004" s="103"/>
      <c r="VZZ1004" s="104"/>
      <c r="WAA1004" s="103"/>
      <c r="WAM1004" s="104"/>
      <c r="WAN1004" s="103"/>
      <c r="WAZ1004" s="104"/>
      <c r="WBA1004" s="103"/>
      <c r="WBM1004" s="104"/>
      <c r="WBN1004" s="103"/>
      <c r="WBZ1004" s="104"/>
      <c r="WCA1004" s="103"/>
      <c r="WCM1004" s="104"/>
      <c r="WCN1004" s="103"/>
      <c r="WCZ1004" s="104"/>
      <c r="WDA1004" s="103"/>
      <c r="WDM1004" s="104"/>
      <c r="WDN1004" s="103"/>
      <c r="WDZ1004" s="104"/>
      <c r="WEA1004" s="103"/>
      <c r="WEM1004" s="104"/>
      <c r="WEN1004" s="103"/>
      <c r="WEZ1004" s="104"/>
      <c r="WFA1004" s="103"/>
      <c r="WFM1004" s="104"/>
      <c r="WFN1004" s="103"/>
      <c r="WFZ1004" s="104"/>
      <c r="WGA1004" s="103"/>
      <c r="WGM1004" s="104"/>
      <c r="WGN1004" s="103"/>
      <c r="WGZ1004" s="104"/>
      <c r="WHA1004" s="103"/>
      <c r="WHM1004" s="104"/>
      <c r="WHN1004" s="103"/>
      <c r="WHZ1004" s="104"/>
      <c r="WIA1004" s="103"/>
      <c r="WIM1004" s="104"/>
      <c r="WIN1004" s="103"/>
      <c r="WIZ1004" s="104"/>
      <c r="WJA1004" s="103"/>
      <c r="WJM1004" s="104"/>
      <c r="WJN1004" s="103"/>
      <c r="WJZ1004" s="104"/>
      <c r="WKA1004" s="103"/>
      <c r="WKM1004" s="104"/>
      <c r="WKN1004" s="103"/>
      <c r="WKZ1004" s="104"/>
      <c r="WLA1004" s="103"/>
      <c r="WLM1004" s="104"/>
      <c r="WLN1004" s="103"/>
      <c r="WLZ1004" s="104"/>
      <c r="WMA1004" s="103"/>
      <c r="WMM1004" s="104"/>
      <c r="WMN1004" s="103"/>
      <c r="WMZ1004" s="104"/>
      <c r="WNA1004" s="103"/>
      <c r="WNM1004" s="104"/>
      <c r="WNN1004" s="103"/>
      <c r="WNZ1004" s="104"/>
      <c r="WOA1004" s="103"/>
      <c r="WOM1004" s="104"/>
      <c r="WON1004" s="103"/>
      <c r="WOZ1004" s="104"/>
      <c r="WPA1004" s="103"/>
      <c r="WPM1004" s="104"/>
      <c r="WPN1004" s="103"/>
      <c r="WPZ1004" s="104"/>
      <c r="WQA1004" s="103"/>
      <c r="WQM1004" s="104"/>
      <c r="WQN1004" s="103"/>
      <c r="WQZ1004" s="104"/>
      <c r="WRA1004" s="103"/>
      <c r="WRM1004" s="104"/>
      <c r="WRN1004" s="103"/>
      <c r="WRZ1004" s="104"/>
      <c r="WSA1004" s="103"/>
      <c r="WSM1004" s="104"/>
      <c r="WSN1004" s="103"/>
      <c r="WSZ1004" s="104"/>
      <c r="WTA1004" s="103"/>
      <c r="WTM1004" s="104"/>
      <c r="WTN1004" s="103"/>
      <c r="WTZ1004" s="104"/>
      <c r="WUA1004" s="103"/>
      <c r="WUM1004" s="104"/>
      <c r="WUN1004" s="103"/>
      <c r="WUZ1004" s="104"/>
      <c r="WVA1004" s="103"/>
      <c r="WVM1004" s="104"/>
      <c r="WVN1004" s="103"/>
      <c r="WVZ1004" s="104"/>
      <c r="WWA1004" s="103"/>
      <c r="WWM1004" s="104"/>
      <c r="WWN1004" s="103"/>
      <c r="WWZ1004" s="104"/>
      <c r="WXA1004" s="103"/>
      <c r="WXM1004" s="104"/>
      <c r="WXN1004" s="103"/>
      <c r="WXZ1004" s="104"/>
      <c r="WYA1004" s="103"/>
      <c r="WYM1004" s="104"/>
      <c r="WYN1004" s="103"/>
      <c r="WYZ1004" s="104"/>
      <c r="WZA1004" s="103"/>
      <c r="WZM1004" s="104"/>
      <c r="WZN1004" s="103"/>
      <c r="WZZ1004" s="104"/>
      <c r="XAA1004" s="103"/>
      <c r="XAM1004" s="104"/>
      <c r="XAN1004" s="103"/>
      <c r="XAZ1004" s="104"/>
      <c r="XBA1004" s="103"/>
      <c r="XBM1004" s="104"/>
      <c r="XBN1004" s="103"/>
      <c r="XBZ1004" s="104"/>
      <c r="XCA1004" s="103"/>
      <c r="XCM1004" s="104"/>
      <c r="XCN1004" s="103"/>
      <c r="XCZ1004" s="104"/>
      <c r="XDA1004" s="103"/>
      <c r="XDM1004" s="104"/>
      <c r="XDN1004" s="103"/>
      <c r="XDZ1004" s="104"/>
      <c r="XEA1004" s="103"/>
      <c r="XEM1004" s="104"/>
      <c r="XEN1004" s="103"/>
      <c r="XEZ1004" s="104"/>
      <c r="XFA1004" s="103"/>
    </row>
    <row r="1005" spans="1:1015 1027:2042 2054:3069 3081:4096 4108:5110 5122:6137 6149:7164 7176:8191 8203:9205 9217:10232 10244:11259 11271:12286 12298:14327 14339:15354 15366:16381">
      <c r="B1005" s="111" t="s">
        <v>24</v>
      </c>
      <c r="C1005" s="112"/>
      <c r="D1005" s="113"/>
      <c r="E1005" s="114"/>
      <c r="F1005" s="114"/>
      <c r="AM1005" s="104"/>
      <c r="AN1005" s="103"/>
      <c r="AZ1005" s="104"/>
      <c r="BA1005" s="103"/>
      <c r="BM1005" s="104"/>
      <c r="BN1005" s="103"/>
      <c r="BZ1005" s="104"/>
      <c r="CA1005" s="103"/>
      <c r="CM1005" s="104"/>
      <c r="CN1005" s="103"/>
      <c r="CZ1005" s="104"/>
      <c r="DA1005" s="103"/>
      <c r="DM1005" s="104"/>
      <c r="DN1005" s="103"/>
      <c r="DZ1005" s="104"/>
      <c r="EA1005" s="103"/>
      <c r="EM1005" s="104"/>
      <c r="EN1005" s="103"/>
      <c r="EZ1005" s="104"/>
      <c r="FA1005" s="103"/>
      <c r="FM1005" s="104"/>
      <c r="FN1005" s="103"/>
      <c r="FZ1005" s="104"/>
      <c r="GA1005" s="103"/>
      <c r="GM1005" s="104"/>
      <c r="GN1005" s="103"/>
      <c r="GZ1005" s="104"/>
      <c r="HA1005" s="103"/>
      <c r="HM1005" s="104"/>
      <c r="HN1005" s="103"/>
      <c r="HZ1005" s="104"/>
      <c r="IA1005" s="103"/>
      <c r="IM1005" s="104"/>
      <c r="IN1005" s="103"/>
      <c r="IZ1005" s="104"/>
      <c r="JA1005" s="103"/>
      <c r="JM1005" s="104"/>
      <c r="JN1005" s="103"/>
      <c r="JZ1005" s="104"/>
      <c r="KA1005" s="103"/>
      <c r="KM1005" s="104"/>
      <c r="KN1005" s="103"/>
      <c r="KZ1005" s="104"/>
      <c r="LA1005" s="103"/>
      <c r="LM1005" s="104"/>
      <c r="LN1005" s="103"/>
      <c r="LZ1005" s="104"/>
      <c r="MA1005" s="103"/>
      <c r="MM1005" s="104"/>
      <c r="MN1005" s="103"/>
      <c r="MZ1005" s="104"/>
      <c r="NA1005" s="103"/>
      <c r="NM1005" s="104"/>
      <c r="NN1005" s="103"/>
      <c r="NZ1005" s="104"/>
      <c r="OA1005" s="103"/>
      <c r="OM1005" s="104"/>
      <c r="ON1005" s="103"/>
      <c r="OZ1005" s="104"/>
      <c r="PA1005" s="103"/>
      <c r="PM1005" s="104"/>
      <c r="PN1005" s="103"/>
      <c r="PZ1005" s="104"/>
      <c r="QA1005" s="103"/>
      <c r="QM1005" s="104"/>
      <c r="QN1005" s="103"/>
      <c r="QZ1005" s="104"/>
      <c r="RA1005" s="103"/>
      <c r="RM1005" s="104"/>
      <c r="RN1005" s="103"/>
      <c r="RZ1005" s="104"/>
      <c r="SA1005" s="103"/>
      <c r="SM1005" s="104"/>
      <c r="SN1005" s="103"/>
      <c r="SZ1005" s="104"/>
      <c r="TA1005" s="103"/>
      <c r="TM1005" s="104"/>
      <c r="TN1005" s="103"/>
      <c r="TZ1005" s="104"/>
      <c r="UA1005" s="103"/>
      <c r="UM1005" s="104"/>
      <c r="UN1005" s="103"/>
      <c r="UZ1005" s="104"/>
      <c r="VA1005" s="103"/>
      <c r="VM1005" s="104"/>
      <c r="VN1005" s="103"/>
      <c r="VZ1005" s="104"/>
      <c r="WA1005" s="103"/>
      <c r="WM1005" s="104"/>
      <c r="WN1005" s="103"/>
      <c r="WZ1005" s="104"/>
      <c r="XA1005" s="103"/>
      <c r="XM1005" s="104"/>
      <c r="XN1005" s="103"/>
      <c r="XZ1005" s="104"/>
      <c r="YA1005" s="103"/>
      <c r="YM1005" s="104"/>
      <c r="YN1005" s="103"/>
      <c r="YZ1005" s="104"/>
      <c r="ZA1005" s="103"/>
      <c r="ZM1005" s="104"/>
      <c r="ZN1005" s="103"/>
      <c r="ZZ1005" s="104"/>
      <c r="AAA1005" s="103"/>
      <c r="AAM1005" s="104"/>
      <c r="AAN1005" s="103"/>
      <c r="AAZ1005" s="104"/>
      <c r="ABA1005" s="103"/>
      <c r="ABM1005" s="104"/>
      <c r="ABN1005" s="103"/>
      <c r="ABZ1005" s="104"/>
      <c r="ACA1005" s="103"/>
      <c r="ACM1005" s="104"/>
      <c r="ACN1005" s="103"/>
      <c r="ACZ1005" s="104"/>
      <c r="ADA1005" s="103"/>
      <c r="ADM1005" s="104"/>
      <c r="ADN1005" s="103"/>
      <c r="ADZ1005" s="104"/>
      <c r="AEA1005" s="103"/>
      <c r="AEM1005" s="104"/>
      <c r="AEN1005" s="103"/>
      <c r="AEZ1005" s="104"/>
      <c r="AFA1005" s="103"/>
      <c r="AFM1005" s="104"/>
      <c r="AFN1005" s="103"/>
      <c r="AFZ1005" s="104"/>
      <c r="AGA1005" s="103"/>
      <c r="AGM1005" s="104"/>
      <c r="AGN1005" s="103"/>
      <c r="AGZ1005" s="104"/>
      <c r="AHA1005" s="103"/>
      <c r="AHM1005" s="104"/>
      <c r="AHN1005" s="103"/>
      <c r="AHZ1005" s="104"/>
      <c r="AIA1005" s="103"/>
      <c r="AIM1005" s="104"/>
      <c r="AIN1005" s="103"/>
      <c r="AIZ1005" s="104"/>
      <c r="AJA1005" s="103"/>
      <c r="AJM1005" s="104"/>
      <c r="AJN1005" s="103"/>
      <c r="AJZ1005" s="104"/>
      <c r="AKA1005" s="103"/>
      <c r="AKM1005" s="104"/>
      <c r="AKN1005" s="103"/>
      <c r="AKZ1005" s="104"/>
      <c r="ALA1005" s="103"/>
      <c r="ALM1005" s="104"/>
      <c r="ALN1005" s="103"/>
      <c r="ALZ1005" s="104"/>
      <c r="AMA1005" s="103"/>
      <c r="AMM1005" s="104"/>
      <c r="AMN1005" s="103"/>
      <c r="AMZ1005" s="104"/>
      <c r="ANA1005" s="103"/>
      <c r="ANM1005" s="104"/>
      <c r="ANN1005" s="103"/>
      <c r="ANZ1005" s="104"/>
      <c r="AOA1005" s="103"/>
      <c r="AOM1005" s="104"/>
      <c r="AON1005" s="103"/>
      <c r="AOZ1005" s="104"/>
      <c r="APA1005" s="103"/>
      <c r="APM1005" s="104"/>
      <c r="APN1005" s="103"/>
      <c r="APZ1005" s="104"/>
      <c r="AQA1005" s="103"/>
      <c r="AQM1005" s="104"/>
      <c r="AQN1005" s="103"/>
      <c r="AQZ1005" s="104"/>
      <c r="ARA1005" s="103"/>
      <c r="ARM1005" s="104"/>
      <c r="ARN1005" s="103"/>
      <c r="ARZ1005" s="104"/>
      <c r="ASA1005" s="103"/>
      <c r="ASM1005" s="104"/>
      <c r="ASN1005" s="103"/>
      <c r="ASZ1005" s="104"/>
      <c r="ATA1005" s="103"/>
      <c r="ATM1005" s="104"/>
      <c r="ATN1005" s="103"/>
      <c r="ATZ1005" s="104"/>
      <c r="AUA1005" s="103"/>
      <c r="AUM1005" s="104"/>
      <c r="AUN1005" s="103"/>
      <c r="AUZ1005" s="104"/>
      <c r="AVA1005" s="103"/>
      <c r="AVM1005" s="104"/>
      <c r="AVN1005" s="103"/>
      <c r="AVZ1005" s="104"/>
      <c r="AWA1005" s="103"/>
      <c r="AWM1005" s="104"/>
      <c r="AWN1005" s="103"/>
      <c r="AWZ1005" s="104"/>
      <c r="AXA1005" s="103"/>
      <c r="AXM1005" s="104"/>
      <c r="AXN1005" s="103"/>
      <c r="AXZ1005" s="104"/>
      <c r="AYA1005" s="103"/>
      <c r="AYM1005" s="104"/>
      <c r="AYN1005" s="103"/>
      <c r="AYZ1005" s="104"/>
      <c r="AZA1005" s="103"/>
      <c r="AZM1005" s="104"/>
      <c r="AZN1005" s="103"/>
      <c r="AZZ1005" s="104"/>
      <c r="BAA1005" s="103"/>
      <c r="BAM1005" s="104"/>
      <c r="BAN1005" s="103"/>
      <c r="BAZ1005" s="104"/>
      <c r="BBA1005" s="103"/>
      <c r="BBM1005" s="104"/>
      <c r="BBN1005" s="103"/>
      <c r="BBZ1005" s="104"/>
      <c r="BCA1005" s="103"/>
      <c r="BCM1005" s="104"/>
      <c r="BCN1005" s="103"/>
      <c r="BCZ1005" s="104"/>
      <c r="BDA1005" s="103"/>
      <c r="BDM1005" s="104"/>
      <c r="BDN1005" s="103"/>
      <c r="BDZ1005" s="104"/>
      <c r="BEA1005" s="103"/>
      <c r="BEM1005" s="104"/>
      <c r="BEN1005" s="103"/>
      <c r="BEZ1005" s="104"/>
      <c r="BFA1005" s="103"/>
      <c r="BFM1005" s="104"/>
      <c r="BFN1005" s="103"/>
      <c r="BFZ1005" s="104"/>
      <c r="BGA1005" s="103"/>
      <c r="BGM1005" s="104"/>
      <c r="BGN1005" s="103"/>
      <c r="BGZ1005" s="104"/>
      <c r="BHA1005" s="103"/>
      <c r="BHM1005" s="104"/>
      <c r="BHN1005" s="103"/>
      <c r="BHZ1005" s="104"/>
      <c r="BIA1005" s="103"/>
      <c r="BIM1005" s="104"/>
      <c r="BIN1005" s="103"/>
      <c r="BIZ1005" s="104"/>
      <c r="BJA1005" s="103"/>
      <c r="BJM1005" s="104"/>
      <c r="BJN1005" s="103"/>
      <c r="BJZ1005" s="104"/>
      <c r="BKA1005" s="103"/>
      <c r="BKM1005" s="104"/>
      <c r="BKN1005" s="103"/>
      <c r="BKZ1005" s="104"/>
      <c r="BLA1005" s="103"/>
      <c r="BLM1005" s="104"/>
      <c r="BLN1005" s="103"/>
      <c r="BLZ1005" s="104"/>
      <c r="BMA1005" s="103"/>
      <c r="BMM1005" s="104"/>
      <c r="BMN1005" s="103"/>
      <c r="BMZ1005" s="104"/>
      <c r="BNA1005" s="103"/>
      <c r="BNM1005" s="104"/>
      <c r="BNN1005" s="103"/>
      <c r="BNZ1005" s="104"/>
      <c r="BOA1005" s="103"/>
      <c r="BOM1005" s="104"/>
      <c r="BON1005" s="103"/>
      <c r="BOZ1005" s="104"/>
      <c r="BPA1005" s="103"/>
      <c r="BPM1005" s="104"/>
      <c r="BPN1005" s="103"/>
      <c r="BPZ1005" s="104"/>
      <c r="BQA1005" s="103"/>
      <c r="BQM1005" s="104"/>
      <c r="BQN1005" s="103"/>
      <c r="BQZ1005" s="104"/>
      <c r="BRA1005" s="103"/>
      <c r="BRM1005" s="104"/>
      <c r="BRN1005" s="103"/>
      <c r="BRZ1005" s="104"/>
      <c r="BSA1005" s="103"/>
      <c r="BSM1005" s="104"/>
      <c r="BSN1005" s="103"/>
      <c r="BSZ1005" s="104"/>
      <c r="BTA1005" s="103"/>
      <c r="BTM1005" s="104"/>
      <c r="BTN1005" s="103"/>
      <c r="BTZ1005" s="104"/>
      <c r="BUA1005" s="103"/>
      <c r="BUM1005" s="104"/>
      <c r="BUN1005" s="103"/>
      <c r="BUZ1005" s="104"/>
      <c r="BVA1005" s="103"/>
      <c r="BVM1005" s="104"/>
      <c r="BVN1005" s="103"/>
      <c r="BVZ1005" s="104"/>
      <c r="BWA1005" s="103"/>
      <c r="BWM1005" s="104"/>
      <c r="BWN1005" s="103"/>
      <c r="BWZ1005" s="104"/>
      <c r="BXA1005" s="103"/>
      <c r="BXM1005" s="104"/>
      <c r="BXN1005" s="103"/>
      <c r="BXZ1005" s="104"/>
      <c r="BYA1005" s="103"/>
      <c r="BYM1005" s="104"/>
      <c r="BYN1005" s="103"/>
      <c r="BYZ1005" s="104"/>
      <c r="BZA1005" s="103"/>
      <c r="BZM1005" s="104"/>
      <c r="BZN1005" s="103"/>
      <c r="BZZ1005" s="104"/>
      <c r="CAA1005" s="103"/>
      <c r="CAM1005" s="104"/>
      <c r="CAN1005" s="103"/>
      <c r="CAZ1005" s="104"/>
      <c r="CBA1005" s="103"/>
      <c r="CBM1005" s="104"/>
      <c r="CBN1005" s="103"/>
      <c r="CBZ1005" s="104"/>
      <c r="CCA1005" s="103"/>
      <c r="CCM1005" s="104"/>
      <c r="CCN1005" s="103"/>
      <c r="CCZ1005" s="104"/>
      <c r="CDA1005" s="103"/>
      <c r="CDM1005" s="104"/>
      <c r="CDN1005" s="103"/>
      <c r="CDZ1005" s="104"/>
      <c r="CEA1005" s="103"/>
      <c r="CEM1005" s="104"/>
      <c r="CEN1005" s="103"/>
      <c r="CEZ1005" s="104"/>
      <c r="CFA1005" s="103"/>
      <c r="CFM1005" s="104"/>
      <c r="CFN1005" s="103"/>
      <c r="CFZ1005" s="104"/>
      <c r="CGA1005" s="103"/>
      <c r="CGM1005" s="104"/>
      <c r="CGN1005" s="103"/>
      <c r="CGZ1005" s="104"/>
      <c r="CHA1005" s="103"/>
      <c r="CHM1005" s="104"/>
      <c r="CHN1005" s="103"/>
      <c r="CHZ1005" s="104"/>
      <c r="CIA1005" s="103"/>
      <c r="CIM1005" s="104"/>
      <c r="CIN1005" s="103"/>
      <c r="CIZ1005" s="104"/>
      <c r="CJA1005" s="103"/>
      <c r="CJM1005" s="104"/>
      <c r="CJN1005" s="103"/>
      <c r="CJZ1005" s="104"/>
      <c r="CKA1005" s="103"/>
      <c r="CKM1005" s="104"/>
      <c r="CKN1005" s="103"/>
      <c r="CKZ1005" s="104"/>
      <c r="CLA1005" s="103"/>
      <c r="CLM1005" s="104"/>
      <c r="CLN1005" s="103"/>
      <c r="CLZ1005" s="104"/>
      <c r="CMA1005" s="103"/>
      <c r="CMM1005" s="104"/>
      <c r="CMN1005" s="103"/>
      <c r="CMZ1005" s="104"/>
      <c r="CNA1005" s="103"/>
      <c r="CNM1005" s="104"/>
      <c r="CNN1005" s="103"/>
      <c r="CNZ1005" s="104"/>
      <c r="COA1005" s="103"/>
      <c r="COM1005" s="104"/>
      <c r="CON1005" s="103"/>
      <c r="COZ1005" s="104"/>
      <c r="CPA1005" s="103"/>
      <c r="CPM1005" s="104"/>
      <c r="CPN1005" s="103"/>
      <c r="CPZ1005" s="104"/>
      <c r="CQA1005" s="103"/>
      <c r="CQM1005" s="104"/>
      <c r="CQN1005" s="103"/>
      <c r="CQZ1005" s="104"/>
      <c r="CRA1005" s="103"/>
      <c r="CRM1005" s="104"/>
      <c r="CRN1005" s="103"/>
      <c r="CRZ1005" s="104"/>
      <c r="CSA1005" s="103"/>
      <c r="CSM1005" s="104"/>
      <c r="CSN1005" s="103"/>
      <c r="CSZ1005" s="104"/>
      <c r="CTA1005" s="103"/>
      <c r="CTM1005" s="104"/>
      <c r="CTN1005" s="103"/>
      <c r="CTZ1005" s="104"/>
      <c r="CUA1005" s="103"/>
      <c r="CUM1005" s="104"/>
      <c r="CUN1005" s="103"/>
      <c r="CUZ1005" s="104"/>
      <c r="CVA1005" s="103"/>
      <c r="CVM1005" s="104"/>
      <c r="CVN1005" s="103"/>
      <c r="CVZ1005" s="104"/>
      <c r="CWA1005" s="103"/>
      <c r="CWM1005" s="104"/>
      <c r="CWN1005" s="103"/>
      <c r="CWZ1005" s="104"/>
      <c r="CXA1005" s="103"/>
      <c r="CXM1005" s="104"/>
      <c r="CXN1005" s="103"/>
      <c r="CXZ1005" s="104"/>
      <c r="CYA1005" s="103"/>
      <c r="CYM1005" s="104"/>
      <c r="CYN1005" s="103"/>
      <c r="CYZ1005" s="104"/>
      <c r="CZA1005" s="103"/>
      <c r="CZM1005" s="104"/>
      <c r="CZN1005" s="103"/>
      <c r="CZZ1005" s="104"/>
      <c r="DAA1005" s="103"/>
      <c r="DAM1005" s="104"/>
      <c r="DAN1005" s="103"/>
      <c r="DAZ1005" s="104"/>
      <c r="DBA1005" s="103"/>
      <c r="DBM1005" s="104"/>
      <c r="DBN1005" s="103"/>
      <c r="DBZ1005" s="104"/>
      <c r="DCA1005" s="103"/>
      <c r="DCM1005" s="104"/>
      <c r="DCN1005" s="103"/>
      <c r="DCZ1005" s="104"/>
      <c r="DDA1005" s="103"/>
      <c r="DDM1005" s="104"/>
      <c r="DDN1005" s="103"/>
      <c r="DDZ1005" s="104"/>
      <c r="DEA1005" s="103"/>
      <c r="DEM1005" s="104"/>
      <c r="DEN1005" s="103"/>
      <c r="DEZ1005" s="104"/>
      <c r="DFA1005" s="103"/>
      <c r="DFM1005" s="104"/>
      <c r="DFN1005" s="103"/>
      <c r="DFZ1005" s="104"/>
      <c r="DGA1005" s="103"/>
      <c r="DGM1005" s="104"/>
      <c r="DGN1005" s="103"/>
      <c r="DGZ1005" s="104"/>
      <c r="DHA1005" s="103"/>
      <c r="DHM1005" s="104"/>
      <c r="DHN1005" s="103"/>
      <c r="DHZ1005" s="104"/>
      <c r="DIA1005" s="103"/>
      <c r="DIM1005" s="104"/>
      <c r="DIN1005" s="103"/>
      <c r="DIZ1005" s="104"/>
      <c r="DJA1005" s="103"/>
      <c r="DJM1005" s="104"/>
      <c r="DJN1005" s="103"/>
      <c r="DJZ1005" s="104"/>
      <c r="DKA1005" s="103"/>
      <c r="DKM1005" s="104"/>
      <c r="DKN1005" s="103"/>
      <c r="DKZ1005" s="104"/>
      <c r="DLA1005" s="103"/>
      <c r="DLM1005" s="104"/>
      <c r="DLN1005" s="103"/>
      <c r="DLZ1005" s="104"/>
      <c r="DMA1005" s="103"/>
      <c r="DMM1005" s="104"/>
      <c r="DMN1005" s="103"/>
      <c r="DMZ1005" s="104"/>
      <c r="DNA1005" s="103"/>
      <c r="DNM1005" s="104"/>
      <c r="DNN1005" s="103"/>
      <c r="DNZ1005" s="104"/>
      <c r="DOA1005" s="103"/>
      <c r="DOM1005" s="104"/>
      <c r="DON1005" s="103"/>
      <c r="DOZ1005" s="104"/>
      <c r="DPA1005" s="103"/>
      <c r="DPM1005" s="104"/>
      <c r="DPN1005" s="103"/>
      <c r="DPZ1005" s="104"/>
      <c r="DQA1005" s="103"/>
      <c r="DQM1005" s="104"/>
      <c r="DQN1005" s="103"/>
      <c r="DQZ1005" s="104"/>
      <c r="DRA1005" s="103"/>
      <c r="DRM1005" s="104"/>
      <c r="DRN1005" s="103"/>
      <c r="DRZ1005" s="104"/>
      <c r="DSA1005" s="103"/>
      <c r="DSM1005" s="104"/>
      <c r="DSN1005" s="103"/>
      <c r="DSZ1005" s="104"/>
      <c r="DTA1005" s="103"/>
      <c r="DTM1005" s="104"/>
      <c r="DTN1005" s="103"/>
      <c r="DTZ1005" s="104"/>
      <c r="DUA1005" s="103"/>
      <c r="DUM1005" s="104"/>
      <c r="DUN1005" s="103"/>
      <c r="DUZ1005" s="104"/>
      <c r="DVA1005" s="103"/>
      <c r="DVM1005" s="104"/>
      <c r="DVN1005" s="103"/>
      <c r="DVZ1005" s="104"/>
      <c r="DWA1005" s="103"/>
      <c r="DWM1005" s="104"/>
      <c r="DWN1005" s="103"/>
      <c r="DWZ1005" s="104"/>
      <c r="DXA1005" s="103"/>
      <c r="DXM1005" s="104"/>
      <c r="DXN1005" s="103"/>
      <c r="DXZ1005" s="104"/>
      <c r="DYA1005" s="103"/>
      <c r="DYM1005" s="104"/>
      <c r="DYN1005" s="103"/>
      <c r="DYZ1005" s="104"/>
      <c r="DZA1005" s="103"/>
      <c r="DZM1005" s="104"/>
      <c r="DZN1005" s="103"/>
      <c r="DZZ1005" s="104"/>
      <c r="EAA1005" s="103"/>
      <c r="EAM1005" s="104"/>
      <c r="EAN1005" s="103"/>
      <c r="EAZ1005" s="104"/>
      <c r="EBA1005" s="103"/>
      <c r="EBM1005" s="104"/>
      <c r="EBN1005" s="103"/>
      <c r="EBZ1005" s="104"/>
      <c r="ECA1005" s="103"/>
      <c r="ECM1005" s="104"/>
      <c r="ECN1005" s="103"/>
      <c r="ECZ1005" s="104"/>
      <c r="EDA1005" s="103"/>
      <c r="EDM1005" s="104"/>
      <c r="EDN1005" s="103"/>
      <c r="EDZ1005" s="104"/>
      <c r="EEA1005" s="103"/>
      <c r="EEM1005" s="104"/>
      <c r="EEN1005" s="103"/>
      <c r="EEZ1005" s="104"/>
      <c r="EFA1005" s="103"/>
      <c r="EFM1005" s="104"/>
      <c r="EFN1005" s="103"/>
      <c r="EFZ1005" s="104"/>
      <c r="EGA1005" s="103"/>
      <c r="EGM1005" s="104"/>
      <c r="EGN1005" s="103"/>
      <c r="EGZ1005" s="104"/>
      <c r="EHA1005" s="103"/>
      <c r="EHM1005" s="104"/>
      <c r="EHN1005" s="103"/>
      <c r="EHZ1005" s="104"/>
      <c r="EIA1005" s="103"/>
      <c r="EIM1005" s="104"/>
      <c r="EIN1005" s="103"/>
      <c r="EIZ1005" s="104"/>
      <c r="EJA1005" s="103"/>
      <c r="EJM1005" s="104"/>
      <c r="EJN1005" s="103"/>
      <c r="EJZ1005" s="104"/>
      <c r="EKA1005" s="103"/>
      <c r="EKM1005" s="104"/>
      <c r="EKN1005" s="103"/>
      <c r="EKZ1005" s="104"/>
      <c r="ELA1005" s="103"/>
      <c r="ELM1005" s="104"/>
      <c r="ELN1005" s="103"/>
      <c r="ELZ1005" s="104"/>
      <c r="EMA1005" s="103"/>
      <c r="EMM1005" s="104"/>
      <c r="EMN1005" s="103"/>
      <c r="EMZ1005" s="104"/>
      <c r="ENA1005" s="103"/>
      <c r="ENM1005" s="104"/>
      <c r="ENN1005" s="103"/>
      <c r="ENZ1005" s="104"/>
      <c r="EOA1005" s="103"/>
      <c r="EOM1005" s="104"/>
      <c r="EON1005" s="103"/>
      <c r="EOZ1005" s="104"/>
      <c r="EPA1005" s="103"/>
      <c r="EPM1005" s="104"/>
      <c r="EPN1005" s="103"/>
      <c r="EPZ1005" s="104"/>
      <c r="EQA1005" s="103"/>
      <c r="EQM1005" s="104"/>
      <c r="EQN1005" s="103"/>
      <c r="EQZ1005" s="104"/>
      <c r="ERA1005" s="103"/>
      <c r="ERM1005" s="104"/>
      <c r="ERN1005" s="103"/>
      <c r="ERZ1005" s="104"/>
      <c r="ESA1005" s="103"/>
      <c r="ESM1005" s="104"/>
      <c r="ESN1005" s="103"/>
      <c r="ESZ1005" s="104"/>
      <c r="ETA1005" s="103"/>
      <c r="ETM1005" s="104"/>
      <c r="ETN1005" s="103"/>
      <c r="ETZ1005" s="104"/>
      <c r="EUA1005" s="103"/>
      <c r="EUM1005" s="104"/>
      <c r="EUN1005" s="103"/>
      <c r="EUZ1005" s="104"/>
      <c r="EVA1005" s="103"/>
      <c r="EVM1005" s="104"/>
      <c r="EVN1005" s="103"/>
      <c r="EVZ1005" s="104"/>
      <c r="EWA1005" s="103"/>
      <c r="EWM1005" s="104"/>
      <c r="EWN1005" s="103"/>
      <c r="EWZ1005" s="104"/>
      <c r="EXA1005" s="103"/>
      <c r="EXM1005" s="104"/>
      <c r="EXN1005" s="103"/>
      <c r="EXZ1005" s="104"/>
      <c r="EYA1005" s="103"/>
      <c r="EYM1005" s="104"/>
      <c r="EYN1005" s="103"/>
      <c r="EYZ1005" s="104"/>
      <c r="EZA1005" s="103"/>
      <c r="EZM1005" s="104"/>
      <c r="EZN1005" s="103"/>
      <c r="EZZ1005" s="104"/>
      <c r="FAA1005" s="103"/>
      <c r="FAM1005" s="104"/>
      <c r="FAN1005" s="103"/>
      <c r="FAZ1005" s="104"/>
      <c r="FBA1005" s="103"/>
      <c r="FBM1005" s="104"/>
      <c r="FBN1005" s="103"/>
      <c r="FBZ1005" s="104"/>
      <c r="FCA1005" s="103"/>
      <c r="FCM1005" s="104"/>
      <c r="FCN1005" s="103"/>
      <c r="FCZ1005" s="104"/>
      <c r="FDA1005" s="103"/>
      <c r="FDM1005" s="104"/>
      <c r="FDN1005" s="103"/>
      <c r="FDZ1005" s="104"/>
      <c r="FEA1005" s="103"/>
      <c r="FEM1005" s="104"/>
      <c r="FEN1005" s="103"/>
      <c r="FEZ1005" s="104"/>
      <c r="FFA1005" s="103"/>
      <c r="FFM1005" s="104"/>
      <c r="FFN1005" s="103"/>
      <c r="FFZ1005" s="104"/>
      <c r="FGA1005" s="103"/>
      <c r="FGM1005" s="104"/>
      <c r="FGN1005" s="103"/>
      <c r="FGZ1005" s="104"/>
      <c r="FHA1005" s="103"/>
      <c r="FHM1005" s="104"/>
      <c r="FHN1005" s="103"/>
      <c r="FHZ1005" s="104"/>
      <c r="FIA1005" s="103"/>
      <c r="FIM1005" s="104"/>
      <c r="FIN1005" s="103"/>
      <c r="FIZ1005" s="104"/>
      <c r="FJA1005" s="103"/>
      <c r="FJM1005" s="104"/>
      <c r="FJN1005" s="103"/>
      <c r="FJZ1005" s="104"/>
      <c r="FKA1005" s="103"/>
      <c r="FKM1005" s="104"/>
      <c r="FKN1005" s="103"/>
      <c r="FKZ1005" s="104"/>
      <c r="FLA1005" s="103"/>
      <c r="FLM1005" s="104"/>
      <c r="FLN1005" s="103"/>
      <c r="FLZ1005" s="104"/>
      <c r="FMA1005" s="103"/>
      <c r="FMM1005" s="104"/>
      <c r="FMN1005" s="103"/>
      <c r="FMZ1005" s="104"/>
      <c r="FNA1005" s="103"/>
      <c r="FNM1005" s="104"/>
      <c r="FNN1005" s="103"/>
      <c r="FNZ1005" s="104"/>
      <c r="FOA1005" s="103"/>
      <c r="FOM1005" s="104"/>
      <c r="FON1005" s="103"/>
      <c r="FOZ1005" s="104"/>
      <c r="FPA1005" s="103"/>
      <c r="FPM1005" s="104"/>
      <c r="FPN1005" s="103"/>
      <c r="FPZ1005" s="104"/>
      <c r="FQA1005" s="103"/>
      <c r="FQM1005" s="104"/>
      <c r="FQN1005" s="103"/>
      <c r="FQZ1005" s="104"/>
      <c r="FRA1005" s="103"/>
      <c r="FRM1005" s="104"/>
      <c r="FRN1005" s="103"/>
      <c r="FRZ1005" s="104"/>
      <c r="FSA1005" s="103"/>
      <c r="FSM1005" s="104"/>
      <c r="FSN1005" s="103"/>
      <c r="FSZ1005" s="104"/>
      <c r="FTA1005" s="103"/>
      <c r="FTM1005" s="104"/>
      <c r="FTN1005" s="103"/>
      <c r="FTZ1005" s="104"/>
      <c r="FUA1005" s="103"/>
      <c r="FUM1005" s="104"/>
      <c r="FUN1005" s="103"/>
      <c r="FUZ1005" s="104"/>
      <c r="FVA1005" s="103"/>
      <c r="FVM1005" s="104"/>
      <c r="FVN1005" s="103"/>
      <c r="FVZ1005" s="104"/>
      <c r="FWA1005" s="103"/>
      <c r="FWM1005" s="104"/>
      <c r="FWN1005" s="103"/>
      <c r="FWZ1005" s="104"/>
      <c r="FXA1005" s="103"/>
      <c r="FXM1005" s="104"/>
      <c r="FXN1005" s="103"/>
      <c r="FXZ1005" s="104"/>
      <c r="FYA1005" s="103"/>
      <c r="FYM1005" s="104"/>
      <c r="FYN1005" s="103"/>
      <c r="FYZ1005" s="104"/>
      <c r="FZA1005" s="103"/>
      <c r="FZM1005" s="104"/>
      <c r="FZN1005" s="103"/>
      <c r="FZZ1005" s="104"/>
      <c r="GAA1005" s="103"/>
      <c r="GAM1005" s="104"/>
      <c r="GAN1005" s="103"/>
      <c r="GAZ1005" s="104"/>
      <c r="GBA1005" s="103"/>
      <c r="GBM1005" s="104"/>
      <c r="GBN1005" s="103"/>
      <c r="GBZ1005" s="104"/>
      <c r="GCA1005" s="103"/>
      <c r="GCM1005" s="104"/>
      <c r="GCN1005" s="103"/>
      <c r="GCZ1005" s="104"/>
      <c r="GDA1005" s="103"/>
      <c r="GDM1005" s="104"/>
      <c r="GDN1005" s="103"/>
      <c r="GDZ1005" s="104"/>
      <c r="GEA1005" s="103"/>
      <c r="GEM1005" s="104"/>
      <c r="GEN1005" s="103"/>
      <c r="GEZ1005" s="104"/>
      <c r="GFA1005" s="103"/>
      <c r="GFM1005" s="104"/>
      <c r="GFN1005" s="103"/>
      <c r="GFZ1005" s="104"/>
      <c r="GGA1005" s="103"/>
      <c r="GGM1005" s="104"/>
      <c r="GGN1005" s="103"/>
      <c r="GGZ1005" s="104"/>
      <c r="GHA1005" s="103"/>
      <c r="GHM1005" s="104"/>
      <c r="GHN1005" s="103"/>
      <c r="GHZ1005" s="104"/>
      <c r="GIA1005" s="103"/>
      <c r="GIM1005" s="104"/>
      <c r="GIN1005" s="103"/>
      <c r="GIZ1005" s="104"/>
      <c r="GJA1005" s="103"/>
      <c r="GJM1005" s="104"/>
      <c r="GJN1005" s="103"/>
      <c r="GJZ1005" s="104"/>
      <c r="GKA1005" s="103"/>
      <c r="GKM1005" s="104"/>
      <c r="GKN1005" s="103"/>
      <c r="GKZ1005" s="104"/>
      <c r="GLA1005" s="103"/>
      <c r="GLM1005" s="104"/>
      <c r="GLN1005" s="103"/>
      <c r="GLZ1005" s="104"/>
      <c r="GMA1005" s="103"/>
      <c r="GMM1005" s="104"/>
      <c r="GMN1005" s="103"/>
      <c r="GMZ1005" s="104"/>
      <c r="GNA1005" s="103"/>
      <c r="GNM1005" s="104"/>
      <c r="GNN1005" s="103"/>
      <c r="GNZ1005" s="104"/>
      <c r="GOA1005" s="103"/>
      <c r="GOM1005" s="104"/>
      <c r="GON1005" s="103"/>
      <c r="GOZ1005" s="104"/>
      <c r="GPA1005" s="103"/>
      <c r="GPM1005" s="104"/>
      <c r="GPN1005" s="103"/>
      <c r="GPZ1005" s="104"/>
      <c r="GQA1005" s="103"/>
      <c r="GQM1005" s="104"/>
      <c r="GQN1005" s="103"/>
      <c r="GQZ1005" s="104"/>
      <c r="GRA1005" s="103"/>
      <c r="GRM1005" s="104"/>
      <c r="GRN1005" s="103"/>
      <c r="GRZ1005" s="104"/>
      <c r="GSA1005" s="103"/>
      <c r="GSM1005" s="104"/>
      <c r="GSN1005" s="103"/>
      <c r="GSZ1005" s="104"/>
      <c r="GTA1005" s="103"/>
      <c r="GTM1005" s="104"/>
      <c r="GTN1005" s="103"/>
      <c r="GTZ1005" s="104"/>
      <c r="GUA1005" s="103"/>
      <c r="GUM1005" s="104"/>
      <c r="GUN1005" s="103"/>
      <c r="GUZ1005" s="104"/>
      <c r="GVA1005" s="103"/>
      <c r="GVM1005" s="104"/>
      <c r="GVN1005" s="103"/>
      <c r="GVZ1005" s="104"/>
      <c r="GWA1005" s="103"/>
      <c r="GWM1005" s="104"/>
      <c r="GWN1005" s="103"/>
      <c r="GWZ1005" s="104"/>
      <c r="GXA1005" s="103"/>
      <c r="GXM1005" s="104"/>
      <c r="GXN1005" s="103"/>
      <c r="GXZ1005" s="104"/>
      <c r="GYA1005" s="103"/>
      <c r="GYM1005" s="104"/>
      <c r="GYN1005" s="103"/>
      <c r="GYZ1005" s="104"/>
      <c r="GZA1005" s="103"/>
      <c r="GZM1005" s="104"/>
      <c r="GZN1005" s="103"/>
      <c r="GZZ1005" s="104"/>
      <c r="HAA1005" s="103"/>
      <c r="HAM1005" s="104"/>
      <c r="HAN1005" s="103"/>
      <c r="HAZ1005" s="104"/>
      <c r="HBA1005" s="103"/>
      <c r="HBM1005" s="104"/>
      <c r="HBN1005" s="103"/>
      <c r="HBZ1005" s="104"/>
      <c r="HCA1005" s="103"/>
      <c r="HCM1005" s="104"/>
      <c r="HCN1005" s="103"/>
      <c r="HCZ1005" s="104"/>
      <c r="HDA1005" s="103"/>
      <c r="HDM1005" s="104"/>
      <c r="HDN1005" s="103"/>
      <c r="HDZ1005" s="104"/>
      <c r="HEA1005" s="103"/>
      <c r="HEM1005" s="104"/>
      <c r="HEN1005" s="103"/>
      <c r="HEZ1005" s="104"/>
      <c r="HFA1005" s="103"/>
      <c r="HFM1005" s="104"/>
      <c r="HFN1005" s="103"/>
      <c r="HFZ1005" s="104"/>
      <c r="HGA1005" s="103"/>
      <c r="HGM1005" s="104"/>
      <c r="HGN1005" s="103"/>
      <c r="HGZ1005" s="104"/>
      <c r="HHA1005" s="103"/>
      <c r="HHM1005" s="104"/>
      <c r="HHN1005" s="103"/>
      <c r="HHZ1005" s="104"/>
      <c r="HIA1005" s="103"/>
      <c r="HIM1005" s="104"/>
      <c r="HIN1005" s="103"/>
      <c r="HIZ1005" s="104"/>
      <c r="HJA1005" s="103"/>
      <c r="HJM1005" s="104"/>
      <c r="HJN1005" s="103"/>
      <c r="HJZ1005" s="104"/>
      <c r="HKA1005" s="103"/>
      <c r="HKM1005" s="104"/>
      <c r="HKN1005" s="103"/>
      <c r="HKZ1005" s="104"/>
      <c r="HLA1005" s="103"/>
      <c r="HLM1005" s="104"/>
      <c r="HLN1005" s="103"/>
      <c r="HLZ1005" s="104"/>
      <c r="HMA1005" s="103"/>
      <c r="HMM1005" s="104"/>
      <c r="HMN1005" s="103"/>
      <c r="HMZ1005" s="104"/>
      <c r="HNA1005" s="103"/>
      <c r="HNM1005" s="104"/>
      <c r="HNN1005" s="103"/>
      <c r="HNZ1005" s="104"/>
      <c r="HOA1005" s="103"/>
      <c r="HOM1005" s="104"/>
      <c r="HON1005" s="103"/>
      <c r="HOZ1005" s="104"/>
      <c r="HPA1005" s="103"/>
      <c r="HPM1005" s="104"/>
      <c r="HPN1005" s="103"/>
      <c r="HPZ1005" s="104"/>
      <c r="HQA1005" s="103"/>
      <c r="HQM1005" s="104"/>
      <c r="HQN1005" s="103"/>
      <c r="HQZ1005" s="104"/>
      <c r="HRA1005" s="103"/>
      <c r="HRM1005" s="104"/>
      <c r="HRN1005" s="103"/>
      <c r="HRZ1005" s="104"/>
      <c r="HSA1005" s="103"/>
      <c r="HSM1005" s="104"/>
      <c r="HSN1005" s="103"/>
      <c r="HSZ1005" s="104"/>
      <c r="HTA1005" s="103"/>
      <c r="HTM1005" s="104"/>
      <c r="HTN1005" s="103"/>
      <c r="HTZ1005" s="104"/>
      <c r="HUA1005" s="103"/>
      <c r="HUM1005" s="104"/>
      <c r="HUN1005" s="103"/>
      <c r="HUZ1005" s="104"/>
      <c r="HVA1005" s="103"/>
      <c r="HVM1005" s="104"/>
      <c r="HVN1005" s="103"/>
      <c r="HVZ1005" s="104"/>
      <c r="HWA1005" s="103"/>
      <c r="HWM1005" s="104"/>
      <c r="HWN1005" s="103"/>
      <c r="HWZ1005" s="104"/>
      <c r="HXA1005" s="103"/>
      <c r="HXM1005" s="104"/>
      <c r="HXN1005" s="103"/>
      <c r="HXZ1005" s="104"/>
      <c r="HYA1005" s="103"/>
      <c r="HYM1005" s="104"/>
      <c r="HYN1005" s="103"/>
      <c r="HYZ1005" s="104"/>
      <c r="HZA1005" s="103"/>
      <c r="HZM1005" s="104"/>
      <c r="HZN1005" s="103"/>
      <c r="HZZ1005" s="104"/>
      <c r="IAA1005" s="103"/>
      <c r="IAM1005" s="104"/>
      <c r="IAN1005" s="103"/>
      <c r="IAZ1005" s="104"/>
      <c r="IBA1005" s="103"/>
      <c r="IBM1005" s="104"/>
      <c r="IBN1005" s="103"/>
      <c r="IBZ1005" s="104"/>
      <c r="ICA1005" s="103"/>
      <c r="ICM1005" s="104"/>
      <c r="ICN1005" s="103"/>
      <c r="ICZ1005" s="104"/>
      <c r="IDA1005" s="103"/>
      <c r="IDM1005" s="104"/>
      <c r="IDN1005" s="103"/>
      <c r="IDZ1005" s="104"/>
      <c r="IEA1005" s="103"/>
      <c r="IEM1005" s="104"/>
      <c r="IEN1005" s="103"/>
      <c r="IEZ1005" s="104"/>
      <c r="IFA1005" s="103"/>
      <c r="IFM1005" s="104"/>
      <c r="IFN1005" s="103"/>
      <c r="IFZ1005" s="104"/>
      <c r="IGA1005" s="103"/>
      <c r="IGM1005" s="104"/>
      <c r="IGN1005" s="103"/>
      <c r="IGZ1005" s="104"/>
      <c r="IHA1005" s="103"/>
      <c r="IHM1005" s="104"/>
      <c r="IHN1005" s="103"/>
      <c r="IHZ1005" s="104"/>
      <c r="IIA1005" s="103"/>
      <c r="IIM1005" s="104"/>
      <c r="IIN1005" s="103"/>
      <c r="IIZ1005" s="104"/>
      <c r="IJA1005" s="103"/>
      <c r="IJM1005" s="104"/>
      <c r="IJN1005" s="103"/>
      <c r="IJZ1005" s="104"/>
      <c r="IKA1005" s="103"/>
      <c r="IKM1005" s="104"/>
      <c r="IKN1005" s="103"/>
      <c r="IKZ1005" s="104"/>
      <c r="ILA1005" s="103"/>
      <c r="ILM1005" s="104"/>
      <c r="ILN1005" s="103"/>
      <c r="ILZ1005" s="104"/>
      <c r="IMA1005" s="103"/>
      <c r="IMM1005" s="104"/>
      <c r="IMN1005" s="103"/>
      <c r="IMZ1005" s="104"/>
      <c r="INA1005" s="103"/>
      <c r="INM1005" s="104"/>
      <c r="INN1005" s="103"/>
      <c r="INZ1005" s="104"/>
      <c r="IOA1005" s="103"/>
      <c r="IOM1005" s="104"/>
      <c r="ION1005" s="103"/>
      <c r="IOZ1005" s="104"/>
      <c r="IPA1005" s="103"/>
      <c r="IPM1005" s="104"/>
      <c r="IPN1005" s="103"/>
      <c r="IPZ1005" s="104"/>
      <c r="IQA1005" s="103"/>
      <c r="IQM1005" s="104"/>
      <c r="IQN1005" s="103"/>
      <c r="IQZ1005" s="104"/>
      <c r="IRA1005" s="103"/>
      <c r="IRM1005" s="104"/>
      <c r="IRN1005" s="103"/>
      <c r="IRZ1005" s="104"/>
      <c r="ISA1005" s="103"/>
      <c r="ISM1005" s="104"/>
      <c r="ISN1005" s="103"/>
      <c r="ISZ1005" s="104"/>
      <c r="ITA1005" s="103"/>
      <c r="ITM1005" s="104"/>
      <c r="ITN1005" s="103"/>
      <c r="ITZ1005" s="104"/>
      <c r="IUA1005" s="103"/>
      <c r="IUM1005" s="104"/>
      <c r="IUN1005" s="103"/>
      <c r="IUZ1005" s="104"/>
      <c r="IVA1005" s="103"/>
      <c r="IVM1005" s="104"/>
      <c r="IVN1005" s="103"/>
      <c r="IVZ1005" s="104"/>
      <c r="IWA1005" s="103"/>
      <c r="IWM1005" s="104"/>
      <c r="IWN1005" s="103"/>
      <c r="IWZ1005" s="104"/>
      <c r="IXA1005" s="103"/>
      <c r="IXM1005" s="104"/>
      <c r="IXN1005" s="103"/>
      <c r="IXZ1005" s="104"/>
      <c r="IYA1005" s="103"/>
      <c r="IYM1005" s="104"/>
      <c r="IYN1005" s="103"/>
      <c r="IYZ1005" s="104"/>
      <c r="IZA1005" s="103"/>
      <c r="IZM1005" s="104"/>
      <c r="IZN1005" s="103"/>
      <c r="IZZ1005" s="104"/>
      <c r="JAA1005" s="103"/>
      <c r="JAM1005" s="104"/>
      <c r="JAN1005" s="103"/>
      <c r="JAZ1005" s="104"/>
      <c r="JBA1005" s="103"/>
      <c r="JBM1005" s="104"/>
      <c r="JBN1005" s="103"/>
      <c r="JBZ1005" s="104"/>
      <c r="JCA1005" s="103"/>
      <c r="JCM1005" s="104"/>
      <c r="JCN1005" s="103"/>
      <c r="JCZ1005" s="104"/>
      <c r="JDA1005" s="103"/>
      <c r="JDM1005" s="104"/>
      <c r="JDN1005" s="103"/>
      <c r="JDZ1005" s="104"/>
      <c r="JEA1005" s="103"/>
      <c r="JEM1005" s="104"/>
      <c r="JEN1005" s="103"/>
      <c r="JEZ1005" s="104"/>
      <c r="JFA1005" s="103"/>
      <c r="JFM1005" s="104"/>
      <c r="JFN1005" s="103"/>
      <c r="JFZ1005" s="104"/>
      <c r="JGA1005" s="103"/>
      <c r="JGM1005" s="104"/>
      <c r="JGN1005" s="103"/>
      <c r="JGZ1005" s="104"/>
      <c r="JHA1005" s="103"/>
      <c r="JHM1005" s="104"/>
      <c r="JHN1005" s="103"/>
      <c r="JHZ1005" s="104"/>
      <c r="JIA1005" s="103"/>
      <c r="JIM1005" s="104"/>
      <c r="JIN1005" s="103"/>
      <c r="JIZ1005" s="104"/>
      <c r="JJA1005" s="103"/>
      <c r="JJM1005" s="104"/>
      <c r="JJN1005" s="103"/>
      <c r="JJZ1005" s="104"/>
      <c r="JKA1005" s="103"/>
      <c r="JKM1005" s="104"/>
      <c r="JKN1005" s="103"/>
      <c r="JKZ1005" s="104"/>
      <c r="JLA1005" s="103"/>
      <c r="JLM1005" s="104"/>
      <c r="JLN1005" s="103"/>
      <c r="JLZ1005" s="104"/>
      <c r="JMA1005" s="103"/>
      <c r="JMM1005" s="104"/>
      <c r="JMN1005" s="103"/>
      <c r="JMZ1005" s="104"/>
      <c r="JNA1005" s="103"/>
      <c r="JNM1005" s="104"/>
      <c r="JNN1005" s="103"/>
      <c r="JNZ1005" s="104"/>
      <c r="JOA1005" s="103"/>
      <c r="JOM1005" s="104"/>
      <c r="JON1005" s="103"/>
      <c r="JOZ1005" s="104"/>
      <c r="JPA1005" s="103"/>
      <c r="JPM1005" s="104"/>
      <c r="JPN1005" s="103"/>
      <c r="JPZ1005" s="104"/>
      <c r="JQA1005" s="103"/>
      <c r="JQM1005" s="104"/>
      <c r="JQN1005" s="103"/>
      <c r="JQZ1005" s="104"/>
      <c r="JRA1005" s="103"/>
      <c r="JRM1005" s="104"/>
      <c r="JRN1005" s="103"/>
      <c r="JRZ1005" s="104"/>
      <c r="JSA1005" s="103"/>
      <c r="JSM1005" s="104"/>
      <c r="JSN1005" s="103"/>
      <c r="JSZ1005" s="104"/>
      <c r="JTA1005" s="103"/>
      <c r="JTM1005" s="104"/>
      <c r="JTN1005" s="103"/>
      <c r="JTZ1005" s="104"/>
      <c r="JUA1005" s="103"/>
      <c r="JUM1005" s="104"/>
      <c r="JUN1005" s="103"/>
      <c r="JUZ1005" s="104"/>
      <c r="JVA1005" s="103"/>
      <c r="JVM1005" s="104"/>
      <c r="JVN1005" s="103"/>
      <c r="JVZ1005" s="104"/>
      <c r="JWA1005" s="103"/>
      <c r="JWM1005" s="104"/>
      <c r="JWN1005" s="103"/>
      <c r="JWZ1005" s="104"/>
      <c r="JXA1005" s="103"/>
      <c r="JXM1005" s="104"/>
      <c r="JXN1005" s="103"/>
      <c r="JXZ1005" s="104"/>
      <c r="JYA1005" s="103"/>
      <c r="JYM1005" s="104"/>
      <c r="JYN1005" s="103"/>
      <c r="JYZ1005" s="104"/>
      <c r="JZA1005" s="103"/>
      <c r="JZM1005" s="104"/>
      <c r="JZN1005" s="103"/>
      <c r="JZZ1005" s="104"/>
      <c r="KAA1005" s="103"/>
      <c r="KAM1005" s="104"/>
      <c r="KAN1005" s="103"/>
      <c r="KAZ1005" s="104"/>
      <c r="KBA1005" s="103"/>
      <c r="KBM1005" s="104"/>
      <c r="KBN1005" s="103"/>
      <c r="KBZ1005" s="104"/>
      <c r="KCA1005" s="103"/>
      <c r="KCM1005" s="104"/>
      <c r="KCN1005" s="103"/>
      <c r="KCZ1005" s="104"/>
      <c r="KDA1005" s="103"/>
      <c r="KDM1005" s="104"/>
      <c r="KDN1005" s="103"/>
      <c r="KDZ1005" s="104"/>
      <c r="KEA1005" s="103"/>
      <c r="KEM1005" s="104"/>
      <c r="KEN1005" s="103"/>
      <c r="KEZ1005" s="104"/>
      <c r="KFA1005" s="103"/>
      <c r="KFM1005" s="104"/>
      <c r="KFN1005" s="103"/>
      <c r="KFZ1005" s="104"/>
      <c r="KGA1005" s="103"/>
      <c r="KGM1005" s="104"/>
      <c r="KGN1005" s="103"/>
      <c r="KGZ1005" s="104"/>
      <c r="KHA1005" s="103"/>
      <c r="KHM1005" s="104"/>
      <c r="KHN1005" s="103"/>
      <c r="KHZ1005" s="104"/>
      <c r="KIA1005" s="103"/>
      <c r="KIM1005" s="104"/>
      <c r="KIN1005" s="103"/>
      <c r="KIZ1005" s="104"/>
      <c r="KJA1005" s="103"/>
      <c r="KJM1005" s="104"/>
      <c r="KJN1005" s="103"/>
      <c r="KJZ1005" s="104"/>
      <c r="KKA1005" s="103"/>
      <c r="KKM1005" s="104"/>
      <c r="KKN1005" s="103"/>
      <c r="KKZ1005" s="104"/>
      <c r="KLA1005" s="103"/>
      <c r="KLM1005" s="104"/>
      <c r="KLN1005" s="103"/>
      <c r="KLZ1005" s="104"/>
      <c r="KMA1005" s="103"/>
      <c r="KMM1005" s="104"/>
      <c r="KMN1005" s="103"/>
      <c r="KMZ1005" s="104"/>
      <c r="KNA1005" s="103"/>
      <c r="KNM1005" s="104"/>
      <c r="KNN1005" s="103"/>
      <c r="KNZ1005" s="104"/>
      <c r="KOA1005" s="103"/>
      <c r="KOM1005" s="104"/>
      <c r="KON1005" s="103"/>
      <c r="KOZ1005" s="104"/>
      <c r="KPA1005" s="103"/>
      <c r="KPM1005" s="104"/>
      <c r="KPN1005" s="103"/>
      <c r="KPZ1005" s="104"/>
      <c r="KQA1005" s="103"/>
      <c r="KQM1005" s="104"/>
      <c r="KQN1005" s="103"/>
      <c r="KQZ1005" s="104"/>
      <c r="KRA1005" s="103"/>
      <c r="KRM1005" s="104"/>
      <c r="KRN1005" s="103"/>
      <c r="KRZ1005" s="104"/>
      <c r="KSA1005" s="103"/>
      <c r="KSM1005" s="104"/>
      <c r="KSN1005" s="103"/>
      <c r="KSZ1005" s="104"/>
      <c r="KTA1005" s="103"/>
      <c r="KTM1005" s="104"/>
      <c r="KTN1005" s="103"/>
      <c r="KTZ1005" s="104"/>
      <c r="KUA1005" s="103"/>
      <c r="KUM1005" s="104"/>
      <c r="KUN1005" s="103"/>
      <c r="KUZ1005" s="104"/>
      <c r="KVA1005" s="103"/>
      <c r="KVM1005" s="104"/>
      <c r="KVN1005" s="103"/>
      <c r="KVZ1005" s="104"/>
      <c r="KWA1005" s="103"/>
      <c r="KWM1005" s="104"/>
      <c r="KWN1005" s="103"/>
      <c r="KWZ1005" s="104"/>
      <c r="KXA1005" s="103"/>
      <c r="KXM1005" s="104"/>
      <c r="KXN1005" s="103"/>
      <c r="KXZ1005" s="104"/>
      <c r="KYA1005" s="103"/>
      <c r="KYM1005" s="104"/>
      <c r="KYN1005" s="103"/>
      <c r="KYZ1005" s="104"/>
      <c r="KZA1005" s="103"/>
      <c r="KZM1005" s="104"/>
      <c r="KZN1005" s="103"/>
      <c r="KZZ1005" s="104"/>
      <c r="LAA1005" s="103"/>
      <c r="LAM1005" s="104"/>
      <c r="LAN1005" s="103"/>
      <c r="LAZ1005" s="104"/>
      <c r="LBA1005" s="103"/>
      <c r="LBM1005" s="104"/>
      <c r="LBN1005" s="103"/>
      <c r="LBZ1005" s="104"/>
      <c r="LCA1005" s="103"/>
      <c r="LCM1005" s="104"/>
      <c r="LCN1005" s="103"/>
      <c r="LCZ1005" s="104"/>
      <c r="LDA1005" s="103"/>
      <c r="LDM1005" s="104"/>
      <c r="LDN1005" s="103"/>
      <c r="LDZ1005" s="104"/>
      <c r="LEA1005" s="103"/>
      <c r="LEM1005" s="104"/>
      <c r="LEN1005" s="103"/>
      <c r="LEZ1005" s="104"/>
      <c r="LFA1005" s="103"/>
      <c r="LFM1005" s="104"/>
      <c r="LFN1005" s="103"/>
      <c r="LFZ1005" s="104"/>
      <c r="LGA1005" s="103"/>
      <c r="LGM1005" s="104"/>
      <c r="LGN1005" s="103"/>
      <c r="LGZ1005" s="104"/>
      <c r="LHA1005" s="103"/>
      <c r="LHM1005" s="104"/>
      <c r="LHN1005" s="103"/>
      <c r="LHZ1005" s="104"/>
      <c r="LIA1005" s="103"/>
      <c r="LIM1005" s="104"/>
      <c r="LIN1005" s="103"/>
      <c r="LIZ1005" s="104"/>
      <c r="LJA1005" s="103"/>
      <c r="LJM1005" s="104"/>
      <c r="LJN1005" s="103"/>
      <c r="LJZ1005" s="104"/>
      <c r="LKA1005" s="103"/>
      <c r="LKM1005" s="104"/>
      <c r="LKN1005" s="103"/>
      <c r="LKZ1005" s="104"/>
      <c r="LLA1005" s="103"/>
      <c r="LLM1005" s="104"/>
      <c r="LLN1005" s="103"/>
      <c r="LLZ1005" s="104"/>
      <c r="LMA1005" s="103"/>
      <c r="LMM1005" s="104"/>
      <c r="LMN1005" s="103"/>
      <c r="LMZ1005" s="104"/>
      <c r="LNA1005" s="103"/>
      <c r="LNM1005" s="104"/>
      <c r="LNN1005" s="103"/>
      <c r="LNZ1005" s="104"/>
      <c r="LOA1005" s="103"/>
      <c r="LOM1005" s="104"/>
      <c r="LON1005" s="103"/>
      <c r="LOZ1005" s="104"/>
      <c r="LPA1005" s="103"/>
      <c r="LPM1005" s="104"/>
      <c r="LPN1005" s="103"/>
      <c r="LPZ1005" s="104"/>
      <c r="LQA1005" s="103"/>
      <c r="LQM1005" s="104"/>
      <c r="LQN1005" s="103"/>
      <c r="LQZ1005" s="104"/>
      <c r="LRA1005" s="103"/>
      <c r="LRM1005" s="104"/>
      <c r="LRN1005" s="103"/>
      <c r="LRZ1005" s="104"/>
      <c r="LSA1005" s="103"/>
      <c r="LSM1005" s="104"/>
      <c r="LSN1005" s="103"/>
      <c r="LSZ1005" s="104"/>
      <c r="LTA1005" s="103"/>
      <c r="LTM1005" s="104"/>
      <c r="LTN1005" s="103"/>
      <c r="LTZ1005" s="104"/>
      <c r="LUA1005" s="103"/>
      <c r="LUM1005" s="104"/>
      <c r="LUN1005" s="103"/>
      <c r="LUZ1005" s="104"/>
      <c r="LVA1005" s="103"/>
      <c r="LVM1005" s="104"/>
      <c r="LVN1005" s="103"/>
      <c r="LVZ1005" s="104"/>
      <c r="LWA1005" s="103"/>
      <c r="LWM1005" s="104"/>
      <c r="LWN1005" s="103"/>
      <c r="LWZ1005" s="104"/>
      <c r="LXA1005" s="103"/>
      <c r="LXM1005" s="104"/>
      <c r="LXN1005" s="103"/>
      <c r="LXZ1005" s="104"/>
      <c r="LYA1005" s="103"/>
      <c r="LYM1005" s="104"/>
      <c r="LYN1005" s="103"/>
      <c r="LYZ1005" s="104"/>
      <c r="LZA1005" s="103"/>
      <c r="LZM1005" s="104"/>
      <c r="LZN1005" s="103"/>
      <c r="LZZ1005" s="104"/>
      <c r="MAA1005" s="103"/>
      <c r="MAM1005" s="104"/>
      <c r="MAN1005" s="103"/>
      <c r="MAZ1005" s="104"/>
      <c r="MBA1005" s="103"/>
      <c r="MBM1005" s="104"/>
      <c r="MBN1005" s="103"/>
      <c r="MBZ1005" s="104"/>
      <c r="MCA1005" s="103"/>
      <c r="MCM1005" s="104"/>
      <c r="MCN1005" s="103"/>
      <c r="MCZ1005" s="104"/>
      <c r="MDA1005" s="103"/>
      <c r="MDM1005" s="104"/>
      <c r="MDN1005" s="103"/>
      <c r="MDZ1005" s="104"/>
      <c r="MEA1005" s="103"/>
      <c r="MEM1005" s="104"/>
      <c r="MEN1005" s="103"/>
      <c r="MEZ1005" s="104"/>
      <c r="MFA1005" s="103"/>
      <c r="MFM1005" s="104"/>
      <c r="MFN1005" s="103"/>
      <c r="MFZ1005" s="104"/>
      <c r="MGA1005" s="103"/>
      <c r="MGM1005" s="104"/>
      <c r="MGN1005" s="103"/>
      <c r="MGZ1005" s="104"/>
      <c r="MHA1005" s="103"/>
      <c r="MHM1005" s="104"/>
      <c r="MHN1005" s="103"/>
      <c r="MHZ1005" s="104"/>
      <c r="MIA1005" s="103"/>
      <c r="MIM1005" s="104"/>
      <c r="MIN1005" s="103"/>
      <c r="MIZ1005" s="104"/>
      <c r="MJA1005" s="103"/>
      <c r="MJM1005" s="104"/>
      <c r="MJN1005" s="103"/>
      <c r="MJZ1005" s="104"/>
      <c r="MKA1005" s="103"/>
      <c r="MKM1005" s="104"/>
      <c r="MKN1005" s="103"/>
      <c r="MKZ1005" s="104"/>
      <c r="MLA1005" s="103"/>
      <c r="MLM1005" s="104"/>
      <c r="MLN1005" s="103"/>
      <c r="MLZ1005" s="104"/>
      <c r="MMA1005" s="103"/>
      <c r="MMM1005" s="104"/>
      <c r="MMN1005" s="103"/>
      <c r="MMZ1005" s="104"/>
      <c r="MNA1005" s="103"/>
      <c r="MNM1005" s="104"/>
      <c r="MNN1005" s="103"/>
      <c r="MNZ1005" s="104"/>
      <c r="MOA1005" s="103"/>
      <c r="MOM1005" s="104"/>
      <c r="MON1005" s="103"/>
      <c r="MOZ1005" s="104"/>
      <c r="MPA1005" s="103"/>
      <c r="MPM1005" s="104"/>
      <c r="MPN1005" s="103"/>
      <c r="MPZ1005" s="104"/>
      <c r="MQA1005" s="103"/>
      <c r="MQM1005" s="104"/>
      <c r="MQN1005" s="103"/>
      <c r="MQZ1005" s="104"/>
      <c r="MRA1005" s="103"/>
      <c r="MRM1005" s="104"/>
      <c r="MRN1005" s="103"/>
      <c r="MRZ1005" s="104"/>
      <c r="MSA1005" s="103"/>
      <c r="MSM1005" s="104"/>
      <c r="MSN1005" s="103"/>
      <c r="MSZ1005" s="104"/>
      <c r="MTA1005" s="103"/>
      <c r="MTM1005" s="104"/>
      <c r="MTN1005" s="103"/>
      <c r="MTZ1005" s="104"/>
      <c r="MUA1005" s="103"/>
      <c r="MUM1005" s="104"/>
      <c r="MUN1005" s="103"/>
      <c r="MUZ1005" s="104"/>
      <c r="MVA1005" s="103"/>
      <c r="MVM1005" s="104"/>
      <c r="MVN1005" s="103"/>
      <c r="MVZ1005" s="104"/>
      <c r="MWA1005" s="103"/>
      <c r="MWM1005" s="104"/>
      <c r="MWN1005" s="103"/>
      <c r="MWZ1005" s="104"/>
      <c r="MXA1005" s="103"/>
      <c r="MXM1005" s="104"/>
      <c r="MXN1005" s="103"/>
      <c r="MXZ1005" s="104"/>
      <c r="MYA1005" s="103"/>
      <c r="MYM1005" s="104"/>
      <c r="MYN1005" s="103"/>
      <c r="MYZ1005" s="104"/>
      <c r="MZA1005" s="103"/>
      <c r="MZM1005" s="104"/>
      <c r="MZN1005" s="103"/>
      <c r="MZZ1005" s="104"/>
      <c r="NAA1005" s="103"/>
      <c r="NAM1005" s="104"/>
      <c r="NAN1005" s="103"/>
      <c r="NAZ1005" s="104"/>
      <c r="NBA1005" s="103"/>
      <c r="NBM1005" s="104"/>
      <c r="NBN1005" s="103"/>
      <c r="NBZ1005" s="104"/>
      <c r="NCA1005" s="103"/>
      <c r="NCM1005" s="104"/>
      <c r="NCN1005" s="103"/>
      <c r="NCZ1005" s="104"/>
      <c r="NDA1005" s="103"/>
      <c r="NDM1005" s="104"/>
      <c r="NDN1005" s="103"/>
      <c r="NDZ1005" s="104"/>
      <c r="NEA1005" s="103"/>
      <c r="NEM1005" s="104"/>
      <c r="NEN1005" s="103"/>
      <c r="NEZ1005" s="104"/>
      <c r="NFA1005" s="103"/>
      <c r="NFM1005" s="104"/>
      <c r="NFN1005" s="103"/>
      <c r="NFZ1005" s="104"/>
      <c r="NGA1005" s="103"/>
      <c r="NGM1005" s="104"/>
      <c r="NGN1005" s="103"/>
      <c r="NGZ1005" s="104"/>
      <c r="NHA1005" s="103"/>
      <c r="NHM1005" s="104"/>
      <c r="NHN1005" s="103"/>
      <c r="NHZ1005" s="104"/>
      <c r="NIA1005" s="103"/>
      <c r="NIM1005" s="104"/>
      <c r="NIN1005" s="103"/>
      <c r="NIZ1005" s="104"/>
      <c r="NJA1005" s="103"/>
      <c r="NJM1005" s="104"/>
      <c r="NJN1005" s="103"/>
      <c r="NJZ1005" s="104"/>
      <c r="NKA1005" s="103"/>
      <c r="NKM1005" s="104"/>
      <c r="NKN1005" s="103"/>
      <c r="NKZ1005" s="104"/>
      <c r="NLA1005" s="103"/>
      <c r="NLM1005" s="104"/>
      <c r="NLN1005" s="103"/>
      <c r="NLZ1005" s="104"/>
      <c r="NMA1005" s="103"/>
      <c r="NMM1005" s="104"/>
      <c r="NMN1005" s="103"/>
      <c r="NMZ1005" s="104"/>
      <c r="NNA1005" s="103"/>
      <c r="NNM1005" s="104"/>
      <c r="NNN1005" s="103"/>
      <c r="NNZ1005" s="104"/>
      <c r="NOA1005" s="103"/>
      <c r="NOM1005" s="104"/>
      <c r="NON1005" s="103"/>
      <c r="NOZ1005" s="104"/>
      <c r="NPA1005" s="103"/>
      <c r="NPM1005" s="104"/>
      <c r="NPN1005" s="103"/>
      <c r="NPZ1005" s="104"/>
      <c r="NQA1005" s="103"/>
      <c r="NQM1005" s="104"/>
      <c r="NQN1005" s="103"/>
      <c r="NQZ1005" s="104"/>
      <c r="NRA1005" s="103"/>
      <c r="NRM1005" s="104"/>
      <c r="NRN1005" s="103"/>
      <c r="NRZ1005" s="104"/>
      <c r="NSA1005" s="103"/>
      <c r="NSM1005" s="104"/>
      <c r="NSN1005" s="103"/>
      <c r="NSZ1005" s="104"/>
      <c r="NTA1005" s="103"/>
      <c r="NTM1005" s="104"/>
      <c r="NTN1005" s="103"/>
      <c r="NTZ1005" s="104"/>
      <c r="NUA1005" s="103"/>
      <c r="NUM1005" s="104"/>
      <c r="NUN1005" s="103"/>
      <c r="NUZ1005" s="104"/>
      <c r="NVA1005" s="103"/>
      <c r="NVM1005" s="104"/>
      <c r="NVN1005" s="103"/>
      <c r="NVZ1005" s="104"/>
      <c r="NWA1005" s="103"/>
      <c r="NWM1005" s="104"/>
      <c r="NWN1005" s="103"/>
      <c r="NWZ1005" s="104"/>
      <c r="NXA1005" s="103"/>
      <c r="NXM1005" s="104"/>
      <c r="NXN1005" s="103"/>
      <c r="NXZ1005" s="104"/>
      <c r="NYA1005" s="103"/>
      <c r="NYM1005" s="104"/>
      <c r="NYN1005" s="103"/>
      <c r="NYZ1005" s="104"/>
      <c r="NZA1005" s="103"/>
      <c r="NZM1005" s="104"/>
      <c r="NZN1005" s="103"/>
      <c r="NZZ1005" s="104"/>
      <c r="OAA1005" s="103"/>
      <c r="OAM1005" s="104"/>
      <c r="OAN1005" s="103"/>
      <c r="OAZ1005" s="104"/>
      <c r="OBA1005" s="103"/>
      <c r="OBM1005" s="104"/>
      <c r="OBN1005" s="103"/>
      <c r="OBZ1005" s="104"/>
      <c r="OCA1005" s="103"/>
      <c r="OCM1005" s="104"/>
      <c r="OCN1005" s="103"/>
      <c r="OCZ1005" s="104"/>
      <c r="ODA1005" s="103"/>
      <c r="ODM1005" s="104"/>
      <c r="ODN1005" s="103"/>
      <c r="ODZ1005" s="104"/>
      <c r="OEA1005" s="103"/>
      <c r="OEM1005" s="104"/>
      <c r="OEN1005" s="103"/>
      <c r="OEZ1005" s="104"/>
      <c r="OFA1005" s="103"/>
      <c r="OFM1005" s="104"/>
      <c r="OFN1005" s="103"/>
      <c r="OFZ1005" s="104"/>
      <c r="OGA1005" s="103"/>
      <c r="OGM1005" s="104"/>
      <c r="OGN1005" s="103"/>
      <c r="OGZ1005" s="104"/>
      <c r="OHA1005" s="103"/>
      <c r="OHM1005" s="104"/>
      <c r="OHN1005" s="103"/>
      <c r="OHZ1005" s="104"/>
      <c r="OIA1005" s="103"/>
      <c r="OIM1005" s="104"/>
      <c r="OIN1005" s="103"/>
      <c r="OIZ1005" s="104"/>
      <c r="OJA1005" s="103"/>
      <c r="OJM1005" s="104"/>
      <c r="OJN1005" s="103"/>
      <c r="OJZ1005" s="104"/>
      <c r="OKA1005" s="103"/>
      <c r="OKM1005" s="104"/>
      <c r="OKN1005" s="103"/>
      <c r="OKZ1005" s="104"/>
      <c r="OLA1005" s="103"/>
      <c r="OLM1005" s="104"/>
      <c r="OLN1005" s="103"/>
      <c r="OLZ1005" s="104"/>
      <c r="OMA1005" s="103"/>
      <c r="OMM1005" s="104"/>
      <c r="OMN1005" s="103"/>
      <c r="OMZ1005" s="104"/>
      <c r="ONA1005" s="103"/>
      <c r="ONM1005" s="104"/>
      <c r="ONN1005" s="103"/>
      <c r="ONZ1005" s="104"/>
      <c r="OOA1005" s="103"/>
      <c r="OOM1005" s="104"/>
      <c r="OON1005" s="103"/>
      <c r="OOZ1005" s="104"/>
      <c r="OPA1005" s="103"/>
      <c r="OPM1005" s="104"/>
      <c r="OPN1005" s="103"/>
      <c r="OPZ1005" s="104"/>
      <c r="OQA1005" s="103"/>
      <c r="OQM1005" s="104"/>
      <c r="OQN1005" s="103"/>
      <c r="OQZ1005" s="104"/>
      <c r="ORA1005" s="103"/>
      <c r="ORM1005" s="104"/>
      <c r="ORN1005" s="103"/>
      <c r="ORZ1005" s="104"/>
      <c r="OSA1005" s="103"/>
      <c r="OSM1005" s="104"/>
      <c r="OSN1005" s="103"/>
      <c r="OSZ1005" s="104"/>
      <c r="OTA1005" s="103"/>
      <c r="OTM1005" s="104"/>
      <c r="OTN1005" s="103"/>
      <c r="OTZ1005" s="104"/>
      <c r="OUA1005" s="103"/>
      <c r="OUM1005" s="104"/>
      <c r="OUN1005" s="103"/>
      <c r="OUZ1005" s="104"/>
      <c r="OVA1005" s="103"/>
      <c r="OVM1005" s="104"/>
      <c r="OVN1005" s="103"/>
      <c r="OVZ1005" s="104"/>
      <c r="OWA1005" s="103"/>
      <c r="OWM1005" s="104"/>
      <c r="OWN1005" s="103"/>
      <c r="OWZ1005" s="104"/>
      <c r="OXA1005" s="103"/>
      <c r="OXM1005" s="104"/>
      <c r="OXN1005" s="103"/>
      <c r="OXZ1005" s="104"/>
      <c r="OYA1005" s="103"/>
      <c r="OYM1005" s="104"/>
      <c r="OYN1005" s="103"/>
      <c r="OYZ1005" s="104"/>
      <c r="OZA1005" s="103"/>
      <c r="OZM1005" s="104"/>
      <c r="OZN1005" s="103"/>
      <c r="OZZ1005" s="104"/>
      <c r="PAA1005" s="103"/>
      <c r="PAM1005" s="104"/>
      <c r="PAN1005" s="103"/>
      <c r="PAZ1005" s="104"/>
      <c r="PBA1005" s="103"/>
      <c r="PBM1005" s="104"/>
      <c r="PBN1005" s="103"/>
      <c r="PBZ1005" s="104"/>
      <c r="PCA1005" s="103"/>
      <c r="PCM1005" s="104"/>
      <c r="PCN1005" s="103"/>
      <c r="PCZ1005" s="104"/>
      <c r="PDA1005" s="103"/>
      <c r="PDM1005" s="104"/>
      <c r="PDN1005" s="103"/>
      <c r="PDZ1005" s="104"/>
      <c r="PEA1005" s="103"/>
      <c r="PEM1005" s="104"/>
      <c r="PEN1005" s="103"/>
      <c r="PEZ1005" s="104"/>
      <c r="PFA1005" s="103"/>
      <c r="PFM1005" s="104"/>
      <c r="PFN1005" s="103"/>
      <c r="PFZ1005" s="104"/>
      <c r="PGA1005" s="103"/>
      <c r="PGM1005" s="104"/>
      <c r="PGN1005" s="103"/>
      <c r="PGZ1005" s="104"/>
      <c r="PHA1005" s="103"/>
      <c r="PHM1005" s="104"/>
      <c r="PHN1005" s="103"/>
      <c r="PHZ1005" s="104"/>
      <c r="PIA1005" s="103"/>
      <c r="PIM1005" s="104"/>
      <c r="PIN1005" s="103"/>
      <c r="PIZ1005" s="104"/>
      <c r="PJA1005" s="103"/>
      <c r="PJM1005" s="104"/>
      <c r="PJN1005" s="103"/>
      <c r="PJZ1005" s="104"/>
      <c r="PKA1005" s="103"/>
      <c r="PKM1005" s="104"/>
      <c r="PKN1005" s="103"/>
      <c r="PKZ1005" s="104"/>
      <c r="PLA1005" s="103"/>
      <c r="PLM1005" s="104"/>
      <c r="PLN1005" s="103"/>
      <c r="PLZ1005" s="104"/>
      <c r="PMA1005" s="103"/>
      <c r="PMM1005" s="104"/>
      <c r="PMN1005" s="103"/>
      <c r="PMZ1005" s="104"/>
      <c r="PNA1005" s="103"/>
      <c r="PNM1005" s="104"/>
      <c r="PNN1005" s="103"/>
      <c r="PNZ1005" s="104"/>
      <c r="POA1005" s="103"/>
      <c r="POM1005" s="104"/>
      <c r="PON1005" s="103"/>
      <c r="POZ1005" s="104"/>
      <c r="PPA1005" s="103"/>
      <c r="PPM1005" s="104"/>
      <c r="PPN1005" s="103"/>
      <c r="PPZ1005" s="104"/>
      <c r="PQA1005" s="103"/>
      <c r="PQM1005" s="104"/>
      <c r="PQN1005" s="103"/>
      <c r="PQZ1005" s="104"/>
      <c r="PRA1005" s="103"/>
      <c r="PRM1005" s="104"/>
      <c r="PRN1005" s="103"/>
      <c r="PRZ1005" s="104"/>
      <c r="PSA1005" s="103"/>
      <c r="PSM1005" s="104"/>
      <c r="PSN1005" s="103"/>
      <c r="PSZ1005" s="104"/>
      <c r="PTA1005" s="103"/>
      <c r="PTM1005" s="104"/>
      <c r="PTN1005" s="103"/>
      <c r="PTZ1005" s="104"/>
      <c r="PUA1005" s="103"/>
      <c r="PUM1005" s="104"/>
      <c r="PUN1005" s="103"/>
      <c r="PUZ1005" s="104"/>
      <c r="PVA1005" s="103"/>
      <c r="PVM1005" s="104"/>
      <c r="PVN1005" s="103"/>
      <c r="PVZ1005" s="104"/>
      <c r="PWA1005" s="103"/>
      <c r="PWM1005" s="104"/>
      <c r="PWN1005" s="103"/>
      <c r="PWZ1005" s="104"/>
      <c r="PXA1005" s="103"/>
      <c r="PXM1005" s="104"/>
      <c r="PXN1005" s="103"/>
      <c r="PXZ1005" s="104"/>
      <c r="PYA1005" s="103"/>
      <c r="PYM1005" s="104"/>
      <c r="PYN1005" s="103"/>
      <c r="PYZ1005" s="104"/>
      <c r="PZA1005" s="103"/>
      <c r="PZM1005" s="104"/>
      <c r="PZN1005" s="103"/>
      <c r="PZZ1005" s="104"/>
      <c r="QAA1005" s="103"/>
      <c r="QAM1005" s="104"/>
      <c r="QAN1005" s="103"/>
      <c r="QAZ1005" s="104"/>
      <c r="QBA1005" s="103"/>
      <c r="QBM1005" s="104"/>
      <c r="QBN1005" s="103"/>
      <c r="QBZ1005" s="104"/>
      <c r="QCA1005" s="103"/>
      <c r="QCM1005" s="104"/>
      <c r="QCN1005" s="103"/>
      <c r="QCZ1005" s="104"/>
      <c r="QDA1005" s="103"/>
      <c r="QDM1005" s="104"/>
      <c r="QDN1005" s="103"/>
      <c r="QDZ1005" s="104"/>
      <c r="QEA1005" s="103"/>
      <c r="QEM1005" s="104"/>
      <c r="QEN1005" s="103"/>
      <c r="QEZ1005" s="104"/>
      <c r="QFA1005" s="103"/>
      <c r="QFM1005" s="104"/>
      <c r="QFN1005" s="103"/>
      <c r="QFZ1005" s="104"/>
      <c r="QGA1005" s="103"/>
      <c r="QGM1005" s="104"/>
      <c r="QGN1005" s="103"/>
      <c r="QGZ1005" s="104"/>
      <c r="QHA1005" s="103"/>
      <c r="QHM1005" s="104"/>
      <c r="QHN1005" s="103"/>
      <c r="QHZ1005" s="104"/>
      <c r="QIA1005" s="103"/>
      <c r="QIM1005" s="104"/>
      <c r="QIN1005" s="103"/>
      <c r="QIZ1005" s="104"/>
      <c r="QJA1005" s="103"/>
      <c r="QJM1005" s="104"/>
      <c r="QJN1005" s="103"/>
      <c r="QJZ1005" s="104"/>
      <c r="QKA1005" s="103"/>
      <c r="QKM1005" s="104"/>
      <c r="QKN1005" s="103"/>
      <c r="QKZ1005" s="104"/>
      <c r="QLA1005" s="103"/>
      <c r="QLM1005" s="104"/>
      <c r="QLN1005" s="103"/>
      <c r="QLZ1005" s="104"/>
      <c r="QMA1005" s="103"/>
      <c r="QMM1005" s="104"/>
      <c r="QMN1005" s="103"/>
      <c r="QMZ1005" s="104"/>
      <c r="QNA1005" s="103"/>
      <c r="QNM1005" s="104"/>
      <c r="QNN1005" s="103"/>
      <c r="QNZ1005" s="104"/>
      <c r="QOA1005" s="103"/>
      <c r="QOM1005" s="104"/>
      <c r="QON1005" s="103"/>
      <c r="QOZ1005" s="104"/>
      <c r="QPA1005" s="103"/>
      <c r="QPM1005" s="104"/>
      <c r="QPN1005" s="103"/>
      <c r="QPZ1005" s="104"/>
      <c r="QQA1005" s="103"/>
      <c r="QQM1005" s="104"/>
      <c r="QQN1005" s="103"/>
      <c r="QQZ1005" s="104"/>
      <c r="QRA1005" s="103"/>
      <c r="QRM1005" s="104"/>
      <c r="QRN1005" s="103"/>
      <c r="QRZ1005" s="104"/>
      <c r="QSA1005" s="103"/>
      <c r="QSM1005" s="104"/>
      <c r="QSN1005" s="103"/>
      <c r="QSZ1005" s="104"/>
      <c r="QTA1005" s="103"/>
      <c r="QTM1005" s="104"/>
      <c r="QTN1005" s="103"/>
      <c r="QTZ1005" s="104"/>
      <c r="QUA1005" s="103"/>
      <c r="QUM1005" s="104"/>
      <c r="QUN1005" s="103"/>
      <c r="QUZ1005" s="104"/>
      <c r="QVA1005" s="103"/>
      <c r="QVM1005" s="104"/>
      <c r="QVN1005" s="103"/>
      <c r="QVZ1005" s="104"/>
      <c r="QWA1005" s="103"/>
      <c r="QWM1005" s="104"/>
      <c r="QWN1005" s="103"/>
      <c r="QWZ1005" s="104"/>
      <c r="QXA1005" s="103"/>
      <c r="QXM1005" s="104"/>
      <c r="QXN1005" s="103"/>
      <c r="QXZ1005" s="104"/>
      <c r="QYA1005" s="103"/>
      <c r="QYM1005" s="104"/>
      <c r="QYN1005" s="103"/>
      <c r="QYZ1005" s="104"/>
      <c r="QZA1005" s="103"/>
      <c r="QZM1005" s="104"/>
      <c r="QZN1005" s="103"/>
      <c r="QZZ1005" s="104"/>
      <c r="RAA1005" s="103"/>
      <c r="RAM1005" s="104"/>
      <c r="RAN1005" s="103"/>
      <c r="RAZ1005" s="104"/>
      <c r="RBA1005" s="103"/>
      <c r="RBM1005" s="104"/>
      <c r="RBN1005" s="103"/>
      <c r="RBZ1005" s="104"/>
      <c r="RCA1005" s="103"/>
      <c r="RCM1005" s="104"/>
      <c r="RCN1005" s="103"/>
      <c r="RCZ1005" s="104"/>
      <c r="RDA1005" s="103"/>
      <c r="RDM1005" s="104"/>
      <c r="RDN1005" s="103"/>
      <c r="RDZ1005" s="104"/>
      <c r="REA1005" s="103"/>
      <c r="REM1005" s="104"/>
      <c r="REN1005" s="103"/>
      <c r="REZ1005" s="104"/>
      <c r="RFA1005" s="103"/>
      <c r="RFM1005" s="104"/>
      <c r="RFN1005" s="103"/>
      <c r="RFZ1005" s="104"/>
      <c r="RGA1005" s="103"/>
      <c r="RGM1005" s="104"/>
      <c r="RGN1005" s="103"/>
      <c r="RGZ1005" s="104"/>
      <c r="RHA1005" s="103"/>
      <c r="RHM1005" s="104"/>
      <c r="RHN1005" s="103"/>
      <c r="RHZ1005" s="104"/>
      <c r="RIA1005" s="103"/>
      <c r="RIM1005" s="104"/>
      <c r="RIN1005" s="103"/>
      <c r="RIZ1005" s="104"/>
      <c r="RJA1005" s="103"/>
      <c r="RJM1005" s="104"/>
      <c r="RJN1005" s="103"/>
      <c r="RJZ1005" s="104"/>
      <c r="RKA1005" s="103"/>
      <c r="RKM1005" s="104"/>
      <c r="RKN1005" s="103"/>
      <c r="RKZ1005" s="104"/>
      <c r="RLA1005" s="103"/>
      <c r="RLM1005" s="104"/>
      <c r="RLN1005" s="103"/>
      <c r="RLZ1005" s="104"/>
      <c r="RMA1005" s="103"/>
      <c r="RMM1005" s="104"/>
      <c r="RMN1005" s="103"/>
      <c r="RMZ1005" s="104"/>
      <c r="RNA1005" s="103"/>
      <c r="RNM1005" s="104"/>
      <c r="RNN1005" s="103"/>
      <c r="RNZ1005" s="104"/>
      <c r="ROA1005" s="103"/>
      <c r="ROM1005" s="104"/>
      <c r="RON1005" s="103"/>
      <c r="ROZ1005" s="104"/>
      <c r="RPA1005" s="103"/>
      <c r="RPM1005" s="104"/>
      <c r="RPN1005" s="103"/>
      <c r="RPZ1005" s="104"/>
      <c r="RQA1005" s="103"/>
      <c r="RQM1005" s="104"/>
      <c r="RQN1005" s="103"/>
      <c r="RQZ1005" s="104"/>
      <c r="RRA1005" s="103"/>
      <c r="RRM1005" s="104"/>
      <c r="RRN1005" s="103"/>
      <c r="RRZ1005" s="104"/>
      <c r="RSA1005" s="103"/>
      <c r="RSM1005" s="104"/>
      <c r="RSN1005" s="103"/>
      <c r="RSZ1005" s="104"/>
      <c r="RTA1005" s="103"/>
      <c r="RTM1005" s="104"/>
      <c r="RTN1005" s="103"/>
      <c r="RTZ1005" s="104"/>
      <c r="RUA1005" s="103"/>
      <c r="RUM1005" s="104"/>
      <c r="RUN1005" s="103"/>
      <c r="RUZ1005" s="104"/>
      <c r="RVA1005" s="103"/>
      <c r="RVM1005" s="104"/>
      <c r="RVN1005" s="103"/>
      <c r="RVZ1005" s="104"/>
      <c r="RWA1005" s="103"/>
      <c r="RWM1005" s="104"/>
      <c r="RWN1005" s="103"/>
      <c r="RWZ1005" s="104"/>
      <c r="RXA1005" s="103"/>
      <c r="RXM1005" s="104"/>
      <c r="RXN1005" s="103"/>
      <c r="RXZ1005" s="104"/>
      <c r="RYA1005" s="103"/>
      <c r="RYM1005" s="104"/>
      <c r="RYN1005" s="103"/>
      <c r="RYZ1005" s="104"/>
      <c r="RZA1005" s="103"/>
      <c r="RZM1005" s="104"/>
      <c r="RZN1005" s="103"/>
      <c r="RZZ1005" s="104"/>
      <c r="SAA1005" s="103"/>
      <c r="SAM1005" s="104"/>
      <c r="SAN1005" s="103"/>
      <c r="SAZ1005" s="104"/>
      <c r="SBA1005" s="103"/>
      <c r="SBM1005" s="104"/>
      <c r="SBN1005" s="103"/>
      <c r="SBZ1005" s="104"/>
      <c r="SCA1005" s="103"/>
      <c r="SCM1005" s="104"/>
      <c r="SCN1005" s="103"/>
      <c r="SCZ1005" s="104"/>
      <c r="SDA1005" s="103"/>
      <c r="SDM1005" s="104"/>
      <c r="SDN1005" s="103"/>
      <c r="SDZ1005" s="104"/>
      <c r="SEA1005" s="103"/>
      <c r="SEM1005" s="104"/>
      <c r="SEN1005" s="103"/>
      <c r="SEZ1005" s="104"/>
      <c r="SFA1005" s="103"/>
      <c r="SFM1005" s="104"/>
      <c r="SFN1005" s="103"/>
      <c r="SFZ1005" s="104"/>
      <c r="SGA1005" s="103"/>
      <c r="SGM1005" s="104"/>
      <c r="SGN1005" s="103"/>
      <c r="SGZ1005" s="104"/>
      <c r="SHA1005" s="103"/>
      <c r="SHM1005" s="104"/>
      <c r="SHN1005" s="103"/>
      <c r="SHZ1005" s="104"/>
      <c r="SIA1005" s="103"/>
      <c r="SIM1005" s="104"/>
      <c r="SIN1005" s="103"/>
      <c r="SIZ1005" s="104"/>
      <c r="SJA1005" s="103"/>
      <c r="SJM1005" s="104"/>
      <c r="SJN1005" s="103"/>
      <c r="SJZ1005" s="104"/>
      <c r="SKA1005" s="103"/>
      <c r="SKM1005" s="104"/>
      <c r="SKN1005" s="103"/>
      <c r="SKZ1005" s="104"/>
      <c r="SLA1005" s="103"/>
      <c r="SLM1005" s="104"/>
      <c r="SLN1005" s="103"/>
      <c r="SLZ1005" s="104"/>
      <c r="SMA1005" s="103"/>
      <c r="SMM1005" s="104"/>
      <c r="SMN1005" s="103"/>
      <c r="SMZ1005" s="104"/>
      <c r="SNA1005" s="103"/>
      <c r="SNM1005" s="104"/>
      <c r="SNN1005" s="103"/>
      <c r="SNZ1005" s="104"/>
      <c r="SOA1005" s="103"/>
      <c r="SOM1005" s="104"/>
      <c r="SON1005" s="103"/>
      <c r="SOZ1005" s="104"/>
      <c r="SPA1005" s="103"/>
      <c r="SPM1005" s="104"/>
      <c r="SPN1005" s="103"/>
      <c r="SPZ1005" s="104"/>
      <c r="SQA1005" s="103"/>
      <c r="SQM1005" s="104"/>
      <c r="SQN1005" s="103"/>
      <c r="SQZ1005" s="104"/>
      <c r="SRA1005" s="103"/>
      <c r="SRM1005" s="104"/>
      <c r="SRN1005" s="103"/>
      <c r="SRZ1005" s="104"/>
      <c r="SSA1005" s="103"/>
      <c r="SSM1005" s="104"/>
      <c r="SSN1005" s="103"/>
      <c r="SSZ1005" s="104"/>
      <c r="STA1005" s="103"/>
      <c r="STM1005" s="104"/>
      <c r="STN1005" s="103"/>
      <c r="STZ1005" s="104"/>
      <c r="SUA1005" s="103"/>
      <c r="SUM1005" s="104"/>
      <c r="SUN1005" s="103"/>
      <c r="SUZ1005" s="104"/>
      <c r="SVA1005" s="103"/>
      <c r="SVM1005" s="104"/>
      <c r="SVN1005" s="103"/>
      <c r="SVZ1005" s="104"/>
      <c r="SWA1005" s="103"/>
      <c r="SWM1005" s="104"/>
      <c r="SWN1005" s="103"/>
      <c r="SWZ1005" s="104"/>
      <c r="SXA1005" s="103"/>
      <c r="SXM1005" s="104"/>
      <c r="SXN1005" s="103"/>
      <c r="SXZ1005" s="104"/>
      <c r="SYA1005" s="103"/>
      <c r="SYM1005" s="104"/>
      <c r="SYN1005" s="103"/>
      <c r="SYZ1005" s="104"/>
      <c r="SZA1005" s="103"/>
      <c r="SZM1005" s="104"/>
      <c r="SZN1005" s="103"/>
      <c r="SZZ1005" s="104"/>
      <c r="TAA1005" s="103"/>
      <c r="TAM1005" s="104"/>
      <c r="TAN1005" s="103"/>
      <c r="TAZ1005" s="104"/>
      <c r="TBA1005" s="103"/>
      <c r="TBM1005" s="104"/>
      <c r="TBN1005" s="103"/>
      <c r="TBZ1005" s="104"/>
      <c r="TCA1005" s="103"/>
      <c r="TCM1005" s="104"/>
      <c r="TCN1005" s="103"/>
      <c r="TCZ1005" s="104"/>
      <c r="TDA1005" s="103"/>
      <c r="TDM1005" s="104"/>
      <c r="TDN1005" s="103"/>
      <c r="TDZ1005" s="104"/>
      <c r="TEA1005" s="103"/>
      <c r="TEM1005" s="104"/>
      <c r="TEN1005" s="103"/>
      <c r="TEZ1005" s="104"/>
      <c r="TFA1005" s="103"/>
      <c r="TFM1005" s="104"/>
      <c r="TFN1005" s="103"/>
      <c r="TFZ1005" s="104"/>
      <c r="TGA1005" s="103"/>
      <c r="TGM1005" s="104"/>
      <c r="TGN1005" s="103"/>
      <c r="TGZ1005" s="104"/>
      <c r="THA1005" s="103"/>
      <c r="THM1005" s="104"/>
      <c r="THN1005" s="103"/>
      <c r="THZ1005" s="104"/>
      <c r="TIA1005" s="103"/>
      <c r="TIM1005" s="104"/>
      <c r="TIN1005" s="103"/>
      <c r="TIZ1005" s="104"/>
      <c r="TJA1005" s="103"/>
      <c r="TJM1005" s="104"/>
      <c r="TJN1005" s="103"/>
      <c r="TJZ1005" s="104"/>
      <c r="TKA1005" s="103"/>
      <c r="TKM1005" s="104"/>
      <c r="TKN1005" s="103"/>
      <c r="TKZ1005" s="104"/>
      <c r="TLA1005" s="103"/>
      <c r="TLM1005" s="104"/>
      <c r="TLN1005" s="103"/>
      <c r="TLZ1005" s="104"/>
      <c r="TMA1005" s="103"/>
      <c r="TMM1005" s="104"/>
      <c r="TMN1005" s="103"/>
      <c r="TMZ1005" s="104"/>
      <c r="TNA1005" s="103"/>
      <c r="TNM1005" s="104"/>
      <c r="TNN1005" s="103"/>
      <c r="TNZ1005" s="104"/>
      <c r="TOA1005" s="103"/>
      <c r="TOM1005" s="104"/>
      <c r="TON1005" s="103"/>
      <c r="TOZ1005" s="104"/>
      <c r="TPA1005" s="103"/>
      <c r="TPM1005" s="104"/>
      <c r="TPN1005" s="103"/>
      <c r="TPZ1005" s="104"/>
      <c r="TQA1005" s="103"/>
      <c r="TQM1005" s="104"/>
      <c r="TQN1005" s="103"/>
      <c r="TQZ1005" s="104"/>
      <c r="TRA1005" s="103"/>
      <c r="TRM1005" s="104"/>
      <c r="TRN1005" s="103"/>
      <c r="TRZ1005" s="104"/>
      <c r="TSA1005" s="103"/>
      <c r="TSM1005" s="104"/>
      <c r="TSN1005" s="103"/>
      <c r="TSZ1005" s="104"/>
      <c r="TTA1005" s="103"/>
      <c r="TTM1005" s="104"/>
      <c r="TTN1005" s="103"/>
      <c r="TTZ1005" s="104"/>
      <c r="TUA1005" s="103"/>
      <c r="TUM1005" s="104"/>
      <c r="TUN1005" s="103"/>
      <c r="TUZ1005" s="104"/>
      <c r="TVA1005" s="103"/>
      <c r="TVM1005" s="104"/>
      <c r="TVN1005" s="103"/>
      <c r="TVZ1005" s="104"/>
      <c r="TWA1005" s="103"/>
      <c r="TWM1005" s="104"/>
      <c r="TWN1005" s="103"/>
      <c r="TWZ1005" s="104"/>
      <c r="TXA1005" s="103"/>
      <c r="TXM1005" s="104"/>
      <c r="TXN1005" s="103"/>
      <c r="TXZ1005" s="104"/>
      <c r="TYA1005" s="103"/>
      <c r="TYM1005" s="104"/>
      <c r="TYN1005" s="103"/>
      <c r="TYZ1005" s="104"/>
      <c r="TZA1005" s="103"/>
      <c r="TZM1005" s="104"/>
      <c r="TZN1005" s="103"/>
      <c r="TZZ1005" s="104"/>
      <c r="UAA1005" s="103"/>
      <c r="UAM1005" s="104"/>
      <c r="UAN1005" s="103"/>
      <c r="UAZ1005" s="104"/>
      <c r="UBA1005" s="103"/>
      <c r="UBM1005" s="104"/>
      <c r="UBN1005" s="103"/>
      <c r="UBZ1005" s="104"/>
      <c r="UCA1005" s="103"/>
      <c r="UCM1005" s="104"/>
      <c r="UCN1005" s="103"/>
      <c r="UCZ1005" s="104"/>
      <c r="UDA1005" s="103"/>
      <c r="UDM1005" s="104"/>
      <c r="UDN1005" s="103"/>
      <c r="UDZ1005" s="104"/>
      <c r="UEA1005" s="103"/>
      <c r="UEM1005" s="104"/>
      <c r="UEN1005" s="103"/>
      <c r="UEZ1005" s="104"/>
      <c r="UFA1005" s="103"/>
      <c r="UFM1005" s="104"/>
      <c r="UFN1005" s="103"/>
      <c r="UFZ1005" s="104"/>
      <c r="UGA1005" s="103"/>
      <c r="UGM1005" s="104"/>
      <c r="UGN1005" s="103"/>
      <c r="UGZ1005" s="104"/>
      <c r="UHA1005" s="103"/>
      <c r="UHM1005" s="104"/>
      <c r="UHN1005" s="103"/>
      <c r="UHZ1005" s="104"/>
      <c r="UIA1005" s="103"/>
      <c r="UIM1005" s="104"/>
      <c r="UIN1005" s="103"/>
      <c r="UIZ1005" s="104"/>
      <c r="UJA1005" s="103"/>
      <c r="UJM1005" s="104"/>
      <c r="UJN1005" s="103"/>
      <c r="UJZ1005" s="104"/>
      <c r="UKA1005" s="103"/>
      <c r="UKM1005" s="104"/>
      <c r="UKN1005" s="103"/>
      <c r="UKZ1005" s="104"/>
      <c r="ULA1005" s="103"/>
      <c r="ULM1005" s="104"/>
      <c r="ULN1005" s="103"/>
      <c r="ULZ1005" s="104"/>
      <c r="UMA1005" s="103"/>
      <c r="UMM1005" s="104"/>
      <c r="UMN1005" s="103"/>
      <c r="UMZ1005" s="104"/>
      <c r="UNA1005" s="103"/>
      <c r="UNM1005" s="104"/>
      <c r="UNN1005" s="103"/>
      <c r="UNZ1005" s="104"/>
      <c r="UOA1005" s="103"/>
      <c r="UOM1005" s="104"/>
      <c r="UON1005" s="103"/>
      <c r="UOZ1005" s="104"/>
      <c r="UPA1005" s="103"/>
      <c r="UPM1005" s="104"/>
      <c r="UPN1005" s="103"/>
      <c r="UPZ1005" s="104"/>
      <c r="UQA1005" s="103"/>
      <c r="UQM1005" s="104"/>
      <c r="UQN1005" s="103"/>
      <c r="UQZ1005" s="104"/>
      <c r="URA1005" s="103"/>
      <c r="URM1005" s="104"/>
      <c r="URN1005" s="103"/>
      <c r="URZ1005" s="104"/>
      <c r="USA1005" s="103"/>
      <c r="USM1005" s="104"/>
      <c r="USN1005" s="103"/>
      <c r="USZ1005" s="104"/>
      <c r="UTA1005" s="103"/>
      <c r="UTM1005" s="104"/>
      <c r="UTN1005" s="103"/>
      <c r="UTZ1005" s="104"/>
      <c r="UUA1005" s="103"/>
      <c r="UUM1005" s="104"/>
      <c r="UUN1005" s="103"/>
      <c r="UUZ1005" s="104"/>
      <c r="UVA1005" s="103"/>
      <c r="UVM1005" s="104"/>
      <c r="UVN1005" s="103"/>
      <c r="UVZ1005" s="104"/>
      <c r="UWA1005" s="103"/>
      <c r="UWM1005" s="104"/>
      <c r="UWN1005" s="103"/>
      <c r="UWZ1005" s="104"/>
      <c r="UXA1005" s="103"/>
      <c r="UXM1005" s="104"/>
      <c r="UXN1005" s="103"/>
      <c r="UXZ1005" s="104"/>
      <c r="UYA1005" s="103"/>
      <c r="UYM1005" s="104"/>
      <c r="UYN1005" s="103"/>
      <c r="UYZ1005" s="104"/>
      <c r="UZA1005" s="103"/>
      <c r="UZM1005" s="104"/>
      <c r="UZN1005" s="103"/>
      <c r="UZZ1005" s="104"/>
      <c r="VAA1005" s="103"/>
      <c r="VAM1005" s="104"/>
      <c r="VAN1005" s="103"/>
      <c r="VAZ1005" s="104"/>
      <c r="VBA1005" s="103"/>
      <c r="VBM1005" s="104"/>
      <c r="VBN1005" s="103"/>
      <c r="VBZ1005" s="104"/>
      <c r="VCA1005" s="103"/>
      <c r="VCM1005" s="104"/>
      <c r="VCN1005" s="103"/>
      <c r="VCZ1005" s="104"/>
      <c r="VDA1005" s="103"/>
      <c r="VDM1005" s="104"/>
      <c r="VDN1005" s="103"/>
      <c r="VDZ1005" s="104"/>
      <c r="VEA1005" s="103"/>
      <c r="VEM1005" s="104"/>
      <c r="VEN1005" s="103"/>
      <c r="VEZ1005" s="104"/>
      <c r="VFA1005" s="103"/>
      <c r="VFM1005" s="104"/>
      <c r="VFN1005" s="103"/>
      <c r="VFZ1005" s="104"/>
      <c r="VGA1005" s="103"/>
      <c r="VGM1005" s="104"/>
      <c r="VGN1005" s="103"/>
      <c r="VGZ1005" s="104"/>
      <c r="VHA1005" s="103"/>
      <c r="VHM1005" s="104"/>
      <c r="VHN1005" s="103"/>
      <c r="VHZ1005" s="104"/>
      <c r="VIA1005" s="103"/>
      <c r="VIM1005" s="104"/>
      <c r="VIN1005" s="103"/>
      <c r="VIZ1005" s="104"/>
      <c r="VJA1005" s="103"/>
      <c r="VJM1005" s="104"/>
      <c r="VJN1005" s="103"/>
      <c r="VJZ1005" s="104"/>
      <c r="VKA1005" s="103"/>
      <c r="VKM1005" s="104"/>
      <c r="VKN1005" s="103"/>
      <c r="VKZ1005" s="104"/>
      <c r="VLA1005" s="103"/>
      <c r="VLM1005" s="104"/>
      <c r="VLN1005" s="103"/>
      <c r="VLZ1005" s="104"/>
      <c r="VMA1005" s="103"/>
      <c r="VMM1005" s="104"/>
      <c r="VMN1005" s="103"/>
      <c r="VMZ1005" s="104"/>
      <c r="VNA1005" s="103"/>
      <c r="VNM1005" s="104"/>
      <c r="VNN1005" s="103"/>
      <c r="VNZ1005" s="104"/>
      <c r="VOA1005" s="103"/>
      <c r="VOM1005" s="104"/>
      <c r="VON1005" s="103"/>
      <c r="VOZ1005" s="104"/>
      <c r="VPA1005" s="103"/>
      <c r="VPM1005" s="104"/>
      <c r="VPN1005" s="103"/>
      <c r="VPZ1005" s="104"/>
      <c r="VQA1005" s="103"/>
      <c r="VQM1005" s="104"/>
      <c r="VQN1005" s="103"/>
      <c r="VQZ1005" s="104"/>
      <c r="VRA1005" s="103"/>
      <c r="VRM1005" s="104"/>
      <c r="VRN1005" s="103"/>
      <c r="VRZ1005" s="104"/>
      <c r="VSA1005" s="103"/>
      <c r="VSM1005" s="104"/>
      <c r="VSN1005" s="103"/>
      <c r="VSZ1005" s="104"/>
      <c r="VTA1005" s="103"/>
      <c r="VTM1005" s="104"/>
      <c r="VTN1005" s="103"/>
      <c r="VTZ1005" s="104"/>
      <c r="VUA1005" s="103"/>
      <c r="VUM1005" s="104"/>
      <c r="VUN1005" s="103"/>
      <c r="VUZ1005" s="104"/>
      <c r="VVA1005" s="103"/>
      <c r="VVM1005" s="104"/>
      <c r="VVN1005" s="103"/>
      <c r="VVZ1005" s="104"/>
      <c r="VWA1005" s="103"/>
      <c r="VWM1005" s="104"/>
      <c r="VWN1005" s="103"/>
      <c r="VWZ1005" s="104"/>
      <c r="VXA1005" s="103"/>
      <c r="VXM1005" s="104"/>
      <c r="VXN1005" s="103"/>
      <c r="VXZ1005" s="104"/>
      <c r="VYA1005" s="103"/>
      <c r="VYM1005" s="104"/>
      <c r="VYN1005" s="103"/>
      <c r="VYZ1005" s="104"/>
      <c r="VZA1005" s="103"/>
      <c r="VZM1005" s="104"/>
      <c r="VZN1005" s="103"/>
      <c r="VZZ1005" s="104"/>
      <c r="WAA1005" s="103"/>
      <c r="WAM1005" s="104"/>
      <c r="WAN1005" s="103"/>
      <c r="WAZ1005" s="104"/>
      <c r="WBA1005" s="103"/>
      <c r="WBM1005" s="104"/>
      <c r="WBN1005" s="103"/>
      <c r="WBZ1005" s="104"/>
      <c r="WCA1005" s="103"/>
      <c r="WCM1005" s="104"/>
      <c r="WCN1005" s="103"/>
      <c r="WCZ1005" s="104"/>
      <c r="WDA1005" s="103"/>
      <c r="WDM1005" s="104"/>
      <c r="WDN1005" s="103"/>
      <c r="WDZ1005" s="104"/>
      <c r="WEA1005" s="103"/>
      <c r="WEM1005" s="104"/>
      <c r="WEN1005" s="103"/>
      <c r="WEZ1005" s="104"/>
      <c r="WFA1005" s="103"/>
      <c r="WFM1005" s="104"/>
      <c r="WFN1005" s="103"/>
      <c r="WFZ1005" s="104"/>
      <c r="WGA1005" s="103"/>
      <c r="WGM1005" s="104"/>
      <c r="WGN1005" s="103"/>
      <c r="WGZ1005" s="104"/>
      <c r="WHA1005" s="103"/>
      <c r="WHM1005" s="104"/>
      <c r="WHN1005" s="103"/>
      <c r="WHZ1005" s="104"/>
      <c r="WIA1005" s="103"/>
      <c r="WIM1005" s="104"/>
      <c r="WIN1005" s="103"/>
      <c r="WIZ1005" s="104"/>
      <c r="WJA1005" s="103"/>
      <c r="WJM1005" s="104"/>
      <c r="WJN1005" s="103"/>
      <c r="WJZ1005" s="104"/>
      <c r="WKA1005" s="103"/>
      <c r="WKM1005" s="104"/>
      <c r="WKN1005" s="103"/>
      <c r="WKZ1005" s="104"/>
      <c r="WLA1005" s="103"/>
      <c r="WLM1005" s="104"/>
      <c r="WLN1005" s="103"/>
      <c r="WLZ1005" s="104"/>
      <c r="WMA1005" s="103"/>
      <c r="WMM1005" s="104"/>
      <c r="WMN1005" s="103"/>
      <c r="WMZ1005" s="104"/>
      <c r="WNA1005" s="103"/>
      <c r="WNM1005" s="104"/>
      <c r="WNN1005" s="103"/>
      <c r="WNZ1005" s="104"/>
      <c r="WOA1005" s="103"/>
      <c r="WOM1005" s="104"/>
      <c r="WON1005" s="103"/>
      <c r="WOZ1005" s="104"/>
      <c r="WPA1005" s="103"/>
      <c r="WPM1005" s="104"/>
      <c r="WPN1005" s="103"/>
      <c r="WPZ1005" s="104"/>
      <c r="WQA1005" s="103"/>
      <c r="WQM1005" s="104"/>
      <c r="WQN1005" s="103"/>
      <c r="WQZ1005" s="104"/>
      <c r="WRA1005" s="103"/>
      <c r="WRM1005" s="104"/>
      <c r="WRN1005" s="103"/>
      <c r="WRZ1005" s="104"/>
      <c r="WSA1005" s="103"/>
      <c r="WSM1005" s="104"/>
      <c r="WSN1005" s="103"/>
      <c r="WSZ1005" s="104"/>
      <c r="WTA1005" s="103"/>
      <c r="WTM1005" s="104"/>
      <c r="WTN1005" s="103"/>
      <c r="WTZ1005" s="104"/>
      <c r="WUA1005" s="103"/>
      <c r="WUM1005" s="104"/>
      <c r="WUN1005" s="103"/>
      <c r="WUZ1005" s="104"/>
      <c r="WVA1005" s="103"/>
      <c r="WVM1005" s="104"/>
      <c r="WVN1005" s="103"/>
      <c r="WVZ1005" s="104"/>
      <c r="WWA1005" s="103"/>
      <c r="WWM1005" s="104"/>
      <c r="WWN1005" s="103"/>
      <c r="WWZ1005" s="104"/>
      <c r="WXA1005" s="103"/>
      <c r="WXM1005" s="104"/>
      <c r="WXN1005" s="103"/>
      <c r="WXZ1005" s="104"/>
      <c r="WYA1005" s="103"/>
      <c r="WYM1005" s="104"/>
      <c r="WYN1005" s="103"/>
      <c r="WYZ1005" s="104"/>
      <c r="WZA1005" s="103"/>
      <c r="WZM1005" s="104"/>
      <c r="WZN1005" s="103"/>
      <c r="WZZ1005" s="104"/>
      <c r="XAA1005" s="103"/>
      <c r="XAM1005" s="104"/>
      <c r="XAN1005" s="103"/>
      <c r="XAZ1005" s="104"/>
      <c r="XBA1005" s="103"/>
      <c r="XBM1005" s="104"/>
      <c r="XBN1005" s="103"/>
      <c r="XBZ1005" s="104"/>
      <c r="XCA1005" s="103"/>
      <c r="XCM1005" s="104"/>
      <c r="XCN1005" s="103"/>
      <c r="XCZ1005" s="104"/>
      <c r="XDA1005" s="103"/>
      <c r="XDM1005" s="104"/>
      <c r="XDN1005" s="103"/>
      <c r="XDZ1005" s="104"/>
      <c r="XEA1005" s="103"/>
      <c r="XEM1005" s="104"/>
      <c r="XEN1005" s="103"/>
      <c r="XEZ1005" s="104"/>
      <c r="XFA1005" s="103"/>
    </row>
    <row r="1006" spans="1:1015 1027:2042 2054:3069 3081:4096 4108:5110 5122:6137 6149:7164 7176:8191 8203:9205 9217:10232 10244:11259 11271:12286 12298:14327 14339:15354 15366:16381">
      <c r="B1006" s="116" t="s">
        <v>90</v>
      </c>
      <c r="C1006" s="112">
        <v>32370</v>
      </c>
      <c r="D1006" s="113">
        <f>C1006*$N$1000</f>
        <v>588.86665453883938</v>
      </c>
      <c r="E1006" s="114"/>
      <c r="F1006" s="114"/>
      <c r="AM1006" s="104"/>
      <c r="AN1006" s="103"/>
      <c r="AZ1006" s="104"/>
      <c r="BA1006" s="103"/>
      <c r="BM1006" s="104"/>
      <c r="BN1006" s="103"/>
      <c r="BZ1006" s="104"/>
      <c r="CA1006" s="103"/>
      <c r="CM1006" s="104"/>
      <c r="CN1006" s="103"/>
      <c r="CZ1006" s="104"/>
      <c r="DA1006" s="103"/>
      <c r="DM1006" s="104"/>
      <c r="DN1006" s="103"/>
      <c r="DZ1006" s="104"/>
      <c r="EA1006" s="103"/>
      <c r="EM1006" s="104"/>
      <c r="EN1006" s="103"/>
      <c r="EZ1006" s="104"/>
      <c r="FA1006" s="103"/>
      <c r="FM1006" s="104"/>
      <c r="FN1006" s="103"/>
      <c r="FZ1006" s="104"/>
      <c r="GA1006" s="103"/>
      <c r="GM1006" s="104"/>
      <c r="GN1006" s="103"/>
      <c r="GZ1006" s="104"/>
      <c r="HA1006" s="103"/>
      <c r="HM1006" s="104"/>
      <c r="HN1006" s="103"/>
      <c r="HZ1006" s="104"/>
      <c r="IA1006" s="103"/>
      <c r="IM1006" s="104"/>
      <c r="IN1006" s="103"/>
      <c r="IZ1006" s="104"/>
      <c r="JA1006" s="103"/>
      <c r="JM1006" s="104"/>
      <c r="JN1006" s="103"/>
      <c r="JZ1006" s="104"/>
      <c r="KA1006" s="103"/>
      <c r="KM1006" s="104"/>
      <c r="KN1006" s="103"/>
      <c r="KZ1006" s="104"/>
      <c r="LA1006" s="103"/>
      <c r="LM1006" s="104"/>
      <c r="LN1006" s="103"/>
      <c r="LZ1006" s="104"/>
      <c r="MA1006" s="103"/>
      <c r="MM1006" s="104"/>
      <c r="MN1006" s="103"/>
      <c r="MZ1006" s="104"/>
      <c r="NA1006" s="103"/>
      <c r="NM1006" s="104"/>
      <c r="NN1006" s="103"/>
      <c r="NZ1006" s="104"/>
      <c r="OA1006" s="103"/>
      <c r="OM1006" s="104"/>
      <c r="ON1006" s="103"/>
      <c r="OZ1006" s="104"/>
      <c r="PA1006" s="103"/>
      <c r="PM1006" s="104"/>
      <c r="PN1006" s="103"/>
      <c r="PZ1006" s="104"/>
      <c r="QA1006" s="103"/>
      <c r="QM1006" s="104"/>
      <c r="QN1006" s="103"/>
      <c r="QZ1006" s="104"/>
      <c r="RA1006" s="103"/>
      <c r="RM1006" s="104"/>
      <c r="RN1006" s="103"/>
      <c r="RZ1006" s="104"/>
      <c r="SA1006" s="103"/>
      <c r="SM1006" s="104"/>
      <c r="SN1006" s="103"/>
      <c r="SZ1006" s="104"/>
      <c r="TA1006" s="103"/>
      <c r="TM1006" s="104"/>
      <c r="TN1006" s="103"/>
      <c r="TZ1006" s="104"/>
      <c r="UA1006" s="103"/>
      <c r="UM1006" s="104"/>
      <c r="UN1006" s="103"/>
      <c r="UZ1006" s="104"/>
      <c r="VA1006" s="103"/>
      <c r="VM1006" s="104"/>
      <c r="VN1006" s="103"/>
      <c r="VZ1006" s="104"/>
      <c r="WA1006" s="103"/>
      <c r="WM1006" s="104"/>
      <c r="WN1006" s="103"/>
      <c r="WZ1006" s="104"/>
      <c r="XA1006" s="103"/>
      <c r="XM1006" s="104"/>
      <c r="XN1006" s="103"/>
      <c r="XZ1006" s="104"/>
      <c r="YA1006" s="103"/>
      <c r="YM1006" s="104"/>
      <c r="YN1006" s="103"/>
      <c r="YZ1006" s="104"/>
      <c r="ZA1006" s="103"/>
      <c r="ZM1006" s="104"/>
      <c r="ZN1006" s="103"/>
      <c r="ZZ1006" s="104"/>
      <c r="AAA1006" s="103"/>
      <c r="AAM1006" s="104"/>
      <c r="AAN1006" s="103"/>
      <c r="AAZ1006" s="104"/>
      <c r="ABA1006" s="103"/>
      <c r="ABM1006" s="104"/>
      <c r="ABN1006" s="103"/>
      <c r="ABZ1006" s="104"/>
      <c r="ACA1006" s="103"/>
      <c r="ACM1006" s="104"/>
      <c r="ACN1006" s="103"/>
      <c r="ACZ1006" s="104"/>
      <c r="ADA1006" s="103"/>
      <c r="ADM1006" s="104"/>
      <c r="ADN1006" s="103"/>
      <c r="ADZ1006" s="104"/>
      <c r="AEA1006" s="103"/>
      <c r="AEM1006" s="104"/>
      <c r="AEN1006" s="103"/>
      <c r="AEZ1006" s="104"/>
      <c r="AFA1006" s="103"/>
      <c r="AFM1006" s="104"/>
      <c r="AFN1006" s="103"/>
      <c r="AFZ1006" s="104"/>
      <c r="AGA1006" s="103"/>
      <c r="AGM1006" s="104"/>
      <c r="AGN1006" s="103"/>
      <c r="AGZ1006" s="104"/>
      <c r="AHA1006" s="103"/>
      <c r="AHM1006" s="104"/>
      <c r="AHN1006" s="103"/>
      <c r="AHZ1006" s="104"/>
      <c r="AIA1006" s="103"/>
      <c r="AIM1006" s="104"/>
      <c r="AIN1006" s="103"/>
      <c r="AIZ1006" s="104"/>
      <c r="AJA1006" s="103"/>
      <c r="AJM1006" s="104"/>
      <c r="AJN1006" s="103"/>
      <c r="AJZ1006" s="104"/>
      <c r="AKA1006" s="103"/>
      <c r="AKM1006" s="104"/>
      <c r="AKN1006" s="103"/>
      <c r="AKZ1006" s="104"/>
      <c r="ALA1006" s="103"/>
      <c r="ALM1006" s="104"/>
      <c r="ALN1006" s="103"/>
      <c r="ALZ1006" s="104"/>
      <c r="AMA1006" s="103"/>
      <c r="AMM1006" s="104"/>
      <c r="AMN1006" s="103"/>
      <c r="AMZ1006" s="104"/>
      <c r="ANA1006" s="103"/>
      <c r="ANM1006" s="104"/>
      <c r="ANN1006" s="103"/>
      <c r="ANZ1006" s="104"/>
      <c r="AOA1006" s="103"/>
      <c r="AOM1006" s="104"/>
      <c r="AON1006" s="103"/>
      <c r="AOZ1006" s="104"/>
      <c r="APA1006" s="103"/>
      <c r="APM1006" s="104"/>
      <c r="APN1006" s="103"/>
      <c r="APZ1006" s="104"/>
      <c r="AQA1006" s="103"/>
      <c r="AQM1006" s="104"/>
      <c r="AQN1006" s="103"/>
      <c r="AQZ1006" s="104"/>
      <c r="ARA1006" s="103"/>
      <c r="ARM1006" s="104"/>
      <c r="ARN1006" s="103"/>
      <c r="ARZ1006" s="104"/>
      <c r="ASA1006" s="103"/>
      <c r="ASM1006" s="104"/>
      <c r="ASN1006" s="103"/>
      <c r="ASZ1006" s="104"/>
      <c r="ATA1006" s="103"/>
      <c r="ATM1006" s="104"/>
      <c r="ATN1006" s="103"/>
      <c r="ATZ1006" s="104"/>
      <c r="AUA1006" s="103"/>
      <c r="AUM1006" s="104"/>
      <c r="AUN1006" s="103"/>
      <c r="AUZ1006" s="104"/>
      <c r="AVA1006" s="103"/>
      <c r="AVM1006" s="104"/>
      <c r="AVN1006" s="103"/>
      <c r="AVZ1006" s="104"/>
      <c r="AWA1006" s="103"/>
      <c r="AWM1006" s="104"/>
      <c r="AWN1006" s="103"/>
      <c r="AWZ1006" s="104"/>
      <c r="AXA1006" s="103"/>
      <c r="AXM1006" s="104"/>
      <c r="AXN1006" s="103"/>
      <c r="AXZ1006" s="104"/>
      <c r="AYA1006" s="103"/>
      <c r="AYM1006" s="104"/>
      <c r="AYN1006" s="103"/>
      <c r="AYZ1006" s="104"/>
      <c r="AZA1006" s="103"/>
      <c r="AZM1006" s="104"/>
      <c r="AZN1006" s="103"/>
      <c r="AZZ1006" s="104"/>
      <c r="BAA1006" s="103"/>
      <c r="BAM1006" s="104"/>
      <c r="BAN1006" s="103"/>
      <c r="BAZ1006" s="104"/>
      <c r="BBA1006" s="103"/>
      <c r="BBM1006" s="104"/>
      <c r="BBN1006" s="103"/>
      <c r="BBZ1006" s="104"/>
      <c r="BCA1006" s="103"/>
      <c r="BCM1006" s="104"/>
      <c r="BCN1006" s="103"/>
      <c r="BCZ1006" s="104"/>
      <c r="BDA1006" s="103"/>
      <c r="BDM1006" s="104"/>
      <c r="BDN1006" s="103"/>
      <c r="BDZ1006" s="104"/>
      <c r="BEA1006" s="103"/>
      <c r="BEM1006" s="104"/>
      <c r="BEN1006" s="103"/>
      <c r="BEZ1006" s="104"/>
      <c r="BFA1006" s="103"/>
      <c r="BFM1006" s="104"/>
      <c r="BFN1006" s="103"/>
      <c r="BFZ1006" s="104"/>
      <c r="BGA1006" s="103"/>
      <c r="BGM1006" s="104"/>
      <c r="BGN1006" s="103"/>
      <c r="BGZ1006" s="104"/>
      <c r="BHA1006" s="103"/>
      <c r="BHM1006" s="104"/>
      <c r="BHN1006" s="103"/>
      <c r="BHZ1006" s="104"/>
      <c r="BIA1006" s="103"/>
      <c r="BIM1006" s="104"/>
      <c r="BIN1006" s="103"/>
      <c r="BIZ1006" s="104"/>
      <c r="BJA1006" s="103"/>
      <c r="BJM1006" s="104"/>
      <c r="BJN1006" s="103"/>
      <c r="BJZ1006" s="104"/>
      <c r="BKA1006" s="103"/>
      <c r="BKM1006" s="104"/>
      <c r="BKN1006" s="103"/>
      <c r="BKZ1006" s="104"/>
      <c r="BLA1006" s="103"/>
      <c r="BLM1006" s="104"/>
      <c r="BLN1006" s="103"/>
      <c r="BLZ1006" s="104"/>
      <c r="BMA1006" s="103"/>
      <c r="BMM1006" s="104"/>
      <c r="BMN1006" s="103"/>
      <c r="BMZ1006" s="104"/>
      <c r="BNA1006" s="103"/>
      <c r="BNM1006" s="104"/>
      <c r="BNN1006" s="103"/>
      <c r="BNZ1006" s="104"/>
      <c r="BOA1006" s="103"/>
      <c r="BOM1006" s="104"/>
      <c r="BON1006" s="103"/>
      <c r="BOZ1006" s="104"/>
      <c r="BPA1006" s="103"/>
      <c r="BPM1006" s="104"/>
      <c r="BPN1006" s="103"/>
      <c r="BPZ1006" s="104"/>
      <c r="BQA1006" s="103"/>
      <c r="BQM1006" s="104"/>
      <c r="BQN1006" s="103"/>
      <c r="BQZ1006" s="104"/>
      <c r="BRA1006" s="103"/>
      <c r="BRM1006" s="104"/>
      <c r="BRN1006" s="103"/>
      <c r="BRZ1006" s="104"/>
      <c r="BSA1006" s="103"/>
      <c r="BSM1006" s="104"/>
      <c r="BSN1006" s="103"/>
      <c r="BSZ1006" s="104"/>
      <c r="BTA1006" s="103"/>
      <c r="BTM1006" s="104"/>
      <c r="BTN1006" s="103"/>
      <c r="BTZ1006" s="104"/>
      <c r="BUA1006" s="103"/>
      <c r="BUM1006" s="104"/>
      <c r="BUN1006" s="103"/>
      <c r="BUZ1006" s="104"/>
      <c r="BVA1006" s="103"/>
      <c r="BVM1006" s="104"/>
      <c r="BVN1006" s="103"/>
      <c r="BVZ1006" s="104"/>
      <c r="BWA1006" s="103"/>
      <c r="BWM1006" s="104"/>
      <c r="BWN1006" s="103"/>
      <c r="BWZ1006" s="104"/>
      <c r="BXA1006" s="103"/>
      <c r="BXM1006" s="104"/>
      <c r="BXN1006" s="103"/>
      <c r="BXZ1006" s="104"/>
      <c r="BYA1006" s="103"/>
      <c r="BYM1006" s="104"/>
      <c r="BYN1006" s="103"/>
      <c r="BYZ1006" s="104"/>
      <c r="BZA1006" s="103"/>
      <c r="BZM1006" s="104"/>
      <c r="BZN1006" s="103"/>
      <c r="BZZ1006" s="104"/>
      <c r="CAA1006" s="103"/>
      <c r="CAM1006" s="104"/>
      <c r="CAN1006" s="103"/>
      <c r="CAZ1006" s="104"/>
      <c r="CBA1006" s="103"/>
      <c r="CBM1006" s="104"/>
      <c r="CBN1006" s="103"/>
      <c r="CBZ1006" s="104"/>
      <c r="CCA1006" s="103"/>
      <c r="CCM1006" s="104"/>
      <c r="CCN1006" s="103"/>
      <c r="CCZ1006" s="104"/>
      <c r="CDA1006" s="103"/>
      <c r="CDM1006" s="104"/>
      <c r="CDN1006" s="103"/>
      <c r="CDZ1006" s="104"/>
      <c r="CEA1006" s="103"/>
      <c r="CEM1006" s="104"/>
      <c r="CEN1006" s="103"/>
      <c r="CEZ1006" s="104"/>
      <c r="CFA1006" s="103"/>
      <c r="CFM1006" s="104"/>
      <c r="CFN1006" s="103"/>
      <c r="CFZ1006" s="104"/>
      <c r="CGA1006" s="103"/>
      <c r="CGM1006" s="104"/>
      <c r="CGN1006" s="103"/>
      <c r="CGZ1006" s="104"/>
      <c r="CHA1006" s="103"/>
      <c r="CHM1006" s="104"/>
      <c r="CHN1006" s="103"/>
      <c r="CHZ1006" s="104"/>
      <c r="CIA1006" s="103"/>
      <c r="CIM1006" s="104"/>
      <c r="CIN1006" s="103"/>
      <c r="CIZ1006" s="104"/>
      <c r="CJA1006" s="103"/>
      <c r="CJM1006" s="104"/>
      <c r="CJN1006" s="103"/>
      <c r="CJZ1006" s="104"/>
      <c r="CKA1006" s="103"/>
      <c r="CKM1006" s="104"/>
      <c r="CKN1006" s="103"/>
      <c r="CKZ1006" s="104"/>
      <c r="CLA1006" s="103"/>
      <c r="CLM1006" s="104"/>
      <c r="CLN1006" s="103"/>
      <c r="CLZ1006" s="104"/>
      <c r="CMA1006" s="103"/>
      <c r="CMM1006" s="104"/>
      <c r="CMN1006" s="103"/>
      <c r="CMZ1006" s="104"/>
      <c r="CNA1006" s="103"/>
      <c r="CNM1006" s="104"/>
      <c r="CNN1006" s="103"/>
      <c r="CNZ1006" s="104"/>
      <c r="COA1006" s="103"/>
      <c r="COM1006" s="104"/>
      <c r="CON1006" s="103"/>
      <c r="COZ1006" s="104"/>
      <c r="CPA1006" s="103"/>
      <c r="CPM1006" s="104"/>
      <c r="CPN1006" s="103"/>
      <c r="CPZ1006" s="104"/>
      <c r="CQA1006" s="103"/>
      <c r="CQM1006" s="104"/>
      <c r="CQN1006" s="103"/>
      <c r="CQZ1006" s="104"/>
      <c r="CRA1006" s="103"/>
      <c r="CRM1006" s="104"/>
      <c r="CRN1006" s="103"/>
      <c r="CRZ1006" s="104"/>
      <c r="CSA1006" s="103"/>
      <c r="CSM1006" s="104"/>
      <c r="CSN1006" s="103"/>
      <c r="CSZ1006" s="104"/>
      <c r="CTA1006" s="103"/>
      <c r="CTM1006" s="104"/>
      <c r="CTN1006" s="103"/>
      <c r="CTZ1006" s="104"/>
      <c r="CUA1006" s="103"/>
      <c r="CUM1006" s="104"/>
      <c r="CUN1006" s="103"/>
      <c r="CUZ1006" s="104"/>
      <c r="CVA1006" s="103"/>
      <c r="CVM1006" s="104"/>
      <c r="CVN1006" s="103"/>
      <c r="CVZ1006" s="104"/>
      <c r="CWA1006" s="103"/>
      <c r="CWM1006" s="104"/>
      <c r="CWN1006" s="103"/>
      <c r="CWZ1006" s="104"/>
      <c r="CXA1006" s="103"/>
      <c r="CXM1006" s="104"/>
      <c r="CXN1006" s="103"/>
      <c r="CXZ1006" s="104"/>
      <c r="CYA1006" s="103"/>
      <c r="CYM1006" s="104"/>
      <c r="CYN1006" s="103"/>
      <c r="CYZ1006" s="104"/>
      <c r="CZA1006" s="103"/>
      <c r="CZM1006" s="104"/>
      <c r="CZN1006" s="103"/>
      <c r="CZZ1006" s="104"/>
      <c r="DAA1006" s="103"/>
      <c r="DAM1006" s="104"/>
      <c r="DAN1006" s="103"/>
      <c r="DAZ1006" s="104"/>
      <c r="DBA1006" s="103"/>
      <c r="DBM1006" s="104"/>
      <c r="DBN1006" s="103"/>
      <c r="DBZ1006" s="104"/>
      <c r="DCA1006" s="103"/>
      <c r="DCM1006" s="104"/>
      <c r="DCN1006" s="103"/>
      <c r="DCZ1006" s="104"/>
      <c r="DDA1006" s="103"/>
      <c r="DDM1006" s="104"/>
      <c r="DDN1006" s="103"/>
      <c r="DDZ1006" s="104"/>
      <c r="DEA1006" s="103"/>
      <c r="DEM1006" s="104"/>
      <c r="DEN1006" s="103"/>
      <c r="DEZ1006" s="104"/>
      <c r="DFA1006" s="103"/>
      <c r="DFM1006" s="104"/>
      <c r="DFN1006" s="103"/>
      <c r="DFZ1006" s="104"/>
      <c r="DGA1006" s="103"/>
      <c r="DGM1006" s="104"/>
      <c r="DGN1006" s="103"/>
      <c r="DGZ1006" s="104"/>
      <c r="DHA1006" s="103"/>
      <c r="DHM1006" s="104"/>
      <c r="DHN1006" s="103"/>
      <c r="DHZ1006" s="104"/>
      <c r="DIA1006" s="103"/>
      <c r="DIM1006" s="104"/>
      <c r="DIN1006" s="103"/>
      <c r="DIZ1006" s="104"/>
      <c r="DJA1006" s="103"/>
      <c r="DJM1006" s="104"/>
      <c r="DJN1006" s="103"/>
      <c r="DJZ1006" s="104"/>
      <c r="DKA1006" s="103"/>
      <c r="DKM1006" s="104"/>
      <c r="DKN1006" s="103"/>
      <c r="DKZ1006" s="104"/>
      <c r="DLA1006" s="103"/>
      <c r="DLM1006" s="104"/>
      <c r="DLN1006" s="103"/>
      <c r="DLZ1006" s="104"/>
      <c r="DMA1006" s="103"/>
      <c r="DMM1006" s="104"/>
      <c r="DMN1006" s="103"/>
      <c r="DMZ1006" s="104"/>
      <c r="DNA1006" s="103"/>
      <c r="DNM1006" s="104"/>
      <c r="DNN1006" s="103"/>
      <c r="DNZ1006" s="104"/>
      <c r="DOA1006" s="103"/>
      <c r="DOM1006" s="104"/>
      <c r="DON1006" s="103"/>
      <c r="DOZ1006" s="104"/>
      <c r="DPA1006" s="103"/>
      <c r="DPM1006" s="104"/>
      <c r="DPN1006" s="103"/>
      <c r="DPZ1006" s="104"/>
      <c r="DQA1006" s="103"/>
      <c r="DQM1006" s="104"/>
      <c r="DQN1006" s="103"/>
      <c r="DQZ1006" s="104"/>
      <c r="DRA1006" s="103"/>
      <c r="DRM1006" s="104"/>
      <c r="DRN1006" s="103"/>
      <c r="DRZ1006" s="104"/>
      <c r="DSA1006" s="103"/>
      <c r="DSM1006" s="104"/>
      <c r="DSN1006" s="103"/>
      <c r="DSZ1006" s="104"/>
      <c r="DTA1006" s="103"/>
      <c r="DTM1006" s="104"/>
      <c r="DTN1006" s="103"/>
      <c r="DTZ1006" s="104"/>
      <c r="DUA1006" s="103"/>
      <c r="DUM1006" s="104"/>
      <c r="DUN1006" s="103"/>
      <c r="DUZ1006" s="104"/>
      <c r="DVA1006" s="103"/>
      <c r="DVM1006" s="104"/>
      <c r="DVN1006" s="103"/>
      <c r="DVZ1006" s="104"/>
      <c r="DWA1006" s="103"/>
      <c r="DWM1006" s="104"/>
      <c r="DWN1006" s="103"/>
      <c r="DWZ1006" s="104"/>
      <c r="DXA1006" s="103"/>
      <c r="DXM1006" s="104"/>
      <c r="DXN1006" s="103"/>
      <c r="DXZ1006" s="104"/>
      <c r="DYA1006" s="103"/>
      <c r="DYM1006" s="104"/>
      <c r="DYN1006" s="103"/>
      <c r="DYZ1006" s="104"/>
      <c r="DZA1006" s="103"/>
      <c r="DZM1006" s="104"/>
      <c r="DZN1006" s="103"/>
      <c r="DZZ1006" s="104"/>
      <c r="EAA1006" s="103"/>
      <c r="EAM1006" s="104"/>
      <c r="EAN1006" s="103"/>
      <c r="EAZ1006" s="104"/>
      <c r="EBA1006" s="103"/>
      <c r="EBM1006" s="104"/>
      <c r="EBN1006" s="103"/>
      <c r="EBZ1006" s="104"/>
      <c r="ECA1006" s="103"/>
      <c r="ECM1006" s="104"/>
      <c r="ECN1006" s="103"/>
      <c r="ECZ1006" s="104"/>
      <c r="EDA1006" s="103"/>
      <c r="EDM1006" s="104"/>
      <c r="EDN1006" s="103"/>
      <c r="EDZ1006" s="104"/>
      <c r="EEA1006" s="103"/>
      <c r="EEM1006" s="104"/>
      <c r="EEN1006" s="103"/>
      <c r="EEZ1006" s="104"/>
      <c r="EFA1006" s="103"/>
      <c r="EFM1006" s="104"/>
      <c r="EFN1006" s="103"/>
      <c r="EFZ1006" s="104"/>
      <c r="EGA1006" s="103"/>
      <c r="EGM1006" s="104"/>
      <c r="EGN1006" s="103"/>
      <c r="EGZ1006" s="104"/>
      <c r="EHA1006" s="103"/>
      <c r="EHM1006" s="104"/>
      <c r="EHN1006" s="103"/>
      <c r="EHZ1006" s="104"/>
      <c r="EIA1006" s="103"/>
      <c r="EIM1006" s="104"/>
      <c r="EIN1006" s="103"/>
      <c r="EIZ1006" s="104"/>
      <c r="EJA1006" s="103"/>
      <c r="EJM1006" s="104"/>
      <c r="EJN1006" s="103"/>
      <c r="EJZ1006" s="104"/>
      <c r="EKA1006" s="103"/>
      <c r="EKM1006" s="104"/>
      <c r="EKN1006" s="103"/>
      <c r="EKZ1006" s="104"/>
      <c r="ELA1006" s="103"/>
      <c r="ELM1006" s="104"/>
      <c r="ELN1006" s="103"/>
      <c r="ELZ1006" s="104"/>
      <c r="EMA1006" s="103"/>
      <c r="EMM1006" s="104"/>
      <c r="EMN1006" s="103"/>
      <c r="EMZ1006" s="104"/>
      <c r="ENA1006" s="103"/>
      <c r="ENM1006" s="104"/>
      <c r="ENN1006" s="103"/>
      <c r="ENZ1006" s="104"/>
      <c r="EOA1006" s="103"/>
      <c r="EOM1006" s="104"/>
      <c r="EON1006" s="103"/>
      <c r="EOZ1006" s="104"/>
      <c r="EPA1006" s="103"/>
      <c r="EPM1006" s="104"/>
      <c r="EPN1006" s="103"/>
      <c r="EPZ1006" s="104"/>
      <c r="EQA1006" s="103"/>
      <c r="EQM1006" s="104"/>
      <c r="EQN1006" s="103"/>
      <c r="EQZ1006" s="104"/>
      <c r="ERA1006" s="103"/>
      <c r="ERM1006" s="104"/>
      <c r="ERN1006" s="103"/>
      <c r="ERZ1006" s="104"/>
      <c r="ESA1006" s="103"/>
      <c r="ESM1006" s="104"/>
      <c r="ESN1006" s="103"/>
      <c r="ESZ1006" s="104"/>
      <c r="ETA1006" s="103"/>
      <c r="ETM1006" s="104"/>
      <c r="ETN1006" s="103"/>
      <c r="ETZ1006" s="104"/>
      <c r="EUA1006" s="103"/>
      <c r="EUM1006" s="104"/>
      <c r="EUN1006" s="103"/>
      <c r="EUZ1006" s="104"/>
      <c r="EVA1006" s="103"/>
      <c r="EVM1006" s="104"/>
      <c r="EVN1006" s="103"/>
      <c r="EVZ1006" s="104"/>
      <c r="EWA1006" s="103"/>
      <c r="EWM1006" s="104"/>
      <c r="EWN1006" s="103"/>
      <c r="EWZ1006" s="104"/>
      <c r="EXA1006" s="103"/>
      <c r="EXM1006" s="104"/>
      <c r="EXN1006" s="103"/>
      <c r="EXZ1006" s="104"/>
      <c r="EYA1006" s="103"/>
      <c r="EYM1006" s="104"/>
      <c r="EYN1006" s="103"/>
      <c r="EYZ1006" s="104"/>
      <c r="EZA1006" s="103"/>
      <c r="EZM1006" s="104"/>
      <c r="EZN1006" s="103"/>
      <c r="EZZ1006" s="104"/>
      <c r="FAA1006" s="103"/>
      <c r="FAM1006" s="104"/>
      <c r="FAN1006" s="103"/>
      <c r="FAZ1006" s="104"/>
      <c r="FBA1006" s="103"/>
      <c r="FBM1006" s="104"/>
      <c r="FBN1006" s="103"/>
      <c r="FBZ1006" s="104"/>
      <c r="FCA1006" s="103"/>
      <c r="FCM1006" s="104"/>
      <c r="FCN1006" s="103"/>
      <c r="FCZ1006" s="104"/>
      <c r="FDA1006" s="103"/>
      <c r="FDM1006" s="104"/>
      <c r="FDN1006" s="103"/>
      <c r="FDZ1006" s="104"/>
      <c r="FEA1006" s="103"/>
      <c r="FEM1006" s="104"/>
      <c r="FEN1006" s="103"/>
      <c r="FEZ1006" s="104"/>
      <c r="FFA1006" s="103"/>
      <c r="FFM1006" s="104"/>
      <c r="FFN1006" s="103"/>
      <c r="FFZ1006" s="104"/>
      <c r="FGA1006" s="103"/>
      <c r="FGM1006" s="104"/>
      <c r="FGN1006" s="103"/>
      <c r="FGZ1006" s="104"/>
      <c r="FHA1006" s="103"/>
      <c r="FHM1006" s="104"/>
      <c r="FHN1006" s="103"/>
      <c r="FHZ1006" s="104"/>
      <c r="FIA1006" s="103"/>
      <c r="FIM1006" s="104"/>
      <c r="FIN1006" s="103"/>
      <c r="FIZ1006" s="104"/>
      <c r="FJA1006" s="103"/>
      <c r="FJM1006" s="104"/>
      <c r="FJN1006" s="103"/>
      <c r="FJZ1006" s="104"/>
      <c r="FKA1006" s="103"/>
      <c r="FKM1006" s="104"/>
      <c r="FKN1006" s="103"/>
      <c r="FKZ1006" s="104"/>
      <c r="FLA1006" s="103"/>
      <c r="FLM1006" s="104"/>
      <c r="FLN1006" s="103"/>
      <c r="FLZ1006" s="104"/>
      <c r="FMA1006" s="103"/>
      <c r="FMM1006" s="104"/>
      <c r="FMN1006" s="103"/>
      <c r="FMZ1006" s="104"/>
      <c r="FNA1006" s="103"/>
      <c r="FNM1006" s="104"/>
      <c r="FNN1006" s="103"/>
      <c r="FNZ1006" s="104"/>
      <c r="FOA1006" s="103"/>
      <c r="FOM1006" s="104"/>
      <c r="FON1006" s="103"/>
      <c r="FOZ1006" s="104"/>
      <c r="FPA1006" s="103"/>
      <c r="FPM1006" s="104"/>
      <c r="FPN1006" s="103"/>
      <c r="FPZ1006" s="104"/>
      <c r="FQA1006" s="103"/>
      <c r="FQM1006" s="104"/>
      <c r="FQN1006" s="103"/>
      <c r="FQZ1006" s="104"/>
      <c r="FRA1006" s="103"/>
      <c r="FRM1006" s="104"/>
      <c r="FRN1006" s="103"/>
      <c r="FRZ1006" s="104"/>
      <c r="FSA1006" s="103"/>
      <c r="FSM1006" s="104"/>
      <c r="FSN1006" s="103"/>
      <c r="FSZ1006" s="104"/>
      <c r="FTA1006" s="103"/>
      <c r="FTM1006" s="104"/>
      <c r="FTN1006" s="103"/>
      <c r="FTZ1006" s="104"/>
      <c r="FUA1006" s="103"/>
      <c r="FUM1006" s="104"/>
      <c r="FUN1006" s="103"/>
      <c r="FUZ1006" s="104"/>
      <c r="FVA1006" s="103"/>
      <c r="FVM1006" s="104"/>
      <c r="FVN1006" s="103"/>
      <c r="FVZ1006" s="104"/>
      <c r="FWA1006" s="103"/>
      <c r="FWM1006" s="104"/>
      <c r="FWN1006" s="103"/>
      <c r="FWZ1006" s="104"/>
      <c r="FXA1006" s="103"/>
      <c r="FXM1006" s="104"/>
      <c r="FXN1006" s="103"/>
      <c r="FXZ1006" s="104"/>
      <c r="FYA1006" s="103"/>
      <c r="FYM1006" s="104"/>
      <c r="FYN1006" s="103"/>
      <c r="FYZ1006" s="104"/>
      <c r="FZA1006" s="103"/>
      <c r="FZM1006" s="104"/>
      <c r="FZN1006" s="103"/>
      <c r="FZZ1006" s="104"/>
      <c r="GAA1006" s="103"/>
      <c r="GAM1006" s="104"/>
      <c r="GAN1006" s="103"/>
      <c r="GAZ1006" s="104"/>
      <c r="GBA1006" s="103"/>
      <c r="GBM1006" s="104"/>
      <c r="GBN1006" s="103"/>
      <c r="GBZ1006" s="104"/>
      <c r="GCA1006" s="103"/>
      <c r="GCM1006" s="104"/>
      <c r="GCN1006" s="103"/>
      <c r="GCZ1006" s="104"/>
      <c r="GDA1006" s="103"/>
      <c r="GDM1006" s="104"/>
      <c r="GDN1006" s="103"/>
      <c r="GDZ1006" s="104"/>
      <c r="GEA1006" s="103"/>
      <c r="GEM1006" s="104"/>
      <c r="GEN1006" s="103"/>
      <c r="GEZ1006" s="104"/>
      <c r="GFA1006" s="103"/>
      <c r="GFM1006" s="104"/>
      <c r="GFN1006" s="103"/>
      <c r="GFZ1006" s="104"/>
      <c r="GGA1006" s="103"/>
      <c r="GGM1006" s="104"/>
      <c r="GGN1006" s="103"/>
      <c r="GGZ1006" s="104"/>
      <c r="GHA1006" s="103"/>
      <c r="GHM1006" s="104"/>
      <c r="GHN1006" s="103"/>
      <c r="GHZ1006" s="104"/>
      <c r="GIA1006" s="103"/>
      <c r="GIM1006" s="104"/>
      <c r="GIN1006" s="103"/>
      <c r="GIZ1006" s="104"/>
      <c r="GJA1006" s="103"/>
      <c r="GJM1006" s="104"/>
      <c r="GJN1006" s="103"/>
      <c r="GJZ1006" s="104"/>
      <c r="GKA1006" s="103"/>
      <c r="GKM1006" s="104"/>
      <c r="GKN1006" s="103"/>
      <c r="GKZ1006" s="104"/>
      <c r="GLA1006" s="103"/>
      <c r="GLM1006" s="104"/>
      <c r="GLN1006" s="103"/>
      <c r="GLZ1006" s="104"/>
      <c r="GMA1006" s="103"/>
      <c r="GMM1006" s="104"/>
      <c r="GMN1006" s="103"/>
      <c r="GMZ1006" s="104"/>
      <c r="GNA1006" s="103"/>
      <c r="GNM1006" s="104"/>
      <c r="GNN1006" s="103"/>
      <c r="GNZ1006" s="104"/>
      <c r="GOA1006" s="103"/>
      <c r="GOM1006" s="104"/>
      <c r="GON1006" s="103"/>
      <c r="GOZ1006" s="104"/>
      <c r="GPA1006" s="103"/>
      <c r="GPM1006" s="104"/>
      <c r="GPN1006" s="103"/>
      <c r="GPZ1006" s="104"/>
      <c r="GQA1006" s="103"/>
      <c r="GQM1006" s="104"/>
      <c r="GQN1006" s="103"/>
      <c r="GQZ1006" s="104"/>
      <c r="GRA1006" s="103"/>
      <c r="GRM1006" s="104"/>
      <c r="GRN1006" s="103"/>
      <c r="GRZ1006" s="104"/>
      <c r="GSA1006" s="103"/>
      <c r="GSM1006" s="104"/>
      <c r="GSN1006" s="103"/>
      <c r="GSZ1006" s="104"/>
      <c r="GTA1006" s="103"/>
      <c r="GTM1006" s="104"/>
      <c r="GTN1006" s="103"/>
      <c r="GTZ1006" s="104"/>
      <c r="GUA1006" s="103"/>
      <c r="GUM1006" s="104"/>
      <c r="GUN1006" s="103"/>
      <c r="GUZ1006" s="104"/>
      <c r="GVA1006" s="103"/>
      <c r="GVM1006" s="104"/>
      <c r="GVN1006" s="103"/>
      <c r="GVZ1006" s="104"/>
      <c r="GWA1006" s="103"/>
      <c r="GWM1006" s="104"/>
      <c r="GWN1006" s="103"/>
      <c r="GWZ1006" s="104"/>
      <c r="GXA1006" s="103"/>
      <c r="GXM1006" s="104"/>
      <c r="GXN1006" s="103"/>
      <c r="GXZ1006" s="104"/>
      <c r="GYA1006" s="103"/>
      <c r="GYM1006" s="104"/>
      <c r="GYN1006" s="103"/>
      <c r="GYZ1006" s="104"/>
      <c r="GZA1006" s="103"/>
      <c r="GZM1006" s="104"/>
      <c r="GZN1006" s="103"/>
      <c r="GZZ1006" s="104"/>
      <c r="HAA1006" s="103"/>
      <c r="HAM1006" s="104"/>
      <c r="HAN1006" s="103"/>
      <c r="HAZ1006" s="104"/>
      <c r="HBA1006" s="103"/>
      <c r="HBM1006" s="104"/>
      <c r="HBN1006" s="103"/>
      <c r="HBZ1006" s="104"/>
      <c r="HCA1006" s="103"/>
      <c r="HCM1006" s="104"/>
      <c r="HCN1006" s="103"/>
      <c r="HCZ1006" s="104"/>
      <c r="HDA1006" s="103"/>
      <c r="HDM1006" s="104"/>
      <c r="HDN1006" s="103"/>
      <c r="HDZ1006" s="104"/>
      <c r="HEA1006" s="103"/>
      <c r="HEM1006" s="104"/>
      <c r="HEN1006" s="103"/>
      <c r="HEZ1006" s="104"/>
      <c r="HFA1006" s="103"/>
      <c r="HFM1006" s="104"/>
      <c r="HFN1006" s="103"/>
      <c r="HFZ1006" s="104"/>
      <c r="HGA1006" s="103"/>
      <c r="HGM1006" s="104"/>
      <c r="HGN1006" s="103"/>
      <c r="HGZ1006" s="104"/>
      <c r="HHA1006" s="103"/>
      <c r="HHM1006" s="104"/>
      <c r="HHN1006" s="103"/>
      <c r="HHZ1006" s="104"/>
      <c r="HIA1006" s="103"/>
      <c r="HIM1006" s="104"/>
      <c r="HIN1006" s="103"/>
      <c r="HIZ1006" s="104"/>
      <c r="HJA1006" s="103"/>
      <c r="HJM1006" s="104"/>
      <c r="HJN1006" s="103"/>
      <c r="HJZ1006" s="104"/>
      <c r="HKA1006" s="103"/>
      <c r="HKM1006" s="104"/>
      <c r="HKN1006" s="103"/>
      <c r="HKZ1006" s="104"/>
      <c r="HLA1006" s="103"/>
      <c r="HLM1006" s="104"/>
      <c r="HLN1006" s="103"/>
      <c r="HLZ1006" s="104"/>
      <c r="HMA1006" s="103"/>
      <c r="HMM1006" s="104"/>
      <c r="HMN1006" s="103"/>
      <c r="HMZ1006" s="104"/>
      <c r="HNA1006" s="103"/>
      <c r="HNM1006" s="104"/>
      <c r="HNN1006" s="103"/>
      <c r="HNZ1006" s="104"/>
      <c r="HOA1006" s="103"/>
      <c r="HOM1006" s="104"/>
      <c r="HON1006" s="103"/>
      <c r="HOZ1006" s="104"/>
      <c r="HPA1006" s="103"/>
      <c r="HPM1006" s="104"/>
      <c r="HPN1006" s="103"/>
      <c r="HPZ1006" s="104"/>
      <c r="HQA1006" s="103"/>
      <c r="HQM1006" s="104"/>
      <c r="HQN1006" s="103"/>
      <c r="HQZ1006" s="104"/>
      <c r="HRA1006" s="103"/>
      <c r="HRM1006" s="104"/>
      <c r="HRN1006" s="103"/>
      <c r="HRZ1006" s="104"/>
      <c r="HSA1006" s="103"/>
      <c r="HSM1006" s="104"/>
      <c r="HSN1006" s="103"/>
      <c r="HSZ1006" s="104"/>
      <c r="HTA1006" s="103"/>
      <c r="HTM1006" s="104"/>
      <c r="HTN1006" s="103"/>
      <c r="HTZ1006" s="104"/>
      <c r="HUA1006" s="103"/>
      <c r="HUM1006" s="104"/>
      <c r="HUN1006" s="103"/>
      <c r="HUZ1006" s="104"/>
      <c r="HVA1006" s="103"/>
      <c r="HVM1006" s="104"/>
      <c r="HVN1006" s="103"/>
      <c r="HVZ1006" s="104"/>
      <c r="HWA1006" s="103"/>
      <c r="HWM1006" s="104"/>
      <c r="HWN1006" s="103"/>
      <c r="HWZ1006" s="104"/>
      <c r="HXA1006" s="103"/>
      <c r="HXM1006" s="104"/>
      <c r="HXN1006" s="103"/>
      <c r="HXZ1006" s="104"/>
      <c r="HYA1006" s="103"/>
      <c r="HYM1006" s="104"/>
      <c r="HYN1006" s="103"/>
      <c r="HYZ1006" s="104"/>
      <c r="HZA1006" s="103"/>
      <c r="HZM1006" s="104"/>
      <c r="HZN1006" s="103"/>
      <c r="HZZ1006" s="104"/>
      <c r="IAA1006" s="103"/>
      <c r="IAM1006" s="104"/>
      <c r="IAN1006" s="103"/>
      <c r="IAZ1006" s="104"/>
      <c r="IBA1006" s="103"/>
      <c r="IBM1006" s="104"/>
      <c r="IBN1006" s="103"/>
      <c r="IBZ1006" s="104"/>
      <c r="ICA1006" s="103"/>
      <c r="ICM1006" s="104"/>
      <c r="ICN1006" s="103"/>
      <c r="ICZ1006" s="104"/>
      <c r="IDA1006" s="103"/>
      <c r="IDM1006" s="104"/>
      <c r="IDN1006" s="103"/>
      <c r="IDZ1006" s="104"/>
      <c r="IEA1006" s="103"/>
      <c r="IEM1006" s="104"/>
      <c r="IEN1006" s="103"/>
      <c r="IEZ1006" s="104"/>
      <c r="IFA1006" s="103"/>
      <c r="IFM1006" s="104"/>
      <c r="IFN1006" s="103"/>
      <c r="IFZ1006" s="104"/>
      <c r="IGA1006" s="103"/>
      <c r="IGM1006" s="104"/>
      <c r="IGN1006" s="103"/>
      <c r="IGZ1006" s="104"/>
      <c r="IHA1006" s="103"/>
      <c r="IHM1006" s="104"/>
      <c r="IHN1006" s="103"/>
      <c r="IHZ1006" s="104"/>
      <c r="IIA1006" s="103"/>
      <c r="IIM1006" s="104"/>
      <c r="IIN1006" s="103"/>
      <c r="IIZ1006" s="104"/>
      <c r="IJA1006" s="103"/>
      <c r="IJM1006" s="104"/>
      <c r="IJN1006" s="103"/>
      <c r="IJZ1006" s="104"/>
      <c r="IKA1006" s="103"/>
      <c r="IKM1006" s="104"/>
      <c r="IKN1006" s="103"/>
      <c r="IKZ1006" s="104"/>
      <c r="ILA1006" s="103"/>
      <c r="ILM1006" s="104"/>
      <c r="ILN1006" s="103"/>
      <c r="ILZ1006" s="104"/>
      <c r="IMA1006" s="103"/>
      <c r="IMM1006" s="104"/>
      <c r="IMN1006" s="103"/>
      <c r="IMZ1006" s="104"/>
      <c r="INA1006" s="103"/>
      <c r="INM1006" s="104"/>
      <c r="INN1006" s="103"/>
      <c r="INZ1006" s="104"/>
      <c r="IOA1006" s="103"/>
      <c r="IOM1006" s="104"/>
      <c r="ION1006" s="103"/>
      <c r="IOZ1006" s="104"/>
      <c r="IPA1006" s="103"/>
      <c r="IPM1006" s="104"/>
      <c r="IPN1006" s="103"/>
      <c r="IPZ1006" s="104"/>
      <c r="IQA1006" s="103"/>
      <c r="IQM1006" s="104"/>
      <c r="IQN1006" s="103"/>
      <c r="IQZ1006" s="104"/>
      <c r="IRA1006" s="103"/>
      <c r="IRM1006" s="104"/>
      <c r="IRN1006" s="103"/>
      <c r="IRZ1006" s="104"/>
      <c r="ISA1006" s="103"/>
      <c r="ISM1006" s="104"/>
      <c r="ISN1006" s="103"/>
      <c r="ISZ1006" s="104"/>
      <c r="ITA1006" s="103"/>
      <c r="ITM1006" s="104"/>
      <c r="ITN1006" s="103"/>
      <c r="ITZ1006" s="104"/>
      <c r="IUA1006" s="103"/>
      <c r="IUM1006" s="104"/>
      <c r="IUN1006" s="103"/>
      <c r="IUZ1006" s="104"/>
      <c r="IVA1006" s="103"/>
      <c r="IVM1006" s="104"/>
      <c r="IVN1006" s="103"/>
      <c r="IVZ1006" s="104"/>
      <c r="IWA1006" s="103"/>
      <c r="IWM1006" s="104"/>
      <c r="IWN1006" s="103"/>
      <c r="IWZ1006" s="104"/>
      <c r="IXA1006" s="103"/>
      <c r="IXM1006" s="104"/>
      <c r="IXN1006" s="103"/>
      <c r="IXZ1006" s="104"/>
      <c r="IYA1006" s="103"/>
      <c r="IYM1006" s="104"/>
      <c r="IYN1006" s="103"/>
      <c r="IYZ1006" s="104"/>
      <c r="IZA1006" s="103"/>
      <c r="IZM1006" s="104"/>
      <c r="IZN1006" s="103"/>
      <c r="IZZ1006" s="104"/>
      <c r="JAA1006" s="103"/>
      <c r="JAM1006" s="104"/>
      <c r="JAN1006" s="103"/>
      <c r="JAZ1006" s="104"/>
      <c r="JBA1006" s="103"/>
      <c r="JBM1006" s="104"/>
      <c r="JBN1006" s="103"/>
      <c r="JBZ1006" s="104"/>
      <c r="JCA1006" s="103"/>
      <c r="JCM1006" s="104"/>
      <c r="JCN1006" s="103"/>
      <c r="JCZ1006" s="104"/>
      <c r="JDA1006" s="103"/>
      <c r="JDM1006" s="104"/>
      <c r="JDN1006" s="103"/>
      <c r="JDZ1006" s="104"/>
      <c r="JEA1006" s="103"/>
      <c r="JEM1006" s="104"/>
      <c r="JEN1006" s="103"/>
      <c r="JEZ1006" s="104"/>
      <c r="JFA1006" s="103"/>
      <c r="JFM1006" s="104"/>
      <c r="JFN1006" s="103"/>
      <c r="JFZ1006" s="104"/>
      <c r="JGA1006" s="103"/>
      <c r="JGM1006" s="104"/>
      <c r="JGN1006" s="103"/>
      <c r="JGZ1006" s="104"/>
      <c r="JHA1006" s="103"/>
      <c r="JHM1006" s="104"/>
      <c r="JHN1006" s="103"/>
      <c r="JHZ1006" s="104"/>
      <c r="JIA1006" s="103"/>
      <c r="JIM1006" s="104"/>
      <c r="JIN1006" s="103"/>
      <c r="JIZ1006" s="104"/>
      <c r="JJA1006" s="103"/>
      <c r="JJM1006" s="104"/>
      <c r="JJN1006" s="103"/>
      <c r="JJZ1006" s="104"/>
      <c r="JKA1006" s="103"/>
      <c r="JKM1006" s="104"/>
      <c r="JKN1006" s="103"/>
      <c r="JKZ1006" s="104"/>
      <c r="JLA1006" s="103"/>
      <c r="JLM1006" s="104"/>
      <c r="JLN1006" s="103"/>
      <c r="JLZ1006" s="104"/>
      <c r="JMA1006" s="103"/>
      <c r="JMM1006" s="104"/>
      <c r="JMN1006" s="103"/>
      <c r="JMZ1006" s="104"/>
      <c r="JNA1006" s="103"/>
      <c r="JNM1006" s="104"/>
      <c r="JNN1006" s="103"/>
      <c r="JNZ1006" s="104"/>
      <c r="JOA1006" s="103"/>
      <c r="JOM1006" s="104"/>
      <c r="JON1006" s="103"/>
      <c r="JOZ1006" s="104"/>
      <c r="JPA1006" s="103"/>
      <c r="JPM1006" s="104"/>
      <c r="JPN1006" s="103"/>
      <c r="JPZ1006" s="104"/>
      <c r="JQA1006" s="103"/>
      <c r="JQM1006" s="104"/>
      <c r="JQN1006" s="103"/>
      <c r="JQZ1006" s="104"/>
      <c r="JRA1006" s="103"/>
      <c r="JRM1006" s="104"/>
      <c r="JRN1006" s="103"/>
      <c r="JRZ1006" s="104"/>
      <c r="JSA1006" s="103"/>
      <c r="JSM1006" s="104"/>
      <c r="JSN1006" s="103"/>
      <c r="JSZ1006" s="104"/>
      <c r="JTA1006" s="103"/>
      <c r="JTM1006" s="104"/>
      <c r="JTN1006" s="103"/>
      <c r="JTZ1006" s="104"/>
      <c r="JUA1006" s="103"/>
      <c r="JUM1006" s="104"/>
      <c r="JUN1006" s="103"/>
      <c r="JUZ1006" s="104"/>
      <c r="JVA1006" s="103"/>
      <c r="JVM1006" s="104"/>
      <c r="JVN1006" s="103"/>
      <c r="JVZ1006" s="104"/>
      <c r="JWA1006" s="103"/>
      <c r="JWM1006" s="104"/>
      <c r="JWN1006" s="103"/>
      <c r="JWZ1006" s="104"/>
      <c r="JXA1006" s="103"/>
      <c r="JXM1006" s="104"/>
      <c r="JXN1006" s="103"/>
      <c r="JXZ1006" s="104"/>
      <c r="JYA1006" s="103"/>
      <c r="JYM1006" s="104"/>
      <c r="JYN1006" s="103"/>
      <c r="JYZ1006" s="104"/>
      <c r="JZA1006" s="103"/>
      <c r="JZM1006" s="104"/>
      <c r="JZN1006" s="103"/>
      <c r="JZZ1006" s="104"/>
      <c r="KAA1006" s="103"/>
      <c r="KAM1006" s="104"/>
      <c r="KAN1006" s="103"/>
      <c r="KAZ1006" s="104"/>
      <c r="KBA1006" s="103"/>
      <c r="KBM1006" s="104"/>
      <c r="KBN1006" s="103"/>
      <c r="KBZ1006" s="104"/>
      <c r="KCA1006" s="103"/>
      <c r="KCM1006" s="104"/>
      <c r="KCN1006" s="103"/>
      <c r="KCZ1006" s="104"/>
      <c r="KDA1006" s="103"/>
      <c r="KDM1006" s="104"/>
      <c r="KDN1006" s="103"/>
      <c r="KDZ1006" s="104"/>
      <c r="KEA1006" s="103"/>
      <c r="KEM1006" s="104"/>
      <c r="KEN1006" s="103"/>
      <c r="KEZ1006" s="104"/>
      <c r="KFA1006" s="103"/>
      <c r="KFM1006" s="104"/>
      <c r="KFN1006" s="103"/>
      <c r="KFZ1006" s="104"/>
      <c r="KGA1006" s="103"/>
      <c r="KGM1006" s="104"/>
      <c r="KGN1006" s="103"/>
      <c r="KGZ1006" s="104"/>
      <c r="KHA1006" s="103"/>
      <c r="KHM1006" s="104"/>
      <c r="KHN1006" s="103"/>
      <c r="KHZ1006" s="104"/>
      <c r="KIA1006" s="103"/>
      <c r="KIM1006" s="104"/>
      <c r="KIN1006" s="103"/>
      <c r="KIZ1006" s="104"/>
      <c r="KJA1006" s="103"/>
      <c r="KJM1006" s="104"/>
      <c r="KJN1006" s="103"/>
      <c r="KJZ1006" s="104"/>
      <c r="KKA1006" s="103"/>
      <c r="KKM1006" s="104"/>
      <c r="KKN1006" s="103"/>
      <c r="KKZ1006" s="104"/>
      <c r="KLA1006" s="103"/>
      <c r="KLM1006" s="104"/>
      <c r="KLN1006" s="103"/>
      <c r="KLZ1006" s="104"/>
      <c r="KMA1006" s="103"/>
      <c r="KMM1006" s="104"/>
      <c r="KMN1006" s="103"/>
      <c r="KMZ1006" s="104"/>
      <c r="KNA1006" s="103"/>
      <c r="KNM1006" s="104"/>
      <c r="KNN1006" s="103"/>
      <c r="KNZ1006" s="104"/>
      <c r="KOA1006" s="103"/>
      <c r="KOM1006" s="104"/>
      <c r="KON1006" s="103"/>
      <c r="KOZ1006" s="104"/>
      <c r="KPA1006" s="103"/>
      <c r="KPM1006" s="104"/>
      <c r="KPN1006" s="103"/>
      <c r="KPZ1006" s="104"/>
      <c r="KQA1006" s="103"/>
      <c r="KQM1006" s="104"/>
      <c r="KQN1006" s="103"/>
      <c r="KQZ1006" s="104"/>
      <c r="KRA1006" s="103"/>
      <c r="KRM1006" s="104"/>
      <c r="KRN1006" s="103"/>
      <c r="KRZ1006" s="104"/>
      <c r="KSA1006" s="103"/>
      <c r="KSM1006" s="104"/>
      <c r="KSN1006" s="103"/>
      <c r="KSZ1006" s="104"/>
      <c r="KTA1006" s="103"/>
      <c r="KTM1006" s="104"/>
      <c r="KTN1006" s="103"/>
      <c r="KTZ1006" s="104"/>
      <c r="KUA1006" s="103"/>
      <c r="KUM1006" s="104"/>
      <c r="KUN1006" s="103"/>
      <c r="KUZ1006" s="104"/>
      <c r="KVA1006" s="103"/>
      <c r="KVM1006" s="104"/>
      <c r="KVN1006" s="103"/>
      <c r="KVZ1006" s="104"/>
      <c r="KWA1006" s="103"/>
      <c r="KWM1006" s="104"/>
      <c r="KWN1006" s="103"/>
      <c r="KWZ1006" s="104"/>
      <c r="KXA1006" s="103"/>
      <c r="KXM1006" s="104"/>
      <c r="KXN1006" s="103"/>
      <c r="KXZ1006" s="104"/>
      <c r="KYA1006" s="103"/>
      <c r="KYM1006" s="104"/>
      <c r="KYN1006" s="103"/>
      <c r="KYZ1006" s="104"/>
      <c r="KZA1006" s="103"/>
      <c r="KZM1006" s="104"/>
      <c r="KZN1006" s="103"/>
      <c r="KZZ1006" s="104"/>
      <c r="LAA1006" s="103"/>
      <c r="LAM1006" s="104"/>
      <c r="LAN1006" s="103"/>
      <c r="LAZ1006" s="104"/>
      <c r="LBA1006" s="103"/>
      <c r="LBM1006" s="104"/>
      <c r="LBN1006" s="103"/>
      <c r="LBZ1006" s="104"/>
      <c r="LCA1006" s="103"/>
      <c r="LCM1006" s="104"/>
      <c r="LCN1006" s="103"/>
      <c r="LCZ1006" s="104"/>
      <c r="LDA1006" s="103"/>
      <c r="LDM1006" s="104"/>
      <c r="LDN1006" s="103"/>
      <c r="LDZ1006" s="104"/>
      <c r="LEA1006" s="103"/>
      <c r="LEM1006" s="104"/>
      <c r="LEN1006" s="103"/>
      <c r="LEZ1006" s="104"/>
      <c r="LFA1006" s="103"/>
      <c r="LFM1006" s="104"/>
      <c r="LFN1006" s="103"/>
      <c r="LFZ1006" s="104"/>
      <c r="LGA1006" s="103"/>
      <c r="LGM1006" s="104"/>
      <c r="LGN1006" s="103"/>
      <c r="LGZ1006" s="104"/>
      <c r="LHA1006" s="103"/>
      <c r="LHM1006" s="104"/>
      <c r="LHN1006" s="103"/>
      <c r="LHZ1006" s="104"/>
      <c r="LIA1006" s="103"/>
      <c r="LIM1006" s="104"/>
      <c r="LIN1006" s="103"/>
      <c r="LIZ1006" s="104"/>
      <c r="LJA1006" s="103"/>
      <c r="LJM1006" s="104"/>
      <c r="LJN1006" s="103"/>
      <c r="LJZ1006" s="104"/>
      <c r="LKA1006" s="103"/>
      <c r="LKM1006" s="104"/>
      <c r="LKN1006" s="103"/>
      <c r="LKZ1006" s="104"/>
      <c r="LLA1006" s="103"/>
      <c r="LLM1006" s="104"/>
      <c r="LLN1006" s="103"/>
      <c r="LLZ1006" s="104"/>
      <c r="LMA1006" s="103"/>
      <c r="LMM1006" s="104"/>
      <c r="LMN1006" s="103"/>
      <c r="LMZ1006" s="104"/>
      <c r="LNA1006" s="103"/>
      <c r="LNM1006" s="104"/>
      <c r="LNN1006" s="103"/>
      <c r="LNZ1006" s="104"/>
      <c r="LOA1006" s="103"/>
      <c r="LOM1006" s="104"/>
      <c r="LON1006" s="103"/>
      <c r="LOZ1006" s="104"/>
      <c r="LPA1006" s="103"/>
      <c r="LPM1006" s="104"/>
      <c r="LPN1006" s="103"/>
      <c r="LPZ1006" s="104"/>
      <c r="LQA1006" s="103"/>
      <c r="LQM1006" s="104"/>
      <c r="LQN1006" s="103"/>
      <c r="LQZ1006" s="104"/>
      <c r="LRA1006" s="103"/>
      <c r="LRM1006" s="104"/>
      <c r="LRN1006" s="103"/>
      <c r="LRZ1006" s="104"/>
      <c r="LSA1006" s="103"/>
      <c r="LSM1006" s="104"/>
      <c r="LSN1006" s="103"/>
      <c r="LSZ1006" s="104"/>
      <c r="LTA1006" s="103"/>
      <c r="LTM1006" s="104"/>
      <c r="LTN1006" s="103"/>
      <c r="LTZ1006" s="104"/>
      <c r="LUA1006" s="103"/>
      <c r="LUM1006" s="104"/>
      <c r="LUN1006" s="103"/>
      <c r="LUZ1006" s="104"/>
      <c r="LVA1006" s="103"/>
      <c r="LVM1006" s="104"/>
      <c r="LVN1006" s="103"/>
      <c r="LVZ1006" s="104"/>
      <c r="LWA1006" s="103"/>
      <c r="LWM1006" s="104"/>
      <c r="LWN1006" s="103"/>
      <c r="LWZ1006" s="104"/>
      <c r="LXA1006" s="103"/>
      <c r="LXM1006" s="104"/>
      <c r="LXN1006" s="103"/>
      <c r="LXZ1006" s="104"/>
      <c r="LYA1006" s="103"/>
      <c r="LYM1006" s="104"/>
      <c r="LYN1006" s="103"/>
      <c r="LYZ1006" s="104"/>
      <c r="LZA1006" s="103"/>
      <c r="LZM1006" s="104"/>
      <c r="LZN1006" s="103"/>
      <c r="LZZ1006" s="104"/>
      <c r="MAA1006" s="103"/>
      <c r="MAM1006" s="104"/>
      <c r="MAN1006" s="103"/>
      <c r="MAZ1006" s="104"/>
      <c r="MBA1006" s="103"/>
      <c r="MBM1006" s="104"/>
      <c r="MBN1006" s="103"/>
      <c r="MBZ1006" s="104"/>
      <c r="MCA1006" s="103"/>
      <c r="MCM1006" s="104"/>
      <c r="MCN1006" s="103"/>
      <c r="MCZ1006" s="104"/>
      <c r="MDA1006" s="103"/>
      <c r="MDM1006" s="104"/>
      <c r="MDN1006" s="103"/>
      <c r="MDZ1006" s="104"/>
      <c r="MEA1006" s="103"/>
      <c r="MEM1006" s="104"/>
      <c r="MEN1006" s="103"/>
      <c r="MEZ1006" s="104"/>
      <c r="MFA1006" s="103"/>
      <c r="MFM1006" s="104"/>
      <c r="MFN1006" s="103"/>
      <c r="MFZ1006" s="104"/>
      <c r="MGA1006" s="103"/>
      <c r="MGM1006" s="104"/>
      <c r="MGN1006" s="103"/>
      <c r="MGZ1006" s="104"/>
      <c r="MHA1006" s="103"/>
      <c r="MHM1006" s="104"/>
      <c r="MHN1006" s="103"/>
      <c r="MHZ1006" s="104"/>
      <c r="MIA1006" s="103"/>
      <c r="MIM1006" s="104"/>
      <c r="MIN1006" s="103"/>
      <c r="MIZ1006" s="104"/>
      <c r="MJA1006" s="103"/>
      <c r="MJM1006" s="104"/>
      <c r="MJN1006" s="103"/>
      <c r="MJZ1006" s="104"/>
      <c r="MKA1006" s="103"/>
      <c r="MKM1006" s="104"/>
      <c r="MKN1006" s="103"/>
      <c r="MKZ1006" s="104"/>
      <c r="MLA1006" s="103"/>
      <c r="MLM1006" s="104"/>
      <c r="MLN1006" s="103"/>
      <c r="MLZ1006" s="104"/>
      <c r="MMA1006" s="103"/>
      <c r="MMM1006" s="104"/>
      <c r="MMN1006" s="103"/>
      <c r="MMZ1006" s="104"/>
      <c r="MNA1006" s="103"/>
      <c r="MNM1006" s="104"/>
      <c r="MNN1006" s="103"/>
      <c r="MNZ1006" s="104"/>
      <c r="MOA1006" s="103"/>
      <c r="MOM1006" s="104"/>
      <c r="MON1006" s="103"/>
      <c r="MOZ1006" s="104"/>
      <c r="MPA1006" s="103"/>
      <c r="MPM1006" s="104"/>
      <c r="MPN1006" s="103"/>
      <c r="MPZ1006" s="104"/>
      <c r="MQA1006" s="103"/>
      <c r="MQM1006" s="104"/>
      <c r="MQN1006" s="103"/>
      <c r="MQZ1006" s="104"/>
      <c r="MRA1006" s="103"/>
      <c r="MRM1006" s="104"/>
      <c r="MRN1006" s="103"/>
      <c r="MRZ1006" s="104"/>
      <c r="MSA1006" s="103"/>
      <c r="MSM1006" s="104"/>
      <c r="MSN1006" s="103"/>
      <c r="MSZ1006" s="104"/>
      <c r="MTA1006" s="103"/>
      <c r="MTM1006" s="104"/>
      <c r="MTN1006" s="103"/>
      <c r="MTZ1006" s="104"/>
      <c r="MUA1006" s="103"/>
      <c r="MUM1006" s="104"/>
      <c r="MUN1006" s="103"/>
      <c r="MUZ1006" s="104"/>
      <c r="MVA1006" s="103"/>
      <c r="MVM1006" s="104"/>
      <c r="MVN1006" s="103"/>
      <c r="MVZ1006" s="104"/>
      <c r="MWA1006" s="103"/>
      <c r="MWM1006" s="104"/>
      <c r="MWN1006" s="103"/>
      <c r="MWZ1006" s="104"/>
      <c r="MXA1006" s="103"/>
      <c r="MXM1006" s="104"/>
      <c r="MXN1006" s="103"/>
      <c r="MXZ1006" s="104"/>
      <c r="MYA1006" s="103"/>
      <c r="MYM1006" s="104"/>
      <c r="MYN1006" s="103"/>
      <c r="MYZ1006" s="104"/>
      <c r="MZA1006" s="103"/>
      <c r="MZM1006" s="104"/>
      <c r="MZN1006" s="103"/>
      <c r="MZZ1006" s="104"/>
      <c r="NAA1006" s="103"/>
      <c r="NAM1006" s="104"/>
      <c r="NAN1006" s="103"/>
      <c r="NAZ1006" s="104"/>
      <c r="NBA1006" s="103"/>
      <c r="NBM1006" s="104"/>
      <c r="NBN1006" s="103"/>
      <c r="NBZ1006" s="104"/>
      <c r="NCA1006" s="103"/>
      <c r="NCM1006" s="104"/>
      <c r="NCN1006" s="103"/>
      <c r="NCZ1006" s="104"/>
      <c r="NDA1006" s="103"/>
      <c r="NDM1006" s="104"/>
      <c r="NDN1006" s="103"/>
      <c r="NDZ1006" s="104"/>
      <c r="NEA1006" s="103"/>
      <c r="NEM1006" s="104"/>
      <c r="NEN1006" s="103"/>
      <c r="NEZ1006" s="104"/>
      <c r="NFA1006" s="103"/>
      <c r="NFM1006" s="104"/>
      <c r="NFN1006" s="103"/>
      <c r="NFZ1006" s="104"/>
      <c r="NGA1006" s="103"/>
      <c r="NGM1006" s="104"/>
      <c r="NGN1006" s="103"/>
      <c r="NGZ1006" s="104"/>
      <c r="NHA1006" s="103"/>
      <c r="NHM1006" s="104"/>
      <c r="NHN1006" s="103"/>
      <c r="NHZ1006" s="104"/>
      <c r="NIA1006" s="103"/>
      <c r="NIM1006" s="104"/>
      <c r="NIN1006" s="103"/>
      <c r="NIZ1006" s="104"/>
      <c r="NJA1006" s="103"/>
      <c r="NJM1006" s="104"/>
      <c r="NJN1006" s="103"/>
      <c r="NJZ1006" s="104"/>
      <c r="NKA1006" s="103"/>
      <c r="NKM1006" s="104"/>
      <c r="NKN1006" s="103"/>
      <c r="NKZ1006" s="104"/>
      <c r="NLA1006" s="103"/>
      <c r="NLM1006" s="104"/>
      <c r="NLN1006" s="103"/>
      <c r="NLZ1006" s="104"/>
      <c r="NMA1006" s="103"/>
      <c r="NMM1006" s="104"/>
      <c r="NMN1006" s="103"/>
      <c r="NMZ1006" s="104"/>
      <c r="NNA1006" s="103"/>
      <c r="NNM1006" s="104"/>
      <c r="NNN1006" s="103"/>
      <c r="NNZ1006" s="104"/>
      <c r="NOA1006" s="103"/>
      <c r="NOM1006" s="104"/>
      <c r="NON1006" s="103"/>
      <c r="NOZ1006" s="104"/>
      <c r="NPA1006" s="103"/>
      <c r="NPM1006" s="104"/>
      <c r="NPN1006" s="103"/>
      <c r="NPZ1006" s="104"/>
      <c r="NQA1006" s="103"/>
      <c r="NQM1006" s="104"/>
      <c r="NQN1006" s="103"/>
      <c r="NQZ1006" s="104"/>
      <c r="NRA1006" s="103"/>
      <c r="NRM1006" s="104"/>
      <c r="NRN1006" s="103"/>
      <c r="NRZ1006" s="104"/>
      <c r="NSA1006" s="103"/>
      <c r="NSM1006" s="104"/>
      <c r="NSN1006" s="103"/>
      <c r="NSZ1006" s="104"/>
      <c r="NTA1006" s="103"/>
      <c r="NTM1006" s="104"/>
      <c r="NTN1006" s="103"/>
      <c r="NTZ1006" s="104"/>
      <c r="NUA1006" s="103"/>
      <c r="NUM1006" s="104"/>
      <c r="NUN1006" s="103"/>
      <c r="NUZ1006" s="104"/>
      <c r="NVA1006" s="103"/>
      <c r="NVM1006" s="104"/>
      <c r="NVN1006" s="103"/>
      <c r="NVZ1006" s="104"/>
      <c r="NWA1006" s="103"/>
      <c r="NWM1006" s="104"/>
      <c r="NWN1006" s="103"/>
      <c r="NWZ1006" s="104"/>
      <c r="NXA1006" s="103"/>
      <c r="NXM1006" s="104"/>
      <c r="NXN1006" s="103"/>
      <c r="NXZ1006" s="104"/>
      <c r="NYA1006" s="103"/>
      <c r="NYM1006" s="104"/>
      <c r="NYN1006" s="103"/>
      <c r="NYZ1006" s="104"/>
      <c r="NZA1006" s="103"/>
      <c r="NZM1006" s="104"/>
      <c r="NZN1006" s="103"/>
      <c r="NZZ1006" s="104"/>
      <c r="OAA1006" s="103"/>
      <c r="OAM1006" s="104"/>
      <c r="OAN1006" s="103"/>
      <c r="OAZ1006" s="104"/>
      <c r="OBA1006" s="103"/>
      <c r="OBM1006" s="104"/>
      <c r="OBN1006" s="103"/>
      <c r="OBZ1006" s="104"/>
      <c r="OCA1006" s="103"/>
      <c r="OCM1006" s="104"/>
      <c r="OCN1006" s="103"/>
      <c r="OCZ1006" s="104"/>
      <c r="ODA1006" s="103"/>
      <c r="ODM1006" s="104"/>
      <c r="ODN1006" s="103"/>
      <c r="ODZ1006" s="104"/>
      <c r="OEA1006" s="103"/>
      <c r="OEM1006" s="104"/>
      <c r="OEN1006" s="103"/>
      <c r="OEZ1006" s="104"/>
      <c r="OFA1006" s="103"/>
      <c r="OFM1006" s="104"/>
      <c r="OFN1006" s="103"/>
      <c r="OFZ1006" s="104"/>
      <c r="OGA1006" s="103"/>
      <c r="OGM1006" s="104"/>
      <c r="OGN1006" s="103"/>
      <c r="OGZ1006" s="104"/>
      <c r="OHA1006" s="103"/>
      <c r="OHM1006" s="104"/>
      <c r="OHN1006" s="103"/>
      <c r="OHZ1006" s="104"/>
      <c r="OIA1006" s="103"/>
      <c r="OIM1006" s="104"/>
      <c r="OIN1006" s="103"/>
      <c r="OIZ1006" s="104"/>
      <c r="OJA1006" s="103"/>
      <c r="OJM1006" s="104"/>
      <c r="OJN1006" s="103"/>
      <c r="OJZ1006" s="104"/>
      <c r="OKA1006" s="103"/>
      <c r="OKM1006" s="104"/>
      <c r="OKN1006" s="103"/>
      <c r="OKZ1006" s="104"/>
      <c r="OLA1006" s="103"/>
      <c r="OLM1006" s="104"/>
      <c r="OLN1006" s="103"/>
      <c r="OLZ1006" s="104"/>
      <c r="OMA1006" s="103"/>
      <c r="OMM1006" s="104"/>
      <c r="OMN1006" s="103"/>
      <c r="OMZ1006" s="104"/>
      <c r="ONA1006" s="103"/>
      <c r="ONM1006" s="104"/>
      <c r="ONN1006" s="103"/>
      <c r="ONZ1006" s="104"/>
      <c r="OOA1006" s="103"/>
      <c r="OOM1006" s="104"/>
      <c r="OON1006" s="103"/>
      <c r="OOZ1006" s="104"/>
      <c r="OPA1006" s="103"/>
      <c r="OPM1006" s="104"/>
      <c r="OPN1006" s="103"/>
      <c r="OPZ1006" s="104"/>
      <c r="OQA1006" s="103"/>
      <c r="OQM1006" s="104"/>
      <c r="OQN1006" s="103"/>
      <c r="OQZ1006" s="104"/>
      <c r="ORA1006" s="103"/>
      <c r="ORM1006" s="104"/>
      <c r="ORN1006" s="103"/>
      <c r="ORZ1006" s="104"/>
      <c r="OSA1006" s="103"/>
      <c r="OSM1006" s="104"/>
      <c r="OSN1006" s="103"/>
      <c r="OSZ1006" s="104"/>
      <c r="OTA1006" s="103"/>
      <c r="OTM1006" s="104"/>
      <c r="OTN1006" s="103"/>
      <c r="OTZ1006" s="104"/>
      <c r="OUA1006" s="103"/>
      <c r="OUM1006" s="104"/>
      <c r="OUN1006" s="103"/>
      <c r="OUZ1006" s="104"/>
      <c r="OVA1006" s="103"/>
      <c r="OVM1006" s="104"/>
      <c r="OVN1006" s="103"/>
      <c r="OVZ1006" s="104"/>
      <c r="OWA1006" s="103"/>
      <c r="OWM1006" s="104"/>
      <c r="OWN1006" s="103"/>
      <c r="OWZ1006" s="104"/>
      <c r="OXA1006" s="103"/>
      <c r="OXM1006" s="104"/>
      <c r="OXN1006" s="103"/>
      <c r="OXZ1006" s="104"/>
      <c r="OYA1006" s="103"/>
      <c r="OYM1006" s="104"/>
      <c r="OYN1006" s="103"/>
      <c r="OYZ1006" s="104"/>
      <c r="OZA1006" s="103"/>
      <c r="OZM1006" s="104"/>
      <c r="OZN1006" s="103"/>
      <c r="OZZ1006" s="104"/>
      <c r="PAA1006" s="103"/>
      <c r="PAM1006" s="104"/>
      <c r="PAN1006" s="103"/>
      <c r="PAZ1006" s="104"/>
      <c r="PBA1006" s="103"/>
      <c r="PBM1006" s="104"/>
      <c r="PBN1006" s="103"/>
      <c r="PBZ1006" s="104"/>
      <c r="PCA1006" s="103"/>
      <c r="PCM1006" s="104"/>
      <c r="PCN1006" s="103"/>
      <c r="PCZ1006" s="104"/>
      <c r="PDA1006" s="103"/>
      <c r="PDM1006" s="104"/>
      <c r="PDN1006" s="103"/>
      <c r="PDZ1006" s="104"/>
      <c r="PEA1006" s="103"/>
      <c r="PEM1006" s="104"/>
      <c r="PEN1006" s="103"/>
      <c r="PEZ1006" s="104"/>
      <c r="PFA1006" s="103"/>
      <c r="PFM1006" s="104"/>
      <c r="PFN1006" s="103"/>
      <c r="PFZ1006" s="104"/>
      <c r="PGA1006" s="103"/>
      <c r="PGM1006" s="104"/>
      <c r="PGN1006" s="103"/>
      <c r="PGZ1006" s="104"/>
      <c r="PHA1006" s="103"/>
      <c r="PHM1006" s="104"/>
      <c r="PHN1006" s="103"/>
      <c r="PHZ1006" s="104"/>
      <c r="PIA1006" s="103"/>
      <c r="PIM1006" s="104"/>
      <c r="PIN1006" s="103"/>
      <c r="PIZ1006" s="104"/>
      <c r="PJA1006" s="103"/>
      <c r="PJM1006" s="104"/>
      <c r="PJN1006" s="103"/>
      <c r="PJZ1006" s="104"/>
      <c r="PKA1006" s="103"/>
      <c r="PKM1006" s="104"/>
      <c r="PKN1006" s="103"/>
      <c r="PKZ1006" s="104"/>
      <c r="PLA1006" s="103"/>
      <c r="PLM1006" s="104"/>
      <c r="PLN1006" s="103"/>
      <c r="PLZ1006" s="104"/>
      <c r="PMA1006" s="103"/>
      <c r="PMM1006" s="104"/>
      <c r="PMN1006" s="103"/>
      <c r="PMZ1006" s="104"/>
      <c r="PNA1006" s="103"/>
      <c r="PNM1006" s="104"/>
      <c r="PNN1006" s="103"/>
      <c r="PNZ1006" s="104"/>
      <c r="POA1006" s="103"/>
      <c r="POM1006" s="104"/>
      <c r="PON1006" s="103"/>
      <c r="POZ1006" s="104"/>
      <c r="PPA1006" s="103"/>
      <c r="PPM1006" s="104"/>
      <c r="PPN1006" s="103"/>
      <c r="PPZ1006" s="104"/>
      <c r="PQA1006" s="103"/>
      <c r="PQM1006" s="104"/>
      <c r="PQN1006" s="103"/>
      <c r="PQZ1006" s="104"/>
      <c r="PRA1006" s="103"/>
      <c r="PRM1006" s="104"/>
      <c r="PRN1006" s="103"/>
      <c r="PRZ1006" s="104"/>
      <c r="PSA1006" s="103"/>
      <c r="PSM1006" s="104"/>
      <c r="PSN1006" s="103"/>
      <c r="PSZ1006" s="104"/>
      <c r="PTA1006" s="103"/>
      <c r="PTM1006" s="104"/>
      <c r="PTN1006" s="103"/>
      <c r="PTZ1006" s="104"/>
      <c r="PUA1006" s="103"/>
      <c r="PUM1006" s="104"/>
      <c r="PUN1006" s="103"/>
      <c r="PUZ1006" s="104"/>
      <c r="PVA1006" s="103"/>
      <c r="PVM1006" s="104"/>
      <c r="PVN1006" s="103"/>
      <c r="PVZ1006" s="104"/>
      <c r="PWA1006" s="103"/>
      <c r="PWM1006" s="104"/>
      <c r="PWN1006" s="103"/>
      <c r="PWZ1006" s="104"/>
      <c r="PXA1006" s="103"/>
      <c r="PXM1006" s="104"/>
      <c r="PXN1006" s="103"/>
      <c r="PXZ1006" s="104"/>
      <c r="PYA1006" s="103"/>
      <c r="PYM1006" s="104"/>
      <c r="PYN1006" s="103"/>
      <c r="PYZ1006" s="104"/>
      <c r="PZA1006" s="103"/>
      <c r="PZM1006" s="104"/>
      <c r="PZN1006" s="103"/>
      <c r="PZZ1006" s="104"/>
      <c r="QAA1006" s="103"/>
      <c r="QAM1006" s="104"/>
      <c r="QAN1006" s="103"/>
      <c r="QAZ1006" s="104"/>
      <c r="QBA1006" s="103"/>
      <c r="QBM1006" s="104"/>
      <c r="QBN1006" s="103"/>
      <c r="QBZ1006" s="104"/>
      <c r="QCA1006" s="103"/>
      <c r="QCM1006" s="104"/>
      <c r="QCN1006" s="103"/>
      <c r="QCZ1006" s="104"/>
      <c r="QDA1006" s="103"/>
      <c r="QDM1006" s="104"/>
      <c r="QDN1006" s="103"/>
      <c r="QDZ1006" s="104"/>
      <c r="QEA1006" s="103"/>
      <c r="QEM1006" s="104"/>
      <c r="QEN1006" s="103"/>
      <c r="QEZ1006" s="104"/>
      <c r="QFA1006" s="103"/>
      <c r="QFM1006" s="104"/>
      <c r="QFN1006" s="103"/>
      <c r="QFZ1006" s="104"/>
      <c r="QGA1006" s="103"/>
      <c r="QGM1006" s="104"/>
      <c r="QGN1006" s="103"/>
      <c r="QGZ1006" s="104"/>
      <c r="QHA1006" s="103"/>
      <c r="QHM1006" s="104"/>
      <c r="QHN1006" s="103"/>
      <c r="QHZ1006" s="104"/>
      <c r="QIA1006" s="103"/>
      <c r="QIM1006" s="104"/>
      <c r="QIN1006" s="103"/>
      <c r="QIZ1006" s="104"/>
      <c r="QJA1006" s="103"/>
      <c r="QJM1006" s="104"/>
      <c r="QJN1006" s="103"/>
      <c r="QJZ1006" s="104"/>
      <c r="QKA1006" s="103"/>
      <c r="QKM1006" s="104"/>
      <c r="QKN1006" s="103"/>
      <c r="QKZ1006" s="104"/>
      <c r="QLA1006" s="103"/>
      <c r="QLM1006" s="104"/>
      <c r="QLN1006" s="103"/>
      <c r="QLZ1006" s="104"/>
      <c r="QMA1006" s="103"/>
      <c r="QMM1006" s="104"/>
      <c r="QMN1006" s="103"/>
      <c r="QMZ1006" s="104"/>
      <c r="QNA1006" s="103"/>
      <c r="QNM1006" s="104"/>
      <c r="QNN1006" s="103"/>
      <c r="QNZ1006" s="104"/>
      <c r="QOA1006" s="103"/>
      <c r="QOM1006" s="104"/>
      <c r="QON1006" s="103"/>
      <c r="QOZ1006" s="104"/>
      <c r="QPA1006" s="103"/>
      <c r="QPM1006" s="104"/>
      <c r="QPN1006" s="103"/>
      <c r="QPZ1006" s="104"/>
      <c r="QQA1006" s="103"/>
      <c r="QQM1006" s="104"/>
      <c r="QQN1006" s="103"/>
      <c r="QQZ1006" s="104"/>
      <c r="QRA1006" s="103"/>
      <c r="QRM1006" s="104"/>
      <c r="QRN1006" s="103"/>
      <c r="QRZ1006" s="104"/>
      <c r="QSA1006" s="103"/>
      <c r="QSM1006" s="104"/>
      <c r="QSN1006" s="103"/>
      <c r="QSZ1006" s="104"/>
      <c r="QTA1006" s="103"/>
      <c r="QTM1006" s="104"/>
      <c r="QTN1006" s="103"/>
      <c r="QTZ1006" s="104"/>
      <c r="QUA1006" s="103"/>
      <c r="QUM1006" s="104"/>
      <c r="QUN1006" s="103"/>
      <c r="QUZ1006" s="104"/>
      <c r="QVA1006" s="103"/>
      <c r="QVM1006" s="104"/>
      <c r="QVN1006" s="103"/>
      <c r="QVZ1006" s="104"/>
      <c r="QWA1006" s="103"/>
      <c r="QWM1006" s="104"/>
      <c r="QWN1006" s="103"/>
      <c r="QWZ1006" s="104"/>
      <c r="QXA1006" s="103"/>
      <c r="QXM1006" s="104"/>
      <c r="QXN1006" s="103"/>
      <c r="QXZ1006" s="104"/>
      <c r="QYA1006" s="103"/>
      <c r="QYM1006" s="104"/>
      <c r="QYN1006" s="103"/>
      <c r="QYZ1006" s="104"/>
      <c r="QZA1006" s="103"/>
      <c r="QZM1006" s="104"/>
      <c r="QZN1006" s="103"/>
      <c r="QZZ1006" s="104"/>
      <c r="RAA1006" s="103"/>
      <c r="RAM1006" s="104"/>
      <c r="RAN1006" s="103"/>
      <c r="RAZ1006" s="104"/>
      <c r="RBA1006" s="103"/>
      <c r="RBM1006" s="104"/>
      <c r="RBN1006" s="103"/>
      <c r="RBZ1006" s="104"/>
      <c r="RCA1006" s="103"/>
      <c r="RCM1006" s="104"/>
      <c r="RCN1006" s="103"/>
      <c r="RCZ1006" s="104"/>
      <c r="RDA1006" s="103"/>
      <c r="RDM1006" s="104"/>
      <c r="RDN1006" s="103"/>
      <c r="RDZ1006" s="104"/>
      <c r="REA1006" s="103"/>
      <c r="REM1006" s="104"/>
      <c r="REN1006" s="103"/>
      <c r="REZ1006" s="104"/>
      <c r="RFA1006" s="103"/>
      <c r="RFM1006" s="104"/>
      <c r="RFN1006" s="103"/>
      <c r="RFZ1006" s="104"/>
      <c r="RGA1006" s="103"/>
      <c r="RGM1006" s="104"/>
      <c r="RGN1006" s="103"/>
      <c r="RGZ1006" s="104"/>
      <c r="RHA1006" s="103"/>
      <c r="RHM1006" s="104"/>
      <c r="RHN1006" s="103"/>
      <c r="RHZ1006" s="104"/>
      <c r="RIA1006" s="103"/>
      <c r="RIM1006" s="104"/>
      <c r="RIN1006" s="103"/>
      <c r="RIZ1006" s="104"/>
      <c r="RJA1006" s="103"/>
      <c r="RJM1006" s="104"/>
      <c r="RJN1006" s="103"/>
      <c r="RJZ1006" s="104"/>
      <c r="RKA1006" s="103"/>
      <c r="RKM1006" s="104"/>
      <c r="RKN1006" s="103"/>
      <c r="RKZ1006" s="104"/>
      <c r="RLA1006" s="103"/>
      <c r="RLM1006" s="104"/>
      <c r="RLN1006" s="103"/>
      <c r="RLZ1006" s="104"/>
      <c r="RMA1006" s="103"/>
      <c r="RMM1006" s="104"/>
      <c r="RMN1006" s="103"/>
      <c r="RMZ1006" s="104"/>
      <c r="RNA1006" s="103"/>
      <c r="RNM1006" s="104"/>
      <c r="RNN1006" s="103"/>
      <c r="RNZ1006" s="104"/>
      <c r="ROA1006" s="103"/>
      <c r="ROM1006" s="104"/>
      <c r="RON1006" s="103"/>
      <c r="ROZ1006" s="104"/>
      <c r="RPA1006" s="103"/>
      <c r="RPM1006" s="104"/>
      <c r="RPN1006" s="103"/>
      <c r="RPZ1006" s="104"/>
      <c r="RQA1006" s="103"/>
      <c r="RQM1006" s="104"/>
      <c r="RQN1006" s="103"/>
      <c r="RQZ1006" s="104"/>
      <c r="RRA1006" s="103"/>
      <c r="RRM1006" s="104"/>
      <c r="RRN1006" s="103"/>
      <c r="RRZ1006" s="104"/>
      <c r="RSA1006" s="103"/>
      <c r="RSM1006" s="104"/>
      <c r="RSN1006" s="103"/>
      <c r="RSZ1006" s="104"/>
      <c r="RTA1006" s="103"/>
      <c r="RTM1006" s="104"/>
      <c r="RTN1006" s="103"/>
      <c r="RTZ1006" s="104"/>
      <c r="RUA1006" s="103"/>
      <c r="RUM1006" s="104"/>
      <c r="RUN1006" s="103"/>
      <c r="RUZ1006" s="104"/>
      <c r="RVA1006" s="103"/>
      <c r="RVM1006" s="104"/>
      <c r="RVN1006" s="103"/>
      <c r="RVZ1006" s="104"/>
      <c r="RWA1006" s="103"/>
      <c r="RWM1006" s="104"/>
      <c r="RWN1006" s="103"/>
      <c r="RWZ1006" s="104"/>
      <c r="RXA1006" s="103"/>
      <c r="RXM1006" s="104"/>
      <c r="RXN1006" s="103"/>
      <c r="RXZ1006" s="104"/>
      <c r="RYA1006" s="103"/>
      <c r="RYM1006" s="104"/>
      <c r="RYN1006" s="103"/>
      <c r="RYZ1006" s="104"/>
      <c r="RZA1006" s="103"/>
      <c r="RZM1006" s="104"/>
      <c r="RZN1006" s="103"/>
      <c r="RZZ1006" s="104"/>
      <c r="SAA1006" s="103"/>
      <c r="SAM1006" s="104"/>
      <c r="SAN1006" s="103"/>
      <c r="SAZ1006" s="104"/>
      <c r="SBA1006" s="103"/>
      <c r="SBM1006" s="104"/>
      <c r="SBN1006" s="103"/>
      <c r="SBZ1006" s="104"/>
      <c r="SCA1006" s="103"/>
      <c r="SCM1006" s="104"/>
      <c r="SCN1006" s="103"/>
      <c r="SCZ1006" s="104"/>
      <c r="SDA1006" s="103"/>
      <c r="SDM1006" s="104"/>
      <c r="SDN1006" s="103"/>
      <c r="SDZ1006" s="104"/>
      <c r="SEA1006" s="103"/>
      <c r="SEM1006" s="104"/>
      <c r="SEN1006" s="103"/>
      <c r="SEZ1006" s="104"/>
      <c r="SFA1006" s="103"/>
      <c r="SFM1006" s="104"/>
      <c r="SFN1006" s="103"/>
      <c r="SFZ1006" s="104"/>
      <c r="SGA1006" s="103"/>
      <c r="SGM1006" s="104"/>
      <c r="SGN1006" s="103"/>
      <c r="SGZ1006" s="104"/>
      <c r="SHA1006" s="103"/>
      <c r="SHM1006" s="104"/>
      <c r="SHN1006" s="103"/>
      <c r="SHZ1006" s="104"/>
      <c r="SIA1006" s="103"/>
      <c r="SIM1006" s="104"/>
      <c r="SIN1006" s="103"/>
      <c r="SIZ1006" s="104"/>
      <c r="SJA1006" s="103"/>
      <c r="SJM1006" s="104"/>
      <c r="SJN1006" s="103"/>
      <c r="SJZ1006" s="104"/>
      <c r="SKA1006" s="103"/>
      <c r="SKM1006" s="104"/>
      <c r="SKN1006" s="103"/>
      <c r="SKZ1006" s="104"/>
      <c r="SLA1006" s="103"/>
      <c r="SLM1006" s="104"/>
      <c r="SLN1006" s="103"/>
      <c r="SLZ1006" s="104"/>
      <c r="SMA1006" s="103"/>
      <c r="SMM1006" s="104"/>
      <c r="SMN1006" s="103"/>
      <c r="SMZ1006" s="104"/>
      <c r="SNA1006" s="103"/>
      <c r="SNM1006" s="104"/>
      <c r="SNN1006" s="103"/>
      <c r="SNZ1006" s="104"/>
      <c r="SOA1006" s="103"/>
      <c r="SOM1006" s="104"/>
      <c r="SON1006" s="103"/>
      <c r="SOZ1006" s="104"/>
      <c r="SPA1006" s="103"/>
      <c r="SPM1006" s="104"/>
      <c r="SPN1006" s="103"/>
      <c r="SPZ1006" s="104"/>
      <c r="SQA1006" s="103"/>
      <c r="SQM1006" s="104"/>
      <c r="SQN1006" s="103"/>
      <c r="SQZ1006" s="104"/>
      <c r="SRA1006" s="103"/>
      <c r="SRM1006" s="104"/>
      <c r="SRN1006" s="103"/>
      <c r="SRZ1006" s="104"/>
      <c r="SSA1006" s="103"/>
      <c r="SSM1006" s="104"/>
      <c r="SSN1006" s="103"/>
      <c r="SSZ1006" s="104"/>
      <c r="STA1006" s="103"/>
      <c r="STM1006" s="104"/>
      <c r="STN1006" s="103"/>
      <c r="STZ1006" s="104"/>
      <c r="SUA1006" s="103"/>
      <c r="SUM1006" s="104"/>
      <c r="SUN1006" s="103"/>
      <c r="SUZ1006" s="104"/>
      <c r="SVA1006" s="103"/>
      <c r="SVM1006" s="104"/>
      <c r="SVN1006" s="103"/>
      <c r="SVZ1006" s="104"/>
      <c r="SWA1006" s="103"/>
      <c r="SWM1006" s="104"/>
      <c r="SWN1006" s="103"/>
      <c r="SWZ1006" s="104"/>
      <c r="SXA1006" s="103"/>
      <c r="SXM1006" s="104"/>
      <c r="SXN1006" s="103"/>
      <c r="SXZ1006" s="104"/>
      <c r="SYA1006" s="103"/>
      <c r="SYM1006" s="104"/>
      <c r="SYN1006" s="103"/>
      <c r="SYZ1006" s="104"/>
      <c r="SZA1006" s="103"/>
      <c r="SZM1006" s="104"/>
      <c r="SZN1006" s="103"/>
      <c r="SZZ1006" s="104"/>
      <c r="TAA1006" s="103"/>
      <c r="TAM1006" s="104"/>
      <c r="TAN1006" s="103"/>
      <c r="TAZ1006" s="104"/>
      <c r="TBA1006" s="103"/>
      <c r="TBM1006" s="104"/>
      <c r="TBN1006" s="103"/>
      <c r="TBZ1006" s="104"/>
      <c r="TCA1006" s="103"/>
      <c r="TCM1006" s="104"/>
      <c r="TCN1006" s="103"/>
      <c r="TCZ1006" s="104"/>
      <c r="TDA1006" s="103"/>
      <c r="TDM1006" s="104"/>
      <c r="TDN1006" s="103"/>
      <c r="TDZ1006" s="104"/>
      <c r="TEA1006" s="103"/>
      <c r="TEM1006" s="104"/>
      <c r="TEN1006" s="103"/>
      <c r="TEZ1006" s="104"/>
      <c r="TFA1006" s="103"/>
      <c r="TFM1006" s="104"/>
      <c r="TFN1006" s="103"/>
      <c r="TFZ1006" s="104"/>
      <c r="TGA1006" s="103"/>
      <c r="TGM1006" s="104"/>
      <c r="TGN1006" s="103"/>
      <c r="TGZ1006" s="104"/>
      <c r="THA1006" s="103"/>
      <c r="THM1006" s="104"/>
      <c r="THN1006" s="103"/>
      <c r="THZ1006" s="104"/>
      <c r="TIA1006" s="103"/>
      <c r="TIM1006" s="104"/>
      <c r="TIN1006" s="103"/>
      <c r="TIZ1006" s="104"/>
      <c r="TJA1006" s="103"/>
      <c r="TJM1006" s="104"/>
      <c r="TJN1006" s="103"/>
      <c r="TJZ1006" s="104"/>
      <c r="TKA1006" s="103"/>
      <c r="TKM1006" s="104"/>
      <c r="TKN1006" s="103"/>
      <c r="TKZ1006" s="104"/>
      <c r="TLA1006" s="103"/>
      <c r="TLM1006" s="104"/>
      <c r="TLN1006" s="103"/>
      <c r="TLZ1006" s="104"/>
      <c r="TMA1006" s="103"/>
      <c r="TMM1006" s="104"/>
      <c r="TMN1006" s="103"/>
      <c r="TMZ1006" s="104"/>
      <c r="TNA1006" s="103"/>
      <c r="TNM1006" s="104"/>
      <c r="TNN1006" s="103"/>
      <c r="TNZ1006" s="104"/>
      <c r="TOA1006" s="103"/>
      <c r="TOM1006" s="104"/>
      <c r="TON1006" s="103"/>
      <c r="TOZ1006" s="104"/>
      <c r="TPA1006" s="103"/>
      <c r="TPM1006" s="104"/>
      <c r="TPN1006" s="103"/>
      <c r="TPZ1006" s="104"/>
      <c r="TQA1006" s="103"/>
      <c r="TQM1006" s="104"/>
      <c r="TQN1006" s="103"/>
      <c r="TQZ1006" s="104"/>
      <c r="TRA1006" s="103"/>
      <c r="TRM1006" s="104"/>
      <c r="TRN1006" s="103"/>
      <c r="TRZ1006" s="104"/>
      <c r="TSA1006" s="103"/>
      <c r="TSM1006" s="104"/>
      <c r="TSN1006" s="103"/>
      <c r="TSZ1006" s="104"/>
      <c r="TTA1006" s="103"/>
      <c r="TTM1006" s="104"/>
      <c r="TTN1006" s="103"/>
      <c r="TTZ1006" s="104"/>
      <c r="TUA1006" s="103"/>
      <c r="TUM1006" s="104"/>
      <c r="TUN1006" s="103"/>
      <c r="TUZ1006" s="104"/>
      <c r="TVA1006" s="103"/>
      <c r="TVM1006" s="104"/>
      <c r="TVN1006" s="103"/>
      <c r="TVZ1006" s="104"/>
      <c r="TWA1006" s="103"/>
      <c r="TWM1006" s="104"/>
      <c r="TWN1006" s="103"/>
      <c r="TWZ1006" s="104"/>
      <c r="TXA1006" s="103"/>
      <c r="TXM1006" s="104"/>
      <c r="TXN1006" s="103"/>
      <c r="TXZ1006" s="104"/>
      <c r="TYA1006" s="103"/>
      <c r="TYM1006" s="104"/>
      <c r="TYN1006" s="103"/>
      <c r="TYZ1006" s="104"/>
      <c r="TZA1006" s="103"/>
      <c r="TZM1006" s="104"/>
      <c r="TZN1006" s="103"/>
      <c r="TZZ1006" s="104"/>
      <c r="UAA1006" s="103"/>
      <c r="UAM1006" s="104"/>
      <c r="UAN1006" s="103"/>
      <c r="UAZ1006" s="104"/>
      <c r="UBA1006" s="103"/>
      <c r="UBM1006" s="104"/>
      <c r="UBN1006" s="103"/>
      <c r="UBZ1006" s="104"/>
      <c r="UCA1006" s="103"/>
      <c r="UCM1006" s="104"/>
      <c r="UCN1006" s="103"/>
      <c r="UCZ1006" s="104"/>
      <c r="UDA1006" s="103"/>
      <c r="UDM1006" s="104"/>
      <c r="UDN1006" s="103"/>
      <c r="UDZ1006" s="104"/>
      <c r="UEA1006" s="103"/>
      <c r="UEM1006" s="104"/>
      <c r="UEN1006" s="103"/>
      <c r="UEZ1006" s="104"/>
      <c r="UFA1006" s="103"/>
      <c r="UFM1006" s="104"/>
      <c r="UFN1006" s="103"/>
      <c r="UFZ1006" s="104"/>
      <c r="UGA1006" s="103"/>
      <c r="UGM1006" s="104"/>
      <c r="UGN1006" s="103"/>
      <c r="UGZ1006" s="104"/>
      <c r="UHA1006" s="103"/>
      <c r="UHM1006" s="104"/>
      <c r="UHN1006" s="103"/>
      <c r="UHZ1006" s="104"/>
      <c r="UIA1006" s="103"/>
      <c r="UIM1006" s="104"/>
      <c r="UIN1006" s="103"/>
      <c r="UIZ1006" s="104"/>
      <c r="UJA1006" s="103"/>
      <c r="UJM1006" s="104"/>
      <c r="UJN1006" s="103"/>
      <c r="UJZ1006" s="104"/>
      <c r="UKA1006" s="103"/>
      <c r="UKM1006" s="104"/>
      <c r="UKN1006" s="103"/>
      <c r="UKZ1006" s="104"/>
      <c r="ULA1006" s="103"/>
      <c r="ULM1006" s="104"/>
      <c r="ULN1006" s="103"/>
      <c r="ULZ1006" s="104"/>
      <c r="UMA1006" s="103"/>
      <c r="UMM1006" s="104"/>
      <c r="UMN1006" s="103"/>
      <c r="UMZ1006" s="104"/>
      <c r="UNA1006" s="103"/>
      <c r="UNM1006" s="104"/>
      <c r="UNN1006" s="103"/>
      <c r="UNZ1006" s="104"/>
      <c r="UOA1006" s="103"/>
      <c r="UOM1006" s="104"/>
      <c r="UON1006" s="103"/>
      <c r="UOZ1006" s="104"/>
      <c r="UPA1006" s="103"/>
      <c r="UPM1006" s="104"/>
      <c r="UPN1006" s="103"/>
      <c r="UPZ1006" s="104"/>
      <c r="UQA1006" s="103"/>
      <c r="UQM1006" s="104"/>
      <c r="UQN1006" s="103"/>
      <c r="UQZ1006" s="104"/>
      <c r="URA1006" s="103"/>
      <c r="URM1006" s="104"/>
      <c r="URN1006" s="103"/>
      <c r="URZ1006" s="104"/>
      <c r="USA1006" s="103"/>
      <c r="USM1006" s="104"/>
      <c r="USN1006" s="103"/>
      <c r="USZ1006" s="104"/>
      <c r="UTA1006" s="103"/>
      <c r="UTM1006" s="104"/>
      <c r="UTN1006" s="103"/>
      <c r="UTZ1006" s="104"/>
      <c r="UUA1006" s="103"/>
      <c r="UUM1006" s="104"/>
      <c r="UUN1006" s="103"/>
      <c r="UUZ1006" s="104"/>
      <c r="UVA1006" s="103"/>
      <c r="UVM1006" s="104"/>
      <c r="UVN1006" s="103"/>
      <c r="UVZ1006" s="104"/>
      <c r="UWA1006" s="103"/>
      <c r="UWM1006" s="104"/>
      <c r="UWN1006" s="103"/>
      <c r="UWZ1006" s="104"/>
      <c r="UXA1006" s="103"/>
      <c r="UXM1006" s="104"/>
      <c r="UXN1006" s="103"/>
      <c r="UXZ1006" s="104"/>
      <c r="UYA1006" s="103"/>
      <c r="UYM1006" s="104"/>
      <c r="UYN1006" s="103"/>
      <c r="UYZ1006" s="104"/>
      <c r="UZA1006" s="103"/>
      <c r="UZM1006" s="104"/>
      <c r="UZN1006" s="103"/>
      <c r="UZZ1006" s="104"/>
      <c r="VAA1006" s="103"/>
      <c r="VAM1006" s="104"/>
      <c r="VAN1006" s="103"/>
      <c r="VAZ1006" s="104"/>
      <c r="VBA1006" s="103"/>
      <c r="VBM1006" s="104"/>
      <c r="VBN1006" s="103"/>
      <c r="VBZ1006" s="104"/>
      <c r="VCA1006" s="103"/>
      <c r="VCM1006" s="104"/>
      <c r="VCN1006" s="103"/>
      <c r="VCZ1006" s="104"/>
      <c r="VDA1006" s="103"/>
      <c r="VDM1006" s="104"/>
      <c r="VDN1006" s="103"/>
      <c r="VDZ1006" s="104"/>
      <c r="VEA1006" s="103"/>
      <c r="VEM1006" s="104"/>
      <c r="VEN1006" s="103"/>
      <c r="VEZ1006" s="104"/>
      <c r="VFA1006" s="103"/>
      <c r="VFM1006" s="104"/>
      <c r="VFN1006" s="103"/>
      <c r="VFZ1006" s="104"/>
      <c r="VGA1006" s="103"/>
      <c r="VGM1006" s="104"/>
      <c r="VGN1006" s="103"/>
      <c r="VGZ1006" s="104"/>
      <c r="VHA1006" s="103"/>
      <c r="VHM1006" s="104"/>
      <c r="VHN1006" s="103"/>
      <c r="VHZ1006" s="104"/>
      <c r="VIA1006" s="103"/>
      <c r="VIM1006" s="104"/>
      <c r="VIN1006" s="103"/>
      <c r="VIZ1006" s="104"/>
      <c r="VJA1006" s="103"/>
      <c r="VJM1006" s="104"/>
      <c r="VJN1006" s="103"/>
      <c r="VJZ1006" s="104"/>
      <c r="VKA1006" s="103"/>
      <c r="VKM1006" s="104"/>
      <c r="VKN1006" s="103"/>
      <c r="VKZ1006" s="104"/>
      <c r="VLA1006" s="103"/>
      <c r="VLM1006" s="104"/>
      <c r="VLN1006" s="103"/>
      <c r="VLZ1006" s="104"/>
      <c r="VMA1006" s="103"/>
      <c r="VMM1006" s="104"/>
      <c r="VMN1006" s="103"/>
      <c r="VMZ1006" s="104"/>
      <c r="VNA1006" s="103"/>
      <c r="VNM1006" s="104"/>
      <c r="VNN1006" s="103"/>
      <c r="VNZ1006" s="104"/>
      <c r="VOA1006" s="103"/>
      <c r="VOM1006" s="104"/>
      <c r="VON1006" s="103"/>
      <c r="VOZ1006" s="104"/>
      <c r="VPA1006" s="103"/>
      <c r="VPM1006" s="104"/>
      <c r="VPN1006" s="103"/>
      <c r="VPZ1006" s="104"/>
      <c r="VQA1006" s="103"/>
      <c r="VQM1006" s="104"/>
      <c r="VQN1006" s="103"/>
      <c r="VQZ1006" s="104"/>
      <c r="VRA1006" s="103"/>
      <c r="VRM1006" s="104"/>
      <c r="VRN1006" s="103"/>
      <c r="VRZ1006" s="104"/>
      <c r="VSA1006" s="103"/>
      <c r="VSM1006" s="104"/>
      <c r="VSN1006" s="103"/>
      <c r="VSZ1006" s="104"/>
      <c r="VTA1006" s="103"/>
      <c r="VTM1006" s="104"/>
      <c r="VTN1006" s="103"/>
      <c r="VTZ1006" s="104"/>
      <c r="VUA1006" s="103"/>
      <c r="VUM1006" s="104"/>
      <c r="VUN1006" s="103"/>
      <c r="VUZ1006" s="104"/>
      <c r="VVA1006" s="103"/>
      <c r="VVM1006" s="104"/>
      <c r="VVN1006" s="103"/>
      <c r="VVZ1006" s="104"/>
      <c r="VWA1006" s="103"/>
      <c r="VWM1006" s="104"/>
      <c r="VWN1006" s="103"/>
      <c r="VWZ1006" s="104"/>
      <c r="VXA1006" s="103"/>
      <c r="VXM1006" s="104"/>
      <c r="VXN1006" s="103"/>
      <c r="VXZ1006" s="104"/>
      <c r="VYA1006" s="103"/>
      <c r="VYM1006" s="104"/>
      <c r="VYN1006" s="103"/>
      <c r="VYZ1006" s="104"/>
      <c r="VZA1006" s="103"/>
      <c r="VZM1006" s="104"/>
      <c r="VZN1006" s="103"/>
      <c r="VZZ1006" s="104"/>
      <c r="WAA1006" s="103"/>
      <c r="WAM1006" s="104"/>
      <c r="WAN1006" s="103"/>
      <c r="WAZ1006" s="104"/>
      <c r="WBA1006" s="103"/>
      <c r="WBM1006" s="104"/>
      <c r="WBN1006" s="103"/>
      <c r="WBZ1006" s="104"/>
      <c r="WCA1006" s="103"/>
      <c r="WCM1006" s="104"/>
      <c r="WCN1006" s="103"/>
      <c r="WCZ1006" s="104"/>
      <c r="WDA1006" s="103"/>
      <c r="WDM1006" s="104"/>
      <c r="WDN1006" s="103"/>
      <c r="WDZ1006" s="104"/>
      <c r="WEA1006" s="103"/>
      <c r="WEM1006" s="104"/>
      <c r="WEN1006" s="103"/>
      <c r="WEZ1006" s="104"/>
      <c r="WFA1006" s="103"/>
      <c r="WFM1006" s="104"/>
      <c r="WFN1006" s="103"/>
      <c r="WFZ1006" s="104"/>
      <c r="WGA1006" s="103"/>
      <c r="WGM1006" s="104"/>
      <c r="WGN1006" s="103"/>
      <c r="WGZ1006" s="104"/>
      <c r="WHA1006" s="103"/>
      <c r="WHM1006" s="104"/>
      <c r="WHN1006" s="103"/>
      <c r="WHZ1006" s="104"/>
      <c r="WIA1006" s="103"/>
      <c r="WIM1006" s="104"/>
      <c r="WIN1006" s="103"/>
      <c r="WIZ1006" s="104"/>
      <c r="WJA1006" s="103"/>
      <c r="WJM1006" s="104"/>
      <c r="WJN1006" s="103"/>
      <c r="WJZ1006" s="104"/>
      <c r="WKA1006" s="103"/>
      <c r="WKM1006" s="104"/>
      <c r="WKN1006" s="103"/>
      <c r="WKZ1006" s="104"/>
      <c r="WLA1006" s="103"/>
      <c r="WLM1006" s="104"/>
      <c r="WLN1006" s="103"/>
      <c r="WLZ1006" s="104"/>
      <c r="WMA1006" s="103"/>
      <c r="WMM1006" s="104"/>
      <c r="WMN1006" s="103"/>
      <c r="WMZ1006" s="104"/>
      <c r="WNA1006" s="103"/>
      <c r="WNM1006" s="104"/>
      <c r="WNN1006" s="103"/>
      <c r="WNZ1006" s="104"/>
      <c r="WOA1006" s="103"/>
      <c r="WOM1006" s="104"/>
      <c r="WON1006" s="103"/>
      <c r="WOZ1006" s="104"/>
      <c r="WPA1006" s="103"/>
      <c r="WPM1006" s="104"/>
      <c r="WPN1006" s="103"/>
      <c r="WPZ1006" s="104"/>
      <c r="WQA1006" s="103"/>
      <c r="WQM1006" s="104"/>
      <c r="WQN1006" s="103"/>
      <c r="WQZ1006" s="104"/>
      <c r="WRA1006" s="103"/>
      <c r="WRM1006" s="104"/>
      <c r="WRN1006" s="103"/>
      <c r="WRZ1006" s="104"/>
      <c r="WSA1006" s="103"/>
      <c r="WSM1006" s="104"/>
      <c r="WSN1006" s="103"/>
      <c r="WSZ1006" s="104"/>
      <c r="WTA1006" s="103"/>
      <c r="WTM1006" s="104"/>
      <c r="WTN1006" s="103"/>
      <c r="WTZ1006" s="104"/>
      <c r="WUA1006" s="103"/>
      <c r="WUM1006" s="104"/>
      <c r="WUN1006" s="103"/>
      <c r="WUZ1006" s="104"/>
      <c r="WVA1006" s="103"/>
      <c r="WVM1006" s="104"/>
      <c r="WVN1006" s="103"/>
      <c r="WVZ1006" s="104"/>
      <c r="WWA1006" s="103"/>
      <c r="WWM1006" s="104"/>
      <c r="WWN1006" s="103"/>
      <c r="WWZ1006" s="104"/>
      <c r="WXA1006" s="103"/>
      <c r="WXM1006" s="104"/>
      <c r="WXN1006" s="103"/>
      <c r="WXZ1006" s="104"/>
      <c r="WYA1006" s="103"/>
      <c r="WYM1006" s="104"/>
      <c r="WYN1006" s="103"/>
      <c r="WYZ1006" s="104"/>
      <c r="WZA1006" s="103"/>
      <c r="WZM1006" s="104"/>
      <c r="WZN1006" s="103"/>
      <c r="WZZ1006" s="104"/>
      <c r="XAA1006" s="103"/>
      <c r="XAM1006" s="104"/>
      <c r="XAN1006" s="103"/>
      <c r="XAZ1006" s="104"/>
      <c r="XBA1006" s="103"/>
      <c r="XBM1006" s="104"/>
      <c r="XBN1006" s="103"/>
      <c r="XBZ1006" s="104"/>
      <c r="XCA1006" s="103"/>
      <c r="XCM1006" s="104"/>
      <c r="XCN1006" s="103"/>
      <c r="XCZ1006" s="104"/>
      <c r="XDA1006" s="103"/>
      <c r="XDM1006" s="104"/>
      <c r="XDN1006" s="103"/>
      <c r="XDZ1006" s="104"/>
      <c r="XEA1006" s="103"/>
      <c r="XEM1006" s="104"/>
      <c r="XEN1006" s="103"/>
      <c r="XEZ1006" s="104"/>
      <c r="XFA1006" s="103"/>
    </row>
    <row r="1007" spans="1:1015 1027:2042 2054:3069 3081:4096 4108:5110 5122:6137 6149:7164 7176:8191 8203:9205 9217:10232 10244:11259 11271:12286 12298:14327 14339:15354 15366:16381">
      <c r="B1007" s="115" t="s">
        <v>91</v>
      </c>
      <c r="C1007" s="112">
        <v>0</v>
      </c>
      <c r="D1007" s="113">
        <f t="shared" ref="D1007:D1025" si="41">C1007*$N$1000</f>
        <v>0</v>
      </c>
      <c r="E1007" s="114"/>
      <c r="F1007" s="114"/>
      <c r="AM1007" s="104"/>
      <c r="AN1007" s="103"/>
      <c r="AZ1007" s="104"/>
      <c r="BA1007" s="103"/>
      <c r="BM1007" s="104"/>
      <c r="BN1007" s="103"/>
      <c r="BZ1007" s="104"/>
      <c r="CA1007" s="103"/>
      <c r="CM1007" s="104"/>
      <c r="CN1007" s="103"/>
      <c r="CZ1007" s="104"/>
      <c r="DA1007" s="103"/>
      <c r="DM1007" s="104"/>
      <c r="DN1007" s="103"/>
      <c r="DZ1007" s="104"/>
      <c r="EA1007" s="103"/>
      <c r="EM1007" s="104"/>
      <c r="EN1007" s="103"/>
      <c r="EZ1007" s="104"/>
      <c r="FA1007" s="103"/>
      <c r="FM1007" s="104"/>
      <c r="FN1007" s="103"/>
      <c r="FZ1007" s="104"/>
      <c r="GA1007" s="103"/>
      <c r="GM1007" s="104"/>
      <c r="GN1007" s="103"/>
      <c r="GZ1007" s="104"/>
      <c r="HA1007" s="103"/>
      <c r="HM1007" s="104"/>
      <c r="HN1007" s="103"/>
      <c r="HZ1007" s="104"/>
      <c r="IA1007" s="103"/>
      <c r="IM1007" s="104"/>
      <c r="IN1007" s="103"/>
      <c r="IZ1007" s="104"/>
      <c r="JA1007" s="103"/>
      <c r="JM1007" s="104"/>
      <c r="JN1007" s="103"/>
      <c r="JZ1007" s="104"/>
      <c r="KA1007" s="103"/>
      <c r="KM1007" s="104"/>
      <c r="KN1007" s="103"/>
      <c r="KZ1007" s="104"/>
      <c r="LA1007" s="103"/>
      <c r="LM1007" s="104"/>
      <c r="LN1007" s="103"/>
      <c r="LZ1007" s="104"/>
      <c r="MA1007" s="103"/>
      <c r="MM1007" s="104"/>
      <c r="MN1007" s="103"/>
      <c r="MZ1007" s="104"/>
      <c r="NA1007" s="103"/>
      <c r="NM1007" s="104"/>
      <c r="NN1007" s="103"/>
      <c r="NZ1007" s="104"/>
      <c r="OA1007" s="103"/>
      <c r="OM1007" s="104"/>
      <c r="ON1007" s="103"/>
      <c r="OZ1007" s="104"/>
      <c r="PA1007" s="103"/>
      <c r="PM1007" s="104"/>
      <c r="PN1007" s="103"/>
      <c r="PZ1007" s="104"/>
      <c r="QA1007" s="103"/>
      <c r="QM1007" s="104"/>
      <c r="QN1007" s="103"/>
      <c r="QZ1007" s="104"/>
      <c r="RA1007" s="103"/>
      <c r="RM1007" s="104"/>
      <c r="RN1007" s="103"/>
      <c r="RZ1007" s="104"/>
      <c r="SA1007" s="103"/>
      <c r="SM1007" s="104"/>
      <c r="SN1007" s="103"/>
      <c r="SZ1007" s="104"/>
      <c r="TA1007" s="103"/>
      <c r="TM1007" s="104"/>
      <c r="TN1007" s="103"/>
      <c r="TZ1007" s="104"/>
      <c r="UA1007" s="103"/>
      <c r="UM1007" s="104"/>
      <c r="UN1007" s="103"/>
      <c r="UZ1007" s="104"/>
      <c r="VA1007" s="103"/>
      <c r="VM1007" s="104"/>
      <c r="VN1007" s="103"/>
      <c r="VZ1007" s="104"/>
      <c r="WA1007" s="103"/>
      <c r="WM1007" s="104"/>
      <c r="WN1007" s="103"/>
      <c r="WZ1007" s="104"/>
      <c r="XA1007" s="103"/>
      <c r="XM1007" s="104"/>
      <c r="XN1007" s="103"/>
      <c r="XZ1007" s="104"/>
      <c r="YA1007" s="103"/>
      <c r="YM1007" s="104"/>
      <c r="YN1007" s="103"/>
      <c r="YZ1007" s="104"/>
      <c r="ZA1007" s="103"/>
      <c r="ZM1007" s="104"/>
      <c r="ZN1007" s="103"/>
      <c r="ZZ1007" s="104"/>
      <c r="AAA1007" s="103"/>
      <c r="AAM1007" s="104"/>
      <c r="AAN1007" s="103"/>
      <c r="AAZ1007" s="104"/>
      <c r="ABA1007" s="103"/>
      <c r="ABM1007" s="104"/>
      <c r="ABN1007" s="103"/>
      <c r="ABZ1007" s="104"/>
      <c r="ACA1007" s="103"/>
      <c r="ACM1007" s="104"/>
      <c r="ACN1007" s="103"/>
      <c r="ACZ1007" s="104"/>
      <c r="ADA1007" s="103"/>
      <c r="ADM1007" s="104"/>
      <c r="ADN1007" s="103"/>
      <c r="ADZ1007" s="104"/>
      <c r="AEA1007" s="103"/>
      <c r="AEM1007" s="104"/>
      <c r="AEN1007" s="103"/>
      <c r="AEZ1007" s="104"/>
      <c r="AFA1007" s="103"/>
      <c r="AFM1007" s="104"/>
      <c r="AFN1007" s="103"/>
      <c r="AFZ1007" s="104"/>
      <c r="AGA1007" s="103"/>
      <c r="AGM1007" s="104"/>
      <c r="AGN1007" s="103"/>
      <c r="AGZ1007" s="104"/>
      <c r="AHA1007" s="103"/>
      <c r="AHM1007" s="104"/>
      <c r="AHN1007" s="103"/>
      <c r="AHZ1007" s="104"/>
      <c r="AIA1007" s="103"/>
      <c r="AIM1007" s="104"/>
      <c r="AIN1007" s="103"/>
      <c r="AIZ1007" s="104"/>
      <c r="AJA1007" s="103"/>
      <c r="AJM1007" s="104"/>
      <c r="AJN1007" s="103"/>
      <c r="AJZ1007" s="104"/>
      <c r="AKA1007" s="103"/>
      <c r="AKM1007" s="104"/>
      <c r="AKN1007" s="103"/>
      <c r="AKZ1007" s="104"/>
      <c r="ALA1007" s="103"/>
      <c r="ALM1007" s="104"/>
      <c r="ALN1007" s="103"/>
      <c r="ALZ1007" s="104"/>
      <c r="AMA1007" s="103"/>
      <c r="AMM1007" s="104"/>
      <c r="AMN1007" s="103"/>
      <c r="AMZ1007" s="104"/>
      <c r="ANA1007" s="103"/>
      <c r="ANM1007" s="104"/>
      <c r="ANN1007" s="103"/>
      <c r="ANZ1007" s="104"/>
      <c r="AOA1007" s="103"/>
      <c r="AOM1007" s="104"/>
      <c r="AON1007" s="103"/>
      <c r="AOZ1007" s="104"/>
      <c r="APA1007" s="103"/>
      <c r="APM1007" s="104"/>
      <c r="APN1007" s="103"/>
      <c r="APZ1007" s="104"/>
      <c r="AQA1007" s="103"/>
      <c r="AQM1007" s="104"/>
      <c r="AQN1007" s="103"/>
      <c r="AQZ1007" s="104"/>
      <c r="ARA1007" s="103"/>
      <c r="ARM1007" s="104"/>
      <c r="ARN1007" s="103"/>
      <c r="ARZ1007" s="104"/>
      <c r="ASA1007" s="103"/>
      <c r="ASM1007" s="104"/>
      <c r="ASN1007" s="103"/>
      <c r="ASZ1007" s="104"/>
      <c r="ATA1007" s="103"/>
      <c r="ATM1007" s="104"/>
      <c r="ATN1007" s="103"/>
      <c r="ATZ1007" s="104"/>
      <c r="AUA1007" s="103"/>
      <c r="AUM1007" s="104"/>
      <c r="AUN1007" s="103"/>
      <c r="AUZ1007" s="104"/>
      <c r="AVA1007" s="103"/>
      <c r="AVM1007" s="104"/>
      <c r="AVN1007" s="103"/>
      <c r="AVZ1007" s="104"/>
      <c r="AWA1007" s="103"/>
      <c r="AWM1007" s="104"/>
      <c r="AWN1007" s="103"/>
      <c r="AWZ1007" s="104"/>
      <c r="AXA1007" s="103"/>
      <c r="AXM1007" s="104"/>
      <c r="AXN1007" s="103"/>
      <c r="AXZ1007" s="104"/>
      <c r="AYA1007" s="103"/>
      <c r="AYM1007" s="104"/>
      <c r="AYN1007" s="103"/>
      <c r="AYZ1007" s="104"/>
      <c r="AZA1007" s="103"/>
      <c r="AZM1007" s="104"/>
      <c r="AZN1007" s="103"/>
      <c r="AZZ1007" s="104"/>
      <c r="BAA1007" s="103"/>
      <c r="BAM1007" s="104"/>
      <c r="BAN1007" s="103"/>
      <c r="BAZ1007" s="104"/>
      <c r="BBA1007" s="103"/>
      <c r="BBM1007" s="104"/>
      <c r="BBN1007" s="103"/>
      <c r="BBZ1007" s="104"/>
      <c r="BCA1007" s="103"/>
      <c r="BCM1007" s="104"/>
      <c r="BCN1007" s="103"/>
      <c r="BCZ1007" s="104"/>
      <c r="BDA1007" s="103"/>
      <c r="BDM1007" s="104"/>
      <c r="BDN1007" s="103"/>
      <c r="BDZ1007" s="104"/>
      <c r="BEA1007" s="103"/>
      <c r="BEM1007" s="104"/>
      <c r="BEN1007" s="103"/>
      <c r="BEZ1007" s="104"/>
      <c r="BFA1007" s="103"/>
      <c r="BFM1007" s="104"/>
      <c r="BFN1007" s="103"/>
      <c r="BFZ1007" s="104"/>
      <c r="BGA1007" s="103"/>
      <c r="BGM1007" s="104"/>
      <c r="BGN1007" s="103"/>
      <c r="BGZ1007" s="104"/>
      <c r="BHA1007" s="103"/>
      <c r="BHM1007" s="104"/>
      <c r="BHN1007" s="103"/>
      <c r="BHZ1007" s="104"/>
      <c r="BIA1007" s="103"/>
      <c r="BIM1007" s="104"/>
      <c r="BIN1007" s="103"/>
      <c r="BIZ1007" s="104"/>
      <c r="BJA1007" s="103"/>
      <c r="BJM1007" s="104"/>
      <c r="BJN1007" s="103"/>
      <c r="BJZ1007" s="104"/>
      <c r="BKA1007" s="103"/>
      <c r="BKM1007" s="104"/>
      <c r="BKN1007" s="103"/>
      <c r="BKZ1007" s="104"/>
      <c r="BLA1007" s="103"/>
      <c r="BLM1007" s="104"/>
      <c r="BLN1007" s="103"/>
      <c r="BLZ1007" s="104"/>
      <c r="BMA1007" s="103"/>
      <c r="BMM1007" s="104"/>
      <c r="BMN1007" s="103"/>
      <c r="BMZ1007" s="104"/>
      <c r="BNA1007" s="103"/>
      <c r="BNM1007" s="104"/>
      <c r="BNN1007" s="103"/>
      <c r="BNZ1007" s="104"/>
      <c r="BOA1007" s="103"/>
      <c r="BOM1007" s="104"/>
      <c r="BON1007" s="103"/>
      <c r="BOZ1007" s="104"/>
      <c r="BPA1007" s="103"/>
      <c r="BPM1007" s="104"/>
      <c r="BPN1007" s="103"/>
      <c r="BPZ1007" s="104"/>
      <c r="BQA1007" s="103"/>
      <c r="BQM1007" s="104"/>
      <c r="BQN1007" s="103"/>
      <c r="BQZ1007" s="104"/>
      <c r="BRA1007" s="103"/>
      <c r="BRM1007" s="104"/>
      <c r="BRN1007" s="103"/>
      <c r="BRZ1007" s="104"/>
      <c r="BSA1007" s="103"/>
      <c r="BSM1007" s="104"/>
      <c r="BSN1007" s="103"/>
      <c r="BSZ1007" s="104"/>
      <c r="BTA1007" s="103"/>
      <c r="BTM1007" s="104"/>
      <c r="BTN1007" s="103"/>
      <c r="BTZ1007" s="104"/>
      <c r="BUA1007" s="103"/>
      <c r="BUM1007" s="104"/>
      <c r="BUN1007" s="103"/>
      <c r="BUZ1007" s="104"/>
      <c r="BVA1007" s="103"/>
      <c r="BVM1007" s="104"/>
      <c r="BVN1007" s="103"/>
      <c r="BVZ1007" s="104"/>
      <c r="BWA1007" s="103"/>
      <c r="BWM1007" s="104"/>
      <c r="BWN1007" s="103"/>
      <c r="BWZ1007" s="104"/>
      <c r="BXA1007" s="103"/>
      <c r="BXM1007" s="104"/>
      <c r="BXN1007" s="103"/>
      <c r="BXZ1007" s="104"/>
      <c r="BYA1007" s="103"/>
      <c r="BYM1007" s="104"/>
      <c r="BYN1007" s="103"/>
      <c r="BYZ1007" s="104"/>
      <c r="BZA1007" s="103"/>
      <c r="BZM1007" s="104"/>
      <c r="BZN1007" s="103"/>
      <c r="BZZ1007" s="104"/>
      <c r="CAA1007" s="103"/>
      <c r="CAM1007" s="104"/>
      <c r="CAN1007" s="103"/>
      <c r="CAZ1007" s="104"/>
      <c r="CBA1007" s="103"/>
      <c r="CBM1007" s="104"/>
      <c r="CBN1007" s="103"/>
      <c r="CBZ1007" s="104"/>
      <c r="CCA1007" s="103"/>
      <c r="CCM1007" s="104"/>
      <c r="CCN1007" s="103"/>
      <c r="CCZ1007" s="104"/>
      <c r="CDA1007" s="103"/>
      <c r="CDM1007" s="104"/>
      <c r="CDN1007" s="103"/>
      <c r="CDZ1007" s="104"/>
      <c r="CEA1007" s="103"/>
      <c r="CEM1007" s="104"/>
      <c r="CEN1007" s="103"/>
      <c r="CEZ1007" s="104"/>
      <c r="CFA1007" s="103"/>
      <c r="CFM1007" s="104"/>
      <c r="CFN1007" s="103"/>
      <c r="CFZ1007" s="104"/>
      <c r="CGA1007" s="103"/>
      <c r="CGM1007" s="104"/>
      <c r="CGN1007" s="103"/>
      <c r="CGZ1007" s="104"/>
      <c r="CHA1007" s="103"/>
      <c r="CHM1007" s="104"/>
      <c r="CHN1007" s="103"/>
      <c r="CHZ1007" s="104"/>
      <c r="CIA1007" s="103"/>
      <c r="CIM1007" s="104"/>
      <c r="CIN1007" s="103"/>
      <c r="CIZ1007" s="104"/>
      <c r="CJA1007" s="103"/>
      <c r="CJM1007" s="104"/>
      <c r="CJN1007" s="103"/>
      <c r="CJZ1007" s="104"/>
      <c r="CKA1007" s="103"/>
      <c r="CKM1007" s="104"/>
      <c r="CKN1007" s="103"/>
      <c r="CKZ1007" s="104"/>
      <c r="CLA1007" s="103"/>
      <c r="CLM1007" s="104"/>
      <c r="CLN1007" s="103"/>
      <c r="CLZ1007" s="104"/>
      <c r="CMA1007" s="103"/>
      <c r="CMM1007" s="104"/>
      <c r="CMN1007" s="103"/>
      <c r="CMZ1007" s="104"/>
      <c r="CNA1007" s="103"/>
      <c r="CNM1007" s="104"/>
      <c r="CNN1007" s="103"/>
      <c r="CNZ1007" s="104"/>
      <c r="COA1007" s="103"/>
      <c r="COM1007" s="104"/>
      <c r="CON1007" s="103"/>
      <c r="COZ1007" s="104"/>
      <c r="CPA1007" s="103"/>
      <c r="CPM1007" s="104"/>
      <c r="CPN1007" s="103"/>
      <c r="CPZ1007" s="104"/>
      <c r="CQA1007" s="103"/>
      <c r="CQM1007" s="104"/>
      <c r="CQN1007" s="103"/>
      <c r="CQZ1007" s="104"/>
      <c r="CRA1007" s="103"/>
      <c r="CRM1007" s="104"/>
      <c r="CRN1007" s="103"/>
      <c r="CRZ1007" s="104"/>
      <c r="CSA1007" s="103"/>
      <c r="CSM1007" s="104"/>
      <c r="CSN1007" s="103"/>
      <c r="CSZ1007" s="104"/>
      <c r="CTA1007" s="103"/>
      <c r="CTM1007" s="104"/>
      <c r="CTN1007" s="103"/>
      <c r="CTZ1007" s="104"/>
      <c r="CUA1007" s="103"/>
      <c r="CUM1007" s="104"/>
      <c r="CUN1007" s="103"/>
      <c r="CUZ1007" s="104"/>
      <c r="CVA1007" s="103"/>
      <c r="CVM1007" s="104"/>
      <c r="CVN1007" s="103"/>
      <c r="CVZ1007" s="104"/>
      <c r="CWA1007" s="103"/>
      <c r="CWM1007" s="104"/>
      <c r="CWN1007" s="103"/>
      <c r="CWZ1007" s="104"/>
      <c r="CXA1007" s="103"/>
      <c r="CXM1007" s="104"/>
      <c r="CXN1007" s="103"/>
      <c r="CXZ1007" s="104"/>
      <c r="CYA1007" s="103"/>
      <c r="CYM1007" s="104"/>
      <c r="CYN1007" s="103"/>
      <c r="CYZ1007" s="104"/>
      <c r="CZA1007" s="103"/>
      <c r="CZM1007" s="104"/>
      <c r="CZN1007" s="103"/>
      <c r="CZZ1007" s="104"/>
      <c r="DAA1007" s="103"/>
      <c r="DAM1007" s="104"/>
      <c r="DAN1007" s="103"/>
      <c r="DAZ1007" s="104"/>
      <c r="DBA1007" s="103"/>
      <c r="DBM1007" s="104"/>
      <c r="DBN1007" s="103"/>
      <c r="DBZ1007" s="104"/>
      <c r="DCA1007" s="103"/>
      <c r="DCM1007" s="104"/>
      <c r="DCN1007" s="103"/>
      <c r="DCZ1007" s="104"/>
      <c r="DDA1007" s="103"/>
      <c r="DDM1007" s="104"/>
      <c r="DDN1007" s="103"/>
      <c r="DDZ1007" s="104"/>
      <c r="DEA1007" s="103"/>
      <c r="DEM1007" s="104"/>
      <c r="DEN1007" s="103"/>
      <c r="DEZ1007" s="104"/>
      <c r="DFA1007" s="103"/>
      <c r="DFM1007" s="104"/>
      <c r="DFN1007" s="103"/>
      <c r="DFZ1007" s="104"/>
      <c r="DGA1007" s="103"/>
      <c r="DGM1007" s="104"/>
      <c r="DGN1007" s="103"/>
      <c r="DGZ1007" s="104"/>
      <c r="DHA1007" s="103"/>
      <c r="DHM1007" s="104"/>
      <c r="DHN1007" s="103"/>
      <c r="DHZ1007" s="104"/>
      <c r="DIA1007" s="103"/>
      <c r="DIM1007" s="104"/>
      <c r="DIN1007" s="103"/>
      <c r="DIZ1007" s="104"/>
      <c r="DJA1007" s="103"/>
      <c r="DJM1007" s="104"/>
      <c r="DJN1007" s="103"/>
      <c r="DJZ1007" s="104"/>
      <c r="DKA1007" s="103"/>
      <c r="DKM1007" s="104"/>
      <c r="DKN1007" s="103"/>
      <c r="DKZ1007" s="104"/>
      <c r="DLA1007" s="103"/>
      <c r="DLM1007" s="104"/>
      <c r="DLN1007" s="103"/>
      <c r="DLZ1007" s="104"/>
      <c r="DMA1007" s="103"/>
      <c r="DMM1007" s="104"/>
      <c r="DMN1007" s="103"/>
      <c r="DMZ1007" s="104"/>
      <c r="DNA1007" s="103"/>
      <c r="DNM1007" s="104"/>
      <c r="DNN1007" s="103"/>
      <c r="DNZ1007" s="104"/>
      <c r="DOA1007" s="103"/>
      <c r="DOM1007" s="104"/>
      <c r="DON1007" s="103"/>
      <c r="DOZ1007" s="104"/>
      <c r="DPA1007" s="103"/>
      <c r="DPM1007" s="104"/>
      <c r="DPN1007" s="103"/>
      <c r="DPZ1007" s="104"/>
      <c r="DQA1007" s="103"/>
      <c r="DQM1007" s="104"/>
      <c r="DQN1007" s="103"/>
      <c r="DQZ1007" s="104"/>
      <c r="DRA1007" s="103"/>
      <c r="DRM1007" s="104"/>
      <c r="DRN1007" s="103"/>
      <c r="DRZ1007" s="104"/>
      <c r="DSA1007" s="103"/>
      <c r="DSM1007" s="104"/>
      <c r="DSN1007" s="103"/>
      <c r="DSZ1007" s="104"/>
      <c r="DTA1007" s="103"/>
      <c r="DTM1007" s="104"/>
      <c r="DTN1007" s="103"/>
      <c r="DTZ1007" s="104"/>
      <c r="DUA1007" s="103"/>
      <c r="DUM1007" s="104"/>
      <c r="DUN1007" s="103"/>
      <c r="DUZ1007" s="104"/>
      <c r="DVA1007" s="103"/>
      <c r="DVM1007" s="104"/>
      <c r="DVN1007" s="103"/>
      <c r="DVZ1007" s="104"/>
      <c r="DWA1007" s="103"/>
      <c r="DWM1007" s="104"/>
      <c r="DWN1007" s="103"/>
      <c r="DWZ1007" s="104"/>
      <c r="DXA1007" s="103"/>
      <c r="DXM1007" s="104"/>
      <c r="DXN1007" s="103"/>
      <c r="DXZ1007" s="104"/>
      <c r="DYA1007" s="103"/>
      <c r="DYM1007" s="104"/>
      <c r="DYN1007" s="103"/>
      <c r="DYZ1007" s="104"/>
      <c r="DZA1007" s="103"/>
      <c r="DZM1007" s="104"/>
      <c r="DZN1007" s="103"/>
      <c r="DZZ1007" s="104"/>
      <c r="EAA1007" s="103"/>
      <c r="EAM1007" s="104"/>
      <c r="EAN1007" s="103"/>
      <c r="EAZ1007" s="104"/>
      <c r="EBA1007" s="103"/>
      <c r="EBM1007" s="104"/>
      <c r="EBN1007" s="103"/>
      <c r="EBZ1007" s="104"/>
      <c r="ECA1007" s="103"/>
      <c r="ECM1007" s="104"/>
      <c r="ECN1007" s="103"/>
      <c r="ECZ1007" s="104"/>
      <c r="EDA1007" s="103"/>
      <c r="EDM1007" s="104"/>
      <c r="EDN1007" s="103"/>
      <c r="EDZ1007" s="104"/>
      <c r="EEA1007" s="103"/>
      <c r="EEM1007" s="104"/>
      <c r="EEN1007" s="103"/>
      <c r="EEZ1007" s="104"/>
      <c r="EFA1007" s="103"/>
      <c r="EFM1007" s="104"/>
      <c r="EFN1007" s="103"/>
      <c r="EFZ1007" s="104"/>
      <c r="EGA1007" s="103"/>
      <c r="EGM1007" s="104"/>
      <c r="EGN1007" s="103"/>
      <c r="EGZ1007" s="104"/>
      <c r="EHA1007" s="103"/>
      <c r="EHM1007" s="104"/>
      <c r="EHN1007" s="103"/>
      <c r="EHZ1007" s="104"/>
      <c r="EIA1007" s="103"/>
      <c r="EIM1007" s="104"/>
      <c r="EIN1007" s="103"/>
      <c r="EIZ1007" s="104"/>
      <c r="EJA1007" s="103"/>
      <c r="EJM1007" s="104"/>
      <c r="EJN1007" s="103"/>
      <c r="EJZ1007" s="104"/>
      <c r="EKA1007" s="103"/>
      <c r="EKM1007" s="104"/>
      <c r="EKN1007" s="103"/>
      <c r="EKZ1007" s="104"/>
      <c r="ELA1007" s="103"/>
      <c r="ELM1007" s="104"/>
      <c r="ELN1007" s="103"/>
      <c r="ELZ1007" s="104"/>
      <c r="EMA1007" s="103"/>
      <c r="EMM1007" s="104"/>
      <c r="EMN1007" s="103"/>
      <c r="EMZ1007" s="104"/>
      <c r="ENA1007" s="103"/>
      <c r="ENM1007" s="104"/>
      <c r="ENN1007" s="103"/>
      <c r="ENZ1007" s="104"/>
      <c r="EOA1007" s="103"/>
      <c r="EOM1007" s="104"/>
      <c r="EON1007" s="103"/>
      <c r="EOZ1007" s="104"/>
      <c r="EPA1007" s="103"/>
      <c r="EPM1007" s="104"/>
      <c r="EPN1007" s="103"/>
      <c r="EPZ1007" s="104"/>
      <c r="EQA1007" s="103"/>
      <c r="EQM1007" s="104"/>
      <c r="EQN1007" s="103"/>
      <c r="EQZ1007" s="104"/>
      <c r="ERA1007" s="103"/>
      <c r="ERM1007" s="104"/>
      <c r="ERN1007" s="103"/>
      <c r="ERZ1007" s="104"/>
      <c r="ESA1007" s="103"/>
      <c r="ESM1007" s="104"/>
      <c r="ESN1007" s="103"/>
      <c r="ESZ1007" s="104"/>
      <c r="ETA1007" s="103"/>
      <c r="ETM1007" s="104"/>
      <c r="ETN1007" s="103"/>
      <c r="ETZ1007" s="104"/>
      <c r="EUA1007" s="103"/>
      <c r="EUM1007" s="104"/>
      <c r="EUN1007" s="103"/>
      <c r="EUZ1007" s="104"/>
      <c r="EVA1007" s="103"/>
      <c r="EVM1007" s="104"/>
      <c r="EVN1007" s="103"/>
      <c r="EVZ1007" s="104"/>
      <c r="EWA1007" s="103"/>
      <c r="EWM1007" s="104"/>
      <c r="EWN1007" s="103"/>
      <c r="EWZ1007" s="104"/>
      <c r="EXA1007" s="103"/>
      <c r="EXM1007" s="104"/>
      <c r="EXN1007" s="103"/>
      <c r="EXZ1007" s="104"/>
      <c r="EYA1007" s="103"/>
      <c r="EYM1007" s="104"/>
      <c r="EYN1007" s="103"/>
      <c r="EYZ1007" s="104"/>
      <c r="EZA1007" s="103"/>
      <c r="EZM1007" s="104"/>
      <c r="EZN1007" s="103"/>
      <c r="EZZ1007" s="104"/>
      <c r="FAA1007" s="103"/>
      <c r="FAM1007" s="104"/>
      <c r="FAN1007" s="103"/>
      <c r="FAZ1007" s="104"/>
      <c r="FBA1007" s="103"/>
      <c r="FBM1007" s="104"/>
      <c r="FBN1007" s="103"/>
      <c r="FBZ1007" s="104"/>
      <c r="FCA1007" s="103"/>
      <c r="FCM1007" s="104"/>
      <c r="FCN1007" s="103"/>
      <c r="FCZ1007" s="104"/>
      <c r="FDA1007" s="103"/>
      <c r="FDM1007" s="104"/>
      <c r="FDN1007" s="103"/>
      <c r="FDZ1007" s="104"/>
      <c r="FEA1007" s="103"/>
      <c r="FEM1007" s="104"/>
      <c r="FEN1007" s="103"/>
      <c r="FEZ1007" s="104"/>
      <c r="FFA1007" s="103"/>
      <c r="FFM1007" s="104"/>
      <c r="FFN1007" s="103"/>
      <c r="FFZ1007" s="104"/>
      <c r="FGA1007" s="103"/>
      <c r="FGM1007" s="104"/>
      <c r="FGN1007" s="103"/>
      <c r="FGZ1007" s="104"/>
      <c r="FHA1007" s="103"/>
      <c r="FHM1007" s="104"/>
      <c r="FHN1007" s="103"/>
      <c r="FHZ1007" s="104"/>
      <c r="FIA1007" s="103"/>
      <c r="FIM1007" s="104"/>
      <c r="FIN1007" s="103"/>
      <c r="FIZ1007" s="104"/>
      <c r="FJA1007" s="103"/>
      <c r="FJM1007" s="104"/>
      <c r="FJN1007" s="103"/>
      <c r="FJZ1007" s="104"/>
      <c r="FKA1007" s="103"/>
      <c r="FKM1007" s="104"/>
      <c r="FKN1007" s="103"/>
      <c r="FKZ1007" s="104"/>
      <c r="FLA1007" s="103"/>
      <c r="FLM1007" s="104"/>
      <c r="FLN1007" s="103"/>
      <c r="FLZ1007" s="104"/>
      <c r="FMA1007" s="103"/>
      <c r="FMM1007" s="104"/>
      <c r="FMN1007" s="103"/>
      <c r="FMZ1007" s="104"/>
      <c r="FNA1007" s="103"/>
      <c r="FNM1007" s="104"/>
      <c r="FNN1007" s="103"/>
      <c r="FNZ1007" s="104"/>
      <c r="FOA1007" s="103"/>
      <c r="FOM1007" s="104"/>
      <c r="FON1007" s="103"/>
      <c r="FOZ1007" s="104"/>
      <c r="FPA1007" s="103"/>
      <c r="FPM1007" s="104"/>
      <c r="FPN1007" s="103"/>
      <c r="FPZ1007" s="104"/>
      <c r="FQA1007" s="103"/>
      <c r="FQM1007" s="104"/>
      <c r="FQN1007" s="103"/>
      <c r="FQZ1007" s="104"/>
      <c r="FRA1007" s="103"/>
      <c r="FRM1007" s="104"/>
      <c r="FRN1007" s="103"/>
      <c r="FRZ1007" s="104"/>
      <c r="FSA1007" s="103"/>
      <c r="FSM1007" s="104"/>
      <c r="FSN1007" s="103"/>
      <c r="FSZ1007" s="104"/>
      <c r="FTA1007" s="103"/>
      <c r="FTM1007" s="104"/>
      <c r="FTN1007" s="103"/>
      <c r="FTZ1007" s="104"/>
      <c r="FUA1007" s="103"/>
      <c r="FUM1007" s="104"/>
      <c r="FUN1007" s="103"/>
      <c r="FUZ1007" s="104"/>
      <c r="FVA1007" s="103"/>
      <c r="FVM1007" s="104"/>
      <c r="FVN1007" s="103"/>
      <c r="FVZ1007" s="104"/>
      <c r="FWA1007" s="103"/>
      <c r="FWM1007" s="104"/>
      <c r="FWN1007" s="103"/>
      <c r="FWZ1007" s="104"/>
      <c r="FXA1007" s="103"/>
      <c r="FXM1007" s="104"/>
      <c r="FXN1007" s="103"/>
      <c r="FXZ1007" s="104"/>
      <c r="FYA1007" s="103"/>
      <c r="FYM1007" s="104"/>
      <c r="FYN1007" s="103"/>
      <c r="FYZ1007" s="104"/>
      <c r="FZA1007" s="103"/>
      <c r="FZM1007" s="104"/>
      <c r="FZN1007" s="103"/>
      <c r="FZZ1007" s="104"/>
      <c r="GAA1007" s="103"/>
      <c r="GAM1007" s="104"/>
      <c r="GAN1007" s="103"/>
      <c r="GAZ1007" s="104"/>
      <c r="GBA1007" s="103"/>
      <c r="GBM1007" s="104"/>
      <c r="GBN1007" s="103"/>
      <c r="GBZ1007" s="104"/>
      <c r="GCA1007" s="103"/>
      <c r="GCM1007" s="104"/>
      <c r="GCN1007" s="103"/>
      <c r="GCZ1007" s="104"/>
      <c r="GDA1007" s="103"/>
      <c r="GDM1007" s="104"/>
      <c r="GDN1007" s="103"/>
      <c r="GDZ1007" s="104"/>
      <c r="GEA1007" s="103"/>
      <c r="GEM1007" s="104"/>
      <c r="GEN1007" s="103"/>
      <c r="GEZ1007" s="104"/>
      <c r="GFA1007" s="103"/>
      <c r="GFM1007" s="104"/>
      <c r="GFN1007" s="103"/>
      <c r="GFZ1007" s="104"/>
      <c r="GGA1007" s="103"/>
      <c r="GGM1007" s="104"/>
      <c r="GGN1007" s="103"/>
      <c r="GGZ1007" s="104"/>
      <c r="GHA1007" s="103"/>
      <c r="GHM1007" s="104"/>
      <c r="GHN1007" s="103"/>
      <c r="GHZ1007" s="104"/>
      <c r="GIA1007" s="103"/>
      <c r="GIM1007" s="104"/>
      <c r="GIN1007" s="103"/>
      <c r="GIZ1007" s="104"/>
      <c r="GJA1007" s="103"/>
      <c r="GJM1007" s="104"/>
      <c r="GJN1007" s="103"/>
      <c r="GJZ1007" s="104"/>
      <c r="GKA1007" s="103"/>
      <c r="GKM1007" s="104"/>
      <c r="GKN1007" s="103"/>
      <c r="GKZ1007" s="104"/>
      <c r="GLA1007" s="103"/>
      <c r="GLM1007" s="104"/>
      <c r="GLN1007" s="103"/>
      <c r="GLZ1007" s="104"/>
      <c r="GMA1007" s="103"/>
      <c r="GMM1007" s="104"/>
      <c r="GMN1007" s="103"/>
      <c r="GMZ1007" s="104"/>
      <c r="GNA1007" s="103"/>
      <c r="GNM1007" s="104"/>
      <c r="GNN1007" s="103"/>
      <c r="GNZ1007" s="104"/>
      <c r="GOA1007" s="103"/>
      <c r="GOM1007" s="104"/>
      <c r="GON1007" s="103"/>
      <c r="GOZ1007" s="104"/>
      <c r="GPA1007" s="103"/>
      <c r="GPM1007" s="104"/>
      <c r="GPN1007" s="103"/>
      <c r="GPZ1007" s="104"/>
      <c r="GQA1007" s="103"/>
      <c r="GQM1007" s="104"/>
      <c r="GQN1007" s="103"/>
      <c r="GQZ1007" s="104"/>
      <c r="GRA1007" s="103"/>
      <c r="GRM1007" s="104"/>
      <c r="GRN1007" s="103"/>
      <c r="GRZ1007" s="104"/>
      <c r="GSA1007" s="103"/>
      <c r="GSM1007" s="104"/>
      <c r="GSN1007" s="103"/>
      <c r="GSZ1007" s="104"/>
      <c r="GTA1007" s="103"/>
      <c r="GTM1007" s="104"/>
      <c r="GTN1007" s="103"/>
      <c r="GTZ1007" s="104"/>
      <c r="GUA1007" s="103"/>
      <c r="GUM1007" s="104"/>
      <c r="GUN1007" s="103"/>
      <c r="GUZ1007" s="104"/>
      <c r="GVA1007" s="103"/>
      <c r="GVM1007" s="104"/>
      <c r="GVN1007" s="103"/>
      <c r="GVZ1007" s="104"/>
      <c r="GWA1007" s="103"/>
      <c r="GWM1007" s="104"/>
      <c r="GWN1007" s="103"/>
      <c r="GWZ1007" s="104"/>
      <c r="GXA1007" s="103"/>
      <c r="GXM1007" s="104"/>
      <c r="GXN1007" s="103"/>
      <c r="GXZ1007" s="104"/>
      <c r="GYA1007" s="103"/>
      <c r="GYM1007" s="104"/>
      <c r="GYN1007" s="103"/>
      <c r="GYZ1007" s="104"/>
      <c r="GZA1007" s="103"/>
      <c r="GZM1007" s="104"/>
      <c r="GZN1007" s="103"/>
      <c r="GZZ1007" s="104"/>
      <c r="HAA1007" s="103"/>
      <c r="HAM1007" s="104"/>
      <c r="HAN1007" s="103"/>
      <c r="HAZ1007" s="104"/>
      <c r="HBA1007" s="103"/>
      <c r="HBM1007" s="104"/>
      <c r="HBN1007" s="103"/>
      <c r="HBZ1007" s="104"/>
      <c r="HCA1007" s="103"/>
      <c r="HCM1007" s="104"/>
      <c r="HCN1007" s="103"/>
      <c r="HCZ1007" s="104"/>
      <c r="HDA1007" s="103"/>
      <c r="HDM1007" s="104"/>
      <c r="HDN1007" s="103"/>
      <c r="HDZ1007" s="104"/>
      <c r="HEA1007" s="103"/>
      <c r="HEM1007" s="104"/>
      <c r="HEN1007" s="103"/>
      <c r="HEZ1007" s="104"/>
      <c r="HFA1007" s="103"/>
      <c r="HFM1007" s="104"/>
      <c r="HFN1007" s="103"/>
      <c r="HFZ1007" s="104"/>
      <c r="HGA1007" s="103"/>
      <c r="HGM1007" s="104"/>
      <c r="HGN1007" s="103"/>
      <c r="HGZ1007" s="104"/>
      <c r="HHA1007" s="103"/>
      <c r="HHM1007" s="104"/>
      <c r="HHN1007" s="103"/>
      <c r="HHZ1007" s="104"/>
      <c r="HIA1007" s="103"/>
      <c r="HIM1007" s="104"/>
      <c r="HIN1007" s="103"/>
      <c r="HIZ1007" s="104"/>
      <c r="HJA1007" s="103"/>
      <c r="HJM1007" s="104"/>
      <c r="HJN1007" s="103"/>
      <c r="HJZ1007" s="104"/>
      <c r="HKA1007" s="103"/>
      <c r="HKM1007" s="104"/>
      <c r="HKN1007" s="103"/>
      <c r="HKZ1007" s="104"/>
      <c r="HLA1007" s="103"/>
      <c r="HLM1007" s="104"/>
      <c r="HLN1007" s="103"/>
      <c r="HLZ1007" s="104"/>
      <c r="HMA1007" s="103"/>
      <c r="HMM1007" s="104"/>
      <c r="HMN1007" s="103"/>
      <c r="HMZ1007" s="104"/>
      <c r="HNA1007" s="103"/>
      <c r="HNM1007" s="104"/>
      <c r="HNN1007" s="103"/>
      <c r="HNZ1007" s="104"/>
      <c r="HOA1007" s="103"/>
      <c r="HOM1007" s="104"/>
      <c r="HON1007" s="103"/>
      <c r="HOZ1007" s="104"/>
      <c r="HPA1007" s="103"/>
      <c r="HPM1007" s="104"/>
      <c r="HPN1007" s="103"/>
      <c r="HPZ1007" s="104"/>
      <c r="HQA1007" s="103"/>
      <c r="HQM1007" s="104"/>
      <c r="HQN1007" s="103"/>
      <c r="HQZ1007" s="104"/>
      <c r="HRA1007" s="103"/>
      <c r="HRM1007" s="104"/>
      <c r="HRN1007" s="103"/>
      <c r="HRZ1007" s="104"/>
      <c r="HSA1007" s="103"/>
      <c r="HSM1007" s="104"/>
      <c r="HSN1007" s="103"/>
      <c r="HSZ1007" s="104"/>
      <c r="HTA1007" s="103"/>
      <c r="HTM1007" s="104"/>
      <c r="HTN1007" s="103"/>
      <c r="HTZ1007" s="104"/>
      <c r="HUA1007" s="103"/>
      <c r="HUM1007" s="104"/>
      <c r="HUN1007" s="103"/>
      <c r="HUZ1007" s="104"/>
      <c r="HVA1007" s="103"/>
      <c r="HVM1007" s="104"/>
      <c r="HVN1007" s="103"/>
      <c r="HVZ1007" s="104"/>
      <c r="HWA1007" s="103"/>
      <c r="HWM1007" s="104"/>
      <c r="HWN1007" s="103"/>
      <c r="HWZ1007" s="104"/>
      <c r="HXA1007" s="103"/>
      <c r="HXM1007" s="104"/>
      <c r="HXN1007" s="103"/>
      <c r="HXZ1007" s="104"/>
      <c r="HYA1007" s="103"/>
      <c r="HYM1007" s="104"/>
      <c r="HYN1007" s="103"/>
      <c r="HYZ1007" s="104"/>
      <c r="HZA1007" s="103"/>
      <c r="HZM1007" s="104"/>
      <c r="HZN1007" s="103"/>
      <c r="HZZ1007" s="104"/>
      <c r="IAA1007" s="103"/>
      <c r="IAM1007" s="104"/>
      <c r="IAN1007" s="103"/>
      <c r="IAZ1007" s="104"/>
      <c r="IBA1007" s="103"/>
      <c r="IBM1007" s="104"/>
      <c r="IBN1007" s="103"/>
      <c r="IBZ1007" s="104"/>
      <c r="ICA1007" s="103"/>
      <c r="ICM1007" s="104"/>
      <c r="ICN1007" s="103"/>
      <c r="ICZ1007" s="104"/>
      <c r="IDA1007" s="103"/>
      <c r="IDM1007" s="104"/>
      <c r="IDN1007" s="103"/>
      <c r="IDZ1007" s="104"/>
      <c r="IEA1007" s="103"/>
      <c r="IEM1007" s="104"/>
      <c r="IEN1007" s="103"/>
      <c r="IEZ1007" s="104"/>
      <c r="IFA1007" s="103"/>
      <c r="IFM1007" s="104"/>
      <c r="IFN1007" s="103"/>
      <c r="IFZ1007" s="104"/>
      <c r="IGA1007" s="103"/>
      <c r="IGM1007" s="104"/>
      <c r="IGN1007" s="103"/>
      <c r="IGZ1007" s="104"/>
      <c r="IHA1007" s="103"/>
      <c r="IHM1007" s="104"/>
      <c r="IHN1007" s="103"/>
      <c r="IHZ1007" s="104"/>
      <c r="IIA1007" s="103"/>
      <c r="IIM1007" s="104"/>
      <c r="IIN1007" s="103"/>
      <c r="IIZ1007" s="104"/>
      <c r="IJA1007" s="103"/>
      <c r="IJM1007" s="104"/>
      <c r="IJN1007" s="103"/>
      <c r="IJZ1007" s="104"/>
      <c r="IKA1007" s="103"/>
      <c r="IKM1007" s="104"/>
      <c r="IKN1007" s="103"/>
      <c r="IKZ1007" s="104"/>
      <c r="ILA1007" s="103"/>
      <c r="ILM1007" s="104"/>
      <c r="ILN1007" s="103"/>
      <c r="ILZ1007" s="104"/>
      <c r="IMA1007" s="103"/>
      <c r="IMM1007" s="104"/>
      <c r="IMN1007" s="103"/>
      <c r="IMZ1007" s="104"/>
      <c r="INA1007" s="103"/>
      <c r="INM1007" s="104"/>
      <c r="INN1007" s="103"/>
      <c r="INZ1007" s="104"/>
      <c r="IOA1007" s="103"/>
      <c r="IOM1007" s="104"/>
      <c r="ION1007" s="103"/>
      <c r="IOZ1007" s="104"/>
      <c r="IPA1007" s="103"/>
      <c r="IPM1007" s="104"/>
      <c r="IPN1007" s="103"/>
      <c r="IPZ1007" s="104"/>
      <c r="IQA1007" s="103"/>
      <c r="IQM1007" s="104"/>
      <c r="IQN1007" s="103"/>
      <c r="IQZ1007" s="104"/>
      <c r="IRA1007" s="103"/>
      <c r="IRM1007" s="104"/>
      <c r="IRN1007" s="103"/>
      <c r="IRZ1007" s="104"/>
      <c r="ISA1007" s="103"/>
      <c r="ISM1007" s="104"/>
      <c r="ISN1007" s="103"/>
      <c r="ISZ1007" s="104"/>
      <c r="ITA1007" s="103"/>
      <c r="ITM1007" s="104"/>
      <c r="ITN1007" s="103"/>
      <c r="ITZ1007" s="104"/>
      <c r="IUA1007" s="103"/>
      <c r="IUM1007" s="104"/>
      <c r="IUN1007" s="103"/>
      <c r="IUZ1007" s="104"/>
      <c r="IVA1007" s="103"/>
      <c r="IVM1007" s="104"/>
      <c r="IVN1007" s="103"/>
      <c r="IVZ1007" s="104"/>
      <c r="IWA1007" s="103"/>
      <c r="IWM1007" s="104"/>
      <c r="IWN1007" s="103"/>
      <c r="IWZ1007" s="104"/>
      <c r="IXA1007" s="103"/>
      <c r="IXM1007" s="104"/>
      <c r="IXN1007" s="103"/>
      <c r="IXZ1007" s="104"/>
      <c r="IYA1007" s="103"/>
      <c r="IYM1007" s="104"/>
      <c r="IYN1007" s="103"/>
      <c r="IYZ1007" s="104"/>
      <c r="IZA1007" s="103"/>
      <c r="IZM1007" s="104"/>
      <c r="IZN1007" s="103"/>
      <c r="IZZ1007" s="104"/>
      <c r="JAA1007" s="103"/>
      <c r="JAM1007" s="104"/>
      <c r="JAN1007" s="103"/>
      <c r="JAZ1007" s="104"/>
      <c r="JBA1007" s="103"/>
      <c r="JBM1007" s="104"/>
      <c r="JBN1007" s="103"/>
      <c r="JBZ1007" s="104"/>
      <c r="JCA1007" s="103"/>
      <c r="JCM1007" s="104"/>
      <c r="JCN1007" s="103"/>
      <c r="JCZ1007" s="104"/>
      <c r="JDA1007" s="103"/>
      <c r="JDM1007" s="104"/>
      <c r="JDN1007" s="103"/>
      <c r="JDZ1007" s="104"/>
      <c r="JEA1007" s="103"/>
      <c r="JEM1007" s="104"/>
      <c r="JEN1007" s="103"/>
      <c r="JEZ1007" s="104"/>
      <c r="JFA1007" s="103"/>
      <c r="JFM1007" s="104"/>
      <c r="JFN1007" s="103"/>
      <c r="JFZ1007" s="104"/>
      <c r="JGA1007" s="103"/>
      <c r="JGM1007" s="104"/>
      <c r="JGN1007" s="103"/>
      <c r="JGZ1007" s="104"/>
      <c r="JHA1007" s="103"/>
      <c r="JHM1007" s="104"/>
      <c r="JHN1007" s="103"/>
      <c r="JHZ1007" s="104"/>
      <c r="JIA1007" s="103"/>
      <c r="JIM1007" s="104"/>
      <c r="JIN1007" s="103"/>
      <c r="JIZ1007" s="104"/>
      <c r="JJA1007" s="103"/>
      <c r="JJM1007" s="104"/>
      <c r="JJN1007" s="103"/>
      <c r="JJZ1007" s="104"/>
      <c r="JKA1007" s="103"/>
      <c r="JKM1007" s="104"/>
      <c r="JKN1007" s="103"/>
      <c r="JKZ1007" s="104"/>
      <c r="JLA1007" s="103"/>
      <c r="JLM1007" s="104"/>
      <c r="JLN1007" s="103"/>
      <c r="JLZ1007" s="104"/>
      <c r="JMA1007" s="103"/>
      <c r="JMM1007" s="104"/>
      <c r="JMN1007" s="103"/>
      <c r="JMZ1007" s="104"/>
      <c r="JNA1007" s="103"/>
      <c r="JNM1007" s="104"/>
      <c r="JNN1007" s="103"/>
      <c r="JNZ1007" s="104"/>
      <c r="JOA1007" s="103"/>
      <c r="JOM1007" s="104"/>
      <c r="JON1007" s="103"/>
      <c r="JOZ1007" s="104"/>
      <c r="JPA1007" s="103"/>
      <c r="JPM1007" s="104"/>
      <c r="JPN1007" s="103"/>
      <c r="JPZ1007" s="104"/>
      <c r="JQA1007" s="103"/>
      <c r="JQM1007" s="104"/>
      <c r="JQN1007" s="103"/>
      <c r="JQZ1007" s="104"/>
      <c r="JRA1007" s="103"/>
      <c r="JRM1007" s="104"/>
      <c r="JRN1007" s="103"/>
      <c r="JRZ1007" s="104"/>
      <c r="JSA1007" s="103"/>
      <c r="JSM1007" s="104"/>
      <c r="JSN1007" s="103"/>
      <c r="JSZ1007" s="104"/>
      <c r="JTA1007" s="103"/>
      <c r="JTM1007" s="104"/>
      <c r="JTN1007" s="103"/>
      <c r="JTZ1007" s="104"/>
      <c r="JUA1007" s="103"/>
      <c r="JUM1007" s="104"/>
      <c r="JUN1007" s="103"/>
      <c r="JUZ1007" s="104"/>
      <c r="JVA1007" s="103"/>
      <c r="JVM1007" s="104"/>
      <c r="JVN1007" s="103"/>
      <c r="JVZ1007" s="104"/>
      <c r="JWA1007" s="103"/>
      <c r="JWM1007" s="104"/>
      <c r="JWN1007" s="103"/>
      <c r="JWZ1007" s="104"/>
      <c r="JXA1007" s="103"/>
      <c r="JXM1007" s="104"/>
      <c r="JXN1007" s="103"/>
      <c r="JXZ1007" s="104"/>
      <c r="JYA1007" s="103"/>
      <c r="JYM1007" s="104"/>
      <c r="JYN1007" s="103"/>
      <c r="JYZ1007" s="104"/>
      <c r="JZA1007" s="103"/>
      <c r="JZM1007" s="104"/>
      <c r="JZN1007" s="103"/>
      <c r="JZZ1007" s="104"/>
      <c r="KAA1007" s="103"/>
      <c r="KAM1007" s="104"/>
      <c r="KAN1007" s="103"/>
      <c r="KAZ1007" s="104"/>
      <c r="KBA1007" s="103"/>
      <c r="KBM1007" s="104"/>
      <c r="KBN1007" s="103"/>
      <c r="KBZ1007" s="104"/>
      <c r="KCA1007" s="103"/>
      <c r="KCM1007" s="104"/>
      <c r="KCN1007" s="103"/>
      <c r="KCZ1007" s="104"/>
      <c r="KDA1007" s="103"/>
      <c r="KDM1007" s="104"/>
      <c r="KDN1007" s="103"/>
      <c r="KDZ1007" s="104"/>
      <c r="KEA1007" s="103"/>
      <c r="KEM1007" s="104"/>
      <c r="KEN1007" s="103"/>
      <c r="KEZ1007" s="104"/>
      <c r="KFA1007" s="103"/>
      <c r="KFM1007" s="104"/>
      <c r="KFN1007" s="103"/>
      <c r="KFZ1007" s="104"/>
      <c r="KGA1007" s="103"/>
      <c r="KGM1007" s="104"/>
      <c r="KGN1007" s="103"/>
      <c r="KGZ1007" s="104"/>
      <c r="KHA1007" s="103"/>
      <c r="KHM1007" s="104"/>
      <c r="KHN1007" s="103"/>
      <c r="KHZ1007" s="104"/>
      <c r="KIA1007" s="103"/>
      <c r="KIM1007" s="104"/>
      <c r="KIN1007" s="103"/>
      <c r="KIZ1007" s="104"/>
      <c r="KJA1007" s="103"/>
      <c r="KJM1007" s="104"/>
      <c r="KJN1007" s="103"/>
      <c r="KJZ1007" s="104"/>
      <c r="KKA1007" s="103"/>
      <c r="KKM1007" s="104"/>
      <c r="KKN1007" s="103"/>
      <c r="KKZ1007" s="104"/>
      <c r="KLA1007" s="103"/>
      <c r="KLM1007" s="104"/>
      <c r="KLN1007" s="103"/>
      <c r="KLZ1007" s="104"/>
      <c r="KMA1007" s="103"/>
      <c r="KMM1007" s="104"/>
      <c r="KMN1007" s="103"/>
      <c r="KMZ1007" s="104"/>
      <c r="KNA1007" s="103"/>
      <c r="KNM1007" s="104"/>
      <c r="KNN1007" s="103"/>
      <c r="KNZ1007" s="104"/>
      <c r="KOA1007" s="103"/>
      <c r="KOM1007" s="104"/>
      <c r="KON1007" s="103"/>
      <c r="KOZ1007" s="104"/>
      <c r="KPA1007" s="103"/>
      <c r="KPM1007" s="104"/>
      <c r="KPN1007" s="103"/>
      <c r="KPZ1007" s="104"/>
      <c r="KQA1007" s="103"/>
      <c r="KQM1007" s="104"/>
      <c r="KQN1007" s="103"/>
      <c r="KQZ1007" s="104"/>
      <c r="KRA1007" s="103"/>
      <c r="KRM1007" s="104"/>
      <c r="KRN1007" s="103"/>
      <c r="KRZ1007" s="104"/>
      <c r="KSA1007" s="103"/>
      <c r="KSM1007" s="104"/>
      <c r="KSN1007" s="103"/>
      <c r="KSZ1007" s="104"/>
      <c r="KTA1007" s="103"/>
      <c r="KTM1007" s="104"/>
      <c r="KTN1007" s="103"/>
      <c r="KTZ1007" s="104"/>
      <c r="KUA1007" s="103"/>
      <c r="KUM1007" s="104"/>
      <c r="KUN1007" s="103"/>
      <c r="KUZ1007" s="104"/>
      <c r="KVA1007" s="103"/>
      <c r="KVM1007" s="104"/>
      <c r="KVN1007" s="103"/>
      <c r="KVZ1007" s="104"/>
      <c r="KWA1007" s="103"/>
      <c r="KWM1007" s="104"/>
      <c r="KWN1007" s="103"/>
      <c r="KWZ1007" s="104"/>
      <c r="KXA1007" s="103"/>
      <c r="KXM1007" s="104"/>
      <c r="KXN1007" s="103"/>
      <c r="KXZ1007" s="104"/>
      <c r="KYA1007" s="103"/>
      <c r="KYM1007" s="104"/>
      <c r="KYN1007" s="103"/>
      <c r="KYZ1007" s="104"/>
      <c r="KZA1007" s="103"/>
      <c r="KZM1007" s="104"/>
      <c r="KZN1007" s="103"/>
      <c r="KZZ1007" s="104"/>
      <c r="LAA1007" s="103"/>
      <c r="LAM1007" s="104"/>
      <c r="LAN1007" s="103"/>
      <c r="LAZ1007" s="104"/>
      <c r="LBA1007" s="103"/>
      <c r="LBM1007" s="104"/>
      <c r="LBN1007" s="103"/>
      <c r="LBZ1007" s="104"/>
      <c r="LCA1007" s="103"/>
      <c r="LCM1007" s="104"/>
      <c r="LCN1007" s="103"/>
      <c r="LCZ1007" s="104"/>
      <c r="LDA1007" s="103"/>
      <c r="LDM1007" s="104"/>
      <c r="LDN1007" s="103"/>
      <c r="LDZ1007" s="104"/>
      <c r="LEA1007" s="103"/>
      <c r="LEM1007" s="104"/>
      <c r="LEN1007" s="103"/>
      <c r="LEZ1007" s="104"/>
      <c r="LFA1007" s="103"/>
      <c r="LFM1007" s="104"/>
      <c r="LFN1007" s="103"/>
      <c r="LFZ1007" s="104"/>
      <c r="LGA1007" s="103"/>
      <c r="LGM1007" s="104"/>
      <c r="LGN1007" s="103"/>
      <c r="LGZ1007" s="104"/>
      <c r="LHA1007" s="103"/>
      <c r="LHM1007" s="104"/>
      <c r="LHN1007" s="103"/>
      <c r="LHZ1007" s="104"/>
      <c r="LIA1007" s="103"/>
      <c r="LIM1007" s="104"/>
      <c r="LIN1007" s="103"/>
      <c r="LIZ1007" s="104"/>
      <c r="LJA1007" s="103"/>
      <c r="LJM1007" s="104"/>
      <c r="LJN1007" s="103"/>
      <c r="LJZ1007" s="104"/>
      <c r="LKA1007" s="103"/>
      <c r="LKM1007" s="104"/>
      <c r="LKN1007" s="103"/>
      <c r="LKZ1007" s="104"/>
      <c r="LLA1007" s="103"/>
      <c r="LLM1007" s="104"/>
      <c r="LLN1007" s="103"/>
      <c r="LLZ1007" s="104"/>
      <c r="LMA1007" s="103"/>
      <c r="LMM1007" s="104"/>
      <c r="LMN1007" s="103"/>
      <c r="LMZ1007" s="104"/>
      <c r="LNA1007" s="103"/>
      <c r="LNM1007" s="104"/>
      <c r="LNN1007" s="103"/>
      <c r="LNZ1007" s="104"/>
      <c r="LOA1007" s="103"/>
      <c r="LOM1007" s="104"/>
      <c r="LON1007" s="103"/>
      <c r="LOZ1007" s="104"/>
      <c r="LPA1007" s="103"/>
      <c r="LPM1007" s="104"/>
      <c r="LPN1007" s="103"/>
      <c r="LPZ1007" s="104"/>
      <c r="LQA1007" s="103"/>
      <c r="LQM1007" s="104"/>
      <c r="LQN1007" s="103"/>
      <c r="LQZ1007" s="104"/>
      <c r="LRA1007" s="103"/>
      <c r="LRM1007" s="104"/>
      <c r="LRN1007" s="103"/>
      <c r="LRZ1007" s="104"/>
      <c r="LSA1007" s="103"/>
      <c r="LSM1007" s="104"/>
      <c r="LSN1007" s="103"/>
      <c r="LSZ1007" s="104"/>
      <c r="LTA1007" s="103"/>
      <c r="LTM1007" s="104"/>
      <c r="LTN1007" s="103"/>
      <c r="LTZ1007" s="104"/>
      <c r="LUA1007" s="103"/>
      <c r="LUM1007" s="104"/>
      <c r="LUN1007" s="103"/>
      <c r="LUZ1007" s="104"/>
      <c r="LVA1007" s="103"/>
      <c r="LVM1007" s="104"/>
      <c r="LVN1007" s="103"/>
      <c r="LVZ1007" s="104"/>
      <c r="LWA1007" s="103"/>
      <c r="LWM1007" s="104"/>
      <c r="LWN1007" s="103"/>
      <c r="LWZ1007" s="104"/>
      <c r="LXA1007" s="103"/>
      <c r="LXM1007" s="104"/>
      <c r="LXN1007" s="103"/>
      <c r="LXZ1007" s="104"/>
      <c r="LYA1007" s="103"/>
      <c r="LYM1007" s="104"/>
      <c r="LYN1007" s="103"/>
      <c r="LYZ1007" s="104"/>
      <c r="LZA1007" s="103"/>
      <c r="LZM1007" s="104"/>
      <c r="LZN1007" s="103"/>
      <c r="LZZ1007" s="104"/>
      <c r="MAA1007" s="103"/>
      <c r="MAM1007" s="104"/>
      <c r="MAN1007" s="103"/>
      <c r="MAZ1007" s="104"/>
      <c r="MBA1007" s="103"/>
      <c r="MBM1007" s="104"/>
      <c r="MBN1007" s="103"/>
      <c r="MBZ1007" s="104"/>
      <c r="MCA1007" s="103"/>
      <c r="MCM1007" s="104"/>
      <c r="MCN1007" s="103"/>
      <c r="MCZ1007" s="104"/>
      <c r="MDA1007" s="103"/>
      <c r="MDM1007" s="104"/>
      <c r="MDN1007" s="103"/>
      <c r="MDZ1007" s="104"/>
      <c r="MEA1007" s="103"/>
      <c r="MEM1007" s="104"/>
      <c r="MEN1007" s="103"/>
      <c r="MEZ1007" s="104"/>
      <c r="MFA1007" s="103"/>
      <c r="MFM1007" s="104"/>
      <c r="MFN1007" s="103"/>
      <c r="MFZ1007" s="104"/>
      <c r="MGA1007" s="103"/>
      <c r="MGM1007" s="104"/>
      <c r="MGN1007" s="103"/>
      <c r="MGZ1007" s="104"/>
      <c r="MHA1007" s="103"/>
      <c r="MHM1007" s="104"/>
      <c r="MHN1007" s="103"/>
      <c r="MHZ1007" s="104"/>
      <c r="MIA1007" s="103"/>
      <c r="MIM1007" s="104"/>
      <c r="MIN1007" s="103"/>
      <c r="MIZ1007" s="104"/>
      <c r="MJA1007" s="103"/>
      <c r="MJM1007" s="104"/>
      <c r="MJN1007" s="103"/>
      <c r="MJZ1007" s="104"/>
      <c r="MKA1007" s="103"/>
      <c r="MKM1007" s="104"/>
      <c r="MKN1007" s="103"/>
      <c r="MKZ1007" s="104"/>
      <c r="MLA1007" s="103"/>
      <c r="MLM1007" s="104"/>
      <c r="MLN1007" s="103"/>
      <c r="MLZ1007" s="104"/>
      <c r="MMA1007" s="103"/>
      <c r="MMM1007" s="104"/>
      <c r="MMN1007" s="103"/>
      <c r="MMZ1007" s="104"/>
      <c r="MNA1007" s="103"/>
      <c r="MNM1007" s="104"/>
      <c r="MNN1007" s="103"/>
      <c r="MNZ1007" s="104"/>
      <c r="MOA1007" s="103"/>
      <c r="MOM1007" s="104"/>
      <c r="MON1007" s="103"/>
      <c r="MOZ1007" s="104"/>
      <c r="MPA1007" s="103"/>
      <c r="MPM1007" s="104"/>
      <c r="MPN1007" s="103"/>
      <c r="MPZ1007" s="104"/>
      <c r="MQA1007" s="103"/>
      <c r="MQM1007" s="104"/>
      <c r="MQN1007" s="103"/>
      <c r="MQZ1007" s="104"/>
      <c r="MRA1007" s="103"/>
      <c r="MRM1007" s="104"/>
      <c r="MRN1007" s="103"/>
      <c r="MRZ1007" s="104"/>
      <c r="MSA1007" s="103"/>
      <c r="MSM1007" s="104"/>
      <c r="MSN1007" s="103"/>
      <c r="MSZ1007" s="104"/>
      <c r="MTA1007" s="103"/>
      <c r="MTM1007" s="104"/>
      <c r="MTN1007" s="103"/>
      <c r="MTZ1007" s="104"/>
      <c r="MUA1007" s="103"/>
      <c r="MUM1007" s="104"/>
      <c r="MUN1007" s="103"/>
      <c r="MUZ1007" s="104"/>
      <c r="MVA1007" s="103"/>
      <c r="MVM1007" s="104"/>
      <c r="MVN1007" s="103"/>
      <c r="MVZ1007" s="104"/>
      <c r="MWA1007" s="103"/>
      <c r="MWM1007" s="104"/>
      <c r="MWN1007" s="103"/>
      <c r="MWZ1007" s="104"/>
      <c r="MXA1007" s="103"/>
      <c r="MXM1007" s="104"/>
      <c r="MXN1007" s="103"/>
      <c r="MXZ1007" s="104"/>
      <c r="MYA1007" s="103"/>
      <c r="MYM1007" s="104"/>
      <c r="MYN1007" s="103"/>
      <c r="MYZ1007" s="104"/>
      <c r="MZA1007" s="103"/>
      <c r="MZM1007" s="104"/>
      <c r="MZN1007" s="103"/>
      <c r="MZZ1007" s="104"/>
      <c r="NAA1007" s="103"/>
      <c r="NAM1007" s="104"/>
      <c r="NAN1007" s="103"/>
      <c r="NAZ1007" s="104"/>
      <c r="NBA1007" s="103"/>
      <c r="NBM1007" s="104"/>
      <c r="NBN1007" s="103"/>
      <c r="NBZ1007" s="104"/>
      <c r="NCA1007" s="103"/>
      <c r="NCM1007" s="104"/>
      <c r="NCN1007" s="103"/>
      <c r="NCZ1007" s="104"/>
      <c r="NDA1007" s="103"/>
      <c r="NDM1007" s="104"/>
      <c r="NDN1007" s="103"/>
      <c r="NDZ1007" s="104"/>
      <c r="NEA1007" s="103"/>
      <c r="NEM1007" s="104"/>
      <c r="NEN1007" s="103"/>
      <c r="NEZ1007" s="104"/>
      <c r="NFA1007" s="103"/>
      <c r="NFM1007" s="104"/>
      <c r="NFN1007" s="103"/>
      <c r="NFZ1007" s="104"/>
      <c r="NGA1007" s="103"/>
      <c r="NGM1007" s="104"/>
      <c r="NGN1007" s="103"/>
      <c r="NGZ1007" s="104"/>
      <c r="NHA1007" s="103"/>
      <c r="NHM1007" s="104"/>
      <c r="NHN1007" s="103"/>
      <c r="NHZ1007" s="104"/>
      <c r="NIA1007" s="103"/>
      <c r="NIM1007" s="104"/>
      <c r="NIN1007" s="103"/>
      <c r="NIZ1007" s="104"/>
      <c r="NJA1007" s="103"/>
      <c r="NJM1007" s="104"/>
      <c r="NJN1007" s="103"/>
      <c r="NJZ1007" s="104"/>
      <c r="NKA1007" s="103"/>
      <c r="NKM1007" s="104"/>
      <c r="NKN1007" s="103"/>
      <c r="NKZ1007" s="104"/>
      <c r="NLA1007" s="103"/>
      <c r="NLM1007" s="104"/>
      <c r="NLN1007" s="103"/>
      <c r="NLZ1007" s="104"/>
      <c r="NMA1007" s="103"/>
      <c r="NMM1007" s="104"/>
      <c r="NMN1007" s="103"/>
      <c r="NMZ1007" s="104"/>
      <c r="NNA1007" s="103"/>
      <c r="NNM1007" s="104"/>
      <c r="NNN1007" s="103"/>
      <c r="NNZ1007" s="104"/>
      <c r="NOA1007" s="103"/>
      <c r="NOM1007" s="104"/>
      <c r="NON1007" s="103"/>
      <c r="NOZ1007" s="104"/>
      <c r="NPA1007" s="103"/>
      <c r="NPM1007" s="104"/>
      <c r="NPN1007" s="103"/>
      <c r="NPZ1007" s="104"/>
      <c r="NQA1007" s="103"/>
      <c r="NQM1007" s="104"/>
      <c r="NQN1007" s="103"/>
      <c r="NQZ1007" s="104"/>
      <c r="NRA1007" s="103"/>
      <c r="NRM1007" s="104"/>
      <c r="NRN1007" s="103"/>
      <c r="NRZ1007" s="104"/>
      <c r="NSA1007" s="103"/>
      <c r="NSM1007" s="104"/>
      <c r="NSN1007" s="103"/>
      <c r="NSZ1007" s="104"/>
      <c r="NTA1007" s="103"/>
      <c r="NTM1007" s="104"/>
      <c r="NTN1007" s="103"/>
      <c r="NTZ1007" s="104"/>
      <c r="NUA1007" s="103"/>
      <c r="NUM1007" s="104"/>
      <c r="NUN1007" s="103"/>
      <c r="NUZ1007" s="104"/>
      <c r="NVA1007" s="103"/>
      <c r="NVM1007" s="104"/>
      <c r="NVN1007" s="103"/>
      <c r="NVZ1007" s="104"/>
      <c r="NWA1007" s="103"/>
      <c r="NWM1007" s="104"/>
      <c r="NWN1007" s="103"/>
      <c r="NWZ1007" s="104"/>
      <c r="NXA1007" s="103"/>
      <c r="NXM1007" s="104"/>
      <c r="NXN1007" s="103"/>
      <c r="NXZ1007" s="104"/>
      <c r="NYA1007" s="103"/>
      <c r="NYM1007" s="104"/>
      <c r="NYN1007" s="103"/>
      <c r="NYZ1007" s="104"/>
      <c r="NZA1007" s="103"/>
      <c r="NZM1007" s="104"/>
      <c r="NZN1007" s="103"/>
      <c r="NZZ1007" s="104"/>
      <c r="OAA1007" s="103"/>
      <c r="OAM1007" s="104"/>
      <c r="OAN1007" s="103"/>
      <c r="OAZ1007" s="104"/>
      <c r="OBA1007" s="103"/>
      <c r="OBM1007" s="104"/>
      <c r="OBN1007" s="103"/>
      <c r="OBZ1007" s="104"/>
      <c r="OCA1007" s="103"/>
      <c r="OCM1007" s="104"/>
      <c r="OCN1007" s="103"/>
      <c r="OCZ1007" s="104"/>
      <c r="ODA1007" s="103"/>
      <c r="ODM1007" s="104"/>
      <c r="ODN1007" s="103"/>
      <c r="ODZ1007" s="104"/>
      <c r="OEA1007" s="103"/>
      <c r="OEM1007" s="104"/>
      <c r="OEN1007" s="103"/>
      <c r="OEZ1007" s="104"/>
      <c r="OFA1007" s="103"/>
      <c r="OFM1007" s="104"/>
      <c r="OFN1007" s="103"/>
      <c r="OFZ1007" s="104"/>
      <c r="OGA1007" s="103"/>
      <c r="OGM1007" s="104"/>
      <c r="OGN1007" s="103"/>
      <c r="OGZ1007" s="104"/>
      <c r="OHA1007" s="103"/>
      <c r="OHM1007" s="104"/>
      <c r="OHN1007" s="103"/>
      <c r="OHZ1007" s="104"/>
      <c r="OIA1007" s="103"/>
      <c r="OIM1007" s="104"/>
      <c r="OIN1007" s="103"/>
      <c r="OIZ1007" s="104"/>
      <c r="OJA1007" s="103"/>
      <c r="OJM1007" s="104"/>
      <c r="OJN1007" s="103"/>
      <c r="OJZ1007" s="104"/>
      <c r="OKA1007" s="103"/>
      <c r="OKM1007" s="104"/>
      <c r="OKN1007" s="103"/>
      <c r="OKZ1007" s="104"/>
      <c r="OLA1007" s="103"/>
      <c r="OLM1007" s="104"/>
      <c r="OLN1007" s="103"/>
      <c r="OLZ1007" s="104"/>
      <c r="OMA1007" s="103"/>
      <c r="OMM1007" s="104"/>
      <c r="OMN1007" s="103"/>
      <c r="OMZ1007" s="104"/>
      <c r="ONA1007" s="103"/>
      <c r="ONM1007" s="104"/>
      <c r="ONN1007" s="103"/>
      <c r="ONZ1007" s="104"/>
      <c r="OOA1007" s="103"/>
      <c r="OOM1007" s="104"/>
      <c r="OON1007" s="103"/>
      <c r="OOZ1007" s="104"/>
      <c r="OPA1007" s="103"/>
      <c r="OPM1007" s="104"/>
      <c r="OPN1007" s="103"/>
      <c r="OPZ1007" s="104"/>
      <c r="OQA1007" s="103"/>
      <c r="OQM1007" s="104"/>
      <c r="OQN1007" s="103"/>
      <c r="OQZ1007" s="104"/>
      <c r="ORA1007" s="103"/>
      <c r="ORM1007" s="104"/>
      <c r="ORN1007" s="103"/>
      <c r="ORZ1007" s="104"/>
      <c r="OSA1007" s="103"/>
      <c r="OSM1007" s="104"/>
      <c r="OSN1007" s="103"/>
      <c r="OSZ1007" s="104"/>
      <c r="OTA1007" s="103"/>
      <c r="OTM1007" s="104"/>
      <c r="OTN1007" s="103"/>
      <c r="OTZ1007" s="104"/>
      <c r="OUA1007" s="103"/>
      <c r="OUM1007" s="104"/>
      <c r="OUN1007" s="103"/>
      <c r="OUZ1007" s="104"/>
      <c r="OVA1007" s="103"/>
      <c r="OVM1007" s="104"/>
      <c r="OVN1007" s="103"/>
      <c r="OVZ1007" s="104"/>
      <c r="OWA1007" s="103"/>
      <c r="OWM1007" s="104"/>
      <c r="OWN1007" s="103"/>
      <c r="OWZ1007" s="104"/>
      <c r="OXA1007" s="103"/>
      <c r="OXM1007" s="104"/>
      <c r="OXN1007" s="103"/>
      <c r="OXZ1007" s="104"/>
      <c r="OYA1007" s="103"/>
      <c r="OYM1007" s="104"/>
      <c r="OYN1007" s="103"/>
      <c r="OYZ1007" s="104"/>
      <c r="OZA1007" s="103"/>
      <c r="OZM1007" s="104"/>
      <c r="OZN1007" s="103"/>
      <c r="OZZ1007" s="104"/>
      <c r="PAA1007" s="103"/>
      <c r="PAM1007" s="104"/>
      <c r="PAN1007" s="103"/>
      <c r="PAZ1007" s="104"/>
      <c r="PBA1007" s="103"/>
      <c r="PBM1007" s="104"/>
      <c r="PBN1007" s="103"/>
      <c r="PBZ1007" s="104"/>
      <c r="PCA1007" s="103"/>
      <c r="PCM1007" s="104"/>
      <c r="PCN1007" s="103"/>
      <c r="PCZ1007" s="104"/>
      <c r="PDA1007" s="103"/>
      <c r="PDM1007" s="104"/>
      <c r="PDN1007" s="103"/>
      <c r="PDZ1007" s="104"/>
      <c r="PEA1007" s="103"/>
      <c r="PEM1007" s="104"/>
      <c r="PEN1007" s="103"/>
      <c r="PEZ1007" s="104"/>
      <c r="PFA1007" s="103"/>
      <c r="PFM1007" s="104"/>
      <c r="PFN1007" s="103"/>
      <c r="PFZ1007" s="104"/>
      <c r="PGA1007" s="103"/>
      <c r="PGM1007" s="104"/>
      <c r="PGN1007" s="103"/>
      <c r="PGZ1007" s="104"/>
      <c r="PHA1007" s="103"/>
      <c r="PHM1007" s="104"/>
      <c r="PHN1007" s="103"/>
      <c r="PHZ1007" s="104"/>
      <c r="PIA1007" s="103"/>
      <c r="PIM1007" s="104"/>
      <c r="PIN1007" s="103"/>
      <c r="PIZ1007" s="104"/>
      <c r="PJA1007" s="103"/>
      <c r="PJM1007" s="104"/>
      <c r="PJN1007" s="103"/>
      <c r="PJZ1007" s="104"/>
      <c r="PKA1007" s="103"/>
      <c r="PKM1007" s="104"/>
      <c r="PKN1007" s="103"/>
      <c r="PKZ1007" s="104"/>
      <c r="PLA1007" s="103"/>
      <c r="PLM1007" s="104"/>
      <c r="PLN1007" s="103"/>
      <c r="PLZ1007" s="104"/>
      <c r="PMA1007" s="103"/>
      <c r="PMM1007" s="104"/>
      <c r="PMN1007" s="103"/>
      <c r="PMZ1007" s="104"/>
      <c r="PNA1007" s="103"/>
      <c r="PNM1007" s="104"/>
      <c r="PNN1007" s="103"/>
      <c r="PNZ1007" s="104"/>
      <c r="POA1007" s="103"/>
      <c r="POM1007" s="104"/>
      <c r="PON1007" s="103"/>
      <c r="POZ1007" s="104"/>
      <c r="PPA1007" s="103"/>
      <c r="PPM1007" s="104"/>
      <c r="PPN1007" s="103"/>
      <c r="PPZ1007" s="104"/>
      <c r="PQA1007" s="103"/>
      <c r="PQM1007" s="104"/>
      <c r="PQN1007" s="103"/>
      <c r="PQZ1007" s="104"/>
      <c r="PRA1007" s="103"/>
      <c r="PRM1007" s="104"/>
      <c r="PRN1007" s="103"/>
      <c r="PRZ1007" s="104"/>
      <c r="PSA1007" s="103"/>
      <c r="PSM1007" s="104"/>
      <c r="PSN1007" s="103"/>
      <c r="PSZ1007" s="104"/>
      <c r="PTA1007" s="103"/>
      <c r="PTM1007" s="104"/>
      <c r="PTN1007" s="103"/>
      <c r="PTZ1007" s="104"/>
      <c r="PUA1007" s="103"/>
      <c r="PUM1007" s="104"/>
      <c r="PUN1007" s="103"/>
      <c r="PUZ1007" s="104"/>
      <c r="PVA1007" s="103"/>
      <c r="PVM1007" s="104"/>
      <c r="PVN1007" s="103"/>
      <c r="PVZ1007" s="104"/>
      <c r="PWA1007" s="103"/>
      <c r="PWM1007" s="104"/>
      <c r="PWN1007" s="103"/>
      <c r="PWZ1007" s="104"/>
      <c r="PXA1007" s="103"/>
      <c r="PXM1007" s="104"/>
      <c r="PXN1007" s="103"/>
      <c r="PXZ1007" s="104"/>
      <c r="PYA1007" s="103"/>
      <c r="PYM1007" s="104"/>
      <c r="PYN1007" s="103"/>
      <c r="PYZ1007" s="104"/>
      <c r="PZA1007" s="103"/>
      <c r="PZM1007" s="104"/>
      <c r="PZN1007" s="103"/>
      <c r="PZZ1007" s="104"/>
      <c r="QAA1007" s="103"/>
      <c r="QAM1007" s="104"/>
      <c r="QAN1007" s="103"/>
      <c r="QAZ1007" s="104"/>
      <c r="QBA1007" s="103"/>
      <c r="QBM1007" s="104"/>
      <c r="QBN1007" s="103"/>
      <c r="QBZ1007" s="104"/>
      <c r="QCA1007" s="103"/>
      <c r="QCM1007" s="104"/>
      <c r="QCN1007" s="103"/>
      <c r="QCZ1007" s="104"/>
      <c r="QDA1007" s="103"/>
      <c r="QDM1007" s="104"/>
      <c r="QDN1007" s="103"/>
      <c r="QDZ1007" s="104"/>
      <c r="QEA1007" s="103"/>
      <c r="QEM1007" s="104"/>
      <c r="QEN1007" s="103"/>
      <c r="QEZ1007" s="104"/>
      <c r="QFA1007" s="103"/>
      <c r="QFM1007" s="104"/>
      <c r="QFN1007" s="103"/>
      <c r="QFZ1007" s="104"/>
      <c r="QGA1007" s="103"/>
      <c r="QGM1007" s="104"/>
      <c r="QGN1007" s="103"/>
      <c r="QGZ1007" s="104"/>
      <c r="QHA1007" s="103"/>
      <c r="QHM1007" s="104"/>
      <c r="QHN1007" s="103"/>
      <c r="QHZ1007" s="104"/>
      <c r="QIA1007" s="103"/>
      <c r="QIM1007" s="104"/>
      <c r="QIN1007" s="103"/>
      <c r="QIZ1007" s="104"/>
      <c r="QJA1007" s="103"/>
      <c r="QJM1007" s="104"/>
      <c r="QJN1007" s="103"/>
      <c r="QJZ1007" s="104"/>
      <c r="QKA1007" s="103"/>
      <c r="QKM1007" s="104"/>
      <c r="QKN1007" s="103"/>
      <c r="QKZ1007" s="104"/>
      <c r="QLA1007" s="103"/>
      <c r="QLM1007" s="104"/>
      <c r="QLN1007" s="103"/>
      <c r="QLZ1007" s="104"/>
      <c r="QMA1007" s="103"/>
      <c r="QMM1007" s="104"/>
      <c r="QMN1007" s="103"/>
      <c r="QMZ1007" s="104"/>
      <c r="QNA1007" s="103"/>
      <c r="QNM1007" s="104"/>
      <c r="QNN1007" s="103"/>
      <c r="QNZ1007" s="104"/>
      <c r="QOA1007" s="103"/>
      <c r="QOM1007" s="104"/>
      <c r="QON1007" s="103"/>
      <c r="QOZ1007" s="104"/>
      <c r="QPA1007" s="103"/>
      <c r="QPM1007" s="104"/>
      <c r="QPN1007" s="103"/>
      <c r="QPZ1007" s="104"/>
      <c r="QQA1007" s="103"/>
      <c r="QQM1007" s="104"/>
      <c r="QQN1007" s="103"/>
      <c r="QQZ1007" s="104"/>
      <c r="QRA1007" s="103"/>
      <c r="QRM1007" s="104"/>
      <c r="QRN1007" s="103"/>
      <c r="QRZ1007" s="104"/>
      <c r="QSA1007" s="103"/>
      <c r="QSM1007" s="104"/>
      <c r="QSN1007" s="103"/>
      <c r="QSZ1007" s="104"/>
      <c r="QTA1007" s="103"/>
      <c r="QTM1007" s="104"/>
      <c r="QTN1007" s="103"/>
      <c r="QTZ1007" s="104"/>
      <c r="QUA1007" s="103"/>
      <c r="QUM1007" s="104"/>
      <c r="QUN1007" s="103"/>
      <c r="QUZ1007" s="104"/>
      <c r="QVA1007" s="103"/>
      <c r="QVM1007" s="104"/>
      <c r="QVN1007" s="103"/>
      <c r="QVZ1007" s="104"/>
      <c r="QWA1007" s="103"/>
      <c r="QWM1007" s="104"/>
      <c r="QWN1007" s="103"/>
      <c r="QWZ1007" s="104"/>
      <c r="QXA1007" s="103"/>
      <c r="QXM1007" s="104"/>
      <c r="QXN1007" s="103"/>
      <c r="QXZ1007" s="104"/>
      <c r="QYA1007" s="103"/>
      <c r="QYM1007" s="104"/>
      <c r="QYN1007" s="103"/>
      <c r="QYZ1007" s="104"/>
      <c r="QZA1007" s="103"/>
      <c r="QZM1007" s="104"/>
      <c r="QZN1007" s="103"/>
      <c r="QZZ1007" s="104"/>
      <c r="RAA1007" s="103"/>
      <c r="RAM1007" s="104"/>
      <c r="RAN1007" s="103"/>
      <c r="RAZ1007" s="104"/>
      <c r="RBA1007" s="103"/>
      <c r="RBM1007" s="104"/>
      <c r="RBN1007" s="103"/>
      <c r="RBZ1007" s="104"/>
      <c r="RCA1007" s="103"/>
      <c r="RCM1007" s="104"/>
      <c r="RCN1007" s="103"/>
      <c r="RCZ1007" s="104"/>
      <c r="RDA1007" s="103"/>
      <c r="RDM1007" s="104"/>
      <c r="RDN1007" s="103"/>
      <c r="RDZ1007" s="104"/>
      <c r="REA1007" s="103"/>
      <c r="REM1007" s="104"/>
      <c r="REN1007" s="103"/>
      <c r="REZ1007" s="104"/>
      <c r="RFA1007" s="103"/>
      <c r="RFM1007" s="104"/>
      <c r="RFN1007" s="103"/>
      <c r="RFZ1007" s="104"/>
      <c r="RGA1007" s="103"/>
      <c r="RGM1007" s="104"/>
      <c r="RGN1007" s="103"/>
      <c r="RGZ1007" s="104"/>
      <c r="RHA1007" s="103"/>
      <c r="RHM1007" s="104"/>
      <c r="RHN1007" s="103"/>
      <c r="RHZ1007" s="104"/>
      <c r="RIA1007" s="103"/>
      <c r="RIM1007" s="104"/>
      <c r="RIN1007" s="103"/>
      <c r="RIZ1007" s="104"/>
      <c r="RJA1007" s="103"/>
      <c r="RJM1007" s="104"/>
      <c r="RJN1007" s="103"/>
      <c r="RJZ1007" s="104"/>
      <c r="RKA1007" s="103"/>
      <c r="RKM1007" s="104"/>
      <c r="RKN1007" s="103"/>
      <c r="RKZ1007" s="104"/>
      <c r="RLA1007" s="103"/>
      <c r="RLM1007" s="104"/>
      <c r="RLN1007" s="103"/>
      <c r="RLZ1007" s="104"/>
      <c r="RMA1007" s="103"/>
      <c r="RMM1007" s="104"/>
      <c r="RMN1007" s="103"/>
      <c r="RMZ1007" s="104"/>
      <c r="RNA1007" s="103"/>
      <c r="RNM1007" s="104"/>
      <c r="RNN1007" s="103"/>
      <c r="RNZ1007" s="104"/>
      <c r="ROA1007" s="103"/>
      <c r="ROM1007" s="104"/>
      <c r="RON1007" s="103"/>
      <c r="ROZ1007" s="104"/>
      <c r="RPA1007" s="103"/>
      <c r="RPM1007" s="104"/>
      <c r="RPN1007" s="103"/>
      <c r="RPZ1007" s="104"/>
      <c r="RQA1007" s="103"/>
      <c r="RQM1007" s="104"/>
      <c r="RQN1007" s="103"/>
      <c r="RQZ1007" s="104"/>
      <c r="RRA1007" s="103"/>
      <c r="RRM1007" s="104"/>
      <c r="RRN1007" s="103"/>
      <c r="RRZ1007" s="104"/>
      <c r="RSA1007" s="103"/>
      <c r="RSM1007" s="104"/>
      <c r="RSN1007" s="103"/>
      <c r="RSZ1007" s="104"/>
      <c r="RTA1007" s="103"/>
      <c r="RTM1007" s="104"/>
      <c r="RTN1007" s="103"/>
      <c r="RTZ1007" s="104"/>
      <c r="RUA1007" s="103"/>
      <c r="RUM1007" s="104"/>
      <c r="RUN1007" s="103"/>
      <c r="RUZ1007" s="104"/>
      <c r="RVA1007" s="103"/>
      <c r="RVM1007" s="104"/>
      <c r="RVN1007" s="103"/>
      <c r="RVZ1007" s="104"/>
      <c r="RWA1007" s="103"/>
      <c r="RWM1007" s="104"/>
      <c r="RWN1007" s="103"/>
      <c r="RWZ1007" s="104"/>
      <c r="RXA1007" s="103"/>
      <c r="RXM1007" s="104"/>
      <c r="RXN1007" s="103"/>
      <c r="RXZ1007" s="104"/>
      <c r="RYA1007" s="103"/>
      <c r="RYM1007" s="104"/>
      <c r="RYN1007" s="103"/>
      <c r="RYZ1007" s="104"/>
      <c r="RZA1007" s="103"/>
      <c r="RZM1007" s="104"/>
      <c r="RZN1007" s="103"/>
      <c r="RZZ1007" s="104"/>
      <c r="SAA1007" s="103"/>
      <c r="SAM1007" s="104"/>
      <c r="SAN1007" s="103"/>
      <c r="SAZ1007" s="104"/>
      <c r="SBA1007" s="103"/>
      <c r="SBM1007" s="104"/>
      <c r="SBN1007" s="103"/>
      <c r="SBZ1007" s="104"/>
      <c r="SCA1007" s="103"/>
      <c r="SCM1007" s="104"/>
      <c r="SCN1007" s="103"/>
      <c r="SCZ1007" s="104"/>
      <c r="SDA1007" s="103"/>
      <c r="SDM1007" s="104"/>
      <c r="SDN1007" s="103"/>
      <c r="SDZ1007" s="104"/>
      <c r="SEA1007" s="103"/>
      <c r="SEM1007" s="104"/>
      <c r="SEN1007" s="103"/>
      <c r="SEZ1007" s="104"/>
      <c r="SFA1007" s="103"/>
      <c r="SFM1007" s="104"/>
      <c r="SFN1007" s="103"/>
      <c r="SFZ1007" s="104"/>
      <c r="SGA1007" s="103"/>
      <c r="SGM1007" s="104"/>
      <c r="SGN1007" s="103"/>
      <c r="SGZ1007" s="104"/>
      <c r="SHA1007" s="103"/>
      <c r="SHM1007" s="104"/>
      <c r="SHN1007" s="103"/>
      <c r="SHZ1007" s="104"/>
      <c r="SIA1007" s="103"/>
      <c r="SIM1007" s="104"/>
      <c r="SIN1007" s="103"/>
      <c r="SIZ1007" s="104"/>
      <c r="SJA1007" s="103"/>
      <c r="SJM1007" s="104"/>
      <c r="SJN1007" s="103"/>
      <c r="SJZ1007" s="104"/>
      <c r="SKA1007" s="103"/>
      <c r="SKM1007" s="104"/>
      <c r="SKN1007" s="103"/>
      <c r="SKZ1007" s="104"/>
      <c r="SLA1007" s="103"/>
      <c r="SLM1007" s="104"/>
      <c r="SLN1007" s="103"/>
      <c r="SLZ1007" s="104"/>
      <c r="SMA1007" s="103"/>
      <c r="SMM1007" s="104"/>
      <c r="SMN1007" s="103"/>
      <c r="SMZ1007" s="104"/>
      <c r="SNA1007" s="103"/>
      <c r="SNM1007" s="104"/>
      <c r="SNN1007" s="103"/>
      <c r="SNZ1007" s="104"/>
      <c r="SOA1007" s="103"/>
      <c r="SOM1007" s="104"/>
      <c r="SON1007" s="103"/>
      <c r="SOZ1007" s="104"/>
      <c r="SPA1007" s="103"/>
      <c r="SPM1007" s="104"/>
      <c r="SPN1007" s="103"/>
      <c r="SPZ1007" s="104"/>
      <c r="SQA1007" s="103"/>
      <c r="SQM1007" s="104"/>
      <c r="SQN1007" s="103"/>
      <c r="SQZ1007" s="104"/>
      <c r="SRA1007" s="103"/>
      <c r="SRM1007" s="104"/>
      <c r="SRN1007" s="103"/>
      <c r="SRZ1007" s="104"/>
      <c r="SSA1007" s="103"/>
      <c r="SSM1007" s="104"/>
      <c r="SSN1007" s="103"/>
      <c r="SSZ1007" s="104"/>
      <c r="STA1007" s="103"/>
      <c r="STM1007" s="104"/>
      <c r="STN1007" s="103"/>
      <c r="STZ1007" s="104"/>
      <c r="SUA1007" s="103"/>
      <c r="SUM1007" s="104"/>
      <c r="SUN1007" s="103"/>
      <c r="SUZ1007" s="104"/>
      <c r="SVA1007" s="103"/>
      <c r="SVM1007" s="104"/>
      <c r="SVN1007" s="103"/>
      <c r="SVZ1007" s="104"/>
      <c r="SWA1007" s="103"/>
      <c r="SWM1007" s="104"/>
      <c r="SWN1007" s="103"/>
      <c r="SWZ1007" s="104"/>
      <c r="SXA1007" s="103"/>
      <c r="SXM1007" s="104"/>
      <c r="SXN1007" s="103"/>
      <c r="SXZ1007" s="104"/>
      <c r="SYA1007" s="103"/>
      <c r="SYM1007" s="104"/>
      <c r="SYN1007" s="103"/>
      <c r="SYZ1007" s="104"/>
      <c r="SZA1007" s="103"/>
      <c r="SZM1007" s="104"/>
      <c r="SZN1007" s="103"/>
      <c r="SZZ1007" s="104"/>
      <c r="TAA1007" s="103"/>
      <c r="TAM1007" s="104"/>
      <c r="TAN1007" s="103"/>
      <c r="TAZ1007" s="104"/>
      <c r="TBA1007" s="103"/>
      <c r="TBM1007" s="104"/>
      <c r="TBN1007" s="103"/>
      <c r="TBZ1007" s="104"/>
      <c r="TCA1007" s="103"/>
      <c r="TCM1007" s="104"/>
      <c r="TCN1007" s="103"/>
      <c r="TCZ1007" s="104"/>
      <c r="TDA1007" s="103"/>
      <c r="TDM1007" s="104"/>
      <c r="TDN1007" s="103"/>
      <c r="TDZ1007" s="104"/>
      <c r="TEA1007" s="103"/>
      <c r="TEM1007" s="104"/>
      <c r="TEN1007" s="103"/>
      <c r="TEZ1007" s="104"/>
      <c r="TFA1007" s="103"/>
      <c r="TFM1007" s="104"/>
      <c r="TFN1007" s="103"/>
      <c r="TFZ1007" s="104"/>
      <c r="TGA1007" s="103"/>
      <c r="TGM1007" s="104"/>
      <c r="TGN1007" s="103"/>
      <c r="TGZ1007" s="104"/>
      <c r="THA1007" s="103"/>
      <c r="THM1007" s="104"/>
      <c r="THN1007" s="103"/>
      <c r="THZ1007" s="104"/>
      <c r="TIA1007" s="103"/>
      <c r="TIM1007" s="104"/>
      <c r="TIN1007" s="103"/>
      <c r="TIZ1007" s="104"/>
      <c r="TJA1007" s="103"/>
      <c r="TJM1007" s="104"/>
      <c r="TJN1007" s="103"/>
      <c r="TJZ1007" s="104"/>
      <c r="TKA1007" s="103"/>
      <c r="TKM1007" s="104"/>
      <c r="TKN1007" s="103"/>
      <c r="TKZ1007" s="104"/>
      <c r="TLA1007" s="103"/>
      <c r="TLM1007" s="104"/>
      <c r="TLN1007" s="103"/>
      <c r="TLZ1007" s="104"/>
      <c r="TMA1007" s="103"/>
      <c r="TMM1007" s="104"/>
      <c r="TMN1007" s="103"/>
      <c r="TMZ1007" s="104"/>
      <c r="TNA1007" s="103"/>
      <c r="TNM1007" s="104"/>
      <c r="TNN1007" s="103"/>
      <c r="TNZ1007" s="104"/>
      <c r="TOA1007" s="103"/>
      <c r="TOM1007" s="104"/>
      <c r="TON1007" s="103"/>
      <c r="TOZ1007" s="104"/>
      <c r="TPA1007" s="103"/>
      <c r="TPM1007" s="104"/>
      <c r="TPN1007" s="103"/>
      <c r="TPZ1007" s="104"/>
      <c r="TQA1007" s="103"/>
      <c r="TQM1007" s="104"/>
      <c r="TQN1007" s="103"/>
      <c r="TQZ1007" s="104"/>
      <c r="TRA1007" s="103"/>
      <c r="TRM1007" s="104"/>
      <c r="TRN1007" s="103"/>
      <c r="TRZ1007" s="104"/>
      <c r="TSA1007" s="103"/>
      <c r="TSM1007" s="104"/>
      <c r="TSN1007" s="103"/>
      <c r="TSZ1007" s="104"/>
      <c r="TTA1007" s="103"/>
      <c r="TTM1007" s="104"/>
      <c r="TTN1007" s="103"/>
      <c r="TTZ1007" s="104"/>
      <c r="TUA1007" s="103"/>
      <c r="TUM1007" s="104"/>
      <c r="TUN1007" s="103"/>
      <c r="TUZ1007" s="104"/>
      <c r="TVA1007" s="103"/>
      <c r="TVM1007" s="104"/>
      <c r="TVN1007" s="103"/>
      <c r="TVZ1007" s="104"/>
      <c r="TWA1007" s="103"/>
      <c r="TWM1007" s="104"/>
      <c r="TWN1007" s="103"/>
      <c r="TWZ1007" s="104"/>
      <c r="TXA1007" s="103"/>
      <c r="TXM1007" s="104"/>
      <c r="TXN1007" s="103"/>
      <c r="TXZ1007" s="104"/>
      <c r="TYA1007" s="103"/>
      <c r="TYM1007" s="104"/>
      <c r="TYN1007" s="103"/>
      <c r="TYZ1007" s="104"/>
      <c r="TZA1007" s="103"/>
      <c r="TZM1007" s="104"/>
      <c r="TZN1007" s="103"/>
      <c r="TZZ1007" s="104"/>
      <c r="UAA1007" s="103"/>
      <c r="UAM1007" s="104"/>
      <c r="UAN1007" s="103"/>
      <c r="UAZ1007" s="104"/>
      <c r="UBA1007" s="103"/>
      <c r="UBM1007" s="104"/>
      <c r="UBN1007" s="103"/>
      <c r="UBZ1007" s="104"/>
      <c r="UCA1007" s="103"/>
      <c r="UCM1007" s="104"/>
      <c r="UCN1007" s="103"/>
      <c r="UCZ1007" s="104"/>
      <c r="UDA1007" s="103"/>
      <c r="UDM1007" s="104"/>
      <c r="UDN1007" s="103"/>
      <c r="UDZ1007" s="104"/>
      <c r="UEA1007" s="103"/>
      <c r="UEM1007" s="104"/>
      <c r="UEN1007" s="103"/>
      <c r="UEZ1007" s="104"/>
      <c r="UFA1007" s="103"/>
      <c r="UFM1007" s="104"/>
      <c r="UFN1007" s="103"/>
      <c r="UFZ1007" s="104"/>
      <c r="UGA1007" s="103"/>
      <c r="UGM1007" s="104"/>
      <c r="UGN1007" s="103"/>
      <c r="UGZ1007" s="104"/>
      <c r="UHA1007" s="103"/>
      <c r="UHM1007" s="104"/>
      <c r="UHN1007" s="103"/>
      <c r="UHZ1007" s="104"/>
      <c r="UIA1007" s="103"/>
      <c r="UIM1007" s="104"/>
      <c r="UIN1007" s="103"/>
      <c r="UIZ1007" s="104"/>
      <c r="UJA1007" s="103"/>
      <c r="UJM1007" s="104"/>
      <c r="UJN1007" s="103"/>
      <c r="UJZ1007" s="104"/>
      <c r="UKA1007" s="103"/>
      <c r="UKM1007" s="104"/>
      <c r="UKN1007" s="103"/>
      <c r="UKZ1007" s="104"/>
      <c r="ULA1007" s="103"/>
      <c r="ULM1007" s="104"/>
      <c r="ULN1007" s="103"/>
      <c r="ULZ1007" s="104"/>
      <c r="UMA1007" s="103"/>
      <c r="UMM1007" s="104"/>
      <c r="UMN1007" s="103"/>
      <c r="UMZ1007" s="104"/>
      <c r="UNA1007" s="103"/>
      <c r="UNM1007" s="104"/>
      <c r="UNN1007" s="103"/>
      <c r="UNZ1007" s="104"/>
      <c r="UOA1007" s="103"/>
      <c r="UOM1007" s="104"/>
      <c r="UON1007" s="103"/>
      <c r="UOZ1007" s="104"/>
      <c r="UPA1007" s="103"/>
      <c r="UPM1007" s="104"/>
      <c r="UPN1007" s="103"/>
      <c r="UPZ1007" s="104"/>
      <c r="UQA1007" s="103"/>
      <c r="UQM1007" s="104"/>
      <c r="UQN1007" s="103"/>
      <c r="UQZ1007" s="104"/>
      <c r="URA1007" s="103"/>
      <c r="URM1007" s="104"/>
      <c r="URN1007" s="103"/>
      <c r="URZ1007" s="104"/>
      <c r="USA1007" s="103"/>
      <c r="USM1007" s="104"/>
      <c r="USN1007" s="103"/>
      <c r="USZ1007" s="104"/>
      <c r="UTA1007" s="103"/>
      <c r="UTM1007" s="104"/>
      <c r="UTN1007" s="103"/>
      <c r="UTZ1007" s="104"/>
      <c r="UUA1007" s="103"/>
      <c r="UUM1007" s="104"/>
      <c r="UUN1007" s="103"/>
      <c r="UUZ1007" s="104"/>
      <c r="UVA1007" s="103"/>
      <c r="UVM1007" s="104"/>
      <c r="UVN1007" s="103"/>
      <c r="UVZ1007" s="104"/>
      <c r="UWA1007" s="103"/>
      <c r="UWM1007" s="104"/>
      <c r="UWN1007" s="103"/>
      <c r="UWZ1007" s="104"/>
      <c r="UXA1007" s="103"/>
      <c r="UXM1007" s="104"/>
      <c r="UXN1007" s="103"/>
      <c r="UXZ1007" s="104"/>
      <c r="UYA1007" s="103"/>
      <c r="UYM1007" s="104"/>
      <c r="UYN1007" s="103"/>
      <c r="UYZ1007" s="104"/>
      <c r="UZA1007" s="103"/>
      <c r="UZM1007" s="104"/>
      <c r="UZN1007" s="103"/>
      <c r="UZZ1007" s="104"/>
      <c r="VAA1007" s="103"/>
      <c r="VAM1007" s="104"/>
      <c r="VAN1007" s="103"/>
      <c r="VAZ1007" s="104"/>
      <c r="VBA1007" s="103"/>
      <c r="VBM1007" s="104"/>
      <c r="VBN1007" s="103"/>
      <c r="VBZ1007" s="104"/>
      <c r="VCA1007" s="103"/>
      <c r="VCM1007" s="104"/>
      <c r="VCN1007" s="103"/>
      <c r="VCZ1007" s="104"/>
      <c r="VDA1007" s="103"/>
      <c r="VDM1007" s="104"/>
      <c r="VDN1007" s="103"/>
      <c r="VDZ1007" s="104"/>
      <c r="VEA1007" s="103"/>
      <c r="VEM1007" s="104"/>
      <c r="VEN1007" s="103"/>
      <c r="VEZ1007" s="104"/>
      <c r="VFA1007" s="103"/>
      <c r="VFM1007" s="104"/>
      <c r="VFN1007" s="103"/>
      <c r="VFZ1007" s="104"/>
      <c r="VGA1007" s="103"/>
      <c r="VGM1007" s="104"/>
      <c r="VGN1007" s="103"/>
      <c r="VGZ1007" s="104"/>
      <c r="VHA1007" s="103"/>
      <c r="VHM1007" s="104"/>
      <c r="VHN1007" s="103"/>
      <c r="VHZ1007" s="104"/>
      <c r="VIA1007" s="103"/>
      <c r="VIM1007" s="104"/>
      <c r="VIN1007" s="103"/>
      <c r="VIZ1007" s="104"/>
      <c r="VJA1007" s="103"/>
      <c r="VJM1007" s="104"/>
      <c r="VJN1007" s="103"/>
      <c r="VJZ1007" s="104"/>
      <c r="VKA1007" s="103"/>
      <c r="VKM1007" s="104"/>
      <c r="VKN1007" s="103"/>
      <c r="VKZ1007" s="104"/>
      <c r="VLA1007" s="103"/>
      <c r="VLM1007" s="104"/>
      <c r="VLN1007" s="103"/>
      <c r="VLZ1007" s="104"/>
      <c r="VMA1007" s="103"/>
      <c r="VMM1007" s="104"/>
      <c r="VMN1007" s="103"/>
      <c r="VMZ1007" s="104"/>
      <c r="VNA1007" s="103"/>
      <c r="VNM1007" s="104"/>
      <c r="VNN1007" s="103"/>
      <c r="VNZ1007" s="104"/>
      <c r="VOA1007" s="103"/>
      <c r="VOM1007" s="104"/>
      <c r="VON1007" s="103"/>
      <c r="VOZ1007" s="104"/>
      <c r="VPA1007" s="103"/>
      <c r="VPM1007" s="104"/>
      <c r="VPN1007" s="103"/>
      <c r="VPZ1007" s="104"/>
      <c r="VQA1007" s="103"/>
      <c r="VQM1007" s="104"/>
      <c r="VQN1007" s="103"/>
      <c r="VQZ1007" s="104"/>
      <c r="VRA1007" s="103"/>
      <c r="VRM1007" s="104"/>
      <c r="VRN1007" s="103"/>
      <c r="VRZ1007" s="104"/>
      <c r="VSA1007" s="103"/>
      <c r="VSM1007" s="104"/>
      <c r="VSN1007" s="103"/>
      <c r="VSZ1007" s="104"/>
      <c r="VTA1007" s="103"/>
      <c r="VTM1007" s="104"/>
      <c r="VTN1007" s="103"/>
      <c r="VTZ1007" s="104"/>
      <c r="VUA1007" s="103"/>
      <c r="VUM1007" s="104"/>
      <c r="VUN1007" s="103"/>
      <c r="VUZ1007" s="104"/>
      <c r="VVA1007" s="103"/>
      <c r="VVM1007" s="104"/>
      <c r="VVN1007" s="103"/>
      <c r="VVZ1007" s="104"/>
      <c r="VWA1007" s="103"/>
      <c r="VWM1007" s="104"/>
      <c r="VWN1007" s="103"/>
      <c r="VWZ1007" s="104"/>
      <c r="VXA1007" s="103"/>
      <c r="VXM1007" s="104"/>
      <c r="VXN1007" s="103"/>
      <c r="VXZ1007" s="104"/>
      <c r="VYA1007" s="103"/>
      <c r="VYM1007" s="104"/>
      <c r="VYN1007" s="103"/>
      <c r="VYZ1007" s="104"/>
      <c r="VZA1007" s="103"/>
      <c r="VZM1007" s="104"/>
      <c r="VZN1007" s="103"/>
      <c r="VZZ1007" s="104"/>
      <c r="WAA1007" s="103"/>
      <c r="WAM1007" s="104"/>
      <c r="WAN1007" s="103"/>
      <c r="WAZ1007" s="104"/>
      <c r="WBA1007" s="103"/>
      <c r="WBM1007" s="104"/>
      <c r="WBN1007" s="103"/>
      <c r="WBZ1007" s="104"/>
      <c r="WCA1007" s="103"/>
      <c r="WCM1007" s="104"/>
      <c r="WCN1007" s="103"/>
      <c r="WCZ1007" s="104"/>
      <c r="WDA1007" s="103"/>
      <c r="WDM1007" s="104"/>
      <c r="WDN1007" s="103"/>
      <c r="WDZ1007" s="104"/>
      <c r="WEA1007" s="103"/>
      <c r="WEM1007" s="104"/>
      <c r="WEN1007" s="103"/>
      <c r="WEZ1007" s="104"/>
      <c r="WFA1007" s="103"/>
      <c r="WFM1007" s="104"/>
      <c r="WFN1007" s="103"/>
      <c r="WFZ1007" s="104"/>
      <c r="WGA1007" s="103"/>
      <c r="WGM1007" s="104"/>
      <c r="WGN1007" s="103"/>
      <c r="WGZ1007" s="104"/>
      <c r="WHA1007" s="103"/>
      <c r="WHM1007" s="104"/>
      <c r="WHN1007" s="103"/>
      <c r="WHZ1007" s="104"/>
      <c r="WIA1007" s="103"/>
      <c r="WIM1007" s="104"/>
      <c r="WIN1007" s="103"/>
      <c r="WIZ1007" s="104"/>
      <c r="WJA1007" s="103"/>
      <c r="WJM1007" s="104"/>
      <c r="WJN1007" s="103"/>
      <c r="WJZ1007" s="104"/>
      <c r="WKA1007" s="103"/>
      <c r="WKM1007" s="104"/>
      <c r="WKN1007" s="103"/>
      <c r="WKZ1007" s="104"/>
      <c r="WLA1007" s="103"/>
      <c r="WLM1007" s="104"/>
      <c r="WLN1007" s="103"/>
      <c r="WLZ1007" s="104"/>
      <c r="WMA1007" s="103"/>
      <c r="WMM1007" s="104"/>
      <c r="WMN1007" s="103"/>
      <c r="WMZ1007" s="104"/>
      <c r="WNA1007" s="103"/>
      <c r="WNM1007" s="104"/>
      <c r="WNN1007" s="103"/>
      <c r="WNZ1007" s="104"/>
      <c r="WOA1007" s="103"/>
      <c r="WOM1007" s="104"/>
      <c r="WON1007" s="103"/>
      <c r="WOZ1007" s="104"/>
      <c r="WPA1007" s="103"/>
      <c r="WPM1007" s="104"/>
      <c r="WPN1007" s="103"/>
      <c r="WPZ1007" s="104"/>
      <c r="WQA1007" s="103"/>
      <c r="WQM1007" s="104"/>
      <c r="WQN1007" s="103"/>
      <c r="WQZ1007" s="104"/>
      <c r="WRA1007" s="103"/>
      <c r="WRM1007" s="104"/>
      <c r="WRN1007" s="103"/>
      <c r="WRZ1007" s="104"/>
      <c r="WSA1007" s="103"/>
      <c r="WSM1007" s="104"/>
      <c r="WSN1007" s="103"/>
      <c r="WSZ1007" s="104"/>
      <c r="WTA1007" s="103"/>
      <c r="WTM1007" s="104"/>
      <c r="WTN1007" s="103"/>
      <c r="WTZ1007" s="104"/>
      <c r="WUA1007" s="103"/>
      <c r="WUM1007" s="104"/>
      <c r="WUN1007" s="103"/>
      <c r="WUZ1007" s="104"/>
      <c r="WVA1007" s="103"/>
      <c r="WVM1007" s="104"/>
      <c r="WVN1007" s="103"/>
      <c r="WVZ1007" s="104"/>
      <c r="WWA1007" s="103"/>
      <c r="WWM1007" s="104"/>
      <c r="WWN1007" s="103"/>
      <c r="WWZ1007" s="104"/>
      <c r="WXA1007" s="103"/>
      <c r="WXM1007" s="104"/>
      <c r="WXN1007" s="103"/>
      <c r="WXZ1007" s="104"/>
      <c r="WYA1007" s="103"/>
      <c r="WYM1007" s="104"/>
      <c r="WYN1007" s="103"/>
      <c r="WYZ1007" s="104"/>
      <c r="WZA1007" s="103"/>
      <c r="WZM1007" s="104"/>
      <c r="WZN1007" s="103"/>
      <c r="WZZ1007" s="104"/>
      <c r="XAA1007" s="103"/>
      <c r="XAM1007" s="104"/>
      <c r="XAN1007" s="103"/>
      <c r="XAZ1007" s="104"/>
      <c r="XBA1007" s="103"/>
      <c r="XBM1007" s="104"/>
      <c r="XBN1007" s="103"/>
      <c r="XBZ1007" s="104"/>
      <c r="XCA1007" s="103"/>
      <c r="XCM1007" s="104"/>
      <c r="XCN1007" s="103"/>
      <c r="XCZ1007" s="104"/>
      <c r="XDA1007" s="103"/>
      <c r="XDM1007" s="104"/>
      <c r="XDN1007" s="103"/>
      <c r="XDZ1007" s="104"/>
      <c r="XEA1007" s="103"/>
      <c r="XEM1007" s="104"/>
      <c r="XEN1007" s="103"/>
      <c r="XEZ1007" s="104"/>
      <c r="XFA1007" s="103"/>
    </row>
    <row r="1008" spans="1:1015 1027:2042 2054:3069 3081:4096 4108:5110 5122:6137 6149:7164 7176:8191 8203:9205 9217:10232 10244:11259 11271:12286 12298:14327 14339:15354 15366:16381">
      <c r="B1008" s="116" t="s">
        <v>30</v>
      </c>
      <c r="C1008" s="112"/>
      <c r="D1008" s="113"/>
      <c r="E1008" s="114"/>
      <c r="F1008" s="114"/>
      <c r="AM1008" s="104"/>
      <c r="AN1008" s="103"/>
      <c r="AZ1008" s="104"/>
      <c r="BA1008" s="103"/>
      <c r="BM1008" s="104"/>
      <c r="BN1008" s="103"/>
      <c r="BZ1008" s="104"/>
      <c r="CA1008" s="103"/>
      <c r="CM1008" s="104"/>
      <c r="CN1008" s="103"/>
      <c r="CZ1008" s="104"/>
      <c r="DA1008" s="103"/>
      <c r="DM1008" s="104"/>
      <c r="DN1008" s="103"/>
      <c r="DZ1008" s="104"/>
      <c r="EA1008" s="103"/>
      <c r="EM1008" s="104"/>
      <c r="EN1008" s="103"/>
      <c r="EZ1008" s="104"/>
      <c r="FA1008" s="103"/>
      <c r="FM1008" s="104"/>
      <c r="FN1008" s="103"/>
      <c r="FZ1008" s="104"/>
      <c r="GA1008" s="103"/>
      <c r="GM1008" s="104"/>
      <c r="GN1008" s="103"/>
      <c r="GZ1008" s="104"/>
      <c r="HA1008" s="103"/>
      <c r="HM1008" s="104"/>
      <c r="HN1008" s="103"/>
      <c r="HZ1008" s="104"/>
      <c r="IA1008" s="103"/>
      <c r="IM1008" s="104"/>
      <c r="IN1008" s="103"/>
      <c r="IZ1008" s="104"/>
      <c r="JA1008" s="103"/>
      <c r="JM1008" s="104"/>
      <c r="JN1008" s="103"/>
      <c r="JZ1008" s="104"/>
      <c r="KA1008" s="103"/>
      <c r="KM1008" s="104"/>
      <c r="KN1008" s="103"/>
      <c r="KZ1008" s="104"/>
      <c r="LA1008" s="103"/>
      <c r="LM1008" s="104"/>
      <c r="LN1008" s="103"/>
      <c r="LZ1008" s="104"/>
      <c r="MA1008" s="103"/>
      <c r="MM1008" s="104"/>
      <c r="MN1008" s="103"/>
      <c r="MZ1008" s="104"/>
      <c r="NA1008" s="103"/>
      <c r="NM1008" s="104"/>
      <c r="NN1008" s="103"/>
      <c r="NZ1008" s="104"/>
      <c r="OA1008" s="103"/>
      <c r="OM1008" s="104"/>
      <c r="ON1008" s="103"/>
      <c r="OZ1008" s="104"/>
      <c r="PA1008" s="103"/>
      <c r="PM1008" s="104"/>
      <c r="PN1008" s="103"/>
      <c r="PZ1008" s="104"/>
      <c r="QA1008" s="103"/>
      <c r="QM1008" s="104"/>
      <c r="QN1008" s="103"/>
      <c r="QZ1008" s="104"/>
      <c r="RA1008" s="103"/>
      <c r="RM1008" s="104"/>
      <c r="RN1008" s="103"/>
      <c r="RZ1008" s="104"/>
      <c r="SA1008" s="103"/>
      <c r="SM1008" s="104"/>
      <c r="SN1008" s="103"/>
      <c r="SZ1008" s="104"/>
      <c r="TA1008" s="103"/>
      <c r="TM1008" s="104"/>
      <c r="TN1008" s="103"/>
      <c r="TZ1008" s="104"/>
      <c r="UA1008" s="103"/>
      <c r="UM1008" s="104"/>
      <c r="UN1008" s="103"/>
      <c r="UZ1008" s="104"/>
      <c r="VA1008" s="103"/>
      <c r="VM1008" s="104"/>
      <c r="VN1008" s="103"/>
      <c r="VZ1008" s="104"/>
      <c r="WA1008" s="103"/>
      <c r="WM1008" s="104"/>
      <c r="WN1008" s="103"/>
      <c r="WZ1008" s="104"/>
      <c r="XA1008" s="103"/>
      <c r="XM1008" s="104"/>
      <c r="XN1008" s="103"/>
      <c r="XZ1008" s="104"/>
      <c r="YA1008" s="103"/>
      <c r="YM1008" s="104"/>
      <c r="YN1008" s="103"/>
      <c r="YZ1008" s="104"/>
      <c r="ZA1008" s="103"/>
      <c r="ZM1008" s="104"/>
      <c r="ZN1008" s="103"/>
      <c r="ZZ1008" s="104"/>
      <c r="AAA1008" s="103"/>
      <c r="AAM1008" s="104"/>
      <c r="AAN1008" s="103"/>
      <c r="AAZ1008" s="104"/>
      <c r="ABA1008" s="103"/>
      <c r="ABM1008" s="104"/>
      <c r="ABN1008" s="103"/>
      <c r="ABZ1008" s="104"/>
      <c r="ACA1008" s="103"/>
      <c r="ACM1008" s="104"/>
      <c r="ACN1008" s="103"/>
      <c r="ACZ1008" s="104"/>
      <c r="ADA1008" s="103"/>
      <c r="ADM1008" s="104"/>
      <c r="ADN1008" s="103"/>
      <c r="ADZ1008" s="104"/>
      <c r="AEA1008" s="103"/>
      <c r="AEM1008" s="104"/>
      <c r="AEN1008" s="103"/>
      <c r="AEZ1008" s="104"/>
      <c r="AFA1008" s="103"/>
      <c r="AFM1008" s="104"/>
      <c r="AFN1008" s="103"/>
      <c r="AFZ1008" s="104"/>
      <c r="AGA1008" s="103"/>
      <c r="AGM1008" s="104"/>
      <c r="AGN1008" s="103"/>
      <c r="AGZ1008" s="104"/>
      <c r="AHA1008" s="103"/>
      <c r="AHM1008" s="104"/>
      <c r="AHN1008" s="103"/>
      <c r="AHZ1008" s="104"/>
      <c r="AIA1008" s="103"/>
      <c r="AIM1008" s="104"/>
      <c r="AIN1008" s="103"/>
      <c r="AIZ1008" s="104"/>
      <c r="AJA1008" s="103"/>
      <c r="AJM1008" s="104"/>
      <c r="AJN1008" s="103"/>
      <c r="AJZ1008" s="104"/>
      <c r="AKA1008" s="103"/>
      <c r="AKM1008" s="104"/>
      <c r="AKN1008" s="103"/>
      <c r="AKZ1008" s="104"/>
      <c r="ALA1008" s="103"/>
      <c r="ALM1008" s="104"/>
      <c r="ALN1008" s="103"/>
      <c r="ALZ1008" s="104"/>
      <c r="AMA1008" s="103"/>
      <c r="AMM1008" s="104"/>
      <c r="AMN1008" s="103"/>
      <c r="AMZ1008" s="104"/>
      <c r="ANA1008" s="103"/>
      <c r="ANM1008" s="104"/>
      <c r="ANN1008" s="103"/>
      <c r="ANZ1008" s="104"/>
      <c r="AOA1008" s="103"/>
      <c r="AOM1008" s="104"/>
      <c r="AON1008" s="103"/>
      <c r="AOZ1008" s="104"/>
      <c r="APA1008" s="103"/>
      <c r="APM1008" s="104"/>
      <c r="APN1008" s="103"/>
      <c r="APZ1008" s="104"/>
      <c r="AQA1008" s="103"/>
      <c r="AQM1008" s="104"/>
      <c r="AQN1008" s="103"/>
      <c r="AQZ1008" s="104"/>
      <c r="ARA1008" s="103"/>
      <c r="ARM1008" s="104"/>
      <c r="ARN1008" s="103"/>
      <c r="ARZ1008" s="104"/>
      <c r="ASA1008" s="103"/>
      <c r="ASM1008" s="104"/>
      <c r="ASN1008" s="103"/>
      <c r="ASZ1008" s="104"/>
      <c r="ATA1008" s="103"/>
      <c r="ATM1008" s="104"/>
      <c r="ATN1008" s="103"/>
      <c r="ATZ1008" s="104"/>
      <c r="AUA1008" s="103"/>
      <c r="AUM1008" s="104"/>
      <c r="AUN1008" s="103"/>
      <c r="AUZ1008" s="104"/>
      <c r="AVA1008" s="103"/>
      <c r="AVM1008" s="104"/>
      <c r="AVN1008" s="103"/>
      <c r="AVZ1008" s="104"/>
      <c r="AWA1008" s="103"/>
      <c r="AWM1008" s="104"/>
      <c r="AWN1008" s="103"/>
      <c r="AWZ1008" s="104"/>
      <c r="AXA1008" s="103"/>
      <c r="AXM1008" s="104"/>
      <c r="AXN1008" s="103"/>
      <c r="AXZ1008" s="104"/>
      <c r="AYA1008" s="103"/>
      <c r="AYM1008" s="104"/>
      <c r="AYN1008" s="103"/>
      <c r="AYZ1008" s="104"/>
      <c r="AZA1008" s="103"/>
      <c r="AZM1008" s="104"/>
      <c r="AZN1008" s="103"/>
      <c r="AZZ1008" s="104"/>
      <c r="BAA1008" s="103"/>
      <c r="BAM1008" s="104"/>
      <c r="BAN1008" s="103"/>
      <c r="BAZ1008" s="104"/>
      <c r="BBA1008" s="103"/>
      <c r="BBM1008" s="104"/>
      <c r="BBN1008" s="103"/>
      <c r="BBZ1008" s="104"/>
      <c r="BCA1008" s="103"/>
      <c r="BCM1008" s="104"/>
      <c r="BCN1008" s="103"/>
      <c r="BCZ1008" s="104"/>
      <c r="BDA1008" s="103"/>
      <c r="BDM1008" s="104"/>
      <c r="BDN1008" s="103"/>
      <c r="BDZ1008" s="104"/>
      <c r="BEA1008" s="103"/>
      <c r="BEM1008" s="104"/>
      <c r="BEN1008" s="103"/>
      <c r="BEZ1008" s="104"/>
      <c r="BFA1008" s="103"/>
      <c r="BFM1008" s="104"/>
      <c r="BFN1008" s="103"/>
      <c r="BFZ1008" s="104"/>
      <c r="BGA1008" s="103"/>
      <c r="BGM1008" s="104"/>
      <c r="BGN1008" s="103"/>
      <c r="BGZ1008" s="104"/>
      <c r="BHA1008" s="103"/>
      <c r="BHM1008" s="104"/>
      <c r="BHN1008" s="103"/>
      <c r="BHZ1008" s="104"/>
      <c r="BIA1008" s="103"/>
      <c r="BIM1008" s="104"/>
      <c r="BIN1008" s="103"/>
      <c r="BIZ1008" s="104"/>
      <c r="BJA1008" s="103"/>
      <c r="BJM1008" s="104"/>
      <c r="BJN1008" s="103"/>
      <c r="BJZ1008" s="104"/>
      <c r="BKA1008" s="103"/>
      <c r="BKM1008" s="104"/>
      <c r="BKN1008" s="103"/>
      <c r="BKZ1008" s="104"/>
      <c r="BLA1008" s="103"/>
      <c r="BLM1008" s="104"/>
      <c r="BLN1008" s="103"/>
      <c r="BLZ1008" s="104"/>
      <c r="BMA1008" s="103"/>
      <c r="BMM1008" s="104"/>
      <c r="BMN1008" s="103"/>
      <c r="BMZ1008" s="104"/>
      <c r="BNA1008" s="103"/>
      <c r="BNM1008" s="104"/>
      <c r="BNN1008" s="103"/>
      <c r="BNZ1008" s="104"/>
      <c r="BOA1008" s="103"/>
      <c r="BOM1008" s="104"/>
      <c r="BON1008" s="103"/>
      <c r="BOZ1008" s="104"/>
      <c r="BPA1008" s="103"/>
      <c r="BPM1008" s="104"/>
      <c r="BPN1008" s="103"/>
      <c r="BPZ1008" s="104"/>
      <c r="BQA1008" s="103"/>
      <c r="BQM1008" s="104"/>
      <c r="BQN1008" s="103"/>
      <c r="BQZ1008" s="104"/>
      <c r="BRA1008" s="103"/>
      <c r="BRM1008" s="104"/>
      <c r="BRN1008" s="103"/>
      <c r="BRZ1008" s="104"/>
      <c r="BSA1008" s="103"/>
      <c r="BSM1008" s="104"/>
      <c r="BSN1008" s="103"/>
      <c r="BSZ1008" s="104"/>
      <c r="BTA1008" s="103"/>
      <c r="BTM1008" s="104"/>
      <c r="BTN1008" s="103"/>
      <c r="BTZ1008" s="104"/>
      <c r="BUA1008" s="103"/>
      <c r="BUM1008" s="104"/>
      <c r="BUN1008" s="103"/>
      <c r="BUZ1008" s="104"/>
      <c r="BVA1008" s="103"/>
      <c r="BVM1008" s="104"/>
      <c r="BVN1008" s="103"/>
      <c r="BVZ1008" s="104"/>
      <c r="BWA1008" s="103"/>
      <c r="BWM1008" s="104"/>
      <c r="BWN1008" s="103"/>
      <c r="BWZ1008" s="104"/>
      <c r="BXA1008" s="103"/>
      <c r="BXM1008" s="104"/>
      <c r="BXN1008" s="103"/>
      <c r="BXZ1008" s="104"/>
      <c r="BYA1008" s="103"/>
      <c r="BYM1008" s="104"/>
      <c r="BYN1008" s="103"/>
      <c r="BYZ1008" s="104"/>
      <c r="BZA1008" s="103"/>
      <c r="BZM1008" s="104"/>
      <c r="BZN1008" s="103"/>
      <c r="BZZ1008" s="104"/>
      <c r="CAA1008" s="103"/>
      <c r="CAM1008" s="104"/>
      <c r="CAN1008" s="103"/>
      <c r="CAZ1008" s="104"/>
      <c r="CBA1008" s="103"/>
      <c r="CBM1008" s="104"/>
      <c r="CBN1008" s="103"/>
      <c r="CBZ1008" s="104"/>
      <c r="CCA1008" s="103"/>
      <c r="CCM1008" s="104"/>
      <c r="CCN1008" s="103"/>
      <c r="CCZ1008" s="104"/>
      <c r="CDA1008" s="103"/>
      <c r="CDM1008" s="104"/>
      <c r="CDN1008" s="103"/>
      <c r="CDZ1008" s="104"/>
      <c r="CEA1008" s="103"/>
      <c r="CEM1008" s="104"/>
      <c r="CEN1008" s="103"/>
      <c r="CEZ1008" s="104"/>
      <c r="CFA1008" s="103"/>
      <c r="CFM1008" s="104"/>
      <c r="CFN1008" s="103"/>
      <c r="CFZ1008" s="104"/>
      <c r="CGA1008" s="103"/>
      <c r="CGM1008" s="104"/>
      <c r="CGN1008" s="103"/>
      <c r="CGZ1008" s="104"/>
      <c r="CHA1008" s="103"/>
      <c r="CHM1008" s="104"/>
      <c r="CHN1008" s="103"/>
      <c r="CHZ1008" s="104"/>
      <c r="CIA1008" s="103"/>
      <c r="CIM1008" s="104"/>
      <c r="CIN1008" s="103"/>
      <c r="CIZ1008" s="104"/>
      <c r="CJA1008" s="103"/>
      <c r="CJM1008" s="104"/>
      <c r="CJN1008" s="103"/>
      <c r="CJZ1008" s="104"/>
      <c r="CKA1008" s="103"/>
      <c r="CKM1008" s="104"/>
      <c r="CKN1008" s="103"/>
      <c r="CKZ1008" s="104"/>
      <c r="CLA1008" s="103"/>
      <c r="CLM1008" s="104"/>
      <c r="CLN1008" s="103"/>
      <c r="CLZ1008" s="104"/>
      <c r="CMA1008" s="103"/>
      <c r="CMM1008" s="104"/>
      <c r="CMN1008" s="103"/>
      <c r="CMZ1008" s="104"/>
      <c r="CNA1008" s="103"/>
      <c r="CNM1008" s="104"/>
      <c r="CNN1008" s="103"/>
      <c r="CNZ1008" s="104"/>
      <c r="COA1008" s="103"/>
      <c r="COM1008" s="104"/>
      <c r="CON1008" s="103"/>
      <c r="COZ1008" s="104"/>
      <c r="CPA1008" s="103"/>
      <c r="CPM1008" s="104"/>
      <c r="CPN1008" s="103"/>
      <c r="CPZ1008" s="104"/>
      <c r="CQA1008" s="103"/>
      <c r="CQM1008" s="104"/>
      <c r="CQN1008" s="103"/>
      <c r="CQZ1008" s="104"/>
      <c r="CRA1008" s="103"/>
      <c r="CRM1008" s="104"/>
      <c r="CRN1008" s="103"/>
      <c r="CRZ1008" s="104"/>
      <c r="CSA1008" s="103"/>
      <c r="CSM1008" s="104"/>
      <c r="CSN1008" s="103"/>
      <c r="CSZ1008" s="104"/>
      <c r="CTA1008" s="103"/>
      <c r="CTM1008" s="104"/>
      <c r="CTN1008" s="103"/>
      <c r="CTZ1008" s="104"/>
      <c r="CUA1008" s="103"/>
      <c r="CUM1008" s="104"/>
      <c r="CUN1008" s="103"/>
      <c r="CUZ1008" s="104"/>
      <c r="CVA1008" s="103"/>
      <c r="CVM1008" s="104"/>
      <c r="CVN1008" s="103"/>
      <c r="CVZ1008" s="104"/>
      <c r="CWA1008" s="103"/>
      <c r="CWM1008" s="104"/>
      <c r="CWN1008" s="103"/>
      <c r="CWZ1008" s="104"/>
      <c r="CXA1008" s="103"/>
      <c r="CXM1008" s="104"/>
      <c r="CXN1008" s="103"/>
      <c r="CXZ1008" s="104"/>
      <c r="CYA1008" s="103"/>
      <c r="CYM1008" s="104"/>
      <c r="CYN1008" s="103"/>
      <c r="CYZ1008" s="104"/>
      <c r="CZA1008" s="103"/>
      <c r="CZM1008" s="104"/>
      <c r="CZN1008" s="103"/>
      <c r="CZZ1008" s="104"/>
      <c r="DAA1008" s="103"/>
      <c r="DAM1008" s="104"/>
      <c r="DAN1008" s="103"/>
      <c r="DAZ1008" s="104"/>
      <c r="DBA1008" s="103"/>
      <c r="DBM1008" s="104"/>
      <c r="DBN1008" s="103"/>
      <c r="DBZ1008" s="104"/>
      <c r="DCA1008" s="103"/>
      <c r="DCM1008" s="104"/>
      <c r="DCN1008" s="103"/>
      <c r="DCZ1008" s="104"/>
      <c r="DDA1008" s="103"/>
      <c r="DDM1008" s="104"/>
      <c r="DDN1008" s="103"/>
      <c r="DDZ1008" s="104"/>
      <c r="DEA1008" s="103"/>
      <c r="DEM1008" s="104"/>
      <c r="DEN1008" s="103"/>
      <c r="DEZ1008" s="104"/>
      <c r="DFA1008" s="103"/>
      <c r="DFM1008" s="104"/>
      <c r="DFN1008" s="103"/>
      <c r="DFZ1008" s="104"/>
      <c r="DGA1008" s="103"/>
      <c r="DGM1008" s="104"/>
      <c r="DGN1008" s="103"/>
      <c r="DGZ1008" s="104"/>
      <c r="DHA1008" s="103"/>
      <c r="DHM1008" s="104"/>
      <c r="DHN1008" s="103"/>
      <c r="DHZ1008" s="104"/>
      <c r="DIA1008" s="103"/>
      <c r="DIM1008" s="104"/>
      <c r="DIN1008" s="103"/>
      <c r="DIZ1008" s="104"/>
      <c r="DJA1008" s="103"/>
      <c r="DJM1008" s="104"/>
      <c r="DJN1008" s="103"/>
      <c r="DJZ1008" s="104"/>
      <c r="DKA1008" s="103"/>
      <c r="DKM1008" s="104"/>
      <c r="DKN1008" s="103"/>
      <c r="DKZ1008" s="104"/>
      <c r="DLA1008" s="103"/>
      <c r="DLM1008" s="104"/>
      <c r="DLN1008" s="103"/>
      <c r="DLZ1008" s="104"/>
      <c r="DMA1008" s="103"/>
      <c r="DMM1008" s="104"/>
      <c r="DMN1008" s="103"/>
      <c r="DMZ1008" s="104"/>
      <c r="DNA1008" s="103"/>
      <c r="DNM1008" s="104"/>
      <c r="DNN1008" s="103"/>
      <c r="DNZ1008" s="104"/>
      <c r="DOA1008" s="103"/>
      <c r="DOM1008" s="104"/>
      <c r="DON1008" s="103"/>
      <c r="DOZ1008" s="104"/>
      <c r="DPA1008" s="103"/>
      <c r="DPM1008" s="104"/>
      <c r="DPN1008" s="103"/>
      <c r="DPZ1008" s="104"/>
      <c r="DQA1008" s="103"/>
      <c r="DQM1008" s="104"/>
      <c r="DQN1008" s="103"/>
      <c r="DQZ1008" s="104"/>
      <c r="DRA1008" s="103"/>
      <c r="DRM1008" s="104"/>
      <c r="DRN1008" s="103"/>
      <c r="DRZ1008" s="104"/>
      <c r="DSA1008" s="103"/>
      <c r="DSM1008" s="104"/>
      <c r="DSN1008" s="103"/>
      <c r="DSZ1008" s="104"/>
      <c r="DTA1008" s="103"/>
      <c r="DTM1008" s="104"/>
      <c r="DTN1008" s="103"/>
      <c r="DTZ1008" s="104"/>
      <c r="DUA1008" s="103"/>
      <c r="DUM1008" s="104"/>
      <c r="DUN1008" s="103"/>
      <c r="DUZ1008" s="104"/>
      <c r="DVA1008" s="103"/>
      <c r="DVM1008" s="104"/>
      <c r="DVN1008" s="103"/>
      <c r="DVZ1008" s="104"/>
      <c r="DWA1008" s="103"/>
      <c r="DWM1008" s="104"/>
      <c r="DWN1008" s="103"/>
      <c r="DWZ1008" s="104"/>
      <c r="DXA1008" s="103"/>
      <c r="DXM1008" s="104"/>
      <c r="DXN1008" s="103"/>
      <c r="DXZ1008" s="104"/>
      <c r="DYA1008" s="103"/>
      <c r="DYM1008" s="104"/>
      <c r="DYN1008" s="103"/>
      <c r="DYZ1008" s="104"/>
      <c r="DZA1008" s="103"/>
      <c r="DZM1008" s="104"/>
      <c r="DZN1008" s="103"/>
      <c r="DZZ1008" s="104"/>
      <c r="EAA1008" s="103"/>
      <c r="EAM1008" s="104"/>
      <c r="EAN1008" s="103"/>
      <c r="EAZ1008" s="104"/>
      <c r="EBA1008" s="103"/>
      <c r="EBM1008" s="104"/>
      <c r="EBN1008" s="103"/>
      <c r="EBZ1008" s="104"/>
      <c r="ECA1008" s="103"/>
      <c r="ECM1008" s="104"/>
      <c r="ECN1008" s="103"/>
      <c r="ECZ1008" s="104"/>
      <c r="EDA1008" s="103"/>
      <c r="EDM1008" s="104"/>
      <c r="EDN1008" s="103"/>
      <c r="EDZ1008" s="104"/>
      <c r="EEA1008" s="103"/>
      <c r="EEM1008" s="104"/>
      <c r="EEN1008" s="103"/>
      <c r="EEZ1008" s="104"/>
      <c r="EFA1008" s="103"/>
      <c r="EFM1008" s="104"/>
      <c r="EFN1008" s="103"/>
      <c r="EFZ1008" s="104"/>
      <c r="EGA1008" s="103"/>
      <c r="EGM1008" s="104"/>
      <c r="EGN1008" s="103"/>
      <c r="EGZ1008" s="104"/>
      <c r="EHA1008" s="103"/>
      <c r="EHM1008" s="104"/>
      <c r="EHN1008" s="103"/>
      <c r="EHZ1008" s="104"/>
      <c r="EIA1008" s="103"/>
      <c r="EIM1008" s="104"/>
      <c r="EIN1008" s="103"/>
      <c r="EIZ1008" s="104"/>
      <c r="EJA1008" s="103"/>
      <c r="EJM1008" s="104"/>
      <c r="EJN1008" s="103"/>
      <c r="EJZ1008" s="104"/>
      <c r="EKA1008" s="103"/>
      <c r="EKM1008" s="104"/>
      <c r="EKN1008" s="103"/>
      <c r="EKZ1008" s="104"/>
      <c r="ELA1008" s="103"/>
      <c r="ELM1008" s="104"/>
      <c r="ELN1008" s="103"/>
      <c r="ELZ1008" s="104"/>
      <c r="EMA1008" s="103"/>
      <c r="EMM1008" s="104"/>
      <c r="EMN1008" s="103"/>
      <c r="EMZ1008" s="104"/>
      <c r="ENA1008" s="103"/>
      <c r="ENM1008" s="104"/>
      <c r="ENN1008" s="103"/>
      <c r="ENZ1008" s="104"/>
      <c r="EOA1008" s="103"/>
      <c r="EOM1008" s="104"/>
      <c r="EON1008" s="103"/>
      <c r="EOZ1008" s="104"/>
      <c r="EPA1008" s="103"/>
      <c r="EPM1008" s="104"/>
      <c r="EPN1008" s="103"/>
      <c r="EPZ1008" s="104"/>
      <c r="EQA1008" s="103"/>
      <c r="EQM1008" s="104"/>
      <c r="EQN1008" s="103"/>
      <c r="EQZ1008" s="104"/>
      <c r="ERA1008" s="103"/>
      <c r="ERM1008" s="104"/>
      <c r="ERN1008" s="103"/>
      <c r="ERZ1008" s="104"/>
      <c r="ESA1008" s="103"/>
      <c r="ESM1008" s="104"/>
      <c r="ESN1008" s="103"/>
      <c r="ESZ1008" s="104"/>
      <c r="ETA1008" s="103"/>
      <c r="ETM1008" s="104"/>
      <c r="ETN1008" s="103"/>
      <c r="ETZ1008" s="104"/>
      <c r="EUA1008" s="103"/>
      <c r="EUM1008" s="104"/>
      <c r="EUN1008" s="103"/>
      <c r="EUZ1008" s="104"/>
      <c r="EVA1008" s="103"/>
      <c r="EVM1008" s="104"/>
      <c r="EVN1008" s="103"/>
      <c r="EVZ1008" s="104"/>
      <c r="EWA1008" s="103"/>
      <c r="EWM1008" s="104"/>
      <c r="EWN1008" s="103"/>
      <c r="EWZ1008" s="104"/>
      <c r="EXA1008" s="103"/>
      <c r="EXM1008" s="104"/>
      <c r="EXN1008" s="103"/>
      <c r="EXZ1008" s="104"/>
      <c r="EYA1008" s="103"/>
      <c r="EYM1008" s="104"/>
      <c r="EYN1008" s="103"/>
      <c r="EYZ1008" s="104"/>
      <c r="EZA1008" s="103"/>
      <c r="EZM1008" s="104"/>
      <c r="EZN1008" s="103"/>
      <c r="EZZ1008" s="104"/>
      <c r="FAA1008" s="103"/>
      <c r="FAM1008" s="104"/>
      <c r="FAN1008" s="103"/>
      <c r="FAZ1008" s="104"/>
      <c r="FBA1008" s="103"/>
      <c r="FBM1008" s="104"/>
      <c r="FBN1008" s="103"/>
      <c r="FBZ1008" s="104"/>
      <c r="FCA1008" s="103"/>
      <c r="FCM1008" s="104"/>
      <c r="FCN1008" s="103"/>
      <c r="FCZ1008" s="104"/>
      <c r="FDA1008" s="103"/>
      <c r="FDM1008" s="104"/>
      <c r="FDN1008" s="103"/>
      <c r="FDZ1008" s="104"/>
      <c r="FEA1008" s="103"/>
      <c r="FEM1008" s="104"/>
      <c r="FEN1008" s="103"/>
      <c r="FEZ1008" s="104"/>
      <c r="FFA1008" s="103"/>
      <c r="FFM1008" s="104"/>
      <c r="FFN1008" s="103"/>
      <c r="FFZ1008" s="104"/>
      <c r="FGA1008" s="103"/>
      <c r="FGM1008" s="104"/>
      <c r="FGN1008" s="103"/>
      <c r="FGZ1008" s="104"/>
      <c r="FHA1008" s="103"/>
      <c r="FHM1008" s="104"/>
      <c r="FHN1008" s="103"/>
      <c r="FHZ1008" s="104"/>
      <c r="FIA1008" s="103"/>
      <c r="FIM1008" s="104"/>
      <c r="FIN1008" s="103"/>
      <c r="FIZ1008" s="104"/>
      <c r="FJA1008" s="103"/>
      <c r="FJM1008" s="104"/>
      <c r="FJN1008" s="103"/>
      <c r="FJZ1008" s="104"/>
      <c r="FKA1008" s="103"/>
      <c r="FKM1008" s="104"/>
      <c r="FKN1008" s="103"/>
      <c r="FKZ1008" s="104"/>
      <c r="FLA1008" s="103"/>
      <c r="FLM1008" s="104"/>
      <c r="FLN1008" s="103"/>
      <c r="FLZ1008" s="104"/>
      <c r="FMA1008" s="103"/>
      <c r="FMM1008" s="104"/>
      <c r="FMN1008" s="103"/>
      <c r="FMZ1008" s="104"/>
      <c r="FNA1008" s="103"/>
      <c r="FNM1008" s="104"/>
      <c r="FNN1008" s="103"/>
      <c r="FNZ1008" s="104"/>
      <c r="FOA1008" s="103"/>
      <c r="FOM1008" s="104"/>
      <c r="FON1008" s="103"/>
      <c r="FOZ1008" s="104"/>
      <c r="FPA1008" s="103"/>
      <c r="FPM1008" s="104"/>
      <c r="FPN1008" s="103"/>
      <c r="FPZ1008" s="104"/>
      <c r="FQA1008" s="103"/>
      <c r="FQM1008" s="104"/>
      <c r="FQN1008" s="103"/>
      <c r="FQZ1008" s="104"/>
      <c r="FRA1008" s="103"/>
      <c r="FRM1008" s="104"/>
      <c r="FRN1008" s="103"/>
      <c r="FRZ1008" s="104"/>
      <c r="FSA1008" s="103"/>
      <c r="FSM1008" s="104"/>
      <c r="FSN1008" s="103"/>
      <c r="FSZ1008" s="104"/>
      <c r="FTA1008" s="103"/>
      <c r="FTM1008" s="104"/>
      <c r="FTN1008" s="103"/>
      <c r="FTZ1008" s="104"/>
      <c r="FUA1008" s="103"/>
      <c r="FUM1008" s="104"/>
      <c r="FUN1008" s="103"/>
      <c r="FUZ1008" s="104"/>
      <c r="FVA1008" s="103"/>
      <c r="FVM1008" s="104"/>
      <c r="FVN1008" s="103"/>
      <c r="FVZ1008" s="104"/>
      <c r="FWA1008" s="103"/>
      <c r="FWM1008" s="104"/>
      <c r="FWN1008" s="103"/>
      <c r="FWZ1008" s="104"/>
      <c r="FXA1008" s="103"/>
      <c r="FXM1008" s="104"/>
      <c r="FXN1008" s="103"/>
      <c r="FXZ1008" s="104"/>
      <c r="FYA1008" s="103"/>
      <c r="FYM1008" s="104"/>
      <c r="FYN1008" s="103"/>
      <c r="FYZ1008" s="104"/>
      <c r="FZA1008" s="103"/>
      <c r="FZM1008" s="104"/>
      <c r="FZN1008" s="103"/>
      <c r="FZZ1008" s="104"/>
      <c r="GAA1008" s="103"/>
      <c r="GAM1008" s="104"/>
      <c r="GAN1008" s="103"/>
      <c r="GAZ1008" s="104"/>
      <c r="GBA1008" s="103"/>
      <c r="GBM1008" s="104"/>
      <c r="GBN1008" s="103"/>
      <c r="GBZ1008" s="104"/>
      <c r="GCA1008" s="103"/>
      <c r="GCM1008" s="104"/>
      <c r="GCN1008" s="103"/>
      <c r="GCZ1008" s="104"/>
      <c r="GDA1008" s="103"/>
      <c r="GDM1008" s="104"/>
      <c r="GDN1008" s="103"/>
      <c r="GDZ1008" s="104"/>
      <c r="GEA1008" s="103"/>
      <c r="GEM1008" s="104"/>
      <c r="GEN1008" s="103"/>
      <c r="GEZ1008" s="104"/>
      <c r="GFA1008" s="103"/>
      <c r="GFM1008" s="104"/>
      <c r="GFN1008" s="103"/>
      <c r="GFZ1008" s="104"/>
      <c r="GGA1008" s="103"/>
      <c r="GGM1008" s="104"/>
      <c r="GGN1008" s="103"/>
      <c r="GGZ1008" s="104"/>
      <c r="GHA1008" s="103"/>
      <c r="GHM1008" s="104"/>
      <c r="GHN1008" s="103"/>
      <c r="GHZ1008" s="104"/>
      <c r="GIA1008" s="103"/>
      <c r="GIM1008" s="104"/>
      <c r="GIN1008" s="103"/>
      <c r="GIZ1008" s="104"/>
      <c r="GJA1008" s="103"/>
      <c r="GJM1008" s="104"/>
      <c r="GJN1008" s="103"/>
      <c r="GJZ1008" s="104"/>
      <c r="GKA1008" s="103"/>
      <c r="GKM1008" s="104"/>
      <c r="GKN1008" s="103"/>
      <c r="GKZ1008" s="104"/>
      <c r="GLA1008" s="103"/>
      <c r="GLM1008" s="104"/>
      <c r="GLN1008" s="103"/>
      <c r="GLZ1008" s="104"/>
      <c r="GMA1008" s="103"/>
      <c r="GMM1008" s="104"/>
      <c r="GMN1008" s="103"/>
      <c r="GMZ1008" s="104"/>
      <c r="GNA1008" s="103"/>
      <c r="GNM1008" s="104"/>
      <c r="GNN1008" s="103"/>
      <c r="GNZ1008" s="104"/>
      <c r="GOA1008" s="103"/>
      <c r="GOM1008" s="104"/>
      <c r="GON1008" s="103"/>
      <c r="GOZ1008" s="104"/>
      <c r="GPA1008" s="103"/>
      <c r="GPM1008" s="104"/>
      <c r="GPN1008" s="103"/>
      <c r="GPZ1008" s="104"/>
      <c r="GQA1008" s="103"/>
      <c r="GQM1008" s="104"/>
      <c r="GQN1008" s="103"/>
      <c r="GQZ1008" s="104"/>
      <c r="GRA1008" s="103"/>
      <c r="GRM1008" s="104"/>
      <c r="GRN1008" s="103"/>
      <c r="GRZ1008" s="104"/>
      <c r="GSA1008" s="103"/>
      <c r="GSM1008" s="104"/>
      <c r="GSN1008" s="103"/>
      <c r="GSZ1008" s="104"/>
      <c r="GTA1008" s="103"/>
      <c r="GTM1008" s="104"/>
      <c r="GTN1008" s="103"/>
      <c r="GTZ1008" s="104"/>
      <c r="GUA1008" s="103"/>
      <c r="GUM1008" s="104"/>
      <c r="GUN1008" s="103"/>
      <c r="GUZ1008" s="104"/>
      <c r="GVA1008" s="103"/>
      <c r="GVM1008" s="104"/>
      <c r="GVN1008" s="103"/>
      <c r="GVZ1008" s="104"/>
      <c r="GWA1008" s="103"/>
      <c r="GWM1008" s="104"/>
      <c r="GWN1008" s="103"/>
      <c r="GWZ1008" s="104"/>
      <c r="GXA1008" s="103"/>
      <c r="GXM1008" s="104"/>
      <c r="GXN1008" s="103"/>
      <c r="GXZ1008" s="104"/>
      <c r="GYA1008" s="103"/>
      <c r="GYM1008" s="104"/>
      <c r="GYN1008" s="103"/>
      <c r="GYZ1008" s="104"/>
      <c r="GZA1008" s="103"/>
      <c r="GZM1008" s="104"/>
      <c r="GZN1008" s="103"/>
      <c r="GZZ1008" s="104"/>
      <c r="HAA1008" s="103"/>
      <c r="HAM1008" s="104"/>
      <c r="HAN1008" s="103"/>
      <c r="HAZ1008" s="104"/>
      <c r="HBA1008" s="103"/>
      <c r="HBM1008" s="104"/>
      <c r="HBN1008" s="103"/>
      <c r="HBZ1008" s="104"/>
      <c r="HCA1008" s="103"/>
      <c r="HCM1008" s="104"/>
      <c r="HCN1008" s="103"/>
      <c r="HCZ1008" s="104"/>
      <c r="HDA1008" s="103"/>
      <c r="HDM1008" s="104"/>
      <c r="HDN1008" s="103"/>
      <c r="HDZ1008" s="104"/>
      <c r="HEA1008" s="103"/>
      <c r="HEM1008" s="104"/>
      <c r="HEN1008" s="103"/>
      <c r="HEZ1008" s="104"/>
      <c r="HFA1008" s="103"/>
      <c r="HFM1008" s="104"/>
      <c r="HFN1008" s="103"/>
      <c r="HFZ1008" s="104"/>
      <c r="HGA1008" s="103"/>
      <c r="HGM1008" s="104"/>
      <c r="HGN1008" s="103"/>
      <c r="HGZ1008" s="104"/>
      <c r="HHA1008" s="103"/>
      <c r="HHM1008" s="104"/>
      <c r="HHN1008" s="103"/>
      <c r="HHZ1008" s="104"/>
      <c r="HIA1008" s="103"/>
      <c r="HIM1008" s="104"/>
      <c r="HIN1008" s="103"/>
      <c r="HIZ1008" s="104"/>
      <c r="HJA1008" s="103"/>
      <c r="HJM1008" s="104"/>
      <c r="HJN1008" s="103"/>
      <c r="HJZ1008" s="104"/>
      <c r="HKA1008" s="103"/>
      <c r="HKM1008" s="104"/>
      <c r="HKN1008" s="103"/>
      <c r="HKZ1008" s="104"/>
      <c r="HLA1008" s="103"/>
      <c r="HLM1008" s="104"/>
      <c r="HLN1008" s="103"/>
      <c r="HLZ1008" s="104"/>
      <c r="HMA1008" s="103"/>
      <c r="HMM1008" s="104"/>
      <c r="HMN1008" s="103"/>
      <c r="HMZ1008" s="104"/>
      <c r="HNA1008" s="103"/>
      <c r="HNM1008" s="104"/>
      <c r="HNN1008" s="103"/>
      <c r="HNZ1008" s="104"/>
      <c r="HOA1008" s="103"/>
      <c r="HOM1008" s="104"/>
      <c r="HON1008" s="103"/>
      <c r="HOZ1008" s="104"/>
      <c r="HPA1008" s="103"/>
      <c r="HPM1008" s="104"/>
      <c r="HPN1008" s="103"/>
      <c r="HPZ1008" s="104"/>
      <c r="HQA1008" s="103"/>
      <c r="HQM1008" s="104"/>
      <c r="HQN1008" s="103"/>
      <c r="HQZ1008" s="104"/>
      <c r="HRA1008" s="103"/>
      <c r="HRM1008" s="104"/>
      <c r="HRN1008" s="103"/>
      <c r="HRZ1008" s="104"/>
      <c r="HSA1008" s="103"/>
      <c r="HSM1008" s="104"/>
      <c r="HSN1008" s="103"/>
      <c r="HSZ1008" s="104"/>
      <c r="HTA1008" s="103"/>
      <c r="HTM1008" s="104"/>
      <c r="HTN1008" s="103"/>
      <c r="HTZ1008" s="104"/>
      <c r="HUA1008" s="103"/>
      <c r="HUM1008" s="104"/>
      <c r="HUN1008" s="103"/>
      <c r="HUZ1008" s="104"/>
      <c r="HVA1008" s="103"/>
      <c r="HVM1008" s="104"/>
      <c r="HVN1008" s="103"/>
      <c r="HVZ1008" s="104"/>
      <c r="HWA1008" s="103"/>
      <c r="HWM1008" s="104"/>
      <c r="HWN1008" s="103"/>
      <c r="HWZ1008" s="104"/>
      <c r="HXA1008" s="103"/>
      <c r="HXM1008" s="104"/>
      <c r="HXN1008" s="103"/>
      <c r="HXZ1008" s="104"/>
      <c r="HYA1008" s="103"/>
      <c r="HYM1008" s="104"/>
      <c r="HYN1008" s="103"/>
      <c r="HYZ1008" s="104"/>
      <c r="HZA1008" s="103"/>
      <c r="HZM1008" s="104"/>
      <c r="HZN1008" s="103"/>
      <c r="HZZ1008" s="104"/>
      <c r="IAA1008" s="103"/>
      <c r="IAM1008" s="104"/>
      <c r="IAN1008" s="103"/>
      <c r="IAZ1008" s="104"/>
      <c r="IBA1008" s="103"/>
      <c r="IBM1008" s="104"/>
      <c r="IBN1008" s="103"/>
      <c r="IBZ1008" s="104"/>
      <c r="ICA1008" s="103"/>
      <c r="ICM1008" s="104"/>
      <c r="ICN1008" s="103"/>
      <c r="ICZ1008" s="104"/>
      <c r="IDA1008" s="103"/>
      <c r="IDM1008" s="104"/>
      <c r="IDN1008" s="103"/>
      <c r="IDZ1008" s="104"/>
      <c r="IEA1008" s="103"/>
      <c r="IEM1008" s="104"/>
      <c r="IEN1008" s="103"/>
      <c r="IEZ1008" s="104"/>
      <c r="IFA1008" s="103"/>
      <c r="IFM1008" s="104"/>
      <c r="IFN1008" s="103"/>
      <c r="IFZ1008" s="104"/>
      <c r="IGA1008" s="103"/>
      <c r="IGM1008" s="104"/>
      <c r="IGN1008" s="103"/>
      <c r="IGZ1008" s="104"/>
      <c r="IHA1008" s="103"/>
      <c r="IHM1008" s="104"/>
      <c r="IHN1008" s="103"/>
      <c r="IHZ1008" s="104"/>
      <c r="IIA1008" s="103"/>
      <c r="IIM1008" s="104"/>
      <c r="IIN1008" s="103"/>
      <c r="IIZ1008" s="104"/>
      <c r="IJA1008" s="103"/>
      <c r="IJM1008" s="104"/>
      <c r="IJN1008" s="103"/>
      <c r="IJZ1008" s="104"/>
      <c r="IKA1008" s="103"/>
      <c r="IKM1008" s="104"/>
      <c r="IKN1008" s="103"/>
      <c r="IKZ1008" s="104"/>
      <c r="ILA1008" s="103"/>
      <c r="ILM1008" s="104"/>
      <c r="ILN1008" s="103"/>
      <c r="ILZ1008" s="104"/>
      <c r="IMA1008" s="103"/>
      <c r="IMM1008" s="104"/>
      <c r="IMN1008" s="103"/>
      <c r="IMZ1008" s="104"/>
      <c r="INA1008" s="103"/>
      <c r="INM1008" s="104"/>
      <c r="INN1008" s="103"/>
      <c r="INZ1008" s="104"/>
      <c r="IOA1008" s="103"/>
      <c r="IOM1008" s="104"/>
      <c r="ION1008" s="103"/>
      <c r="IOZ1008" s="104"/>
      <c r="IPA1008" s="103"/>
      <c r="IPM1008" s="104"/>
      <c r="IPN1008" s="103"/>
      <c r="IPZ1008" s="104"/>
      <c r="IQA1008" s="103"/>
      <c r="IQM1008" s="104"/>
      <c r="IQN1008" s="103"/>
      <c r="IQZ1008" s="104"/>
      <c r="IRA1008" s="103"/>
      <c r="IRM1008" s="104"/>
      <c r="IRN1008" s="103"/>
      <c r="IRZ1008" s="104"/>
      <c r="ISA1008" s="103"/>
      <c r="ISM1008" s="104"/>
      <c r="ISN1008" s="103"/>
      <c r="ISZ1008" s="104"/>
      <c r="ITA1008" s="103"/>
      <c r="ITM1008" s="104"/>
      <c r="ITN1008" s="103"/>
      <c r="ITZ1008" s="104"/>
      <c r="IUA1008" s="103"/>
      <c r="IUM1008" s="104"/>
      <c r="IUN1008" s="103"/>
      <c r="IUZ1008" s="104"/>
      <c r="IVA1008" s="103"/>
      <c r="IVM1008" s="104"/>
      <c r="IVN1008" s="103"/>
      <c r="IVZ1008" s="104"/>
      <c r="IWA1008" s="103"/>
      <c r="IWM1008" s="104"/>
      <c r="IWN1008" s="103"/>
      <c r="IWZ1008" s="104"/>
      <c r="IXA1008" s="103"/>
      <c r="IXM1008" s="104"/>
      <c r="IXN1008" s="103"/>
      <c r="IXZ1008" s="104"/>
      <c r="IYA1008" s="103"/>
      <c r="IYM1008" s="104"/>
      <c r="IYN1008" s="103"/>
      <c r="IYZ1008" s="104"/>
      <c r="IZA1008" s="103"/>
      <c r="IZM1008" s="104"/>
      <c r="IZN1008" s="103"/>
      <c r="IZZ1008" s="104"/>
      <c r="JAA1008" s="103"/>
      <c r="JAM1008" s="104"/>
      <c r="JAN1008" s="103"/>
      <c r="JAZ1008" s="104"/>
      <c r="JBA1008" s="103"/>
      <c r="JBM1008" s="104"/>
      <c r="JBN1008" s="103"/>
      <c r="JBZ1008" s="104"/>
      <c r="JCA1008" s="103"/>
      <c r="JCM1008" s="104"/>
      <c r="JCN1008" s="103"/>
      <c r="JCZ1008" s="104"/>
      <c r="JDA1008" s="103"/>
      <c r="JDM1008" s="104"/>
      <c r="JDN1008" s="103"/>
      <c r="JDZ1008" s="104"/>
      <c r="JEA1008" s="103"/>
      <c r="JEM1008" s="104"/>
      <c r="JEN1008" s="103"/>
      <c r="JEZ1008" s="104"/>
      <c r="JFA1008" s="103"/>
      <c r="JFM1008" s="104"/>
      <c r="JFN1008" s="103"/>
      <c r="JFZ1008" s="104"/>
      <c r="JGA1008" s="103"/>
      <c r="JGM1008" s="104"/>
      <c r="JGN1008" s="103"/>
      <c r="JGZ1008" s="104"/>
      <c r="JHA1008" s="103"/>
      <c r="JHM1008" s="104"/>
      <c r="JHN1008" s="103"/>
      <c r="JHZ1008" s="104"/>
      <c r="JIA1008" s="103"/>
      <c r="JIM1008" s="104"/>
      <c r="JIN1008" s="103"/>
      <c r="JIZ1008" s="104"/>
      <c r="JJA1008" s="103"/>
      <c r="JJM1008" s="104"/>
      <c r="JJN1008" s="103"/>
      <c r="JJZ1008" s="104"/>
      <c r="JKA1008" s="103"/>
      <c r="JKM1008" s="104"/>
      <c r="JKN1008" s="103"/>
      <c r="JKZ1008" s="104"/>
      <c r="JLA1008" s="103"/>
      <c r="JLM1008" s="104"/>
      <c r="JLN1008" s="103"/>
      <c r="JLZ1008" s="104"/>
      <c r="JMA1008" s="103"/>
      <c r="JMM1008" s="104"/>
      <c r="JMN1008" s="103"/>
      <c r="JMZ1008" s="104"/>
      <c r="JNA1008" s="103"/>
      <c r="JNM1008" s="104"/>
      <c r="JNN1008" s="103"/>
      <c r="JNZ1008" s="104"/>
      <c r="JOA1008" s="103"/>
      <c r="JOM1008" s="104"/>
      <c r="JON1008" s="103"/>
      <c r="JOZ1008" s="104"/>
      <c r="JPA1008" s="103"/>
      <c r="JPM1008" s="104"/>
      <c r="JPN1008" s="103"/>
      <c r="JPZ1008" s="104"/>
      <c r="JQA1008" s="103"/>
      <c r="JQM1008" s="104"/>
      <c r="JQN1008" s="103"/>
      <c r="JQZ1008" s="104"/>
      <c r="JRA1008" s="103"/>
      <c r="JRM1008" s="104"/>
      <c r="JRN1008" s="103"/>
      <c r="JRZ1008" s="104"/>
      <c r="JSA1008" s="103"/>
      <c r="JSM1008" s="104"/>
      <c r="JSN1008" s="103"/>
      <c r="JSZ1008" s="104"/>
      <c r="JTA1008" s="103"/>
      <c r="JTM1008" s="104"/>
      <c r="JTN1008" s="103"/>
      <c r="JTZ1008" s="104"/>
      <c r="JUA1008" s="103"/>
      <c r="JUM1008" s="104"/>
      <c r="JUN1008" s="103"/>
      <c r="JUZ1008" s="104"/>
      <c r="JVA1008" s="103"/>
      <c r="JVM1008" s="104"/>
      <c r="JVN1008" s="103"/>
      <c r="JVZ1008" s="104"/>
      <c r="JWA1008" s="103"/>
      <c r="JWM1008" s="104"/>
      <c r="JWN1008" s="103"/>
      <c r="JWZ1008" s="104"/>
      <c r="JXA1008" s="103"/>
      <c r="JXM1008" s="104"/>
      <c r="JXN1008" s="103"/>
      <c r="JXZ1008" s="104"/>
      <c r="JYA1008" s="103"/>
      <c r="JYM1008" s="104"/>
      <c r="JYN1008" s="103"/>
      <c r="JYZ1008" s="104"/>
      <c r="JZA1008" s="103"/>
      <c r="JZM1008" s="104"/>
      <c r="JZN1008" s="103"/>
      <c r="JZZ1008" s="104"/>
      <c r="KAA1008" s="103"/>
      <c r="KAM1008" s="104"/>
      <c r="KAN1008" s="103"/>
      <c r="KAZ1008" s="104"/>
      <c r="KBA1008" s="103"/>
      <c r="KBM1008" s="104"/>
      <c r="KBN1008" s="103"/>
      <c r="KBZ1008" s="104"/>
      <c r="KCA1008" s="103"/>
      <c r="KCM1008" s="104"/>
      <c r="KCN1008" s="103"/>
      <c r="KCZ1008" s="104"/>
      <c r="KDA1008" s="103"/>
      <c r="KDM1008" s="104"/>
      <c r="KDN1008" s="103"/>
      <c r="KDZ1008" s="104"/>
      <c r="KEA1008" s="103"/>
      <c r="KEM1008" s="104"/>
      <c r="KEN1008" s="103"/>
      <c r="KEZ1008" s="104"/>
      <c r="KFA1008" s="103"/>
      <c r="KFM1008" s="104"/>
      <c r="KFN1008" s="103"/>
      <c r="KFZ1008" s="104"/>
      <c r="KGA1008" s="103"/>
      <c r="KGM1008" s="104"/>
      <c r="KGN1008" s="103"/>
      <c r="KGZ1008" s="104"/>
      <c r="KHA1008" s="103"/>
      <c r="KHM1008" s="104"/>
      <c r="KHN1008" s="103"/>
      <c r="KHZ1008" s="104"/>
      <c r="KIA1008" s="103"/>
      <c r="KIM1008" s="104"/>
      <c r="KIN1008" s="103"/>
      <c r="KIZ1008" s="104"/>
      <c r="KJA1008" s="103"/>
      <c r="KJM1008" s="104"/>
      <c r="KJN1008" s="103"/>
      <c r="KJZ1008" s="104"/>
      <c r="KKA1008" s="103"/>
      <c r="KKM1008" s="104"/>
      <c r="KKN1008" s="103"/>
      <c r="KKZ1008" s="104"/>
      <c r="KLA1008" s="103"/>
      <c r="KLM1008" s="104"/>
      <c r="KLN1008" s="103"/>
      <c r="KLZ1008" s="104"/>
      <c r="KMA1008" s="103"/>
      <c r="KMM1008" s="104"/>
      <c r="KMN1008" s="103"/>
      <c r="KMZ1008" s="104"/>
      <c r="KNA1008" s="103"/>
      <c r="KNM1008" s="104"/>
      <c r="KNN1008" s="103"/>
      <c r="KNZ1008" s="104"/>
      <c r="KOA1008" s="103"/>
      <c r="KOM1008" s="104"/>
      <c r="KON1008" s="103"/>
      <c r="KOZ1008" s="104"/>
      <c r="KPA1008" s="103"/>
      <c r="KPM1008" s="104"/>
      <c r="KPN1008" s="103"/>
      <c r="KPZ1008" s="104"/>
      <c r="KQA1008" s="103"/>
      <c r="KQM1008" s="104"/>
      <c r="KQN1008" s="103"/>
      <c r="KQZ1008" s="104"/>
      <c r="KRA1008" s="103"/>
      <c r="KRM1008" s="104"/>
      <c r="KRN1008" s="103"/>
      <c r="KRZ1008" s="104"/>
      <c r="KSA1008" s="103"/>
      <c r="KSM1008" s="104"/>
      <c r="KSN1008" s="103"/>
      <c r="KSZ1008" s="104"/>
      <c r="KTA1008" s="103"/>
      <c r="KTM1008" s="104"/>
      <c r="KTN1008" s="103"/>
      <c r="KTZ1008" s="104"/>
      <c r="KUA1008" s="103"/>
      <c r="KUM1008" s="104"/>
      <c r="KUN1008" s="103"/>
      <c r="KUZ1008" s="104"/>
      <c r="KVA1008" s="103"/>
      <c r="KVM1008" s="104"/>
      <c r="KVN1008" s="103"/>
      <c r="KVZ1008" s="104"/>
      <c r="KWA1008" s="103"/>
      <c r="KWM1008" s="104"/>
      <c r="KWN1008" s="103"/>
      <c r="KWZ1008" s="104"/>
      <c r="KXA1008" s="103"/>
      <c r="KXM1008" s="104"/>
      <c r="KXN1008" s="103"/>
      <c r="KXZ1008" s="104"/>
      <c r="KYA1008" s="103"/>
      <c r="KYM1008" s="104"/>
      <c r="KYN1008" s="103"/>
      <c r="KYZ1008" s="104"/>
      <c r="KZA1008" s="103"/>
      <c r="KZM1008" s="104"/>
      <c r="KZN1008" s="103"/>
      <c r="KZZ1008" s="104"/>
      <c r="LAA1008" s="103"/>
      <c r="LAM1008" s="104"/>
      <c r="LAN1008" s="103"/>
      <c r="LAZ1008" s="104"/>
      <c r="LBA1008" s="103"/>
      <c r="LBM1008" s="104"/>
      <c r="LBN1008" s="103"/>
      <c r="LBZ1008" s="104"/>
      <c r="LCA1008" s="103"/>
      <c r="LCM1008" s="104"/>
      <c r="LCN1008" s="103"/>
      <c r="LCZ1008" s="104"/>
      <c r="LDA1008" s="103"/>
      <c r="LDM1008" s="104"/>
      <c r="LDN1008" s="103"/>
      <c r="LDZ1008" s="104"/>
      <c r="LEA1008" s="103"/>
      <c r="LEM1008" s="104"/>
      <c r="LEN1008" s="103"/>
      <c r="LEZ1008" s="104"/>
      <c r="LFA1008" s="103"/>
      <c r="LFM1008" s="104"/>
      <c r="LFN1008" s="103"/>
      <c r="LFZ1008" s="104"/>
      <c r="LGA1008" s="103"/>
      <c r="LGM1008" s="104"/>
      <c r="LGN1008" s="103"/>
      <c r="LGZ1008" s="104"/>
      <c r="LHA1008" s="103"/>
      <c r="LHM1008" s="104"/>
      <c r="LHN1008" s="103"/>
      <c r="LHZ1008" s="104"/>
      <c r="LIA1008" s="103"/>
      <c r="LIM1008" s="104"/>
      <c r="LIN1008" s="103"/>
      <c r="LIZ1008" s="104"/>
      <c r="LJA1008" s="103"/>
      <c r="LJM1008" s="104"/>
      <c r="LJN1008" s="103"/>
      <c r="LJZ1008" s="104"/>
      <c r="LKA1008" s="103"/>
      <c r="LKM1008" s="104"/>
      <c r="LKN1008" s="103"/>
      <c r="LKZ1008" s="104"/>
      <c r="LLA1008" s="103"/>
      <c r="LLM1008" s="104"/>
      <c r="LLN1008" s="103"/>
      <c r="LLZ1008" s="104"/>
      <c r="LMA1008" s="103"/>
      <c r="LMM1008" s="104"/>
      <c r="LMN1008" s="103"/>
      <c r="LMZ1008" s="104"/>
      <c r="LNA1008" s="103"/>
      <c r="LNM1008" s="104"/>
      <c r="LNN1008" s="103"/>
      <c r="LNZ1008" s="104"/>
      <c r="LOA1008" s="103"/>
      <c r="LOM1008" s="104"/>
      <c r="LON1008" s="103"/>
      <c r="LOZ1008" s="104"/>
      <c r="LPA1008" s="103"/>
      <c r="LPM1008" s="104"/>
      <c r="LPN1008" s="103"/>
      <c r="LPZ1008" s="104"/>
      <c r="LQA1008" s="103"/>
      <c r="LQM1008" s="104"/>
      <c r="LQN1008" s="103"/>
      <c r="LQZ1008" s="104"/>
      <c r="LRA1008" s="103"/>
      <c r="LRM1008" s="104"/>
      <c r="LRN1008" s="103"/>
      <c r="LRZ1008" s="104"/>
      <c r="LSA1008" s="103"/>
      <c r="LSM1008" s="104"/>
      <c r="LSN1008" s="103"/>
      <c r="LSZ1008" s="104"/>
      <c r="LTA1008" s="103"/>
      <c r="LTM1008" s="104"/>
      <c r="LTN1008" s="103"/>
      <c r="LTZ1008" s="104"/>
      <c r="LUA1008" s="103"/>
      <c r="LUM1008" s="104"/>
      <c r="LUN1008" s="103"/>
      <c r="LUZ1008" s="104"/>
      <c r="LVA1008" s="103"/>
      <c r="LVM1008" s="104"/>
      <c r="LVN1008" s="103"/>
      <c r="LVZ1008" s="104"/>
      <c r="LWA1008" s="103"/>
      <c r="LWM1008" s="104"/>
      <c r="LWN1008" s="103"/>
      <c r="LWZ1008" s="104"/>
      <c r="LXA1008" s="103"/>
      <c r="LXM1008" s="104"/>
      <c r="LXN1008" s="103"/>
      <c r="LXZ1008" s="104"/>
      <c r="LYA1008" s="103"/>
      <c r="LYM1008" s="104"/>
      <c r="LYN1008" s="103"/>
      <c r="LYZ1008" s="104"/>
      <c r="LZA1008" s="103"/>
      <c r="LZM1008" s="104"/>
      <c r="LZN1008" s="103"/>
      <c r="LZZ1008" s="104"/>
      <c r="MAA1008" s="103"/>
      <c r="MAM1008" s="104"/>
      <c r="MAN1008" s="103"/>
      <c r="MAZ1008" s="104"/>
      <c r="MBA1008" s="103"/>
      <c r="MBM1008" s="104"/>
      <c r="MBN1008" s="103"/>
      <c r="MBZ1008" s="104"/>
      <c r="MCA1008" s="103"/>
      <c r="MCM1008" s="104"/>
      <c r="MCN1008" s="103"/>
      <c r="MCZ1008" s="104"/>
      <c r="MDA1008" s="103"/>
      <c r="MDM1008" s="104"/>
      <c r="MDN1008" s="103"/>
      <c r="MDZ1008" s="104"/>
      <c r="MEA1008" s="103"/>
      <c r="MEM1008" s="104"/>
      <c r="MEN1008" s="103"/>
      <c r="MEZ1008" s="104"/>
      <c r="MFA1008" s="103"/>
      <c r="MFM1008" s="104"/>
      <c r="MFN1008" s="103"/>
      <c r="MFZ1008" s="104"/>
      <c r="MGA1008" s="103"/>
      <c r="MGM1008" s="104"/>
      <c r="MGN1008" s="103"/>
      <c r="MGZ1008" s="104"/>
      <c r="MHA1008" s="103"/>
      <c r="MHM1008" s="104"/>
      <c r="MHN1008" s="103"/>
      <c r="MHZ1008" s="104"/>
      <c r="MIA1008" s="103"/>
      <c r="MIM1008" s="104"/>
      <c r="MIN1008" s="103"/>
      <c r="MIZ1008" s="104"/>
      <c r="MJA1008" s="103"/>
      <c r="MJM1008" s="104"/>
      <c r="MJN1008" s="103"/>
      <c r="MJZ1008" s="104"/>
      <c r="MKA1008" s="103"/>
      <c r="MKM1008" s="104"/>
      <c r="MKN1008" s="103"/>
      <c r="MKZ1008" s="104"/>
      <c r="MLA1008" s="103"/>
      <c r="MLM1008" s="104"/>
      <c r="MLN1008" s="103"/>
      <c r="MLZ1008" s="104"/>
      <c r="MMA1008" s="103"/>
      <c r="MMM1008" s="104"/>
      <c r="MMN1008" s="103"/>
      <c r="MMZ1008" s="104"/>
      <c r="MNA1008" s="103"/>
      <c r="MNM1008" s="104"/>
      <c r="MNN1008" s="103"/>
      <c r="MNZ1008" s="104"/>
      <c r="MOA1008" s="103"/>
      <c r="MOM1008" s="104"/>
      <c r="MON1008" s="103"/>
      <c r="MOZ1008" s="104"/>
      <c r="MPA1008" s="103"/>
      <c r="MPM1008" s="104"/>
      <c r="MPN1008" s="103"/>
      <c r="MPZ1008" s="104"/>
      <c r="MQA1008" s="103"/>
      <c r="MQM1008" s="104"/>
      <c r="MQN1008" s="103"/>
      <c r="MQZ1008" s="104"/>
      <c r="MRA1008" s="103"/>
      <c r="MRM1008" s="104"/>
      <c r="MRN1008" s="103"/>
      <c r="MRZ1008" s="104"/>
      <c r="MSA1008" s="103"/>
      <c r="MSM1008" s="104"/>
      <c r="MSN1008" s="103"/>
      <c r="MSZ1008" s="104"/>
      <c r="MTA1008" s="103"/>
      <c r="MTM1008" s="104"/>
      <c r="MTN1008" s="103"/>
      <c r="MTZ1008" s="104"/>
      <c r="MUA1008" s="103"/>
      <c r="MUM1008" s="104"/>
      <c r="MUN1008" s="103"/>
      <c r="MUZ1008" s="104"/>
      <c r="MVA1008" s="103"/>
      <c r="MVM1008" s="104"/>
      <c r="MVN1008" s="103"/>
      <c r="MVZ1008" s="104"/>
      <c r="MWA1008" s="103"/>
      <c r="MWM1008" s="104"/>
      <c r="MWN1008" s="103"/>
      <c r="MWZ1008" s="104"/>
      <c r="MXA1008" s="103"/>
      <c r="MXM1008" s="104"/>
      <c r="MXN1008" s="103"/>
      <c r="MXZ1008" s="104"/>
      <c r="MYA1008" s="103"/>
      <c r="MYM1008" s="104"/>
      <c r="MYN1008" s="103"/>
      <c r="MYZ1008" s="104"/>
      <c r="MZA1008" s="103"/>
      <c r="MZM1008" s="104"/>
      <c r="MZN1008" s="103"/>
      <c r="MZZ1008" s="104"/>
      <c r="NAA1008" s="103"/>
      <c r="NAM1008" s="104"/>
      <c r="NAN1008" s="103"/>
      <c r="NAZ1008" s="104"/>
      <c r="NBA1008" s="103"/>
      <c r="NBM1008" s="104"/>
      <c r="NBN1008" s="103"/>
      <c r="NBZ1008" s="104"/>
      <c r="NCA1008" s="103"/>
      <c r="NCM1008" s="104"/>
      <c r="NCN1008" s="103"/>
      <c r="NCZ1008" s="104"/>
      <c r="NDA1008" s="103"/>
      <c r="NDM1008" s="104"/>
      <c r="NDN1008" s="103"/>
      <c r="NDZ1008" s="104"/>
      <c r="NEA1008" s="103"/>
      <c r="NEM1008" s="104"/>
      <c r="NEN1008" s="103"/>
      <c r="NEZ1008" s="104"/>
      <c r="NFA1008" s="103"/>
      <c r="NFM1008" s="104"/>
      <c r="NFN1008" s="103"/>
      <c r="NFZ1008" s="104"/>
      <c r="NGA1008" s="103"/>
      <c r="NGM1008" s="104"/>
      <c r="NGN1008" s="103"/>
      <c r="NGZ1008" s="104"/>
      <c r="NHA1008" s="103"/>
      <c r="NHM1008" s="104"/>
      <c r="NHN1008" s="103"/>
      <c r="NHZ1008" s="104"/>
      <c r="NIA1008" s="103"/>
      <c r="NIM1008" s="104"/>
      <c r="NIN1008" s="103"/>
      <c r="NIZ1008" s="104"/>
      <c r="NJA1008" s="103"/>
      <c r="NJM1008" s="104"/>
      <c r="NJN1008" s="103"/>
      <c r="NJZ1008" s="104"/>
      <c r="NKA1008" s="103"/>
      <c r="NKM1008" s="104"/>
      <c r="NKN1008" s="103"/>
      <c r="NKZ1008" s="104"/>
      <c r="NLA1008" s="103"/>
      <c r="NLM1008" s="104"/>
      <c r="NLN1008" s="103"/>
      <c r="NLZ1008" s="104"/>
      <c r="NMA1008" s="103"/>
      <c r="NMM1008" s="104"/>
      <c r="NMN1008" s="103"/>
      <c r="NMZ1008" s="104"/>
      <c r="NNA1008" s="103"/>
      <c r="NNM1008" s="104"/>
      <c r="NNN1008" s="103"/>
      <c r="NNZ1008" s="104"/>
      <c r="NOA1008" s="103"/>
      <c r="NOM1008" s="104"/>
      <c r="NON1008" s="103"/>
      <c r="NOZ1008" s="104"/>
      <c r="NPA1008" s="103"/>
      <c r="NPM1008" s="104"/>
      <c r="NPN1008" s="103"/>
      <c r="NPZ1008" s="104"/>
      <c r="NQA1008" s="103"/>
      <c r="NQM1008" s="104"/>
      <c r="NQN1008" s="103"/>
      <c r="NQZ1008" s="104"/>
      <c r="NRA1008" s="103"/>
      <c r="NRM1008" s="104"/>
      <c r="NRN1008" s="103"/>
      <c r="NRZ1008" s="104"/>
      <c r="NSA1008" s="103"/>
      <c r="NSM1008" s="104"/>
      <c r="NSN1008" s="103"/>
      <c r="NSZ1008" s="104"/>
      <c r="NTA1008" s="103"/>
      <c r="NTM1008" s="104"/>
      <c r="NTN1008" s="103"/>
      <c r="NTZ1008" s="104"/>
      <c r="NUA1008" s="103"/>
      <c r="NUM1008" s="104"/>
      <c r="NUN1008" s="103"/>
      <c r="NUZ1008" s="104"/>
      <c r="NVA1008" s="103"/>
      <c r="NVM1008" s="104"/>
      <c r="NVN1008" s="103"/>
      <c r="NVZ1008" s="104"/>
      <c r="NWA1008" s="103"/>
      <c r="NWM1008" s="104"/>
      <c r="NWN1008" s="103"/>
      <c r="NWZ1008" s="104"/>
      <c r="NXA1008" s="103"/>
      <c r="NXM1008" s="104"/>
      <c r="NXN1008" s="103"/>
      <c r="NXZ1008" s="104"/>
      <c r="NYA1008" s="103"/>
      <c r="NYM1008" s="104"/>
      <c r="NYN1008" s="103"/>
      <c r="NYZ1008" s="104"/>
      <c r="NZA1008" s="103"/>
      <c r="NZM1008" s="104"/>
      <c r="NZN1008" s="103"/>
      <c r="NZZ1008" s="104"/>
      <c r="OAA1008" s="103"/>
      <c r="OAM1008" s="104"/>
      <c r="OAN1008" s="103"/>
      <c r="OAZ1008" s="104"/>
      <c r="OBA1008" s="103"/>
      <c r="OBM1008" s="104"/>
      <c r="OBN1008" s="103"/>
      <c r="OBZ1008" s="104"/>
      <c r="OCA1008" s="103"/>
      <c r="OCM1008" s="104"/>
      <c r="OCN1008" s="103"/>
      <c r="OCZ1008" s="104"/>
      <c r="ODA1008" s="103"/>
      <c r="ODM1008" s="104"/>
      <c r="ODN1008" s="103"/>
      <c r="ODZ1008" s="104"/>
      <c r="OEA1008" s="103"/>
      <c r="OEM1008" s="104"/>
      <c r="OEN1008" s="103"/>
      <c r="OEZ1008" s="104"/>
      <c r="OFA1008" s="103"/>
      <c r="OFM1008" s="104"/>
      <c r="OFN1008" s="103"/>
      <c r="OFZ1008" s="104"/>
      <c r="OGA1008" s="103"/>
      <c r="OGM1008" s="104"/>
      <c r="OGN1008" s="103"/>
      <c r="OGZ1008" s="104"/>
      <c r="OHA1008" s="103"/>
      <c r="OHM1008" s="104"/>
      <c r="OHN1008" s="103"/>
      <c r="OHZ1008" s="104"/>
      <c r="OIA1008" s="103"/>
      <c r="OIM1008" s="104"/>
      <c r="OIN1008" s="103"/>
      <c r="OIZ1008" s="104"/>
      <c r="OJA1008" s="103"/>
      <c r="OJM1008" s="104"/>
      <c r="OJN1008" s="103"/>
      <c r="OJZ1008" s="104"/>
      <c r="OKA1008" s="103"/>
      <c r="OKM1008" s="104"/>
      <c r="OKN1008" s="103"/>
      <c r="OKZ1008" s="104"/>
      <c r="OLA1008" s="103"/>
      <c r="OLM1008" s="104"/>
      <c r="OLN1008" s="103"/>
      <c r="OLZ1008" s="104"/>
      <c r="OMA1008" s="103"/>
      <c r="OMM1008" s="104"/>
      <c r="OMN1008" s="103"/>
      <c r="OMZ1008" s="104"/>
      <c r="ONA1008" s="103"/>
      <c r="ONM1008" s="104"/>
      <c r="ONN1008" s="103"/>
      <c r="ONZ1008" s="104"/>
      <c r="OOA1008" s="103"/>
      <c r="OOM1008" s="104"/>
      <c r="OON1008" s="103"/>
      <c r="OOZ1008" s="104"/>
      <c r="OPA1008" s="103"/>
      <c r="OPM1008" s="104"/>
      <c r="OPN1008" s="103"/>
      <c r="OPZ1008" s="104"/>
      <c r="OQA1008" s="103"/>
      <c r="OQM1008" s="104"/>
      <c r="OQN1008" s="103"/>
      <c r="OQZ1008" s="104"/>
      <c r="ORA1008" s="103"/>
      <c r="ORM1008" s="104"/>
      <c r="ORN1008" s="103"/>
      <c r="ORZ1008" s="104"/>
      <c r="OSA1008" s="103"/>
      <c r="OSM1008" s="104"/>
      <c r="OSN1008" s="103"/>
      <c r="OSZ1008" s="104"/>
      <c r="OTA1008" s="103"/>
      <c r="OTM1008" s="104"/>
      <c r="OTN1008" s="103"/>
      <c r="OTZ1008" s="104"/>
      <c r="OUA1008" s="103"/>
      <c r="OUM1008" s="104"/>
      <c r="OUN1008" s="103"/>
      <c r="OUZ1008" s="104"/>
      <c r="OVA1008" s="103"/>
      <c r="OVM1008" s="104"/>
      <c r="OVN1008" s="103"/>
      <c r="OVZ1008" s="104"/>
      <c r="OWA1008" s="103"/>
      <c r="OWM1008" s="104"/>
      <c r="OWN1008" s="103"/>
      <c r="OWZ1008" s="104"/>
      <c r="OXA1008" s="103"/>
      <c r="OXM1008" s="104"/>
      <c r="OXN1008" s="103"/>
      <c r="OXZ1008" s="104"/>
      <c r="OYA1008" s="103"/>
      <c r="OYM1008" s="104"/>
      <c r="OYN1008" s="103"/>
      <c r="OYZ1008" s="104"/>
      <c r="OZA1008" s="103"/>
      <c r="OZM1008" s="104"/>
      <c r="OZN1008" s="103"/>
      <c r="OZZ1008" s="104"/>
      <c r="PAA1008" s="103"/>
      <c r="PAM1008" s="104"/>
      <c r="PAN1008" s="103"/>
      <c r="PAZ1008" s="104"/>
      <c r="PBA1008" s="103"/>
      <c r="PBM1008" s="104"/>
      <c r="PBN1008" s="103"/>
      <c r="PBZ1008" s="104"/>
      <c r="PCA1008" s="103"/>
      <c r="PCM1008" s="104"/>
      <c r="PCN1008" s="103"/>
      <c r="PCZ1008" s="104"/>
      <c r="PDA1008" s="103"/>
      <c r="PDM1008" s="104"/>
      <c r="PDN1008" s="103"/>
      <c r="PDZ1008" s="104"/>
      <c r="PEA1008" s="103"/>
      <c r="PEM1008" s="104"/>
      <c r="PEN1008" s="103"/>
      <c r="PEZ1008" s="104"/>
      <c r="PFA1008" s="103"/>
      <c r="PFM1008" s="104"/>
      <c r="PFN1008" s="103"/>
      <c r="PFZ1008" s="104"/>
      <c r="PGA1008" s="103"/>
      <c r="PGM1008" s="104"/>
      <c r="PGN1008" s="103"/>
      <c r="PGZ1008" s="104"/>
      <c r="PHA1008" s="103"/>
      <c r="PHM1008" s="104"/>
      <c r="PHN1008" s="103"/>
      <c r="PHZ1008" s="104"/>
      <c r="PIA1008" s="103"/>
      <c r="PIM1008" s="104"/>
      <c r="PIN1008" s="103"/>
      <c r="PIZ1008" s="104"/>
      <c r="PJA1008" s="103"/>
      <c r="PJM1008" s="104"/>
      <c r="PJN1008" s="103"/>
      <c r="PJZ1008" s="104"/>
      <c r="PKA1008" s="103"/>
      <c r="PKM1008" s="104"/>
      <c r="PKN1008" s="103"/>
      <c r="PKZ1008" s="104"/>
      <c r="PLA1008" s="103"/>
      <c r="PLM1008" s="104"/>
      <c r="PLN1008" s="103"/>
      <c r="PLZ1008" s="104"/>
      <c r="PMA1008" s="103"/>
      <c r="PMM1008" s="104"/>
      <c r="PMN1008" s="103"/>
      <c r="PMZ1008" s="104"/>
      <c r="PNA1008" s="103"/>
      <c r="PNM1008" s="104"/>
      <c r="PNN1008" s="103"/>
      <c r="PNZ1008" s="104"/>
      <c r="POA1008" s="103"/>
      <c r="POM1008" s="104"/>
      <c r="PON1008" s="103"/>
      <c r="POZ1008" s="104"/>
      <c r="PPA1008" s="103"/>
      <c r="PPM1008" s="104"/>
      <c r="PPN1008" s="103"/>
      <c r="PPZ1008" s="104"/>
      <c r="PQA1008" s="103"/>
      <c r="PQM1008" s="104"/>
      <c r="PQN1008" s="103"/>
      <c r="PQZ1008" s="104"/>
      <c r="PRA1008" s="103"/>
      <c r="PRM1008" s="104"/>
      <c r="PRN1008" s="103"/>
      <c r="PRZ1008" s="104"/>
      <c r="PSA1008" s="103"/>
      <c r="PSM1008" s="104"/>
      <c r="PSN1008" s="103"/>
      <c r="PSZ1008" s="104"/>
      <c r="PTA1008" s="103"/>
      <c r="PTM1008" s="104"/>
      <c r="PTN1008" s="103"/>
      <c r="PTZ1008" s="104"/>
      <c r="PUA1008" s="103"/>
      <c r="PUM1008" s="104"/>
      <c r="PUN1008" s="103"/>
      <c r="PUZ1008" s="104"/>
      <c r="PVA1008" s="103"/>
      <c r="PVM1008" s="104"/>
      <c r="PVN1008" s="103"/>
      <c r="PVZ1008" s="104"/>
      <c r="PWA1008" s="103"/>
      <c r="PWM1008" s="104"/>
      <c r="PWN1008" s="103"/>
      <c r="PWZ1008" s="104"/>
      <c r="PXA1008" s="103"/>
      <c r="PXM1008" s="104"/>
      <c r="PXN1008" s="103"/>
      <c r="PXZ1008" s="104"/>
      <c r="PYA1008" s="103"/>
      <c r="PYM1008" s="104"/>
      <c r="PYN1008" s="103"/>
      <c r="PYZ1008" s="104"/>
      <c r="PZA1008" s="103"/>
      <c r="PZM1008" s="104"/>
      <c r="PZN1008" s="103"/>
      <c r="PZZ1008" s="104"/>
      <c r="QAA1008" s="103"/>
      <c r="QAM1008" s="104"/>
      <c r="QAN1008" s="103"/>
      <c r="QAZ1008" s="104"/>
      <c r="QBA1008" s="103"/>
      <c r="QBM1008" s="104"/>
      <c r="QBN1008" s="103"/>
      <c r="QBZ1008" s="104"/>
      <c r="QCA1008" s="103"/>
      <c r="QCM1008" s="104"/>
      <c r="QCN1008" s="103"/>
      <c r="QCZ1008" s="104"/>
      <c r="QDA1008" s="103"/>
      <c r="QDM1008" s="104"/>
      <c r="QDN1008" s="103"/>
      <c r="QDZ1008" s="104"/>
      <c r="QEA1008" s="103"/>
      <c r="QEM1008" s="104"/>
      <c r="QEN1008" s="103"/>
      <c r="QEZ1008" s="104"/>
      <c r="QFA1008" s="103"/>
      <c r="QFM1008" s="104"/>
      <c r="QFN1008" s="103"/>
      <c r="QFZ1008" s="104"/>
      <c r="QGA1008" s="103"/>
      <c r="QGM1008" s="104"/>
      <c r="QGN1008" s="103"/>
      <c r="QGZ1008" s="104"/>
      <c r="QHA1008" s="103"/>
      <c r="QHM1008" s="104"/>
      <c r="QHN1008" s="103"/>
      <c r="QHZ1008" s="104"/>
      <c r="QIA1008" s="103"/>
      <c r="QIM1008" s="104"/>
      <c r="QIN1008" s="103"/>
      <c r="QIZ1008" s="104"/>
      <c r="QJA1008" s="103"/>
      <c r="QJM1008" s="104"/>
      <c r="QJN1008" s="103"/>
      <c r="QJZ1008" s="104"/>
      <c r="QKA1008" s="103"/>
      <c r="QKM1008" s="104"/>
      <c r="QKN1008" s="103"/>
      <c r="QKZ1008" s="104"/>
      <c r="QLA1008" s="103"/>
      <c r="QLM1008" s="104"/>
      <c r="QLN1008" s="103"/>
      <c r="QLZ1008" s="104"/>
      <c r="QMA1008" s="103"/>
      <c r="QMM1008" s="104"/>
      <c r="QMN1008" s="103"/>
      <c r="QMZ1008" s="104"/>
      <c r="QNA1008" s="103"/>
      <c r="QNM1008" s="104"/>
      <c r="QNN1008" s="103"/>
      <c r="QNZ1008" s="104"/>
      <c r="QOA1008" s="103"/>
      <c r="QOM1008" s="104"/>
      <c r="QON1008" s="103"/>
      <c r="QOZ1008" s="104"/>
      <c r="QPA1008" s="103"/>
      <c r="QPM1008" s="104"/>
      <c r="QPN1008" s="103"/>
      <c r="QPZ1008" s="104"/>
      <c r="QQA1008" s="103"/>
      <c r="QQM1008" s="104"/>
      <c r="QQN1008" s="103"/>
      <c r="QQZ1008" s="104"/>
      <c r="QRA1008" s="103"/>
      <c r="QRM1008" s="104"/>
      <c r="QRN1008" s="103"/>
      <c r="QRZ1008" s="104"/>
      <c r="QSA1008" s="103"/>
      <c r="QSM1008" s="104"/>
      <c r="QSN1008" s="103"/>
      <c r="QSZ1008" s="104"/>
      <c r="QTA1008" s="103"/>
      <c r="QTM1008" s="104"/>
      <c r="QTN1008" s="103"/>
      <c r="QTZ1008" s="104"/>
      <c r="QUA1008" s="103"/>
      <c r="QUM1008" s="104"/>
      <c r="QUN1008" s="103"/>
      <c r="QUZ1008" s="104"/>
      <c r="QVA1008" s="103"/>
      <c r="QVM1008" s="104"/>
      <c r="QVN1008" s="103"/>
      <c r="QVZ1008" s="104"/>
      <c r="QWA1008" s="103"/>
      <c r="QWM1008" s="104"/>
      <c r="QWN1008" s="103"/>
      <c r="QWZ1008" s="104"/>
      <c r="QXA1008" s="103"/>
      <c r="QXM1008" s="104"/>
      <c r="QXN1008" s="103"/>
      <c r="QXZ1008" s="104"/>
      <c r="QYA1008" s="103"/>
      <c r="QYM1008" s="104"/>
      <c r="QYN1008" s="103"/>
      <c r="QYZ1008" s="104"/>
      <c r="QZA1008" s="103"/>
      <c r="QZM1008" s="104"/>
      <c r="QZN1008" s="103"/>
      <c r="QZZ1008" s="104"/>
      <c r="RAA1008" s="103"/>
      <c r="RAM1008" s="104"/>
      <c r="RAN1008" s="103"/>
      <c r="RAZ1008" s="104"/>
      <c r="RBA1008" s="103"/>
      <c r="RBM1008" s="104"/>
      <c r="RBN1008" s="103"/>
      <c r="RBZ1008" s="104"/>
      <c r="RCA1008" s="103"/>
      <c r="RCM1008" s="104"/>
      <c r="RCN1008" s="103"/>
      <c r="RCZ1008" s="104"/>
      <c r="RDA1008" s="103"/>
      <c r="RDM1008" s="104"/>
      <c r="RDN1008" s="103"/>
      <c r="RDZ1008" s="104"/>
      <c r="REA1008" s="103"/>
      <c r="REM1008" s="104"/>
      <c r="REN1008" s="103"/>
      <c r="REZ1008" s="104"/>
      <c r="RFA1008" s="103"/>
      <c r="RFM1008" s="104"/>
      <c r="RFN1008" s="103"/>
      <c r="RFZ1008" s="104"/>
      <c r="RGA1008" s="103"/>
      <c r="RGM1008" s="104"/>
      <c r="RGN1008" s="103"/>
      <c r="RGZ1008" s="104"/>
      <c r="RHA1008" s="103"/>
      <c r="RHM1008" s="104"/>
      <c r="RHN1008" s="103"/>
      <c r="RHZ1008" s="104"/>
      <c r="RIA1008" s="103"/>
      <c r="RIM1008" s="104"/>
      <c r="RIN1008" s="103"/>
      <c r="RIZ1008" s="104"/>
      <c r="RJA1008" s="103"/>
      <c r="RJM1008" s="104"/>
      <c r="RJN1008" s="103"/>
      <c r="RJZ1008" s="104"/>
      <c r="RKA1008" s="103"/>
      <c r="RKM1008" s="104"/>
      <c r="RKN1008" s="103"/>
      <c r="RKZ1008" s="104"/>
      <c r="RLA1008" s="103"/>
      <c r="RLM1008" s="104"/>
      <c r="RLN1008" s="103"/>
      <c r="RLZ1008" s="104"/>
      <c r="RMA1008" s="103"/>
      <c r="RMM1008" s="104"/>
      <c r="RMN1008" s="103"/>
      <c r="RMZ1008" s="104"/>
      <c r="RNA1008" s="103"/>
      <c r="RNM1008" s="104"/>
      <c r="RNN1008" s="103"/>
      <c r="RNZ1008" s="104"/>
      <c r="ROA1008" s="103"/>
      <c r="ROM1008" s="104"/>
      <c r="RON1008" s="103"/>
      <c r="ROZ1008" s="104"/>
      <c r="RPA1008" s="103"/>
      <c r="RPM1008" s="104"/>
      <c r="RPN1008" s="103"/>
      <c r="RPZ1008" s="104"/>
      <c r="RQA1008" s="103"/>
      <c r="RQM1008" s="104"/>
      <c r="RQN1008" s="103"/>
      <c r="RQZ1008" s="104"/>
      <c r="RRA1008" s="103"/>
      <c r="RRM1008" s="104"/>
      <c r="RRN1008" s="103"/>
      <c r="RRZ1008" s="104"/>
      <c r="RSA1008" s="103"/>
      <c r="RSM1008" s="104"/>
      <c r="RSN1008" s="103"/>
      <c r="RSZ1008" s="104"/>
      <c r="RTA1008" s="103"/>
      <c r="RTM1008" s="104"/>
      <c r="RTN1008" s="103"/>
      <c r="RTZ1008" s="104"/>
      <c r="RUA1008" s="103"/>
      <c r="RUM1008" s="104"/>
      <c r="RUN1008" s="103"/>
      <c r="RUZ1008" s="104"/>
      <c r="RVA1008" s="103"/>
      <c r="RVM1008" s="104"/>
      <c r="RVN1008" s="103"/>
      <c r="RVZ1008" s="104"/>
      <c r="RWA1008" s="103"/>
      <c r="RWM1008" s="104"/>
      <c r="RWN1008" s="103"/>
      <c r="RWZ1008" s="104"/>
      <c r="RXA1008" s="103"/>
      <c r="RXM1008" s="104"/>
      <c r="RXN1008" s="103"/>
      <c r="RXZ1008" s="104"/>
      <c r="RYA1008" s="103"/>
      <c r="RYM1008" s="104"/>
      <c r="RYN1008" s="103"/>
      <c r="RYZ1008" s="104"/>
      <c r="RZA1008" s="103"/>
      <c r="RZM1008" s="104"/>
      <c r="RZN1008" s="103"/>
      <c r="RZZ1008" s="104"/>
      <c r="SAA1008" s="103"/>
      <c r="SAM1008" s="104"/>
      <c r="SAN1008" s="103"/>
      <c r="SAZ1008" s="104"/>
      <c r="SBA1008" s="103"/>
      <c r="SBM1008" s="104"/>
      <c r="SBN1008" s="103"/>
      <c r="SBZ1008" s="104"/>
      <c r="SCA1008" s="103"/>
      <c r="SCM1008" s="104"/>
      <c r="SCN1008" s="103"/>
      <c r="SCZ1008" s="104"/>
      <c r="SDA1008" s="103"/>
      <c r="SDM1008" s="104"/>
      <c r="SDN1008" s="103"/>
      <c r="SDZ1008" s="104"/>
      <c r="SEA1008" s="103"/>
      <c r="SEM1008" s="104"/>
      <c r="SEN1008" s="103"/>
      <c r="SEZ1008" s="104"/>
      <c r="SFA1008" s="103"/>
      <c r="SFM1008" s="104"/>
      <c r="SFN1008" s="103"/>
      <c r="SFZ1008" s="104"/>
      <c r="SGA1008" s="103"/>
      <c r="SGM1008" s="104"/>
      <c r="SGN1008" s="103"/>
      <c r="SGZ1008" s="104"/>
      <c r="SHA1008" s="103"/>
      <c r="SHM1008" s="104"/>
      <c r="SHN1008" s="103"/>
      <c r="SHZ1008" s="104"/>
      <c r="SIA1008" s="103"/>
      <c r="SIM1008" s="104"/>
      <c r="SIN1008" s="103"/>
      <c r="SIZ1008" s="104"/>
      <c r="SJA1008" s="103"/>
      <c r="SJM1008" s="104"/>
      <c r="SJN1008" s="103"/>
      <c r="SJZ1008" s="104"/>
      <c r="SKA1008" s="103"/>
      <c r="SKM1008" s="104"/>
      <c r="SKN1008" s="103"/>
      <c r="SKZ1008" s="104"/>
      <c r="SLA1008" s="103"/>
      <c r="SLM1008" s="104"/>
      <c r="SLN1008" s="103"/>
      <c r="SLZ1008" s="104"/>
      <c r="SMA1008" s="103"/>
      <c r="SMM1008" s="104"/>
      <c r="SMN1008" s="103"/>
      <c r="SMZ1008" s="104"/>
      <c r="SNA1008" s="103"/>
      <c r="SNM1008" s="104"/>
      <c r="SNN1008" s="103"/>
      <c r="SNZ1008" s="104"/>
      <c r="SOA1008" s="103"/>
      <c r="SOM1008" s="104"/>
      <c r="SON1008" s="103"/>
      <c r="SOZ1008" s="104"/>
      <c r="SPA1008" s="103"/>
      <c r="SPM1008" s="104"/>
      <c r="SPN1008" s="103"/>
      <c r="SPZ1008" s="104"/>
      <c r="SQA1008" s="103"/>
      <c r="SQM1008" s="104"/>
      <c r="SQN1008" s="103"/>
      <c r="SQZ1008" s="104"/>
      <c r="SRA1008" s="103"/>
      <c r="SRM1008" s="104"/>
      <c r="SRN1008" s="103"/>
      <c r="SRZ1008" s="104"/>
      <c r="SSA1008" s="103"/>
      <c r="SSM1008" s="104"/>
      <c r="SSN1008" s="103"/>
      <c r="SSZ1008" s="104"/>
      <c r="STA1008" s="103"/>
      <c r="STM1008" s="104"/>
      <c r="STN1008" s="103"/>
      <c r="STZ1008" s="104"/>
      <c r="SUA1008" s="103"/>
      <c r="SUM1008" s="104"/>
      <c r="SUN1008" s="103"/>
      <c r="SUZ1008" s="104"/>
      <c r="SVA1008" s="103"/>
      <c r="SVM1008" s="104"/>
      <c r="SVN1008" s="103"/>
      <c r="SVZ1008" s="104"/>
      <c r="SWA1008" s="103"/>
      <c r="SWM1008" s="104"/>
      <c r="SWN1008" s="103"/>
      <c r="SWZ1008" s="104"/>
      <c r="SXA1008" s="103"/>
      <c r="SXM1008" s="104"/>
      <c r="SXN1008" s="103"/>
      <c r="SXZ1008" s="104"/>
      <c r="SYA1008" s="103"/>
      <c r="SYM1008" s="104"/>
      <c r="SYN1008" s="103"/>
      <c r="SYZ1008" s="104"/>
      <c r="SZA1008" s="103"/>
      <c r="SZM1008" s="104"/>
      <c r="SZN1008" s="103"/>
      <c r="SZZ1008" s="104"/>
      <c r="TAA1008" s="103"/>
      <c r="TAM1008" s="104"/>
      <c r="TAN1008" s="103"/>
      <c r="TAZ1008" s="104"/>
      <c r="TBA1008" s="103"/>
      <c r="TBM1008" s="104"/>
      <c r="TBN1008" s="103"/>
      <c r="TBZ1008" s="104"/>
      <c r="TCA1008" s="103"/>
      <c r="TCM1008" s="104"/>
      <c r="TCN1008" s="103"/>
      <c r="TCZ1008" s="104"/>
      <c r="TDA1008" s="103"/>
      <c r="TDM1008" s="104"/>
      <c r="TDN1008" s="103"/>
      <c r="TDZ1008" s="104"/>
      <c r="TEA1008" s="103"/>
      <c r="TEM1008" s="104"/>
      <c r="TEN1008" s="103"/>
      <c r="TEZ1008" s="104"/>
      <c r="TFA1008" s="103"/>
      <c r="TFM1008" s="104"/>
      <c r="TFN1008" s="103"/>
      <c r="TFZ1008" s="104"/>
      <c r="TGA1008" s="103"/>
      <c r="TGM1008" s="104"/>
      <c r="TGN1008" s="103"/>
      <c r="TGZ1008" s="104"/>
      <c r="THA1008" s="103"/>
      <c r="THM1008" s="104"/>
      <c r="THN1008" s="103"/>
      <c r="THZ1008" s="104"/>
      <c r="TIA1008" s="103"/>
      <c r="TIM1008" s="104"/>
      <c r="TIN1008" s="103"/>
      <c r="TIZ1008" s="104"/>
      <c r="TJA1008" s="103"/>
      <c r="TJM1008" s="104"/>
      <c r="TJN1008" s="103"/>
      <c r="TJZ1008" s="104"/>
      <c r="TKA1008" s="103"/>
      <c r="TKM1008" s="104"/>
      <c r="TKN1008" s="103"/>
      <c r="TKZ1008" s="104"/>
      <c r="TLA1008" s="103"/>
      <c r="TLM1008" s="104"/>
      <c r="TLN1008" s="103"/>
      <c r="TLZ1008" s="104"/>
      <c r="TMA1008" s="103"/>
      <c r="TMM1008" s="104"/>
      <c r="TMN1008" s="103"/>
      <c r="TMZ1008" s="104"/>
      <c r="TNA1008" s="103"/>
      <c r="TNM1008" s="104"/>
      <c r="TNN1008" s="103"/>
      <c r="TNZ1008" s="104"/>
      <c r="TOA1008" s="103"/>
      <c r="TOM1008" s="104"/>
      <c r="TON1008" s="103"/>
      <c r="TOZ1008" s="104"/>
      <c r="TPA1008" s="103"/>
      <c r="TPM1008" s="104"/>
      <c r="TPN1008" s="103"/>
      <c r="TPZ1008" s="104"/>
      <c r="TQA1008" s="103"/>
      <c r="TQM1008" s="104"/>
      <c r="TQN1008" s="103"/>
      <c r="TQZ1008" s="104"/>
      <c r="TRA1008" s="103"/>
      <c r="TRM1008" s="104"/>
      <c r="TRN1008" s="103"/>
      <c r="TRZ1008" s="104"/>
      <c r="TSA1008" s="103"/>
      <c r="TSM1008" s="104"/>
      <c r="TSN1008" s="103"/>
      <c r="TSZ1008" s="104"/>
      <c r="TTA1008" s="103"/>
      <c r="TTM1008" s="104"/>
      <c r="TTN1008" s="103"/>
      <c r="TTZ1008" s="104"/>
      <c r="TUA1008" s="103"/>
      <c r="TUM1008" s="104"/>
      <c r="TUN1008" s="103"/>
      <c r="TUZ1008" s="104"/>
      <c r="TVA1008" s="103"/>
      <c r="TVM1008" s="104"/>
      <c r="TVN1008" s="103"/>
      <c r="TVZ1008" s="104"/>
      <c r="TWA1008" s="103"/>
      <c r="TWM1008" s="104"/>
      <c r="TWN1008" s="103"/>
      <c r="TWZ1008" s="104"/>
      <c r="TXA1008" s="103"/>
      <c r="TXM1008" s="104"/>
      <c r="TXN1008" s="103"/>
      <c r="TXZ1008" s="104"/>
      <c r="TYA1008" s="103"/>
      <c r="TYM1008" s="104"/>
      <c r="TYN1008" s="103"/>
      <c r="TYZ1008" s="104"/>
      <c r="TZA1008" s="103"/>
      <c r="TZM1008" s="104"/>
      <c r="TZN1008" s="103"/>
      <c r="TZZ1008" s="104"/>
      <c r="UAA1008" s="103"/>
      <c r="UAM1008" s="104"/>
      <c r="UAN1008" s="103"/>
      <c r="UAZ1008" s="104"/>
      <c r="UBA1008" s="103"/>
      <c r="UBM1008" s="104"/>
      <c r="UBN1008" s="103"/>
      <c r="UBZ1008" s="104"/>
      <c r="UCA1008" s="103"/>
      <c r="UCM1008" s="104"/>
      <c r="UCN1008" s="103"/>
      <c r="UCZ1008" s="104"/>
      <c r="UDA1008" s="103"/>
      <c r="UDM1008" s="104"/>
      <c r="UDN1008" s="103"/>
      <c r="UDZ1008" s="104"/>
      <c r="UEA1008" s="103"/>
      <c r="UEM1008" s="104"/>
      <c r="UEN1008" s="103"/>
      <c r="UEZ1008" s="104"/>
      <c r="UFA1008" s="103"/>
      <c r="UFM1008" s="104"/>
      <c r="UFN1008" s="103"/>
      <c r="UFZ1008" s="104"/>
      <c r="UGA1008" s="103"/>
      <c r="UGM1008" s="104"/>
      <c r="UGN1008" s="103"/>
      <c r="UGZ1008" s="104"/>
      <c r="UHA1008" s="103"/>
      <c r="UHM1008" s="104"/>
      <c r="UHN1008" s="103"/>
      <c r="UHZ1008" s="104"/>
      <c r="UIA1008" s="103"/>
      <c r="UIM1008" s="104"/>
      <c r="UIN1008" s="103"/>
      <c r="UIZ1008" s="104"/>
      <c r="UJA1008" s="103"/>
      <c r="UJM1008" s="104"/>
      <c r="UJN1008" s="103"/>
      <c r="UJZ1008" s="104"/>
      <c r="UKA1008" s="103"/>
      <c r="UKM1008" s="104"/>
      <c r="UKN1008" s="103"/>
      <c r="UKZ1008" s="104"/>
      <c r="ULA1008" s="103"/>
      <c r="ULM1008" s="104"/>
      <c r="ULN1008" s="103"/>
      <c r="ULZ1008" s="104"/>
      <c r="UMA1008" s="103"/>
      <c r="UMM1008" s="104"/>
      <c r="UMN1008" s="103"/>
      <c r="UMZ1008" s="104"/>
      <c r="UNA1008" s="103"/>
      <c r="UNM1008" s="104"/>
      <c r="UNN1008" s="103"/>
      <c r="UNZ1008" s="104"/>
      <c r="UOA1008" s="103"/>
      <c r="UOM1008" s="104"/>
      <c r="UON1008" s="103"/>
      <c r="UOZ1008" s="104"/>
      <c r="UPA1008" s="103"/>
      <c r="UPM1008" s="104"/>
      <c r="UPN1008" s="103"/>
      <c r="UPZ1008" s="104"/>
      <c r="UQA1008" s="103"/>
      <c r="UQM1008" s="104"/>
      <c r="UQN1008" s="103"/>
      <c r="UQZ1008" s="104"/>
      <c r="URA1008" s="103"/>
      <c r="URM1008" s="104"/>
      <c r="URN1008" s="103"/>
      <c r="URZ1008" s="104"/>
      <c r="USA1008" s="103"/>
      <c r="USM1008" s="104"/>
      <c r="USN1008" s="103"/>
      <c r="USZ1008" s="104"/>
      <c r="UTA1008" s="103"/>
      <c r="UTM1008" s="104"/>
      <c r="UTN1008" s="103"/>
      <c r="UTZ1008" s="104"/>
      <c r="UUA1008" s="103"/>
      <c r="UUM1008" s="104"/>
      <c r="UUN1008" s="103"/>
      <c r="UUZ1008" s="104"/>
      <c r="UVA1008" s="103"/>
      <c r="UVM1008" s="104"/>
      <c r="UVN1008" s="103"/>
      <c r="UVZ1008" s="104"/>
      <c r="UWA1008" s="103"/>
      <c r="UWM1008" s="104"/>
      <c r="UWN1008" s="103"/>
      <c r="UWZ1008" s="104"/>
      <c r="UXA1008" s="103"/>
      <c r="UXM1008" s="104"/>
      <c r="UXN1008" s="103"/>
      <c r="UXZ1008" s="104"/>
      <c r="UYA1008" s="103"/>
      <c r="UYM1008" s="104"/>
      <c r="UYN1008" s="103"/>
      <c r="UYZ1008" s="104"/>
      <c r="UZA1008" s="103"/>
      <c r="UZM1008" s="104"/>
      <c r="UZN1008" s="103"/>
      <c r="UZZ1008" s="104"/>
      <c r="VAA1008" s="103"/>
      <c r="VAM1008" s="104"/>
      <c r="VAN1008" s="103"/>
      <c r="VAZ1008" s="104"/>
      <c r="VBA1008" s="103"/>
      <c r="VBM1008" s="104"/>
      <c r="VBN1008" s="103"/>
      <c r="VBZ1008" s="104"/>
      <c r="VCA1008" s="103"/>
      <c r="VCM1008" s="104"/>
      <c r="VCN1008" s="103"/>
      <c r="VCZ1008" s="104"/>
      <c r="VDA1008" s="103"/>
      <c r="VDM1008" s="104"/>
      <c r="VDN1008" s="103"/>
      <c r="VDZ1008" s="104"/>
      <c r="VEA1008" s="103"/>
      <c r="VEM1008" s="104"/>
      <c r="VEN1008" s="103"/>
      <c r="VEZ1008" s="104"/>
      <c r="VFA1008" s="103"/>
      <c r="VFM1008" s="104"/>
      <c r="VFN1008" s="103"/>
      <c r="VFZ1008" s="104"/>
      <c r="VGA1008" s="103"/>
      <c r="VGM1008" s="104"/>
      <c r="VGN1008" s="103"/>
      <c r="VGZ1008" s="104"/>
      <c r="VHA1008" s="103"/>
      <c r="VHM1008" s="104"/>
      <c r="VHN1008" s="103"/>
      <c r="VHZ1008" s="104"/>
      <c r="VIA1008" s="103"/>
      <c r="VIM1008" s="104"/>
      <c r="VIN1008" s="103"/>
      <c r="VIZ1008" s="104"/>
      <c r="VJA1008" s="103"/>
      <c r="VJM1008" s="104"/>
      <c r="VJN1008" s="103"/>
      <c r="VJZ1008" s="104"/>
      <c r="VKA1008" s="103"/>
      <c r="VKM1008" s="104"/>
      <c r="VKN1008" s="103"/>
      <c r="VKZ1008" s="104"/>
      <c r="VLA1008" s="103"/>
      <c r="VLM1008" s="104"/>
      <c r="VLN1008" s="103"/>
      <c r="VLZ1008" s="104"/>
      <c r="VMA1008" s="103"/>
      <c r="VMM1008" s="104"/>
      <c r="VMN1008" s="103"/>
      <c r="VMZ1008" s="104"/>
      <c r="VNA1008" s="103"/>
      <c r="VNM1008" s="104"/>
      <c r="VNN1008" s="103"/>
      <c r="VNZ1008" s="104"/>
      <c r="VOA1008" s="103"/>
      <c r="VOM1008" s="104"/>
      <c r="VON1008" s="103"/>
      <c r="VOZ1008" s="104"/>
      <c r="VPA1008" s="103"/>
      <c r="VPM1008" s="104"/>
      <c r="VPN1008" s="103"/>
      <c r="VPZ1008" s="104"/>
      <c r="VQA1008" s="103"/>
      <c r="VQM1008" s="104"/>
      <c r="VQN1008" s="103"/>
      <c r="VQZ1008" s="104"/>
      <c r="VRA1008" s="103"/>
      <c r="VRM1008" s="104"/>
      <c r="VRN1008" s="103"/>
      <c r="VRZ1008" s="104"/>
      <c r="VSA1008" s="103"/>
      <c r="VSM1008" s="104"/>
      <c r="VSN1008" s="103"/>
      <c r="VSZ1008" s="104"/>
      <c r="VTA1008" s="103"/>
      <c r="VTM1008" s="104"/>
      <c r="VTN1008" s="103"/>
      <c r="VTZ1008" s="104"/>
      <c r="VUA1008" s="103"/>
      <c r="VUM1008" s="104"/>
      <c r="VUN1008" s="103"/>
      <c r="VUZ1008" s="104"/>
      <c r="VVA1008" s="103"/>
      <c r="VVM1008" s="104"/>
      <c r="VVN1008" s="103"/>
      <c r="VVZ1008" s="104"/>
      <c r="VWA1008" s="103"/>
      <c r="VWM1008" s="104"/>
      <c r="VWN1008" s="103"/>
      <c r="VWZ1008" s="104"/>
      <c r="VXA1008" s="103"/>
      <c r="VXM1008" s="104"/>
      <c r="VXN1008" s="103"/>
      <c r="VXZ1008" s="104"/>
      <c r="VYA1008" s="103"/>
      <c r="VYM1008" s="104"/>
      <c r="VYN1008" s="103"/>
      <c r="VYZ1008" s="104"/>
      <c r="VZA1008" s="103"/>
      <c r="VZM1008" s="104"/>
      <c r="VZN1008" s="103"/>
      <c r="VZZ1008" s="104"/>
      <c r="WAA1008" s="103"/>
      <c r="WAM1008" s="104"/>
      <c r="WAN1008" s="103"/>
      <c r="WAZ1008" s="104"/>
      <c r="WBA1008" s="103"/>
      <c r="WBM1008" s="104"/>
      <c r="WBN1008" s="103"/>
      <c r="WBZ1008" s="104"/>
      <c r="WCA1008" s="103"/>
      <c r="WCM1008" s="104"/>
      <c r="WCN1008" s="103"/>
      <c r="WCZ1008" s="104"/>
      <c r="WDA1008" s="103"/>
      <c r="WDM1008" s="104"/>
      <c r="WDN1008" s="103"/>
      <c r="WDZ1008" s="104"/>
      <c r="WEA1008" s="103"/>
      <c r="WEM1008" s="104"/>
      <c r="WEN1008" s="103"/>
      <c r="WEZ1008" s="104"/>
      <c r="WFA1008" s="103"/>
      <c r="WFM1008" s="104"/>
      <c r="WFN1008" s="103"/>
      <c r="WFZ1008" s="104"/>
      <c r="WGA1008" s="103"/>
      <c r="WGM1008" s="104"/>
      <c r="WGN1008" s="103"/>
      <c r="WGZ1008" s="104"/>
      <c r="WHA1008" s="103"/>
      <c r="WHM1008" s="104"/>
      <c r="WHN1008" s="103"/>
      <c r="WHZ1008" s="104"/>
      <c r="WIA1008" s="103"/>
      <c r="WIM1008" s="104"/>
      <c r="WIN1008" s="103"/>
      <c r="WIZ1008" s="104"/>
      <c r="WJA1008" s="103"/>
      <c r="WJM1008" s="104"/>
      <c r="WJN1008" s="103"/>
      <c r="WJZ1008" s="104"/>
      <c r="WKA1008" s="103"/>
      <c r="WKM1008" s="104"/>
      <c r="WKN1008" s="103"/>
      <c r="WKZ1008" s="104"/>
      <c r="WLA1008" s="103"/>
      <c r="WLM1008" s="104"/>
      <c r="WLN1008" s="103"/>
      <c r="WLZ1008" s="104"/>
      <c r="WMA1008" s="103"/>
      <c r="WMM1008" s="104"/>
      <c r="WMN1008" s="103"/>
      <c r="WMZ1008" s="104"/>
      <c r="WNA1008" s="103"/>
      <c r="WNM1008" s="104"/>
      <c r="WNN1008" s="103"/>
      <c r="WNZ1008" s="104"/>
      <c r="WOA1008" s="103"/>
      <c r="WOM1008" s="104"/>
      <c r="WON1008" s="103"/>
      <c r="WOZ1008" s="104"/>
      <c r="WPA1008" s="103"/>
      <c r="WPM1008" s="104"/>
      <c r="WPN1008" s="103"/>
      <c r="WPZ1008" s="104"/>
      <c r="WQA1008" s="103"/>
      <c r="WQM1008" s="104"/>
      <c r="WQN1008" s="103"/>
      <c r="WQZ1008" s="104"/>
      <c r="WRA1008" s="103"/>
      <c r="WRM1008" s="104"/>
      <c r="WRN1008" s="103"/>
      <c r="WRZ1008" s="104"/>
      <c r="WSA1008" s="103"/>
      <c r="WSM1008" s="104"/>
      <c r="WSN1008" s="103"/>
      <c r="WSZ1008" s="104"/>
      <c r="WTA1008" s="103"/>
      <c r="WTM1008" s="104"/>
      <c r="WTN1008" s="103"/>
      <c r="WTZ1008" s="104"/>
      <c r="WUA1008" s="103"/>
      <c r="WUM1008" s="104"/>
      <c r="WUN1008" s="103"/>
      <c r="WUZ1008" s="104"/>
      <c r="WVA1008" s="103"/>
      <c r="WVM1008" s="104"/>
      <c r="WVN1008" s="103"/>
      <c r="WVZ1008" s="104"/>
      <c r="WWA1008" s="103"/>
      <c r="WWM1008" s="104"/>
      <c r="WWN1008" s="103"/>
      <c r="WWZ1008" s="104"/>
      <c r="WXA1008" s="103"/>
      <c r="WXM1008" s="104"/>
      <c r="WXN1008" s="103"/>
      <c r="WXZ1008" s="104"/>
      <c r="WYA1008" s="103"/>
      <c r="WYM1008" s="104"/>
      <c r="WYN1008" s="103"/>
      <c r="WYZ1008" s="104"/>
      <c r="WZA1008" s="103"/>
      <c r="WZM1008" s="104"/>
      <c r="WZN1008" s="103"/>
      <c r="WZZ1008" s="104"/>
      <c r="XAA1008" s="103"/>
      <c r="XAM1008" s="104"/>
      <c r="XAN1008" s="103"/>
      <c r="XAZ1008" s="104"/>
      <c r="XBA1008" s="103"/>
      <c r="XBM1008" s="104"/>
      <c r="XBN1008" s="103"/>
      <c r="XBZ1008" s="104"/>
      <c r="XCA1008" s="103"/>
      <c r="XCM1008" s="104"/>
      <c r="XCN1008" s="103"/>
      <c r="XCZ1008" s="104"/>
      <c r="XDA1008" s="103"/>
      <c r="XDM1008" s="104"/>
      <c r="XDN1008" s="103"/>
      <c r="XDZ1008" s="104"/>
      <c r="XEA1008" s="103"/>
      <c r="XEM1008" s="104"/>
      <c r="XEN1008" s="103"/>
      <c r="XEZ1008" s="104"/>
      <c r="XFA1008" s="103"/>
    </row>
    <row r="1009" spans="2:1015 1027:2042 2054:3069 3081:4096 4108:5110 5122:6137 6149:7164 7176:8191 8203:9205 9217:10232 10244:11259 11271:12286 12298:14327 14339:15354 15366:16381">
      <c r="B1009" s="115" t="s">
        <v>92</v>
      </c>
      <c r="C1009" s="112">
        <v>9666</v>
      </c>
      <c r="D1009" s="113">
        <f t="shared" si="41"/>
        <v>175.84136801891941</v>
      </c>
      <c r="E1009" s="114"/>
      <c r="F1009" s="114"/>
      <c r="AM1009" s="104"/>
      <c r="AN1009" s="103"/>
      <c r="AZ1009" s="104"/>
      <c r="BA1009" s="103"/>
      <c r="BM1009" s="104"/>
      <c r="BN1009" s="103"/>
      <c r="BZ1009" s="104"/>
      <c r="CA1009" s="103"/>
      <c r="CM1009" s="104"/>
      <c r="CN1009" s="103"/>
      <c r="CZ1009" s="104"/>
      <c r="DA1009" s="103"/>
      <c r="DM1009" s="104"/>
      <c r="DN1009" s="103"/>
      <c r="DZ1009" s="104"/>
      <c r="EA1009" s="103"/>
      <c r="EM1009" s="104"/>
      <c r="EN1009" s="103"/>
      <c r="EZ1009" s="104"/>
      <c r="FA1009" s="103"/>
      <c r="FM1009" s="104"/>
      <c r="FN1009" s="103"/>
      <c r="FZ1009" s="104"/>
      <c r="GA1009" s="103"/>
      <c r="GM1009" s="104"/>
      <c r="GN1009" s="103"/>
      <c r="GZ1009" s="104"/>
      <c r="HA1009" s="103"/>
      <c r="HM1009" s="104"/>
      <c r="HN1009" s="103"/>
      <c r="HZ1009" s="104"/>
      <c r="IA1009" s="103"/>
      <c r="IM1009" s="104"/>
      <c r="IN1009" s="103"/>
      <c r="IZ1009" s="104"/>
      <c r="JA1009" s="103"/>
      <c r="JM1009" s="104"/>
      <c r="JN1009" s="103"/>
      <c r="JZ1009" s="104"/>
      <c r="KA1009" s="103"/>
      <c r="KM1009" s="104"/>
      <c r="KN1009" s="103"/>
      <c r="KZ1009" s="104"/>
      <c r="LA1009" s="103"/>
      <c r="LM1009" s="104"/>
      <c r="LN1009" s="103"/>
      <c r="LZ1009" s="104"/>
      <c r="MA1009" s="103"/>
      <c r="MM1009" s="104"/>
      <c r="MN1009" s="103"/>
      <c r="MZ1009" s="104"/>
      <c r="NA1009" s="103"/>
      <c r="NM1009" s="104"/>
      <c r="NN1009" s="103"/>
      <c r="NZ1009" s="104"/>
      <c r="OA1009" s="103"/>
      <c r="OM1009" s="104"/>
      <c r="ON1009" s="103"/>
      <c r="OZ1009" s="104"/>
      <c r="PA1009" s="103"/>
      <c r="PM1009" s="104"/>
      <c r="PN1009" s="103"/>
      <c r="PZ1009" s="104"/>
      <c r="QA1009" s="103"/>
      <c r="QM1009" s="104"/>
      <c r="QN1009" s="103"/>
      <c r="QZ1009" s="104"/>
      <c r="RA1009" s="103"/>
      <c r="RM1009" s="104"/>
      <c r="RN1009" s="103"/>
      <c r="RZ1009" s="104"/>
      <c r="SA1009" s="103"/>
      <c r="SM1009" s="104"/>
      <c r="SN1009" s="103"/>
      <c r="SZ1009" s="104"/>
      <c r="TA1009" s="103"/>
      <c r="TM1009" s="104"/>
      <c r="TN1009" s="103"/>
      <c r="TZ1009" s="104"/>
      <c r="UA1009" s="103"/>
      <c r="UM1009" s="104"/>
      <c r="UN1009" s="103"/>
      <c r="UZ1009" s="104"/>
      <c r="VA1009" s="103"/>
      <c r="VM1009" s="104"/>
      <c r="VN1009" s="103"/>
      <c r="VZ1009" s="104"/>
      <c r="WA1009" s="103"/>
      <c r="WM1009" s="104"/>
      <c r="WN1009" s="103"/>
      <c r="WZ1009" s="104"/>
      <c r="XA1009" s="103"/>
      <c r="XM1009" s="104"/>
      <c r="XN1009" s="103"/>
      <c r="XZ1009" s="104"/>
      <c r="YA1009" s="103"/>
      <c r="YM1009" s="104"/>
      <c r="YN1009" s="103"/>
      <c r="YZ1009" s="104"/>
      <c r="ZA1009" s="103"/>
      <c r="ZM1009" s="104"/>
      <c r="ZN1009" s="103"/>
      <c r="ZZ1009" s="104"/>
      <c r="AAA1009" s="103"/>
      <c r="AAM1009" s="104"/>
      <c r="AAN1009" s="103"/>
      <c r="AAZ1009" s="104"/>
      <c r="ABA1009" s="103"/>
      <c r="ABM1009" s="104"/>
      <c r="ABN1009" s="103"/>
      <c r="ABZ1009" s="104"/>
      <c r="ACA1009" s="103"/>
      <c r="ACM1009" s="104"/>
      <c r="ACN1009" s="103"/>
      <c r="ACZ1009" s="104"/>
      <c r="ADA1009" s="103"/>
      <c r="ADM1009" s="104"/>
      <c r="ADN1009" s="103"/>
      <c r="ADZ1009" s="104"/>
      <c r="AEA1009" s="103"/>
      <c r="AEM1009" s="104"/>
      <c r="AEN1009" s="103"/>
      <c r="AEZ1009" s="104"/>
      <c r="AFA1009" s="103"/>
      <c r="AFM1009" s="104"/>
      <c r="AFN1009" s="103"/>
      <c r="AFZ1009" s="104"/>
      <c r="AGA1009" s="103"/>
      <c r="AGM1009" s="104"/>
      <c r="AGN1009" s="103"/>
      <c r="AGZ1009" s="104"/>
      <c r="AHA1009" s="103"/>
      <c r="AHM1009" s="104"/>
      <c r="AHN1009" s="103"/>
      <c r="AHZ1009" s="104"/>
      <c r="AIA1009" s="103"/>
      <c r="AIM1009" s="104"/>
      <c r="AIN1009" s="103"/>
      <c r="AIZ1009" s="104"/>
      <c r="AJA1009" s="103"/>
      <c r="AJM1009" s="104"/>
      <c r="AJN1009" s="103"/>
      <c r="AJZ1009" s="104"/>
      <c r="AKA1009" s="103"/>
      <c r="AKM1009" s="104"/>
      <c r="AKN1009" s="103"/>
      <c r="AKZ1009" s="104"/>
      <c r="ALA1009" s="103"/>
      <c r="ALM1009" s="104"/>
      <c r="ALN1009" s="103"/>
      <c r="ALZ1009" s="104"/>
      <c r="AMA1009" s="103"/>
      <c r="AMM1009" s="104"/>
      <c r="AMN1009" s="103"/>
      <c r="AMZ1009" s="104"/>
      <c r="ANA1009" s="103"/>
      <c r="ANM1009" s="104"/>
      <c r="ANN1009" s="103"/>
      <c r="ANZ1009" s="104"/>
      <c r="AOA1009" s="103"/>
      <c r="AOM1009" s="104"/>
      <c r="AON1009" s="103"/>
      <c r="AOZ1009" s="104"/>
      <c r="APA1009" s="103"/>
      <c r="APM1009" s="104"/>
      <c r="APN1009" s="103"/>
      <c r="APZ1009" s="104"/>
      <c r="AQA1009" s="103"/>
      <c r="AQM1009" s="104"/>
      <c r="AQN1009" s="103"/>
      <c r="AQZ1009" s="104"/>
      <c r="ARA1009" s="103"/>
      <c r="ARM1009" s="104"/>
      <c r="ARN1009" s="103"/>
      <c r="ARZ1009" s="104"/>
      <c r="ASA1009" s="103"/>
      <c r="ASM1009" s="104"/>
      <c r="ASN1009" s="103"/>
      <c r="ASZ1009" s="104"/>
      <c r="ATA1009" s="103"/>
      <c r="ATM1009" s="104"/>
      <c r="ATN1009" s="103"/>
      <c r="ATZ1009" s="104"/>
      <c r="AUA1009" s="103"/>
      <c r="AUM1009" s="104"/>
      <c r="AUN1009" s="103"/>
      <c r="AUZ1009" s="104"/>
      <c r="AVA1009" s="103"/>
      <c r="AVM1009" s="104"/>
      <c r="AVN1009" s="103"/>
      <c r="AVZ1009" s="104"/>
      <c r="AWA1009" s="103"/>
      <c r="AWM1009" s="104"/>
      <c r="AWN1009" s="103"/>
      <c r="AWZ1009" s="104"/>
      <c r="AXA1009" s="103"/>
      <c r="AXM1009" s="104"/>
      <c r="AXN1009" s="103"/>
      <c r="AXZ1009" s="104"/>
      <c r="AYA1009" s="103"/>
      <c r="AYM1009" s="104"/>
      <c r="AYN1009" s="103"/>
      <c r="AYZ1009" s="104"/>
      <c r="AZA1009" s="103"/>
      <c r="AZM1009" s="104"/>
      <c r="AZN1009" s="103"/>
      <c r="AZZ1009" s="104"/>
      <c r="BAA1009" s="103"/>
      <c r="BAM1009" s="104"/>
      <c r="BAN1009" s="103"/>
      <c r="BAZ1009" s="104"/>
      <c r="BBA1009" s="103"/>
      <c r="BBM1009" s="104"/>
      <c r="BBN1009" s="103"/>
      <c r="BBZ1009" s="104"/>
      <c r="BCA1009" s="103"/>
      <c r="BCM1009" s="104"/>
      <c r="BCN1009" s="103"/>
      <c r="BCZ1009" s="104"/>
      <c r="BDA1009" s="103"/>
      <c r="BDM1009" s="104"/>
      <c r="BDN1009" s="103"/>
      <c r="BDZ1009" s="104"/>
      <c r="BEA1009" s="103"/>
      <c r="BEM1009" s="104"/>
      <c r="BEN1009" s="103"/>
      <c r="BEZ1009" s="104"/>
      <c r="BFA1009" s="103"/>
      <c r="BFM1009" s="104"/>
      <c r="BFN1009" s="103"/>
      <c r="BFZ1009" s="104"/>
      <c r="BGA1009" s="103"/>
      <c r="BGM1009" s="104"/>
      <c r="BGN1009" s="103"/>
      <c r="BGZ1009" s="104"/>
      <c r="BHA1009" s="103"/>
      <c r="BHM1009" s="104"/>
      <c r="BHN1009" s="103"/>
      <c r="BHZ1009" s="104"/>
      <c r="BIA1009" s="103"/>
      <c r="BIM1009" s="104"/>
      <c r="BIN1009" s="103"/>
      <c r="BIZ1009" s="104"/>
      <c r="BJA1009" s="103"/>
      <c r="BJM1009" s="104"/>
      <c r="BJN1009" s="103"/>
      <c r="BJZ1009" s="104"/>
      <c r="BKA1009" s="103"/>
      <c r="BKM1009" s="104"/>
      <c r="BKN1009" s="103"/>
      <c r="BKZ1009" s="104"/>
      <c r="BLA1009" s="103"/>
      <c r="BLM1009" s="104"/>
      <c r="BLN1009" s="103"/>
      <c r="BLZ1009" s="104"/>
      <c r="BMA1009" s="103"/>
      <c r="BMM1009" s="104"/>
      <c r="BMN1009" s="103"/>
      <c r="BMZ1009" s="104"/>
      <c r="BNA1009" s="103"/>
      <c r="BNM1009" s="104"/>
      <c r="BNN1009" s="103"/>
      <c r="BNZ1009" s="104"/>
      <c r="BOA1009" s="103"/>
      <c r="BOM1009" s="104"/>
      <c r="BON1009" s="103"/>
      <c r="BOZ1009" s="104"/>
      <c r="BPA1009" s="103"/>
      <c r="BPM1009" s="104"/>
      <c r="BPN1009" s="103"/>
      <c r="BPZ1009" s="104"/>
      <c r="BQA1009" s="103"/>
      <c r="BQM1009" s="104"/>
      <c r="BQN1009" s="103"/>
      <c r="BQZ1009" s="104"/>
      <c r="BRA1009" s="103"/>
      <c r="BRM1009" s="104"/>
      <c r="BRN1009" s="103"/>
      <c r="BRZ1009" s="104"/>
      <c r="BSA1009" s="103"/>
      <c r="BSM1009" s="104"/>
      <c r="BSN1009" s="103"/>
      <c r="BSZ1009" s="104"/>
      <c r="BTA1009" s="103"/>
      <c r="BTM1009" s="104"/>
      <c r="BTN1009" s="103"/>
      <c r="BTZ1009" s="104"/>
      <c r="BUA1009" s="103"/>
      <c r="BUM1009" s="104"/>
      <c r="BUN1009" s="103"/>
      <c r="BUZ1009" s="104"/>
      <c r="BVA1009" s="103"/>
      <c r="BVM1009" s="104"/>
      <c r="BVN1009" s="103"/>
      <c r="BVZ1009" s="104"/>
      <c r="BWA1009" s="103"/>
      <c r="BWM1009" s="104"/>
      <c r="BWN1009" s="103"/>
      <c r="BWZ1009" s="104"/>
      <c r="BXA1009" s="103"/>
      <c r="BXM1009" s="104"/>
      <c r="BXN1009" s="103"/>
      <c r="BXZ1009" s="104"/>
      <c r="BYA1009" s="103"/>
      <c r="BYM1009" s="104"/>
      <c r="BYN1009" s="103"/>
      <c r="BYZ1009" s="104"/>
      <c r="BZA1009" s="103"/>
      <c r="BZM1009" s="104"/>
      <c r="BZN1009" s="103"/>
      <c r="BZZ1009" s="104"/>
      <c r="CAA1009" s="103"/>
      <c r="CAM1009" s="104"/>
      <c r="CAN1009" s="103"/>
      <c r="CAZ1009" s="104"/>
      <c r="CBA1009" s="103"/>
      <c r="CBM1009" s="104"/>
      <c r="CBN1009" s="103"/>
      <c r="CBZ1009" s="104"/>
      <c r="CCA1009" s="103"/>
      <c r="CCM1009" s="104"/>
      <c r="CCN1009" s="103"/>
      <c r="CCZ1009" s="104"/>
      <c r="CDA1009" s="103"/>
      <c r="CDM1009" s="104"/>
      <c r="CDN1009" s="103"/>
      <c r="CDZ1009" s="104"/>
      <c r="CEA1009" s="103"/>
      <c r="CEM1009" s="104"/>
      <c r="CEN1009" s="103"/>
      <c r="CEZ1009" s="104"/>
      <c r="CFA1009" s="103"/>
      <c r="CFM1009" s="104"/>
      <c r="CFN1009" s="103"/>
      <c r="CFZ1009" s="104"/>
      <c r="CGA1009" s="103"/>
      <c r="CGM1009" s="104"/>
      <c r="CGN1009" s="103"/>
      <c r="CGZ1009" s="104"/>
      <c r="CHA1009" s="103"/>
      <c r="CHM1009" s="104"/>
      <c r="CHN1009" s="103"/>
      <c r="CHZ1009" s="104"/>
      <c r="CIA1009" s="103"/>
      <c r="CIM1009" s="104"/>
      <c r="CIN1009" s="103"/>
      <c r="CIZ1009" s="104"/>
      <c r="CJA1009" s="103"/>
      <c r="CJM1009" s="104"/>
      <c r="CJN1009" s="103"/>
      <c r="CJZ1009" s="104"/>
      <c r="CKA1009" s="103"/>
      <c r="CKM1009" s="104"/>
      <c r="CKN1009" s="103"/>
      <c r="CKZ1009" s="104"/>
      <c r="CLA1009" s="103"/>
      <c r="CLM1009" s="104"/>
      <c r="CLN1009" s="103"/>
      <c r="CLZ1009" s="104"/>
      <c r="CMA1009" s="103"/>
      <c r="CMM1009" s="104"/>
      <c r="CMN1009" s="103"/>
      <c r="CMZ1009" s="104"/>
      <c r="CNA1009" s="103"/>
      <c r="CNM1009" s="104"/>
      <c r="CNN1009" s="103"/>
      <c r="CNZ1009" s="104"/>
      <c r="COA1009" s="103"/>
      <c r="COM1009" s="104"/>
      <c r="CON1009" s="103"/>
      <c r="COZ1009" s="104"/>
      <c r="CPA1009" s="103"/>
      <c r="CPM1009" s="104"/>
      <c r="CPN1009" s="103"/>
      <c r="CPZ1009" s="104"/>
      <c r="CQA1009" s="103"/>
      <c r="CQM1009" s="104"/>
      <c r="CQN1009" s="103"/>
      <c r="CQZ1009" s="104"/>
      <c r="CRA1009" s="103"/>
      <c r="CRM1009" s="104"/>
      <c r="CRN1009" s="103"/>
      <c r="CRZ1009" s="104"/>
      <c r="CSA1009" s="103"/>
      <c r="CSM1009" s="104"/>
      <c r="CSN1009" s="103"/>
      <c r="CSZ1009" s="104"/>
      <c r="CTA1009" s="103"/>
      <c r="CTM1009" s="104"/>
      <c r="CTN1009" s="103"/>
      <c r="CTZ1009" s="104"/>
      <c r="CUA1009" s="103"/>
      <c r="CUM1009" s="104"/>
      <c r="CUN1009" s="103"/>
      <c r="CUZ1009" s="104"/>
      <c r="CVA1009" s="103"/>
      <c r="CVM1009" s="104"/>
      <c r="CVN1009" s="103"/>
      <c r="CVZ1009" s="104"/>
      <c r="CWA1009" s="103"/>
      <c r="CWM1009" s="104"/>
      <c r="CWN1009" s="103"/>
      <c r="CWZ1009" s="104"/>
      <c r="CXA1009" s="103"/>
      <c r="CXM1009" s="104"/>
      <c r="CXN1009" s="103"/>
      <c r="CXZ1009" s="104"/>
      <c r="CYA1009" s="103"/>
      <c r="CYM1009" s="104"/>
      <c r="CYN1009" s="103"/>
      <c r="CYZ1009" s="104"/>
      <c r="CZA1009" s="103"/>
      <c r="CZM1009" s="104"/>
      <c r="CZN1009" s="103"/>
      <c r="CZZ1009" s="104"/>
      <c r="DAA1009" s="103"/>
      <c r="DAM1009" s="104"/>
      <c r="DAN1009" s="103"/>
      <c r="DAZ1009" s="104"/>
      <c r="DBA1009" s="103"/>
      <c r="DBM1009" s="104"/>
      <c r="DBN1009" s="103"/>
      <c r="DBZ1009" s="104"/>
      <c r="DCA1009" s="103"/>
      <c r="DCM1009" s="104"/>
      <c r="DCN1009" s="103"/>
      <c r="DCZ1009" s="104"/>
      <c r="DDA1009" s="103"/>
      <c r="DDM1009" s="104"/>
      <c r="DDN1009" s="103"/>
      <c r="DDZ1009" s="104"/>
      <c r="DEA1009" s="103"/>
      <c r="DEM1009" s="104"/>
      <c r="DEN1009" s="103"/>
      <c r="DEZ1009" s="104"/>
      <c r="DFA1009" s="103"/>
      <c r="DFM1009" s="104"/>
      <c r="DFN1009" s="103"/>
      <c r="DFZ1009" s="104"/>
      <c r="DGA1009" s="103"/>
      <c r="DGM1009" s="104"/>
      <c r="DGN1009" s="103"/>
      <c r="DGZ1009" s="104"/>
      <c r="DHA1009" s="103"/>
      <c r="DHM1009" s="104"/>
      <c r="DHN1009" s="103"/>
      <c r="DHZ1009" s="104"/>
      <c r="DIA1009" s="103"/>
      <c r="DIM1009" s="104"/>
      <c r="DIN1009" s="103"/>
      <c r="DIZ1009" s="104"/>
      <c r="DJA1009" s="103"/>
      <c r="DJM1009" s="104"/>
      <c r="DJN1009" s="103"/>
      <c r="DJZ1009" s="104"/>
      <c r="DKA1009" s="103"/>
      <c r="DKM1009" s="104"/>
      <c r="DKN1009" s="103"/>
      <c r="DKZ1009" s="104"/>
      <c r="DLA1009" s="103"/>
      <c r="DLM1009" s="104"/>
      <c r="DLN1009" s="103"/>
      <c r="DLZ1009" s="104"/>
      <c r="DMA1009" s="103"/>
      <c r="DMM1009" s="104"/>
      <c r="DMN1009" s="103"/>
      <c r="DMZ1009" s="104"/>
      <c r="DNA1009" s="103"/>
      <c r="DNM1009" s="104"/>
      <c r="DNN1009" s="103"/>
      <c r="DNZ1009" s="104"/>
      <c r="DOA1009" s="103"/>
      <c r="DOM1009" s="104"/>
      <c r="DON1009" s="103"/>
      <c r="DOZ1009" s="104"/>
      <c r="DPA1009" s="103"/>
      <c r="DPM1009" s="104"/>
      <c r="DPN1009" s="103"/>
      <c r="DPZ1009" s="104"/>
      <c r="DQA1009" s="103"/>
      <c r="DQM1009" s="104"/>
      <c r="DQN1009" s="103"/>
      <c r="DQZ1009" s="104"/>
      <c r="DRA1009" s="103"/>
      <c r="DRM1009" s="104"/>
      <c r="DRN1009" s="103"/>
      <c r="DRZ1009" s="104"/>
      <c r="DSA1009" s="103"/>
      <c r="DSM1009" s="104"/>
      <c r="DSN1009" s="103"/>
      <c r="DSZ1009" s="104"/>
      <c r="DTA1009" s="103"/>
      <c r="DTM1009" s="104"/>
      <c r="DTN1009" s="103"/>
      <c r="DTZ1009" s="104"/>
      <c r="DUA1009" s="103"/>
      <c r="DUM1009" s="104"/>
      <c r="DUN1009" s="103"/>
      <c r="DUZ1009" s="104"/>
      <c r="DVA1009" s="103"/>
      <c r="DVM1009" s="104"/>
      <c r="DVN1009" s="103"/>
      <c r="DVZ1009" s="104"/>
      <c r="DWA1009" s="103"/>
      <c r="DWM1009" s="104"/>
      <c r="DWN1009" s="103"/>
      <c r="DWZ1009" s="104"/>
      <c r="DXA1009" s="103"/>
      <c r="DXM1009" s="104"/>
      <c r="DXN1009" s="103"/>
      <c r="DXZ1009" s="104"/>
      <c r="DYA1009" s="103"/>
      <c r="DYM1009" s="104"/>
      <c r="DYN1009" s="103"/>
      <c r="DYZ1009" s="104"/>
      <c r="DZA1009" s="103"/>
      <c r="DZM1009" s="104"/>
      <c r="DZN1009" s="103"/>
      <c r="DZZ1009" s="104"/>
      <c r="EAA1009" s="103"/>
      <c r="EAM1009" s="104"/>
      <c r="EAN1009" s="103"/>
      <c r="EAZ1009" s="104"/>
      <c r="EBA1009" s="103"/>
      <c r="EBM1009" s="104"/>
      <c r="EBN1009" s="103"/>
      <c r="EBZ1009" s="104"/>
      <c r="ECA1009" s="103"/>
      <c r="ECM1009" s="104"/>
      <c r="ECN1009" s="103"/>
      <c r="ECZ1009" s="104"/>
      <c r="EDA1009" s="103"/>
      <c r="EDM1009" s="104"/>
      <c r="EDN1009" s="103"/>
      <c r="EDZ1009" s="104"/>
      <c r="EEA1009" s="103"/>
      <c r="EEM1009" s="104"/>
      <c r="EEN1009" s="103"/>
      <c r="EEZ1009" s="104"/>
      <c r="EFA1009" s="103"/>
      <c r="EFM1009" s="104"/>
      <c r="EFN1009" s="103"/>
      <c r="EFZ1009" s="104"/>
      <c r="EGA1009" s="103"/>
      <c r="EGM1009" s="104"/>
      <c r="EGN1009" s="103"/>
      <c r="EGZ1009" s="104"/>
      <c r="EHA1009" s="103"/>
      <c r="EHM1009" s="104"/>
      <c r="EHN1009" s="103"/>
      <c r="EHZ1009" s="104"/>
      <c r="EIA1009" s="103"/>
      <c r="EIM1009" s="104"/>
      <c r="EIN1009" s="103"/>
      <c r="EIZ1009" s="104"/>
      <c r="EJA1009" s="103"/>
      <c r="EJM1009" s="104"/>
      <c r="EJN1009" s="103"/>
      <c r="EJZ1009" s="104"/>
      <c r="EKA1009" s="103"/>
      <c r="EKM1009" s="104"/>
      <c r="EKN1009" s="103"/>
      <c r="EKZ1009" s="104"/>
      <c r="ELA1009" s="103"/>
      <c r="ELM1009" s="104"/>
      <c r="ELN1009" s="103"/>
      <c r="ELZ1009" s="104"/>
      <c r="EMA1009" s="103"/>
      <c r="EMM1009" s="104"/>
      <c r="EMN1009" s="103"/>
      <c r="EMZ1009" s="104"/>
      <c r="ENA1009" s="103"/>
      <c r="ENM1009" s="104"/>
      <c r="ENN1009" s="103"/>
      <c r="ENZ1009" s="104"/>
      <c r="EOA1009" s="103"/>
      <c r="EOM1009" s="104"/>
      <c r="EON1009" s="103"/>
      <c r="EOZ1009" s="104"/>
      <c r="EPA1009" s="103"/>
      <c r="EPM1009" s="104"/>
      <c r="EPN1009" s="103"/>
      <c r="EPZ1009" s="104"/>
      <c r="EQA1009" s="103"/>
      <c r="EQM1009" s="104"/>
      <c r="EQN1009" s="103"/>
      <c r="EQZ1009" s="104"/>
      <c r="ERA1009" s="103"/>
      <c r="ERM1009" s="104"/>
      <c r="ERN1009" s="103"/>
      <c r="ERZ1009" s="104"/>
      <c r="ESA1009" s="103"/>
      <c r="ESM1009" s="104"/>
      <c r="ESN1009" s="103"/>
      <c r="ESZ1009" s="104"/>
      <c r="ETA1009" s="103"/>
      <c r="ETM1009" s="104"/>
      <c r="ETN1009" s="103"/>
      <c r="ETZ1009" s="104"/>
      <c r="EUA1009" s="103"/>
      <c r="EUM1009" s="104"/>
      <c r="EUN1009" s="103"/>
      <c r="EUZ1009" s="104"/>
      <c r="EVA1009" s="103"/>
      <c r="EVM1009" s="104"/>
      <c r="EVN1009" s="103"/>
      <c r="EVZ1009" s="104"/>
      <c r="EWA1009" s="103"/>
      <c r="EWM1009" s="104"/>
      <c r="EWN1009" s="103"/>
      <c r="EWZ1009" s="104"/>
      <c r="EXA1009" s="103"/>
      <c r="EXM1009" s="104"/>
      <c r="EXN1009" s="103"/>
      <c r="EXZ1009" s="104"/>
      <c r="EYA1009" s="103"/>
      <c r="EYM1009" s="104"/>
      <c r="EYN1009" s="103"/>
      <c r="EYZ1009" s="104"/>
      <c r="EZA1009" s="103"/>
      <c r="EZM1009" s="104"/>
      <c r="EZN1009" s="103"/>
      <c r="EZZ1009" s="104"/>
      <c r="FAA1009" s="103"/>
      <c r="FAM1009" s="104"/>
      <c r="FAN1009" s="103"/>
      <c r="FAZ1009" s="104"/>
      <c r="FBA1009" s="103"/>
      <c r="FBM1009" s="104"/>
      <c r="FBN1009" s="103"/>
      <c r="FBZ1009" s="104"/>
      <c r="FCA1009" s="103"/>
      <c r="FCM1009" s="104"/>
      <c r="FCN1009" s="103"/>
      <c r="FCZ1009" s="104"/>
      <c r="FDA1009" s="103"/>
      <c r="FDM1009" s="104"/>
      <c r="FDN1009" s="103"/>
      <c r="FDZ1009" s="104"/>
      <c r="FEA1009" s="103"/>
      <c r="FEM1009" s="104"/>
      <c r="FEN1009" s="103"/>
      <c r="FEZ1009" s="104"/>
      <c r="FFA1009" s="103"/>
      <c r="FFM1009" s="104"/>
      <c r="FFN1009" s="103"/>
      <c r="FFZ1009" s="104"/>
      <c r="FGA1009" s="103"/>
      <c r="FGM1009" s="104"/>
      <c r="FGN1009" s="103"/>
      <c r="FGZ1009" s="104"/>
      <c r="FHA1009" s="103"/>
      <c r="FHM1009" s="104"/>
      <c r="FHN1009" s="103"/>
      <c r="FHZ1009" s="104"/>
      <c r="FIA1009" s="103"/>
      <c r="FIM1009" s="104"/>
      <c r="FIN1009" s="103"/>
      <c r="FIZ1009" s="104"/>
      <c r="FJA1009" s="103"/>
      <c r="FJM1009" s="104"/>
      <c r="FJN1009" s="103"/>
      <c r="FJZ1009" s="104"/>
      <c r="FKA1009" s="103"/>
      <c r="FKM1009" s="104"/>
      <c r="FKN1009" s="103"/>
      <c r="FKZ1009" s="104"/>
      <c r="FLA1009" s="103"/>
      <c r="FLM1009" s="104"/>
      <c r="FLN1009" s="103"/>
      <c r="FLZ1009" s="104"/>
      <c r="FMA1009" s="103"/>
      <c r="FMM1009" s="104"/>
      <c r="FMN1009" s="103"/>
      <c r="FMZ1009" s="104"/>
      <c r="FNA1009" s="103"/>
      <c r="FNM1009" s="104"/>
      <c r="FNN1009" s="103"/>
      <c r="FNZ1009" s="104"/>
      <c r="FOA1009" s="103"/>
      <c r="FOM1009" s="104"/>
      <c r="FON1009" s="103"/>
      <c r="FOZ1009" s="104"/>
      <c r="FPA1009" s="103"/>
      <c r="FPM1009" s="104"/>
      <c r="FPN1009" s="103"/>
      <c r="FPZ1009" s="104"/>
      <c r="FQA1009" s="103"/>
      <c r="FQM1009" s="104"/>
      <c r="FQN1009" s="103"/>
      <c r="FQZ1009" s="104"/>
      <c r="FRA1009" s="103"/>
      <c r="FRM1009" s="104"/>
      <c r="FRN1009" s="103"/>
      <c r="FRZ1009" s="104"/>
      <c r="FSA1009" s="103"/>
      <c r="FSM1009" s="104"/>
      <c r="FSN1009" s="103"/>
      <c r="FSZ1009" s="104"/>
      <c r="FTA1009" s="103"/>
      <c r="FTM1009" s="104"/>
      <c r="FTN1009" s="103"/>
      <c r="FTZ1009" s="104"/>
      <c r="FUA1009" s="103"/>
      <c r="FUM1009" s="104"/>
      <c r="FUN1009" s="103"/>
      <c r="FUZ1009" s="104"/>
      <c r="FVA1009" s="103"/>
      <c r="FVM1009" s="104"/>
      <c r="FVN1009" s="103"/>
      <c r="FVZ1009" s="104"/>
      <c r="FWA1009" s="103"/>
      <c r="FWM1009" s="104"/>
      <c r="FWN1009" s="103"/>
      <c r="FWZ1009" s="104"/>
      <c r="FXA1009" s="103"/>
      <c r="FXM1009" s="104"/>
      <c r="FXN1009" s="103"/>
      <c r="FXZ1009" s="104"/>
      <c r="FYA1009" s="103"/>
      <c r="FYM1009" s="104"/>
      <c r="FYN1009" s="103"/>
      <c r="FYZ1009" s="104"/>
      <c r="FZA1009" s="103"/>
      <c r="FZM1009" s="104"/>
      <c r="FZN1009" s="103"/>
      <c r="FZZ1009" s="104"/>
      <c r="GAA1009" s="103"/>
      <c r="GAM1009" s="104"/>
      <c r="GAN1009" s="103"/>
      <c r="GAZ1009" s="104"/>
      <c r="GBA1009" s="103"/>
      <c r="GBM1009" s="104"/>
      <c r="GBN1009" s="103"/>
      <c r="GBZ1009" s="104"/>
      <c r="GCA1009" s="103"/>
      <c r="GCM1009" s="104"/>
      <c r="GCN1009" s="103"/>
      <c r="GCZ1009" s="104"/>
      <c r="GDA1009" s="103"/>
      <c r="GDM1009" s="104"/>
      <c r="GDN1009" s="103"/>
      <c r="GDZ1009" s="104"/>
      <c r="GEA1009" s="103"/>
      <c r="GEM1009" s="104"/>
      <c r="GEN1009" s="103"/>
      <c r="GEZ1009" s="104"/>
      <c r="GFA1009" s="103"/>
      <c r="GFM1009" s="104"/>
      <c r="GFN1009" s="103"/>
      <c r="GFZ1009" s="104"/>
      <c r="GGA1009" s="103"/>
      <c r="GGM1009" s="104"/>
      <c r="GGN1009" s="103"/>
      <c r="GGZ1009" s="104"/>
      <c r="GHA1009" s="103"/>
      <c r="GHM1009" s="104"/>
      <c r="GHN1009" s="103"/>
      <c r="GHZ1009" s="104"/>
      <c r="GIA1009" s="103"/>
      <c r="GIM1009" s="104"/>
      <c r="GIN1009" s="103"/>
      <c r="GIZ1009" s="104"/>
      <c r="GJA1009" s="103"/>
      <c r="GJM1009" s="104"/>
      <c r="GJN1009" s="103"/>
      <c r="GJZ1009" s="104"/>
      <c r="GKA1009" s="103"/>
      <c r="GKM1009" s="104"/>
      <c r="GKN1009" s="103"/>
      <c r="GKZ1009" s="104"/>
      <c r="GLA1009" s="103"/>
      <c r="GLM1009" s="104"/>
      <c r="GLN1009" s="103"/>
      <c r="GLZ1009" s="104"/>
      <c r="GMA1009" s="103"/>
      <c r="GMM1009" s="104"/>
      <c r="GMN1009" s="103"/>
      <c r="GMZ1009" s="104"/>
      <c r="GNA1009" s="103"/>
      <c r="GNM1009" s="104"/>
      <c r="GNN1009" s="103"/>
      <c r="GNZ1009" s="104"/>
      <c r="GOA1009" s="103"/>
      <c r="GOM1009" s="104"/>
      <c r="GON1009" s="103"/>
      <c r="GOZ1009" s="104"/>
      <c r="GPA1009" s="103"/>
      <c r="GPM1009" s="104"/>
      <c r="GPN1009" s="103"/>
      <c r="GPZ1009" s="104"/>
      <c r="GQA1009" s="103"/>
      <c r="GQM1009" s="104"/>
      <c r="GQN1009" s="103"/>
      <c r="GQZ1009" s="104"/>
      <c r="GRA1009" s="103"/>
      <c r="GRM1009" s="104"/>
      <c r="GRN1009" s="103"/>
      <c r="GRZ1009" s="104"/>
      <c r="GSA1009" s="103"/>
      <c r="GSM1009" s="104"/>
      <c r="GSN1009" s="103"/>
      <c r="GSZ1009" s="104"/>
      <c r="GTA1009" s="103"/>
      <c r="GTM1009" s="104"/>
      <c r="GTN1009" s="103"/>
      <c r="GTZ1009" s="104"/>
      <c r="GUA1009" s="103"/>
      <c r="GUM1009" s="104"/>
      <c r="GUN1009" s="103"/>
      <c r="GUZ1009" s="104"/>
      <c r="GVA1009" s="103"/>
      <c r="GVM1009" s="104"/>
      <c r="GVN1009" s="103"/>
      <c r="GVZ1009" s="104"/>
      <c r="GWA1009" s="103"/>
      <c r="GWM1009" s="104"/>
      <c r="GWN1009" s="103"/>
      <c r="GWZ1009" s="104"/>
      <c r="GXA1009" s="103"/>
      <c r="GXM1009" s="104"/>
      <c r="GXN1009" s="103"/>
      <c r="GXZ1009" s="104"/>
      <c r="GYA1009" s="103"/>
      <c r="GYM1009" s="104"/>
      <c r="GYN1009" s="103"/>
      <c r="GYZ1009" s="104"/>
      <c r="GZA1009" s="103"/>
      <c r="GZM1009" s="104"/>
      <c r="GZN1009" s="103"/>
      <c r="GZZ1009" s="104"/>
      <c r="HAA1009" s="103"/>
      <c r="HAM1009" s="104"/>
      <c r="HAN1009" s="103"/>
      <c r="HAZ1009" s="104"/>
      <c r="HBA1009" s="103"/>
      <c r="HBM1009" s="104"/>
      <c r="HBN1009" s="103"/>
      <c r="HBZ1009" s="104"/>
      <c r="HCA1009" s="103"/>
      <c r="HCM1009" s="104"/>
      <c r="HCN1009" s="103"/>
      <c r="HCZ1009" s="104"/>
      <c r="HDA1009" s="103"/>
      <c r="HDM1009" s="104"/>
      <c r="HDN1009" s="103"/>
      <c r="HDZ1009" s="104"/>
      <c r="HEA1009" s="103"/>
      <c r="HEM1009" s="104"/>
      <c r="HEN1009" s="103"/>
      <c r="HEZ1009" s="104"/>
      <c r="HFA1009" s="103"/>
      <c r="HFM1009" s="104"/>
      <c r="HFN1009" s="103"/>
      <c r="HFZ1009" s="104"/>
      <c r="HGA1009" s="103"/>
      <c r="HGM1009" s="104"/>
      <c r="HGN1009" s="103"/>
      <c r="HGZ1009" s="104"/>
      <c r="HHA1009" s="103"/>
      <c r="HHM1009" s="104"/>
      <c r="HHN1009" s="103"/>
      <c r="HHZ1009" s="104"/>
      <c r="HIA1009" s="103"/>
      <c r="HIM1009" s="104"/>
      <c r="HIN1009" s="103"/>
      <c r="HIZ1009" s="104"/>
      <c r="HJA1009" s="103"/>
      <c r="HJM1009" s="104"/>
      <c r="HJN1009" s="103"/>
      <c r="HJZ1009" s="104"/>
      <c r="HKA1009" s="103"/>
      <c r="HKM1009" s="104"/>
      <c r="HKN1009" s="103"/>
      <c r="HKZ1009" s="104"/>
      <c r="HLA1009" s="103"/>
      <c r="HLM1009" s="104"/>
      <c r="HLN1009" s="103"/>
      <c r="HLZ1009" s="104"/>
      <c r="HMA1009" s="103"/>
      <c r="HMM1009" s="104"/>
      <c r="HMN1009" s="103"/>
      <c r="HMZ1009" s="104"/>
      <c r="HNA1009" s="103"/>
      <c r="HNM1009" s="104"/>
      <c r="HNN1009" s="103"/>
      <c r="HNZ1009" s="104"/>
      <c r="HOA1009" s="103"/>
      <c r="HOM1009" s="104"/>
      <c r="HON1009" s="103"/>
      <c r="HOZ1009" s="104"/>
      <c r="HPA1009" s="103"/>
      <c r="HPM1009" s="104"/>
      <c r="HPN1009" s="103"/>
      <c r="HPZ1009" s="104"/>
      <c r="HQA1009" s="103"/>
      <c r="HQM1009" s="104"/>
      <c r="HQN1009" s="103"/>
      <c r="HQZ1009" s="104"/>
      <c r="HRA1009" s="103"/>
      <c r="HRM1009" s="104"/>
      <c r="HRN1009" s="103"/>
      <c r="HRZ1009" s="104"/>
      <c r="HSA1009" s="103"/>
      <c r="HSM1009" s="104"/>
      <c r="HSN1009" s="103"/>
      <c r="HSZ1009" s="104"/>
      <c r="HTA1009" s="103"/>
      <c r="HTM1009" s="104"/>
      <c r="HTN1009" s="103"/>
      <c r="HTZ1009" s="104"/>
      <c r="HUA1009" s="103"/>
      <c r="HUM1009" s="104"/>
      <c r="HUN1009" s="103"/>
      <c r="HUZ1009" s="104"/>
      <c r="HVA1009" s="103"/>
      <c r="HVM1009" s="104"/>
      <c r="HVN1009" s="103"/>
      <c r="HVZ1009" s="104"/>
      <c r="HWA1009" s="103"/>
      <c r="HWM1009" s="104"/>
      <c r="HWN1009" s="103"/>
      <c r="HWZ1009" s="104"/>
      <c r="HXA1009" s="103"/>
      <c r="HXM1009" s="104"/>
      <c r="HXN1009" s="103"/>
      <c r="HXZ1009" s="104"/>
      <c r="HYA1009" s="103"/>
      <c r="HYM1009" s="104"/>
      <c r="HYN1009" s="103"/>
      <c r="HYZ1009" s="104"/>
      <c r="HZA1009" s="103"/>
      <c r="HZM1009" s="104"/>
      <c r="HZN1009" s="103"/>
      <c r="HZZ1009" s="104"/>
      <c r="IAA1009" s="103"/>
      <c r="IAM1009" s="104"/>
      <c r="IAN1009" s="103"/>
      <c r="IAZ1009" s="104"/>
      <c r="IBA1009" s="103"/>
      <c r="IBM1009" s="104"/>
      <c r="IBN1009" s="103"/>
      <c r="IBZ1009" s="104"/>
      <c r="ICA1009" s="103"/>
      <c r="ICM1009" s="104"/>
      <c r="ICN1009" s="103"/>
      <c r="ICZ1009" s="104"/>
      <c r="IDA1009" s="103"/>
      <c r="IDM1009" s="104"/>
      <c r="IDN1009" s="103"/>
      <c r="IDZ1009" s="104"/>
      <c r="IEA1009" s="103"/>
      <c r="IEM1009" s="104"/>
      <c r="IEN1009" s="103"/>
      <c r="IEZ1009" s="104"/>
      <c r="IFA1009" s="103"/>
      <c r="IFM1009" s="104"/>
      <c r="IFN1009" s="103"/>
      <c r="IFZ1009" s="104"/>
      <c r="IGA1009" s="103"/>
      <c r="IGM1009" s="104"/>
      <c r="IGN1009" s="103"/>
      <c r="IGZ1009" s="104"/>
      <c r="IHA1009" s="103"/>
      <c r="IHM1009" s="104"/>
      <c r="IHN1009" s="103"/>
      <c r="IHZ1009" s="104"/>
      <c r="IIA1009" s="103"/>
      <c r="IIM1009" s="104"/>
      <c r="IIN1009" s="103"/>
      <c r="IIZ1009" s="104"/>
      <c r="IJA1009" s="103"/>
      <c r="IJM1009" s="104"/>
      <c r="IJN1009" s="103"/>
      <c r="IJZ1009" s="104"/>
      <c r="IKA1009" s="103"/>
      <c r="IKM1009" s="104"/>
      <c r="IKN1009" s="103"/>
      <c r="IKZ1009" s="104"/>
      <c r="ILA1009" s="103"/>
      <c r="ILM1009" s="104"/>
      <c r="ILN1009" s="103"/>
      <c r="ILZ1009" s="104"/>
      <c r="IMA1009" s="103"/>
      <c r="IMM1009" s="104"/>
      <c r="IMN1009" s="103"/>
      <c r="IMZ1009" s="104"/>
      <c r="INA1009" s="103"/>
      <c r="INM1009" s="104"/>
      <c r="INN1009" s="103"/>
      <c r="INZ1009" s="104"/>
      <c r="IOA1009" s="103"/>
      <c r="IOM1009" s="104"/>
      <c r="ION1009" s="103"/>
      <c r="IOZ1009" s="104"/>
      <c r="IPA1009" s="103"/>
      <c r="IPM1009" s="104"/>
      <c r="IPN1009" s="103"/>
      <c r="IPZ1009" s="104"/>
      <c r="IQA1009" s="103"/>
      <c r="IQM1009" s="104"/>
      <c r="IQN1009" s="103"/>
      <c r="IQZ1009" s="104"/>
      <c r="IRA1009" s="103"/>
      <c r="IRM1009" s="104"/>
      <c r="IRN1009" s="103"/>
      <c r="IRZ1009" s="104"/>
      <c r="ISA1009" s="103"/>
      <c r="ISM1009" s="104"/>
      <c r="ISN1009" s="103"/>
      <c r="ISZ1009" s="104"/>
      <c r="ITA1009" s="103"/>
      <c r="ITM1009" s="104"/>
      <c r="ITN1009" s="103"/>
      <c r="ITZ1009" s="104"/>
      <c r="IUA1009" s="103"/>
      <c r="IUM1009" s="104"/>
      <c r="IUN1009" s="103"/>
      <c r="IUZ1009" s="104"/>
      <c r="IVA1009" s="103"/>
      <c r="IVM1009" s="104"/>
      <c r="IVN1009" s="103"/>
      <c r="IVZ1009" s="104"/>
      <c r="IWA1009" s="103"/>
      <c r="IWM1009" s="104"/>
      <c r="IWN1009" s="103"/>
      <c r="IWZ1009" s="104"/>
      <c r="IXA1009" s="103"/>
      <c r="IXM1009" s="104"/>
      <c r="IXN1009" s="103"/>
      <c r="IXZ1009" s="104"/>
      <c r="IYA1009" s="103"/>
      <c r="IYM1009" s="104"/>
      <c r="IYN1009" s="103"/>
      <c r="IYZ1009" s="104"/>
      <c r="IZA1009" s="103"/>
      <c r="IZM1009" s="104"/>
      <c r="IZN1009" s="103"/>
      <c r="IZZ1009" s="104"/>
      <c r="JAA1009" s="103"/>
      <c r="JAM1009" s="104"/>
      <c r="JAN1009" s="103"/>
      <c r="JAZ1009" s="104"/>
      <c r="JBA1009" s="103"/>
      <c r="JBM1009" s="104"/>
      <c r="JBN1009" s="103"/>
      <c r="JBZ1009" s="104"/>
      <c r="JCA1009" s="103"/>
      <c r="JCM1009" s="104"/>
      <c r="JCN1009" s="103"/>
      <c r="JCZ1009" s="104"/>
      <c r="JDA1009" s="103"/>
      <c r="JDM1009" s="104"/>
      <c r="JDN1009" s="103"/>
      <c r="JDZ1009" s="104"/>
      <c r="JEA1009" s="103"/>
      <c r="JEM1009" s="104"/>
      <c r="JEN1009" s="103"/>
      <c r="JEZ1009" s="104"/>
      <c r="JFA1009" s="103"/>
      <c r="JFM1009" s="104"/>
      <c r="JFN1009" s="103"/>
      <c r="JFZ1009" s="104"/>
      <c r="JGA1009" s="103"/>
      <c r="JGM1009" s="104"/>
      <c r="JGN1009" s="103"/>
      <c r="JGZ1009" s="104"/>
      <c r="JHA1009" s="103"/>
      <c r="JHM1009" s="104"/>
      <c r="JHN1009" s="103"/>
      <c r="JHZ1009" s="104"/>
      <c r="JIA1009" s="103"/>
      <c r="JIM1009" s="104"/>
      <c r="JIN1009" s="103"/>
      <c r="JIZ1009" s="104"/>
      <c r="JJA1009" s="103"/>
      <c r="JJM1009" s="104"/>
      <c r="JJN1009" s="103"/>
      <c r="JJZ1009" s="104"/>
      <c r="JKA1009" s="103"/>
      <c r="JKM1009" s="104"/>
      <c r="JKN1009" s="103"/>
      <c r="JKZ1009" s="104"/>
      <c r="JLA1009" s="103"/>
      <c r="JLM1009" s="104"/>
      <c r="JLN1009" s="103"/>
      <c r="JLZ1009" s="104"/>
      <c r="JMA1009" s="103"/>
      <c r="JMM1009" s="104"/>
      <c r="JMN1009" s="103"/>
      <c r="JMZ1009" s="104"/>
      <c r="JNA1009" s="103"/>
      <c r="JNM1009" s="104"/>
      <c r="JNN1009" s="103"/>
      <c r="JNZ1009" s="104"/>
      <c r="JOA1009" s="103"/>
      <c r="JOM1009" s="104"/>
      <c r="JON1009" s="103"/>
      <c r="JOZ1009" s="104"/>
      <c r="JPA1009" s="103"/>
      <c r="JPM1009" s="104"/>
      <c r="JPN1009" s="103"/>
      <c r="JPZ1009" s="104"/>
      <c r="JQA1009" s="103"/>
      <c r="JQM1009" s="104"/>
      <c r="JQN1009" s="103"/>
      <c r="JQZ1009" s="104"/>
      <c r="JRA1009" s="103"/>
      <c r="JRM1009" s="104"/>
      <c r="JRN1009" s="103"/>
      <c r="JRZ1009" s="104"/>
      <c r="JSA1009" s="103"/>
      <c r="JSM1009" s="104"/>
      <c r="JSN1009" s="103"/>
      <c r="JSZ1009" s="104"/>
      <c r="JTA1009" s="103"/>
      <c r="JTM1009" s="104"/>
      <c r="JTN1009" s="103"/>
      <c r="JTZ1009" s="104"/>
      <c r="JUA1009" s="103"/>
      <c r="JUM1009" s="104"/>
      <c r="JUN1009" s="103"/>
      <c r="JUZ1009" s="104"/>
      <c r="JVA1009" s="103"/>
      <c r="JVM1009" s="104"/>
      <c r="JVN1009" s="103"/>
      <c r="JVZ1009" s="104"/>
      <c r="JWA1009" s="103"/>
      <c r="JWM1009" s="104"/>
      <c r="JWN1009" s="103"/>
      <c r="JWZ1009" s="104"/>
      <c r="JXA1009" s="103"/>
      <c r="JXM1009" s="104"/>
      <c r="JXN1009" s="103"/>
      <c r="JXZ1009" s="104"/>
      <c r="JYA1009" s="103"/>
      <c r="JYM1009" s="104"/>
      <c r="JYN1009" s="103"/>
      <c r="JYZ1009" s="104"/>
      <c r="JZA1009" s="103"/>
      <c r="JZM1009" s="104"/>
      <c r="JZN1009" s="103"/>
      <c r="JZZ1009" s="104"/>
      <c r="KAA1009" s="103"/>
      <c r="KAM1009" s="104"/>
      <c r="KAN1009" s="103"/>
      <c r="KAZ1009" s="104"/>
      <c r="KBA1009" s="103"/>
      <c r="KBM1009" s="104"/>
      <c r="KBN1009" s="103"/>
      <c r="KBZ1009" s="104"/>
      <c r="KCA1009" s="103"/>
      <c r="KCM1009" s="104"/>
      <c r="KCN1009" s="103"/>
      <c r="KCZ1009" s="104"/>
      <c r="KDA1009" s="103"/>
      <c r="KDM1009" s="104"/>
      <c r="KDN1009" s="103"/>
      <c r="KDZ1009" s="104"/>
      <c r="KEA1009" s="103"/>
      <c r="KEM1009" s="104"/>
      <c r="KEN1009" s="103"/>
      <c r="KEZ1009" s="104"/>
      <c r="KFA1009" s="103"/>
      <c r="KFM1009" s="104"/>
      <c r="KFN1009" s="103"/>
      <c r="KFZ1009" s="104"/>
      <c r="KGA1009" s="103"/>
      <c r="KGM1009" s="104"/>
      <c r="KGN1009" s="103"/>
      <c r="KGZ1009" s="104"/>
      <c r="KHA1009" s="103"/>
      <c r="KHM1009" s="104"/>
      <c r="KHN1009" s="103"/>
      <c r="KHZ1009" s="104"/>
      <c r="KIA1009" s="103"/>
      <c r="KIM1009" s="104"/>
      <c r="KIN1009" s="103"/>
      <c r="KIZ1009" s="104"/>
      <c r="KJA1009" s="103"/>
      <c r="KJM1009" s="104"/>
      <c r="KJN1009" s="103"/>
      <c r="KJZ1009" s="104"/>
      <c r="KKA1009" s="103"/>
      <c r="KKM1009" s="104"/>
      <c r="KKN1009" s="103"/>
      <c r="KKZ1009" s="104"/>
      <c r="KLA1009" s="103"/>
      <c r="KLM1009" s="104"/>
      <c r="KLN1009" s="103"/>
      <c r="KLZ1009" s="104"/>
      <c r="KMA1009" s="103"/>
      <c r="KMM1009" s="104"/>
      <c r="KMN1009" s="103"/>
      <c r="KMZ1009" s="104"/>
      <c r="KNA1009" s="103"/>
      <c r="KNM1009" s="104"/>
      <c r="KNN1009" s="103"/>
      <c r="KNZ1009" s="104"/>
      <c r="KOA1009" s="103"/>
      <c r="KOM1009" s="104"/>
      <c r="KON1009" s="103"/>
      <c r="KOZ1009" s="104"/>
      <c r="KPA1009" s="103"/>
      <c r="KPM1009" s="104"/>
      <c r="KPN1009" s="103"/>
      <c r="KPZ1009" s="104"/>
      <c r="KQA1009" s="103"/>
      <c r="KQM1009" s="104"/>
      <c r="KQN1009" s="103"/>
      <c r="KQZ1009" s="104"/>
      <c r="KRA1009" s="103"/>
      <c r="KRM1009" s="104"/>
      <c r="KRN1009" s="103"/>
      <c r="KRZ1009" s="104"/>
      <c r="KSA1009" s="103"/>
      <c r="KSM1009" s="104"/>
      <c r="KSN1009" s="103"/>
      <c r="KSZ1009" s="104"/>
      <c r="KTA1009" s="103"/>
      <c r="KTM1009" s="104"/>
      <c r="KTN1009" s="103"/>
      <c r="KTZ1009" s="104"/>
      <c r="KUA1009" s="103"/>
      <c r="KUM1009" s="104"/>
      <c r="KUN1009" s="103"/>
      <c r="KUZ1009" s="104"/>
      <c r="KVA1009" s="103"/>
      <c r="KVM1009" s="104"/>
      <c r="KVN1009" s="103"/>
      <c r="KVZ1009" s="104"/>
      <c r="KWA1009" s="103"/>
      <c r="KWM1009" s="104"/>
      <c r="KWN1009" s="103"/>
      <c r="KWZ1009" s="104"/>
      <c r="KXA1009" s="103"/>
      <c r="KXM1009" s="104"/>
      <c r="KXN1009" s="103"/>
      <c r="KXZ1009" s="104"/>
      <c r="KYA1009" s="103"/>
      <c r="KYM1009" s="104"/>
      <c r="KYN1009" s="103"/>
      <c r="KYZ1009" s="104"/>
      <c r="KZA1009" s="103"/>
      <c r="KZM1009" s="104"/>
      <c r="KZN1009" s="103"/>
      <c r="KZZ1009" s="104"/>
      <c r="LAA1009" s="103"/>
      <c r="LAM1009" s="104"/>
      <c r="LAN1009" s="103"/>
      <c r="LAZ1009" s="104"/>
      <c r="LBA1009" s="103"/>
      <c r="LBM1009" s="104"/>
      <c r="LBN1009" s="103"/>
      <c r="LBZ1009" s="104"/>
      <c r="LCA1009" s="103"/>
      <c r="LCM1009" s="104"/>
      <c r="LCN1009" s="103"/>
      <c r="LCZ1009" s="104"/>
      <c r="LDA1009" s="103"/>
      <c r="LDM1009" s="104"/>
      <c r="LDN1009" s="103"/>
      <c r="LDZ1009" s="104"/>
      <c r="LEA1009" s="103"/>
      <c r="LEM1009" s="104"/>
      <c r="LEN1009" s="103"/>
      <c r="LEZ1009" s="104"/>
      <c r="LFA1009" s="103"/>
      <c r="LFM1009" s="104"/>
      <c r="LFN1009" s="103"/>
      <c r="LFZ1009" s="104"/>
      <c r="LGA1009" s="103"/>
      <c r="LGM1009" s="104"/>
      <c r="LGN1009" s="103"/>
      <c r="LGZ1009" s="104"/>
      <c r="LHA1009" s="103"/>
      <c r="LHM1009" s="104"/>
      <c r="LHN1009" s="103"/>
      <c r="LHZ1009" s="104"/>
      <c r="LIA1009" s="103"/>
      <c r="LIM1009" s="104"/>
      <c r="LIN1009" s="103"/>
      <c r="LIZ1009" s="104"/>
      <c r="LJA1009" s="103"/>
      <c r="LJM1009" s="104"/>
      <c r="LJN1009" s="103"/>
      <c r="LJZ1009" s="104"/>
      <c r="LKA1009" s="103"/>
      <c r="LKM1009" s="104"/>
      <c r="LKN1009" s="103"/>
      <c r="LKZ1009" s="104"/>
      <c r="LLA1009" s="103"/>
      <c r="LLM1009" s="104"/>
      <c r="LLN1009" s="103"/>
      <c r="LLZ1009" s="104"/>
      <c r="LMA1009" s="103"/>
      <c r="LMM1009" s="104"/>
      <c r="LMN1009" s="103"/>
      <c r="LMZ1009" s="104"/>
      <c r="LNA1009" s="103"/>
      <c r="LNM1009" s="104"/>
      <c r="LNN1009" s="103"/>
      <c r="LNZ1009" s="104"/>
      <c r="LOA1009" s="103"/>
      <c r="LOM1009" s="104"/>
      <c r="LON1009" s="103"/>
      <c r="LOZ1009" s="104"/>
      <c r="LPA1009" s="103"/>
      <c r="LPM1009" s="104"/>
      <c r="LPN1009" s="103"/>
      <c r="LPZ1009" s="104"/>
      <c r="LQA1009" s="103"/>
      <c r="LQM1009" s="104"/>
      <c r="LQN1009" s="103"/>
      <c r="LQZ1009" s="104"/>
      <c r="LRA1009" s="103"/>
      <c r="LRM1009" s="104"/>
      <c r="LRN1009" s="103"/>
      <c r="LRZ1009" s="104"/>
      <c r="LSA1009" s="103"/>
      <c r="LSM1009" s="104"/>
      <c r="LSN1009" s="103"/>
      <c r="LSZ1009" s="104"/>
      <c r="LTA1009" s="103"/>
      <c r="LTM1009" s="104"/>
      <c r="LTN1009" s="103"/>
      <c r="LTZ1009" s="104"/>
      <c r="LUA1009" s="103"/>
      <c r="LUM1009" s="104"/>
      <c r="LUN1009" s="103"/>
      <c r="LUZ1009" s="104"/>
      <c r="LVA1009" s="103"/>
      <c r="LVM1009" s="104"/>
      <c r="LVN1009" s="103"/>
      <c r="LVZ1009" s="104"/>
      <c r="LWA1009" s="103"/>
      <c r="LWM1009" s="104"/>
      <c r="LWN1009" s="103"/>
      <c r="LWZ1009" s="104"/>
      <c r="LXA1009" s="103"/>
      <c r="LXM1009" s="104"/>
      <c r="LXN1009" s="103"/>
      <c r="LXZ1009" s="104"/>
      <c r="LYA1009" s="103"/>
      <c r="LYM1009" s="104"/>
      <c r="LYN1009" s="103"/>
      <c r="LYZ1009" s="104"/>
      <c r="LZA1009" s="103"/>
      <c r="LZM1009" s="104"/>
      <c r="LZN1009" s="103"/>
      <c r="LZZ1009" s="104"/>
      <c r="MAA1009" s="103"/>
      <c r="MAM1009" s="104"/>
      <c r="MAN1009" s="103"/>
      <c r="MAZ1009" s="104"/>
      <c r="MBA1009" s="103"/>
      <c r="MBM1009" s="104"/>
      <c r="MBN1009" s="103"/>
      <c r="MBZ1009" s="104"/>
      <c r="MCA1009" s="103"/>
      <c r="MCM1009" s="104"/>
      <c r="MCN1009" s="103"/>
      <c r="MCZ1009" s="104"/>
      <c r="MDA1009" s="103"/>
      <c r="MDM1009" s="104"/>
      <c r="MDN1009" s="103"/>
      <c r="MDZ1009" s="104"/>
      <c r="MEA1009" s="103"/>
      <c r="MEM1009" s="104"/>
      <c r="MEN1009" s="103"/>
      <c r="MEZ1009" s="104"/>
      <c r="MFA1009" s="103"/>
      <c r="MFM1009" s="104"/>
      <c r="MFN1009" s="103"/>
      <c r="MFZ1009" s="104"/>
      <c r="MGA1009" s="103"/>
      <c r="MGM1009" s="104"/>
      <c r="MGN1009" s="103"/>
      <c r="MGZ1009" s="104"/>
      <c r="MHA1009" s="103"/>
      <c r="MHM1009" s="104"/>
      <c r="MHN1009" s="103"/>
      <c r="MHZ1009" s="104"/>
      <c r="MIA1009" s="103"/>
      <c r="MIM1009" s="104"/>
      <c r="MIN1009" s="103"/>
      <c r="MIZ1009" s="104"/>
      <c r="MJA1009" s="103"/>
      <c r="MJM1009" s="104"/>
      <c r="MJN1009" s="103"/>
      <c r="MJZ1009" s="104"/>
      <c r="MKA1009" s="103"/>
      <c r="MKM1009" s="104"/>
      <c r="MKN1009" s="103"/>
      <c r="MKZ1009" s="104"/>
      <c r="MLA1009" s="103"/>
      <c r="MLM1009" s="104"/>
      <c r="MLN1009" s="103"/>
      <c r="MLZ1009" s="104"/>
      <c r="MMA1009" s="103"/>
      <c r="MMM1009" s="104"/>
      <c r="MMN1009" s="103"/>
      <c r="MMZ1009" s="104"/>
      <c r="MNA1009" s="103"/>
      <c r="MNM1009" s="104"/>
      <c r="MNN1009" s="103"/>
      <c r="MNZ1009" s="104"/>
      <c r="MOA1009" s="103"/>
      <c r="MOM1009" s="104"/>
      <c r="MON1009" s="103"/>
      <c r="MOZ1009" s="104"/>
      <c r="MPA1009" s="103"/>
      <c r="MPM1009" s="104"/>
      <c r="MPN1009" s="103"/>
      <c r="MPZ1009" s="104"/>
      <c r="MQA1009" s="103"/>
      <c r="MQM1009" s="104"/>
      <c r="MQN1009" s="103"/>
      <c r="MQZ1009" s="104"/>
      <c r="MRA1009" s="103"/>
      <c r="MRM1009" s="104"/>
      <c r="MRN1009" s="103"/>
      <c r="MRZ1009" s="104"/>
      <c r="MSA1009" s="103"/>
      <c r="MSM1009" s="104"/>
      <c r="MSN1009" s="103"/>
      <c r="MSZ1009" s="104"/>
      <c r="MTA1009" s="103"/>
      <c r="MTM1009" s="104"/>
      <c r="MTN1009" s="103"/>
      <c r="MTZ1009" s="104"/>
      <c r="MUA1009" s="103"/>
      <c r="MUM1009" s="104"/>
      <c r="MUN1009" s="103"/>
      <c r="MUZ1009" s="104"/>
      <c r="MVA1009" s="103"/>
      <c r="MVM1009" s="104"/>
      <c r="MVN1009" s="103"/>
      <c r="MVZ1009" s="104"/>
      <c r="MWA1009" s="103"/>
      <c r="MWM1009" s="104"/>
      <c r="MWN1009" s="103"/>
      <c r="MWZ1009" s="104"/>
      <c r="MXA1009" s="103"/>
      <c r="MXM1009" s="104"/>
      <c r="MXN1009" s="103"/>
      <c r="MXZ1009" s="104"/>
      <c r="MYA1009" s="103"/>
      <c r="MYM1009" s="104"/>
      <c r="MYN1009" s="103"/>
      <c r="MYZ1009" s="104"/>
      <c r="MZA1009" s="103"/>
      <c r="MZM1009" s="104"/>
      <c r="MZN1009" s="103"/>
      <c r="MZZ1009" s="104"/>
      <c r="NAA1009" s="103"/>
      <c r="NAM1009" s="104"/>
      <c r="NAN1009" s="103"/>
      <c r="NAZ1009" s="104"/>
      <c r="NBA1009" s="103"/>
      <c r="NBM1009" s="104"/>
      <c r="NBN1009" s="103"/>
      <c r="NBZ1009" s="104"/>
      <c r="NCA1009" s="103"/>
      <c r="NCM1009" s="104"/>
      <c r="NCN1009" s="103"/>
      <c r="NCZ1009" s="104"/>
      <c r="NDA1009" s="103"/>
      <c r="NDM1009" s="104"/>
      <c r="NDN1009" s="103"/>
      <c r="NDZ1009" s="104"/>
      <c r="NEA1009" s="103"/>
      <c r="NEM1009" s="104"/>
      <c r="NEN1009" s="103"/>
      <c r="NEZ1009" s="104"/>
      <c r="NFA1009" s="103"/>
      <c r="NFM1009" s="104"/>
      <c r="NFN1009" s="103"/>
      <c r="NFZ1009" s="104"/>
      <c r="NGA1009" s="103"/>
      <c r="NGM1009" s="104"/>
      <c r="NGN1009" s="103"/>
      <c r="NGZ1009" s="104"/>
      <c r="NHA1009" s="103"/>
      <c r="NHM1009" s="104"/>
      <c r="NHN1009" s="103"/>
      <c r="NHZ1009" s="104"/>
      <c r="NIA1009" s="103"/>
      <c r="NIM1009" s="104"/>
      <c r="NIN1009" s="103"/>
      <c r="NIZ1009" s="104"/>
      <c r="NJA1009" s="103"/>
      <c r="NJM1009" s="104"/>
      <c r="NJN1009" s="103"/>
      <c r="NJZ1009" s="104"/>
      <c r="NKA1009" s="103"/>
      <c r="NKM1009" s="104"/>
      <c r="NKN1009" s="103"/>
      <c r="NKZ1009" s="104"/>
      <c r="NLA1009" s="103"/>
      <c r="NLM1009" s="104"/>
      <c r="NLN1009" s="103"/>
      <c r="NLZ1009" s="104"/>
      <c r="NMA1009" s="103"/>
      <c r="NMM1009" s="104"/>
      <c r="NMN1009" s="103"/>
      <c r="NMZ1009" s="104"/>
      <c r="NNA1009" s="103"/>
      <c r="NNM1009" s="104"/>
      <c r="NNN1009" s="103"/>
      <c r="NNZ1009" s="104"/>
      <c r="NOA1009" s="103"/>
      <c r="NOM1009" s="104"/>
      <c r="NON1009" s="103"/>
      <c r="NOZ1009" s="104"/>
      <c r="NPA1009" s="103"/>
      <c r="NPM1009" s="104"/>
      <c r="NPN1009" s="103"/>
      <c r="NPZ1009" s="104"/>
      <c r="NQA1009" s="103"/>
      <c r="NQM1009" s="104"/>
      <c r="NQN1009" s="103"/>
      <c r="NQZ1009" s="104"/>
      <c r="NRA1009" s="103"/>
      <c r="NRM1009" s="104"/>
      <c r="NRN1009" s="103"/>
      <c r="NRZ1009" s="104"/>
      <c r="NSA1009" s="103"/>
      <c r="NSM1009" s="104"/>
      <c r="NSN1009" s="103"/>
      <c r="NSZ1009" s="104"/>
      <c r="NTA1009" s="103"/>
      <c r="NTM1009" s="104"/>
      <c r="NTN1009" s="103"/>
      <c r="NTZ1009" s="104"/>
      <c r="NUA1009" s="103"/>
      <c r="NUM1009" s="104"/>
      <c r="NUN1009" s="103"/>
      <c r="NUZ1009" s="104"/>
      <c r="NVA1009" s="103"/>
      <c r="NVM1009" s="104"/>
      <c r="NVN1009" s="103"/>
      <c r="NVZ1009" s="104"/>
      <c r="NWA1009" s="103"/>
      <c r="NWM1009" s="104"/>
      <c r="NWN1009" s="103"/>
      <c r="NWZ1009" s="104"/>
      <c r="NXA1009" s="103"/>
      <c r="NXM1009" s="104"/>
      <c r="NXN1009" s="103"/>
      <c r="NXZ1009" s="104"/>
      <c r="NYA1009" s="103"/>
      <c r="NYM1009" s="104"/>
      <c r="NYN1009" s="103"/>
      <c r="NYZ1009" s="104"/>
      <c r="NZA1009" s="103"/>
      <c r="NZM1009" s="104"/>
      <c r="NZN1009" s="103"/>
      <c r="NZZ1009" s="104"/>
      <c r="OAA1009" s="103"/>
      <c r="OAM1009" s="104"/>
      <c r="OAN1009" s="103"/>
      <c r="OAZ1009" s="104"/>
      <c r="OBA1009" s="103"/>
      <c r="OBM1009" s="104"/>
      <c r="OBN1009" s="103"/>
      <c r="OBZ1009" s="104"/>
      <c r="OCA1009" s="103"/>
      <c r="OCM1009" s="104"/>
      <c r="OCN1009" s="103"/>
      <c r="OCZ1009" s="104"/>
      <c r="ODA1009" s="103"/>
      <c r="ODM1009" s="104"/>
      <c r="ODN1009" s="103"/>
      <c r="ODZ1009" s="104"/>
      <c r="OEA1009" s="103"/>
      <c r="OEM1009" s="104"/>
      <c r="OEN1009" s="103"/>
      <c r="OEZ1009" s="104"/>
      <c r="OFA1009" s="103"/>
      <c r="OFM1009" s="104"/>
      <c r="OFN1009" s="103"/>
      <c r="OFZ1009" s="104"/>
      <c r="OGA1009" s="103"/>
      <c r="OGM1009" s="104"/>
      <c r="OGN1009" s="103"/>
      <c r="OGZ1009" s="104"/>
      <c r="OHA1009" s="103"/>
      <c r="OHM1009" s="104"/>
      <c r="OHN1009" s="103"/>
      <c r="OHZ1009" s="104"/>
      <c r="OIA1009" s="103"/>
      <c r="OIM1009" s="104"/>
      <c r="OIN1009" s="103"/>
      <c r="OIZ1009" s="104"/>
      <c r="OJA1009" s="103"/>
      <c r="OJM1009" s="104"/>
      <c r="OJN1009" s="103"/>
      <c r="OJZ1009" s="104"/>
      <c r="OKA1009" s="103"/>
      <c r="OKM1009" s="104"/>
      <c r="OKN1009" s="103"/>
      <c r="OKZ1009" s="104"/>
      <c r="OLA1009" s="103"/>
      <c r="OLM1009" s="104"/>
      <c r="OLN1009" s="103"/>
      <c r="OLZ1009" s="104"/>
      <c r="OMA1009" s="103"/>
      <c r="OMM1009" s="104"/>
      <c r="OMN1009" s="103"/>
      <c r="OMZ1009" s="104"/>
      <c r="ONA1009" s="103"/>
      <c r="ONM1009" s="104"/>
      <c r="ONN1009" s="103"/>
      <c r="ONZ1009" s="104"/>
      <c r="OOA1009" s="103"/>
      <c r="OOM1009" s="104"/>
      <c r="OON1009" s="103"/>
      <c r="OOZ1009" s="104"/>
      <c r="OPA1009" s="103"/>
      <c r="OPM1009" s="104"/>
      <c r="OPN1009" s="103"/>
      <c r="OPZ1009" s="104"/>
      <c r="OQA1009" s="103"/>
      <c r="OQM1009" s="104"/>
      <c r="OQN1009" s="103"/>
      <c r="OQZ1009" s="104"/>
      <c r="ORA1009" s="103"/>
      <c r="ORM1009" s="104"/>
      <c r="ORN1009" s="103"/>
      <c r="ORZ1009" s="104"/>
      <c r="OSA1009" s="103"/>
      <c r="OSM1009" s="104"/>
      <c r="OSN1009" s="103"/>
      <c r="OSZ1009" s="104"/>
      <c r="OTA1009" s="103"/>
      <c r="OTM1009" s="104"/>
      <c r="OTN1009" s="103"/>
      <c r="OTZ1009" s="104"/>
      <c r="OUA1009" s="103"/>
      <c r="OUM1009" s="104"/>
      <c r="OUN1009" s="103"/>
      <c r="OUZ1009" s="104"/>
      <c r="OVA1009" s="103"/>
      <c r="OVM1009" s="104"/>
      <c r="OVN1009" s="103"/>
      <c r="OVZ1009" s="104"/>
      <c r="OWA1009" s="103"/>
      <c r="OWM1009" s="104"/>
      <c r="OWN1009" s="103"/>
      <c r="OWZ1009" s="104"/>
      <c r="OXA1009" s="103"/>
      <c r="OXM1009" s="104"/>
      <c r="OXN1009" s="103"/>
      <c r="OXZ1009" s="104"/>
      <c r="OYA1009" s="103"/>
      <c r="OYM1009" s="104"/>
      <c r="OYN1009" s="103"/>
      <c r="OYZ1009" s="104"/>
      <c r="OZA1009" s="103"/>
      <c r="OZM1009" s="104"/>
      <c r="OZN1009" s="103"/>
      <c r="OZZ1009" s="104"/>
      <c r="PAA1009" s="103"/>
      <c r="PAM1009" s="104"/>
      <c r="PAN1009" s="103"/>
      <c r="PAZ1009" s="104"/>
      <c r="PBA1009" s="103"/>
      <c r="PBM1009" s="104"/>
      <c r="PBN1009" s="103"/>
      <c r="PBZ1009" s="104"/>
      <c r="PCA1009" s="103"/>
      <c r="PCM1009" s="104"/>
      <c r="PCN1009" s="103"/>
      <c r="PCZ1009" s="104"/>
      <c r="PDA1009" s="103"/>
      <c r="PDM1009" s="104"/>
      <c r="PDN1009" s="103"/>
      <c r="PDZ1009" s="104"/>
      <c r="PEA1009" s="103"/>
      <c r="PEM1009" s="104"/>
      <c r="PEN1009" s="103"/>
      <c r="PEZ1009" s="104"/>
      <c r="PFA1009" s="103"/>
      <c r="PFM1009" s="104"/>
      <c r="PFN1009" s="103"/>
      <c r="PFZ1009" s="104"/>
      <c r="PGA1009" s="103"/>
      <c r="PGM1009" s="104"/>
      <c r="PGN1009" s="103"/>
      <c r="PGZ1009" s="104"/>
      <c r="PHA1009" s="103"/>
      <c r="PHM1009" s="104"/>
      <c r="PHN1009" s="103"/>
      <c r="PHZ1009" s="104"/>
      <c r="PIA1009" s="103"/>
      <c r="PIM1009" s="104"/>
      <c r="PIN1009" s="103"/>
      <c r="PIZ1009" s="104"/>
      <c r="PJA1009" s="103"/>
      <c r="PJM1009" s="104"/>
      <c r="PJN1009" s="103"/>
      <c r="PJZ1009" s="104"/>
      <c r="PKA1009" s="103"/>
      <c r="PKM1009" s="104"/>
      <c r="PKN1009" s="103"/>
      <c r="PKZ1009" s="104"/>
      <c r="PLA1009" s="103"/>
      <c r="PLM1009" s="104"/>
      <c r="PLN1009" s="103"/>
      <c r="PLZ1009" s="104"/>
      <c r="PMA1009" s="103"/>
      <c r="PMM1009" s="104"/>
      <c r="PMN1009" s="103"/>
      <c r="PMZ1009" s="104"/>
      <c r="PNA1009" s="103"/>
      <c r="PNM1009" s="104"/>
      <c r="PNN1009" s="103"/>
      <c r="PNZ1009" s="104"/>
      <c r="POA1009" s="103"/>
      <c r="POM1009" s="104"/>
      <c r="PON1009" s="103"/>
      <c r="POZ1009" s="104"/>
      <c r="PPA1009" s="103"/>
      <c r="PPM1009" s="104"/>
      <c r="PPN1009" s="103"/>
      <c r="PPZ1009" s="104"/>
      <c r="PQA1009" s="103"/>
      <c r="PQM1009" s="104"/>
      <c r="PQN1009" s="103"/>
      <c r="PQZ1009" s="104"/>
      <c r="PRA1009" s="103"/>
      <c r="PRM1009" s="104"/>
      <c r="PRN1009" s="103"/>
      <c r="PRZ1009" s="104"/>
      <c r="PSA1009" s="103"/>
      <c r="PSM1009" s="104"/>
      <c r="PSN1009" s="103"/>
      <c r="PSZ1009" s="104"/>
      <c r="PTA1009" s="103"/>
      <c r="PTM1009" s="104"/>
      <c r="PTN1009" s="103"/>
      <c r="PTZ1009" s="104"/>
      <c r="PUA1009" s="103"/>
      <c r="PUM1009" s="104"/>
      <c r="PUN1009" s="103"/>
      <c r="PUZ1009" s="104"/>
      <c r="PVA1009" s="103"/>
      <c r="PVM1009" s="104"/>
      <c r="PVN1009" s="103"/>
      <c r="PVZ1009" s="104"/>
      <c r="PWA1009" s="103"/>
      <c r="PWM1009" s="104"/>
      <c r="PWN1009" s="103"/>
      <c r="PWZ1009" s="104"/>
      <c r="PXA1009" s="103"/>
      <c r="PXM1009" s="104"/>
      <c r="PXN1009" s="103"/>
      <c r="PXZ1009" s="104"/>
      <c r="PYA1009" s="103"/>
      <c r="PYM1009" s="104"/>
      <c r="PYN1009" s="103"/>
      <c r="PYZ1009" s="104"/>
      <c r="PZA1009" s="103"/>
      <c r="PZM1009" s="104"/>
      <c r="PZN1009" s="103"/>
      <c r="PZZ1009" s="104"/>
      <c r="QAA1009" s="103"/>
      <c r="QAM1009" s="104"/>
      <c r="QAN1009" s="103"/>
      <c r="QAZ1009" s="104"/>
      <c r="QBA1009" s="103"/>
      <c r="QBM1009" s="104"/>
      <c r="QBN1009" s="103"/>
      <c r="QBZ1009" s="104"/>
      <c r="QCA1009" s="103"/>
      <c r="QCM1009" s="104"/>
      <c r="QCN1009" s="103"/>
      <c r="QCZ1009" s="104"/>
      <c r="QDA1009" s="103"/>
      <c r="QDM1009" s="104"/>
      <c r="QDN1009" s="103"/>
      <c r="QDZ1009" s="104"/>
      <c r="QEA1009" s="103"/>
      <c r="QEM1009" s="104"/>
      <c r="QEN1009" s="103"/>
      <c r="QEZ1009" s="104"/>
      <c r="QFA1009" s="103"/>
      <c r="QFM1009" s="104"/>
      <c r="QFN1009" s="103"/>
      <c r="QFZ1009" s="104"/>
      <c r="QGA1009" s="103"/>
      <c r="QGM1009" s="104"/>
      <c r="QGN1009" s="103"/>
      <c r="QGZ1009" s="104"/>
      <c r="QHA1009" s="103"/>
      <c r="QHM1009" s="104"/>
      <c r="QHN1009" s="103"/>
      <c r="QHZ1009" s="104"/>
      <c r="QIA1009" s="103"/>
      <c r="QIM1009" s="104"/>
      <c r="QIN1009" s="103"/>
      <c r="QIZ1009" s="104"/>
      <c r="QJA1009" s="103"/>
      <c r="QJM1009" s="104"/>
      <c r="QJN1009" s="103"/>
      <c r="QJZ1009" s="104"/>
      <c r="QKA1009" s="103"/>
      <c r="QKM1009" s="104"/>
      <c r="QKN1009" s="103"/>
      <c r="QKZ1009" s="104"/>
      <c r="QLA1009" s="103"/>
      <c r="QLM1009" s="104"/>
      <c r="QLN1009" s="103"/>
      <c r="QLZ1009" s="104"/>
      <c r="QMA1009" s="103"/>
      <c r="QMM1009" s="104"/>
      <c r="QMN1009" s="103"/>
      <c r="QMZ1009" s="104"/>
      <c r="QNA1009" s="103"/>
      <c r="QNM1009" s="104"/>
      <c r="QNN1009" s="103"/>
      <c r="QNZ1009" s="104"/>
      <c r="QOA1009" s="103"/>
      <c r="QOM1009" s="104"/>
      <c r="QON1009" s="103"/>
      <c r="QOZ1009" s="104"/>
      <c r="QPA1009" s="103"/>
      <c r="QPM1009" s="104"/>
      <c r="QPN1009" s="103"/>
      <c r="QPZ1009" s="104"/>
      <c r="QQA1009" s="103"/>
      <c r="QQM1009" s="104"/>
      <c r="QQN1009" s="103"/>
      <c r="QQZ1009" s="104"/>
      <c r="QRA1009" s="103"/>
      <c r="QRM1009" s="104"/>
      <c r="QRN1009" s="103"/>
      <c r="QRZ1009" s="104"/>
      <c r="QSA1009" s="103"/>
      <c r="QSM1009" s="104"/>
      <c r="QSN1009" s="103"/>
      <c r="QSZ1009" s="104"/>
      <c r="QTA1009" s="103"/>
      <c r="QTM1009" s="104"/>
      <c r="QTN1009" s="103"/>
      <c r="QTZ1009" s="104"/>
      <c r="QUA1009" s="103"/>
      <c r="QUM1009" s="104"/>
      <c r="QUN1009" s="103"/>
      <c r="QUZ1009" s="104"/>
      <c r="QVA1009" s="103"/>
      <c r="QVM1009" s="104"/>
      <c r="QVN1009" s="103"/>
      <c r="QVZ1009" s="104"/>
      <c r="QWA1009" s="103"/>
      <c r="QWM1009" s="104"/>
      <c r="QWN1009" s="103"/>
      <c r="QWZ1009" s="104"/>
      <c r="QXA1009" s="103"/>
      <c r="QXM1009" s="104"/>
      <c r="QXN1009" s="103"/>
      <c r="QXZ1009" s="104"/>
      <c r="QYA1009" s="103"/>
      <c r="QYM1009" s="104"/>
      <c r="QYN1009" s="103"/>
      <c r="QYZ1009" s="104"/>
      <c r="QZA1009" s="103"/>
      <c r="QZM1009" s="104"/>
      <c r="QZN1009" s="103"/>
      <c r="QZZ1009" s="104"/>
      <c r="RAA1009" s="103"/>
      <c r="RAM1009" s="104"/>
      <c r="RAN1009" s="103"/>
      <c r="RAZ1009" s="104"/>
      <c r="RBA1009" s="103"/>
      <c r="RBM1009" s="104"/>
      <c r="RBN1009" s="103"/>
      <c r="RBZ1009" s="104"/>
      <c r="RCA1009" s="103"/>
      <c r="RCM1009" s="104"/>
      <c r="RCN1009" s="103"/>
      <c r="RCZ1009" s="104"/>
      <c r="RDA1009" s="103"/>
      <c r="RDM1009" s="104"/>
      <c r="RDN1009" s="103"/>
      <c r="RDZ1009" s="104"/>
      <c r="REA1009" s="103"/>
      <c r="REM1009" s="104"/>
      <c r="REN1009" s="103"/>
      <c r="REZ1009" s="104"/>
      <c r="RFA1009" s="103"/>
      <c r="RFM1009" s="104"/>
      <c r="RFN1009" s="103"/>
      <c r="RFZ1009" s="104"/>
      <c r="RGA1009" s="103"/>
      <c r="RGM1009" s="104"/>
      <c r="RGN1009" s="103"/>
      <c r="RGZ1009" s="104"/>
      <c r="RHA1009" s="103"/>
      <c r="RHM1009" s="104"/>
      <c r="RHN1009" s="103"/>
      <c r="RHZ1009" s="104"/>
      <c r="RIA1009" s="103"/>
      <c r="RIM1009" s="104"/>
      <c r="RIN1009" s="103"/>
      <c r="RIZ1009" s="104"/>
      <c r="RJA1009" s="103"/>
      <c r="RJM1009" s="104"/>
      <c r="RJN1009" s="103"/>
      <c r="RJZ1009" s="104"/>
      <c r="RKA1009" s="103"/>
      <c r="RKM1009" s="104"/>
      <c r="RKN1009" s="103"/>
      <c r="RKZ1009" s="104"/>
      <c r="RLA1009" s="103"/>
      <c r="RLM1009" s="104"/>
      <c r="RLN1009" s="103"/>
      <c r="RLZ1009" s="104"/>
      <c r="RMA1009" s="103"/>
      <c r="RMM1009" s="104"/>
      <c r="RMN1009" s="103"/>
      <c r="RMZ1009" s="104"/>
      <c r="RNA1009" s="103"/>
      <c r="RNM1009" s="104"/>
      <c r="RNN1009" s="103"/>
      <c r="RNZ1009" s="104"/>
      <c r="ROA1009" s="103"/>
      <c r="ROM1009" s="104"/>
      <c r="RON1009" s="103"/>
      <c r="ROZ1009" s="104"/>
      <c r="RPA1009" s="103"/>
      <c r="RPM1009" s="104"/>
      <c r="RPN1009" s="103"/>
      <c r="RPZ1009" s="104"/>
      <c r="RQA1009" s="103"/>
      <c r="RQM1009" s="104"/>
      <c r="RQN1009" s="103"/>
      <c r="RQZ1009" s="104"/>
      <c r="RRA1009" s="103"/>
      <c r="RRM1009" s="104"/>
      <c r="RRN1009" s="103"/>
      <c r="RRZ1009" s="104"/>
      <c r="RSA1009" s="103"/>
      <c r="RSM1009" s="104"/>
      <c r="RSN1009" s="103"/>
      <c r="RSZ1009" s="104"/>
      <c r="RTA1009" s="103"/>
      <c r="RTM1009" s="104"/>
      <c r="RTN1009" s="103"/>
      <c r="RTZ1009" s="104"/>
      <c r="RUA1009" s="103"/>
      <c r="RUM1009" s="104"/>
      <c r="RUN1009" s="103"/>
      <c r="RUZ1009" s="104"/>
      <c r="RVA1009" s="103"/>
      <c r="RVM1009" s="104"/>
      <c r="RVN1009" s="103"/>
      <c r="RVZ1009" s="104"/>
      <c r="RWA1009" s="103"/>
      <c r="RWM1009" s="104"/>
      <c r="RWN1009" s="103"/>
      <c r="RWZ1009" s="104"/>
      <c r="RXA1009" s="103"/>
      <c r="RXM1009" s="104"/>
      <c r="RXN1009" s="103"/>
      <c r="RXZ1009" s="104"/>
      <c r="RYA1009" s="103"/>
      <c r="RYM1009" s="104"/>
      <c r="RYN1009" s="103"/>
      <c r="RYZ1009" s="104"/>
      <c r="RZA1009" s="103"/>
      <c r="RZM1009" s="104"/>
      <c r="RZN1009" s="103"/>
      <c r="RZZ1009" s="104"/>
      <c r="SAA1009" s="103"/>
      <c r="SAM1009" s="104"/>
      <c r="SAN1009" s="103"/>
      <c r="SAZ1009" s="104"/>
      <c r="SBA1009" s="103"/>
      <c r="SBM1009" s="104"/>
      <c r="SBN1009" s="103"/>
      <c r="SBZ1009" s="104"/>
      <c r="SCA1009" s="103"/>
      <c r="SCM1009" s="104"/>
      <c r="SCN1009" s="103"/>
      <c r="SCZ1009" s="104"/>
      <c r="SDA1009" s="103"/>
      <c r="SDM1009" s="104"/>
      <c r="SDN1009" s="103"/>
      <c r="SDZ1009" s="104"/>
      <c r="SEA1009" s="103"/>
      <c r="SEM1009" s="104"/>
      <c r="SEN1009" s="103"/>
      <c r="SEZ1009" s="104"/>
      <c r="SFA1009" s="103"/>
      <c r="SFM1009" s="104"/>
      <c r="SFN1009" s="103"/>
      <c r="SFZ1009" s="104"/>
      <c r="SGA1009" s="103"/>
      <c r="SGM1009" s="104"/>
      <c r="SGN1009" s="103"/>
      <c r="SGZ1009" s="104"/>
      <c r="SHA1009" s="103"/>
      <c r="SHM1009" s="104"/>
      <c r="SHN1009" s="103"/>
      <c r="SHZ1009" s="104"/>
      <c r="SIA1009" s="103"/>
      <c r="SIM1009" s="104"/>
      <c r="SIN1009" s="103"/>
      <c r="SIZ1009" s="104"/>
      <c r="SJA1009" s="103"/>
      <c r="SJM1009" s="104"/>
      <c r="SJN1009" s="103"/>
      <c r="SJZ1009" s="104"/>
      <c r="SKA1009" s="103"/>
      <c r="SKM1009" s="104"/>
      <c r="SKN1009" s="103"/>
      <c r="SKZ1009" s="104"/>
      <c r="SLA1009" s="103"/>
      <c r="SLM1009" s="104"/>
      <c r="SLN1009" s="103"/>
      <c r="SLZ1009" s="104"/>
      <c r="SMA1009" s="103"/>
      <c r="SMM1009" s="104"/>
      <c r="SMN1009" s="103"/>
      <c r="SMZ1009" s="104"/>
      <c r="SNA1009" s="103"/>
      <c r="SNM1009" s="104"/>
      <c r="SNN1009" s="103"/>
      <c r="SNZ1009" s="104"/>
      <c r="SOA1009" s="103"/>
      <c r="SOM1009" s="104"/>
      <c r="SON1009" s="103"/>
      <c r="SOZ1009" s="104"/>
      <c r="SPA1009" s="103"/>
      <c r="SPM1009" s="104"/>
      <c r="SPN1009" s="103"/>
      <c r="SPZ1009" s="104"/>
      <c r="SQA1009" s="103"/>
      <c r="SQM1009" s="104"/>
      <c r="SQN1009" s="103"/>
      <c r="SQZ1009" s="104"/>
      <c r="SRA1009" s="103"/>
      <c r="SRM1009" s="104"/>
      <c r="SRN1009" s="103"/>
      <c r="SRZ1009" s="104"/>
      <c r="SSA1009" s="103"/>
      <c r="SSM1009" s="104"/>
      <c r="SSN1009" s="103"/>
      <c r="SSZ1009" s="104"/>
      <c r="STA1009" s="103"/>
      <c r="STM1009" s="104"/>
      <c r="STN1009" s="103"/>
      <c r="STZ1009" s="104"/>
      <c r="SUA1009" s="103"/>
      <c r="SUM1009" s="104"/>
      <c r="SUN1009" s="103"/>
      <c r="SUZ1009" s="104"/>
      <c r="SVA1009" s="103"/>
      <c r="SVM1009" s="104"/>
      <c r="SVN1009" s="103"/>
      <c r="SVZ1009" s="104"/>
      <c r="SWA1009" s="103"/>
      <c r="SWM1009" s="104"/>
      <c r="SWN1009" s="103"/>
      <c r="SWZ1009" s="104"/>
      <c r="SXA1009" s="103"/>
      <c r="SXM1009" s="104"/>
      <c r="SXN1009" s="103"/>
      <c r="SXZ1009" s="104"/>
      <c r="SYA1009" s="103"/>
      <c r="SYM1009" s="104"/>
      <c r="SYN1009" s="103"/>
      <c r="SYZ1009" s="104"/>
      <c r="SZA1009" s="103"/>
      <c r="SZM1009" s="104"/>
      <c r="SZN1009" s="103"/>
      <c r="SZZ1009" s="104"/>
      <c r="TAA1009" s="103"/>
      <c r="TAM1009" s="104"/>
      <c r="TAN1009" s="103"/>
      <c r="TAZ1009" s="104"/>
      <c r="TBA1009" s="103"/>
      <c r="TBM1009" s="104"/>
      <c r="TBN1009" s="103"/>
      <c r="TBZ1009" s="104"/>
      <c r="TCA1009" s="103"/>
      <c r="TCM1009" s="104"/>
      <c r="TCN1009" s="103"/>
      <c r="TCZ1009" s="104"/>
      <c r="TDA1009" s="103"/>
      <c r="TDM1009" s="104"/>
      <c r="TDN1009" s="103"/>
      <c r="TDZ1009" s="104"/>
      <c r="TEA1009" s="103"/>
      <c r="TEM1009" s="104"/>
      <c r="TEN1009" s="103"/>
      <c r="TEZ1009" s="104"/>
      <c r="TFA1009" s="103"/>
      <c r="TFM1009" s="104"/>
      <c r="TFN1009" s="103"/>
      <c r="TFZ1009" s="104"/>
      <c r="TGA1009" s="103"/>
      <c r="TGM1009" s="104"/>
      <c r="TGN1009" s="103"/>
      <c r="TGZ1009" s="104"/>
      <c r="THA1009" s="103"/>
      <c r="THM1009" s="104"/>
      <c r="THN1009" s="103"/>
      <c r="THZ1009" s="104"/>
      <c r="TIA1009" s="103"/>
      <c r="TIM1009" s="104"/>
      <c r="TIN1009" s="103"/>
      <c r="TIZ1009" s="104"/>
      <c r="TJA1009" s="103"/>
      <c r="TJM1009" s="104"/>
      <c r="TJN1009" s="103"/>
      <c r="TJZ1009" s="104"/>
      <c r="TKA1009" s="103"/>
      <c r="TKM1009" s="104"/>
      <c r="TKN1009" s="103"/>
      <c r="TKZ1009" s="104"/>
      <c r="TLA1009" s="103"/>
      <c r="TLM1009" s="104"/>
      <c r="TLN1009" s="103"/>
      <c r="TLZ1009" s="104"/>
      <c r="TMA1009" s="103"/>
      <c r="TMM1009" s="104"/>
      <c r="TMN1009" s="103"/>
      <c r="TMZ1009" s="104"/>
      <c r="TNA1009" s="103"/>
      <c r="TNM1009" s="104"/>
      <c r="TNN1009" s="103"/>
      <c r="TNZ1009" s="104"/>
      <c r="TOA1009" s="103"/>
      <c r="TOM1009" s="104"/>
      <c r="TON1009" s="103"/>
      <c r="TOZ1009" s="104"/>
      <c r="TPA1009" s="103"/>
      <c r="TPM1009" s="104"/>
      <c r="TPN1009" s="103"/>
      <c r="TPZ1009" s="104"/>
      <c r="TQA1009" s="103"/>
      <c r="TQM1009" s="104"/>
      <c r="TQN1009" s="103"/>
      <c r="TQZ1009" s="104"/>
      <c r="TRA1009" s="103"/>
      <c r="TRM1009" s="104"/>
      <c r="TRN1009" s="103"/>
      <c r="TRZ1009" s="104"/>
      <c r="TSA1009" s="103"/>
      <c r="TSM1009" s="104"/>
      <c r="TSN1009" s="103"/>
      <c r="TSZ1009" s="104"/>
      <c r="TTA1009" s="103"/>
      <c r="TTM1009" s="104"/>
      <c r="TTN1009" s="103"/>
      <c r="TTZ1009" s="104"/>
      <c r="TUA1009" s="103"/>
      <c r="TUM1009" s="104"/>
      <c r="TUN1009" s="103"/>
      <c r="TUZ1009" s="104"/>
      <c r="TVA1009" s="103"/>
      <c r="TVM1009" s="104"/>
      <c r="TVN1009" s="103"/>
      <c r="TVZ1009" s="104"/>
      <c r="TWA1009" s="103"/>
      <c r="TWM1009" s="104"/>
      <c r="TWN1009" s="103"/>
      <c r="TWZ1009" s="104"/>
      <c r="TXA1009" s="103"/>
      <c r="TXM1009" s="104"/>
      <c r="TXN1009" s="103"/>
      <c r="TXZ1009" s="104"/>
      <c r="TYA1009" s="103"/>
      <c r="TYM1009" s="104"/>
      <c r="TYN1009" s="103"/>
      <c r="TYZ1009" s="104"/>
      <c r="TZA1009" s="103"/>
      <c r="TZM1009" s="104"/>
      <c r="TZN1009" s="103"/>
      <c r="TZZ1009" s="104"/>
      <c r="UAA1009" s="103"/>
      <c r="UAM1009" s="104"/>
      <c r="UAN1009" s="103"/>
      <c r="UAZ1009" s="104"/>
      <c r="UBA1009" s="103"/>
      <c r="UBM1009" s="104"/>
      <c r="UBN1009" s="103"/>
      <c r="UBZ1009" s="104"/>
      <c r="UCA1009" s="103"/>
      <c r="UCM1009" s="104"/>
      <c r="UCN1009" s="103"/>
      <c r="UCZ1009" s="104"/>
      <c r="UDA1009" s="103"/>
      <c r="UDM1009" s="104"/>
      <c r="UDN1009" s="103"/>
      <c r="UDZ1009" s="104"/>
      <c r="UEA1009" s="103"/>
      <c r="UEM1009" s="104"/>
      <c r="UEN1009" s="103"/>
      <c r="UEZ1009" s="104"/>
      <c r="UFA1009" s="103"/>
      <c r="UFM1009" s="104"/>
      <c r="UFN1009" s="103"/>
      <c r="UFZ1009" s="104"/>
      <c r="UGA1009" s="103"/>
      <c r="UGM1009" s="104"/>
      <c r="UGN1009" s="103"/>
      <c r="UGZ1009" s="104"/>
      <c r="UHA1009" s="103"/>
      <c r="UHM1009" s="104"/>
      <c r="UHN1009" s="103"/>
      <c r="UHZ1009" s="104"/>
      <c r="UIA1009" s="103"/>
      <c r="UIM1009" s="104"/>
      <c r="UIN1009" s="103"/>
      <c r="UIZ1009" s="104"/>
      <c r="UJA1009" s="103"/>
      <c r="UJM1009" s="104"/>
      <c r="UJN1009" s="103"/>
      <c r="UJZ1009" s="104"/>
      <c r="UKA1009" s="103"/>
      <c r="UKM1009" s="104"/>
      <c r="UKN1009" s="103"/>
      <c r="UKZ1009" s="104"/>
      <c r="ULA1009" s="103"/>
      <c r="ULM1009" s="104"/>
      <c r="ULN1009" s="103"/>
      <c r="ULZ1009" s="104"/>
      <c r="UMA1009" s="103"/>
      <c r="UMM1009" s="104"/>
      <c r="UMN1009" s="103"/>
      <c r="UMZ1009" s="104"/>
      <c r="UNA1009" s="103"/>
      <c r="UNM1009" s="104"/>
      <c r="UNN1009" s="103"/>
      <c r="UNZ1009" s="104"/>
      <c r="UOA1009" s="103"/>
      <c r="UOM1009" s="104"/>
      <c r="UON1009" s="103"/>
      <c r="UOZ1009" s="104"/>
      <c r="UPA1009" s="103"/>
      <c r="UPM1009" s="104"/>
      <c r="UPN1009" s="103"/>
      <c r="UPZ1009" s="104"/>
      <c r="UQA1009" s="103"/>
      <c r="UQM1009" s="104"/>
      <c r="UQN1009" s="103"/>
      <c r="UQZ1009" s="104"/>
      <c r="URA1009" s="103"/>
      <c r="URM1009" s="104"/>
      <c r="URN1009" s="103"/>
      <c r="URZ1009" s="104"/>
      <c r="USA1009" s="103"/>
      <c r="USM1009" s="104"/>
      <c r="USN1009" s="103"/>
      <c r="USZ1009" s="104"/>
      <c r="UTA1009" s="103"/>
      <c r="UTM1009" s="104"/>
      <c r="UTN1009" s="103"/>
      <c r="UTZ1009" s="104"/>
      <c r="UUA1009" s="103"/>
      <c r="UUM1009" s="104"/>
      <c r="UUN1009" s="103"/>
      <c r="UUZ1009" s="104"/>
      <c r="UVA1009" s="103"/>
      <c r="UVM1009" s="104"/>
      <c r="UVN1009" s="103"/>
      <c r="UVZ1009" s="104"/>
      <c r="UWA1009" s="103"/>
      <c r="UWM1009" s="104"/>
      <c r="UWN1009" s="103"/>
      <c r="UWZ1009" s="104"/>
      <c r="UXA1009" s="103"/>
      <c r="UXM1009" s="104"/>
      <c r="UXN1009" s="103"/>
      <c r="UXZ1009" s="104"/>
      <c r="UYA1009" s="103"/>
      <c r="UYM1009" s="104"/>
      <c r="UYN1009" s="103"/>
      <c r="UYZ1009" s="104"/>
      <c r="UZA1009" s="103"/>
      <c r="UZM1009" s="104"/>
      <c r="UZN1009" s="103"/>
      <c r="UZZ1009" s="104"/>
      <c r="VAA1009" s="103"/>
      <c r="VAM1009" s="104"/>
      <c r="VAN1009" s="103"/>
      <c r="VAZ1009" s="104"/>
      <c r="VBA1009" s="103"/>
      <c r="VBM1009" s="104"/>
      <c r="VBN1009" s="103"/>
      <c r="VBZ1009" s="104"/>
      <c r="VCA1009" s="103"/>
      <c r="VCM1009" s="104"/>
      <c r="VCN1009" s="103"/>
      <c r="VCZ1009" s="104"/>
      <c r="VDA1009" s="103"/>
      <c r="VDM1009" s="104"/>
      <c r="VDN1009" s="103"/>
      <c r="VDZ1009" s="104"/>
      <c r="VEA1009" s="103"/>
      <c r="VEM1009" s="104"/>
      <c r="VEN1009" s="103"/>
      <c r="VEZ1009" s="104"/>
      <c r="VFA1009" s="103"/>
      <c r="VFM1009" s="104"/>
      <c r="VFN1009" s="103"/>
      <c r="VFZ1009" s="104"/>
      <c r="VGA1009" s="103"/>
      <c r="VGM1009" s="104"/>
      <c r="VGN1009" s="103"/>
      <c r="VGZ1009" s="104"/>
      <c r="VHA1009" s="103"/>
      <c r="VHM1009" s="104"/>
      <c r="VHN1009" s="103"/>
      <c r="VHZ1009" s="104"/>
      <c r="VIA1009" s="103"/>
      <c r="VIM1009" s="104"/>
      <c r="VIN1009" s="103"/>
      <c r="VIZ1009" s="104"/>
      <c r="VJA1009" s="103"/>
      <c r="VJM1009" s="104"/>
      <c r="VJN1009" s="103"/>
      <c r="VJZ1009" s="104"/>
      <c r="VKA1009" s="103"/>
      <c r="VKM1009" s="104"/>
      <c r="VKN1009" s="103"/>
      <c r="VKZ1009" s="104"/>
      <c r="VLA1009" s="103"/>
      <c r="VLM1009" s="104"/>
      <c r="VLN1009" s="103"/>
      <c r="VLZ1009" s="104"/>
      <c r="VMA1009" s="103"/>
      <c r="VMM1009" s="104"/>
      <c r="VMN1009" s="103"/>
      <c r="VMZ1009" s="104"/>
      <c r="VNA1009" s="103"/>
      <c r="VNM1009" s="104"/>
      <c r="VNN1009" s="103"/>
      <c r="VNZ1009" s="104"/>
      <c r="VOA1009" s="103"/>
      <c r="VOM1009" s="104"/>
      <c r="VON1009" s="103"/>
      <c r="VOZ1009" s="104"/>
      <c r="VPA1009" s="103"/>
      <c r="VPM1009" s="104"/>
      <c r="VPN1009" s="103"/>
      <c r="VPZ1009" s="104"/>
      <c r="VQA1009" s="103"/>
      <c r="VQM1009" s="104"/>
      <c r="VQN1009" s="103"/>
      <c r="VQZ1009" s="104"/>
      <c r="VRA1009" s="103"/>
      <c r="VRM1009" s="104"/>
      <c r="VRN1009" s="103"/>
      <c r="VRZ1009" s="104"/>
      <c r="VSA1009" s="103"/>
      <c r="VSM1009" s="104"/>
      <c r="VSN1009" s="103"/>
      <c r="VSZ1009" s="104"/>
      <c r="VTA1009" s="103"/>
      <c r="VTM1009" s="104"/>
      <c r="VTN1009" s="103"/>
      <c r="VTZ1009" s="104"/>
      <c r="VUA1009" s="103"/>
      <c r="VUM1009" s="104"/>
      <c r="VUN1009" s="103"/>
      <c r="VUZ1009" s="104"/>
      <c r="VVA1009" s="103"/>
      <c r="VVM1009" s="104"/>
      <c r="VVN1009" s="103"/>
      <c r="VVZ1009" s="104"/>
      <c r="VWA1009" s="103"/>
      <c r="VWM1009" s="104"/>
      <c r="VWN1009" s="103"/>
      <c r="VWZ1009" s="104"/>
      <c r="VXA1009" s="103"/>
      <c r="VXM1009" s="104"/>
      <c r="VXN1009" s="103"/>
      <c r="VXZ1009" s="104"/>
      <c r="VYA1009" s="103"/>
      <c r="VYM1009" s="104"/>
      <c r="VYN1009" s="103"/>
      <c r="VYZ1009" s="104"/>
      <c r="VZA1009" s="103"/>
      <c r="VZM1009" s="104"/>
      <c r="VZN1009" s="103"/>
      <c r="VZZ1009" s="104"/>
      <c r="WAA1009" s="103"/>
      <c r="WAM1009" s="104"/>
      <c r="WAN1009" s="103"/>
      <c r="WAZ1009" s="104"/>
      <c r="WBA1009" s="103"/>
      <c r="WBM1009" s="104"/>
      <c r="WBN1009" s="103"/>
      <c r="WBZ1009" s="104"/>
      <c r="WCA1009" s="103"/>
      <c r="WCM1009" s="104"/>
      <c r="WCN1009" s="103"/>
      <c r="WCZ1009" s="104"/>
      <c r="WDA1009" s="103"/>
      <c r="WDM1009" s="104"/>
      <c r="WDN1009" s="103"/>
      <c r="WDZ1009" s="104"/>
      <c r="WEA1009" s="103"/>
      <c r="WEM1009" s="104"/>
      <c r="WEN1009" s="103"/>
      <c r="WEZ1009" s="104"/>
      <c r="WFA1009" s="103"/>
      <c r="WFM1009" s="104"/>
      <c r="WFN1009" s="103"/>
      <c r="WFZ1009" s="104"/>
      <c r="WGA1009" s="103"/>
      <c r="WGM1009" s="104"/>
      <c r="WGN1009" s="103"/>
      <c r="WGZ1009" s="104"/>
      <c r="WHA1009" s="103"/>
      <c r="WHM1009" s="104"/>
      <c r="WHN1009" s="103"/>
      <c r="WHZ1009" s="104"/>
      <c r="WIA1009" s="103"/>
      <c r="WIM1009" s="104"/>
      <c r="WIN1009" s="103"/>
      <c r="WIZ1009" s="104"/>
      <c r="WJA1009" s="103"/>
      <c r="WJM1009" s="104"/>
      <c r="WJN1009" s="103"/>
      <c r="WJZ1009" s="104"/>
      <c r="WKA1009" s="103"/>
      <c r="WKM1009" s="104"/>
      <c r="WKN1009" s="103"/>
      <c r="WKZ1009" s="104"/>
      <c r="WLA1009" s="103"/>
      <c r="WLM1009" s="104"/>
      <c r="WLN1009" s="103"/>
      <c r="WLZ1009" s="104"/>
      <c r="WMA1009" s="103"/>
      <c r="WMM1009" s="104"/>
      <c r="WMN1009" s="103"/>
      <c r="WMZ1009" s="104"/>
      <c r="WNA1009" s="103"/>
      <c r="WNM1009" s="104"/>
      <c r="WNN1009" s="103"/>
      <c r="WNZ1009" s="104"/>
      <c r="WOA1009" s="103"/>
      <c r="WOM1009" s="104"/>
      <c r="WON1009" s="103"/>
      <c r="WOZ1009" s="104"/>
      <c r="WPA1009" s="103"/>
      <c r="WPM1009" s="104"/>
      <c r="WPN1009" s="103"/>
      <c r="WPZ1009" s="104"/>
      <c r="WQA1009" s="103"/>
      <c r="WQM1009" s="104"/>
      <c r="WQN1009" s="103"/>
      <c r="WQZ1009" s="104"/>
      <c r="WRA1009" s="103"/>
      <c r="WRM1009" s="104"/>
      <c r="WRN1009" s="103"/>
      <c r="WRZ1009" s="104"/>
      <c r="WSA1009" s="103"/>
      <c r="WSM1009" s="104"/>
      <c r="WSN1009" s="103"/>
      <c r="WSZ1009" s="104"/>
      <c r="WTA1009" s="103"/>
      <c r="WTM1009" s="104"/>
      <c r="WTN1009" s="103"/>
      <c r="WTZ1009" s="104"/>
      <c r="WUA1009" s="103"/>
      <c r="WUM1009" s="104"/>
      <c r="WUN1009" s="103"/>
      <c r="WUZ1009" s="104"/>
      <c r="WVA1009" s="103"/>
      <c r="WVM1009" s="104"/>
      <c r="WVN1009" s="103"/>
      <c r="WVZ1009" s="104"/>
      <c r="WWA1009" s="103"/>
      <c r="WWM1009" s="104"/>
      <c r="WWN1009" s="103"/>
      <c r="WWZ1009" s="104"/>
      <c r="WXA1009" s="103"/>
      <c r="WXM1009" s="104"/>
      <c r="WXN1009" s="103"/>
      <c r="WXZ1009" s="104"/>
      <c r="WYA1009" s="103"/>
      <c r="WYM1009" s="104"/>
      <c r="WYN1009" s="103"/>
      <c r="WYZ1009" s="104"/>
      <c r="WZA1009" s="103"/>
      <c r="WZM1009" s="104"/>
      <c r="WZN1009" s="103"/>
      <c r="WZZ1009" s="104"/>
      <c r="XAA1009" s="103"/>
      <c r="XAM1009" s="104"/>
      <c r="XAN1009" s="103"/>
      <c r="XAZ1009" s="104"/>
      <c r="XBA1009" s="103"/>
      <c r="XBM1009" s="104"/>
      <c r="XBN1009" s="103"/>
      <c r="XBZ1009" s="104"/>
      <c r="XCA1009" s="103"/>
      <c r="XCM1009" s="104"/>
      <c r="XCN1009" s="103"/>
      <c r="XCZ1009" s="104"/>
      <c r="XDA1009" s="103"/>
      <c r="XDM1009" s="104"/>
      <c r="XDN1009" s="103"/>
      <c r="XDZ1009" s="104"/>
      <c r="XEA1009" s="103"/>
      <c r="XEM1009" s="104"/>
      <c r="XEN1009" s="103"/>
      <c r="XEZ1009" s="104"/>
      <c r="XFA1009" s="103"/>
    </row>
    <row r="1010" spans="2:1015 1027:2042 2054:3069 3081:4096 4108:5110 5122:6137 6149:7164 7176:8191 8203:9205 9217:10232 10244:11259 11271:12286 12298:14327 14339:15354 15366:16381">
      <c r="B1010" s="111" t="s">
        <v>93</v>
      </c>
      <c r="C1010" s="112"/>
      <c r="D1010" s="113"/>
      <c r="E1010" s="114"/>
      <c r="F1010" s="114"/>
      <c r="AM1010" s="104"/>
      <c r="AN1010" s="103"/>
      <c r="AZ1010" s="104"/>
      <c r="BA1010" s="103"/>
      <c r="BM1010" s="104"/>
      <c r="BN1010" s="103"/>
      <c r="BZ1010" s="104"/>
      <c r="CA1010" s="103"/>
      <c r="CM1010" s="104"/>
      <c r="CN1010" s="103"/>
      <c r="CZ1010" s="104"/>
      <c r="DA1010" s="103"/>
      <c r="DM1010" s="104"/>
      <c r="DN1010" s="103"/>
      <c r="DZ1010" s="104"/>
      <c r="EA1010" s="103"/>
      <c r="EM1010" s="104"/>
      <c r="EN1010" s="103"/>
      <c r="EZ1010" s="104"/>
      <c r="FA1010" s="103"/>
      <c r="FM1010" s="104"/>
      <c r="FN1010" s="103"/>
      <c r="FZ1010" s="104"/>
      <c r="GA1010" s="103"/>
      <c r="GM1010" s="104"/>
      <c r="GN1010" s="103"/>
      <c r="GZ1010" s="104"/>
      <c r="HA1010" s="103"/>
      <c r="HM1010" s="104"/>
      <c r="HN1010" s="103"/>
      <c r="HZ1010" s="104"/>
      <c r="IA1010" s="103"/>
      <c r="IM1010" s="104"/>
      <c r="IN1010" s="103"/>
      <c r="IZ1010" s="104"/>
      <c r="JA1010" s="103"/>
      <c r="JM1010" s="104"/>
      <c r="JN1010" s="103"/>
      <c r="JZ1010" s="104"/>
      <c r="KA1010" s="103"/>
      <c r="KM1010" s="104"/>
      <c r="KN1010" s="103"/>
      <c r="KZ1010" s="104"/>
      <c r="LA1010" s="103"/>
      <c r="LM1010" s="104"/>
      <c r="LN1010" s="103"/>
      <c r="LZ1010" s="104"/>
      <c r="MA1010" s="103"/>
      <c r="MM1010" s="104"/>
      <c r="MN1010" s="103"/>
      <c r="MZ1010" s="104"/>
      <c r="NA1010" s="103"/>
      <c r="NM1010" s="104"/>
      <c r="NN1010" s="103"/>
      <c r="NZ1010" s="104"/>
      <c r="OA1010" s="103"/>
      <c r="OM1010" s="104"/>
      <c r="ON1010" s="103"/>
      <c r="OZ1010" s="104"/>
      <c r="PA1010" s="103"/>
      <c r="PM1010" s="104"/>
      <c r="PN1010" s="103"/>
      <c r="PZ1010" s="104"/>
      <c r="QA1010" s="103"/>
      <c r="QM1010" s="104"/>
      <c r="QN1010" s="103"/>
      <c r="QZ1010" s="104"/>
      <c r="RA1010" s="103"/>
      <c r="RM1010" s="104"/>
      <c r="RN1010" s="103"/>
      <c r="RZ1010" s="104"/>
      <c r="SA1010" s="103"/>
      <c r="SM1010" s="104"/>
      <c r="SN1010" s="103"/>
      <c r="SZ1010" s="104"/>
      <c r="TA1010" s="103"/>
      <c r="TM1010" s="104"/>
      <c r="TN1010" s="103"/>
      <c r="TZ1010" s="104"/>
      <c r="UA1010" s="103"/>
      <c r="UM1010" s="104"/>
      <c r="UN1010" s="103"/>
      <c r="UZ1010" s="104"/>
      <c r="VA1010" s="103"/>
      <c r="VM1010" s="104"/>
      <c r="VN1010" s="103"/>
      <c r="VZ1010" s="104"/>
      <c r="WA1010" s="103"/>
      <c r="WM1010" s="104"/>
      <c r="WN1010" s="103"/>
      <c r="WZ1010" s="104"/>
      <c r="XA1010" s="103"/>
      <c r="XM1010" s="104"/>
      <c r="XN1010" s="103"/>
      <c r="XZ1010" s="104"/>
      <c r="YA1010" s="103"/>
      <c r="YM1010" s="104"/>
      <c r="YN1010" s="103"/>
      <c r="YZ1010" s="104"/>
      <c r="ZA1010" s="103"/>
      <c r="ZM1010" s="104"/>
      <c r="ZN1010" s="103"/>
      <c r="ZZ1010" s="104"/>
      <c r="AAA1010" s="103"/>
      <c r="AAM1010" s="104"/>
      <c r="AAN1010" s="103"/>
      <c r="AAZ1010" s="104"/>
      <c r="ABA1010" s="103"/>
      <c r="ABM1010" s="104"/>
      <c r="ABN1010" s="103"/>
      <c r="ABZ1010" s="104"/>
      <c r="ACA1010" s="103"/>
      <c r="ACM1010" s="104"/>
      <c r="ACN1010" s="103"/>
      <c r="ACZ1010" s="104"/>
      <c r="ADA1010" s="103"/>
      <c r="ADM1010" s="104"/>
      <c r="ADN1010" s="103"/>
      <c r="ADZ1010" s="104"/>
      <c r="AEA1010" s="103"/>
      <c r="AEM1010" s="104"/>
      <c r="AEN1010" s="103"/>
      <c r="AEZ1010" s="104"/>
      <c r="AFA1010" s="103"/>
      <c r="AFM1010" s="104"/>
      <c r="AFN1010" s="103"/>
      <c r="AFZ1010" s="104"/>
      <c r="AGA1010" s="103"/>
      <c r="AGM1010" s="104"/>
      <c r="AGN1010" s="103"/>
      <c r="AGZ1010" s="104"/>
      <c r="AHA1010" s="103"/>
      <c r="AHM1010" s="104"/>
      <c r="AHN1010" s="103"/>
      <c r="AHZ1010" s="104"/>
      <c r="AIA1010" s="103"/>
      <c r="AIM1010" s="104"/>
      <c r="AIN1010" s="103"/>
      <c r="AIZ1010" s="104"/>
      <c r="AJA1010" s="103"/>
      <c r="AJM1010" s="104"/>
      <c r="AJN1010" s="103"/>
      <c r="AJZ1010" s="104"/>
      <c r="AKA1010" s="103"/>
      <c r="AKM1010" s="104"/>
      <c r="AKN1010" s="103"/>
      <c r="AKZ1010" s="104"/>
      <c r="ALA1010" s="103"/>
      <c r="ALM1010" s="104"/>
      <c r="ALN1010" s="103"/>
      <c r="ALZ1010" s="104"/>
      <c r="AMA1010" s="103"/>
      <c r="AMM1010" s="104"/>
      <c r="AMN1010" s="103"/>
      <c r="AMZ1010" s="104"/>
      <c r="ANA1010" s="103"/>
      <c r="ANM1010" s="104"/>
      <c r="ANN1010" s="103"/>
      <c r="ANZ1010" s="104"/>
      <c r="AOA1010" s="103"/>
      <c r="AOM1010" s="104"/>
      <c r="AON1010" s="103"/>
      <c r="AOZ1010" s="104"/>
      <c r="APA1010" s="103"/>
      <c r="APM1010" s="104"/>
      <c r="APN1010" s="103"/>
      <c r="APZ1010" s="104"/>
      <c r="AQA1010" s="103"/>
      <c r="AQM1010" s="104"/>
      <c r="AQN1010" s="103"/>
      <c r="AQZ1010" s="104"/>
      <c r="ARA1010" s="103"/>
      <c r="ARM1010" s="104"/>
      <c r="ARN1010" s="103"/>
      <c r="ARZ1010" s="104"/>
      <c r="ASA1010" s="103"/>
      <c r="ASM1010" s="104"/>
      <c r="ASN1010" s="103"/>
      <c r="ASZ1010" s="104"/>
      <c r="ATA1010" s="103"/>
      <c r="ATM1010" s="104"/>
      <c r="ATN1010" s="103"/>
      <c r="ATZ1010" s="104"/>
      <c r="AUA1010" s="103"/>
      <c r="AUM1010" s="104"/>
      <c r="AUN1010" s="103"/>
      <c r="AUZ1010" s="104"/>
      <c r="AVA1010" s="103"/>
      <c r="AVM1010" s="104"/>
      <c r="AVN1010" s="103"/>
      <c r="AVZ1010" s="104"/>
      <c r="AWA1010" s="103"/>
      <c r="AWM1010" s="104"/>
      <c r="AWN1010" s="103"/>
      <c r="AWZ1010" s="104"/>
      <c r="AXA1010" s="103"/>
      <c r="AXM1010" s="104"/>
      <c r="AXN1010" s="103"/>
      <c r="AXZ1010" s="104"/>
      <c r="AYA1010" s="103"/>
      <c r="AYM1010" s="104"/>
      <c r="AYN1010" s="103"/>
      <c r="AYZ1010" s="104"/>
      <c r="AZA1010" s="103"/>
      <c r="AZM1010" s="104"/>
      <c r="AZN1010" s="103"/>
      <c r="AZZ1010" s="104"/>
      <c r="BAA1010" s="103"/>
      <c r="BAM1010" s="104"/>
      <c r="BAN1010" s="103"/>
      <c r="BAZ1010" s="104"/>
      <c r="BBA1010" s="103"/>
      <c r="BBM1010" s="104"/>
      <c r="BBN1010" s="103"/>
      <c r="BBZ1010" s="104"/>
      <c r="BCA1010" s="103"/>
      <c r="BCM1010" s="104"/>
      <c r="BCN1010" s="103"/>
      <c r="BCZ1010" s="104"/>
      <c r="BDA1010" s="103"/>
      <c r="BDM1010" s="104"/>
      <c r="BDN1010" s="103"/>
      <c r="BDZ1010" s="104"/>
      <c r="BEA1010" s="103"/>
      <c r="BEM1010" s="104"/>
      <c r="BEN1010" s="103"/>
      <c r="BEZ1010" s="104"/>
      <c r="BFA1010" s="103"/>
      <c r="BFM1010" s="104"/>
      <c r="BFN1010" s="103"/>
      <c r="BFZ1010" s="104"/>
      <c r="BGA1010" s="103"/>
      <c r="BGM1010" s="104"/>
      <c r="BGN1010" s="103"/>
      <c r="BGZ1010" s="104"/>
      <c r="BHA1010" s="103"/>
      <c r="BHM1010" s="104"/>
      <c r="BHN1010" s="103"/>
      <c r="BHZ1010" s="104"/>
      <c r="BIA1010" s="103"/>
      <c r="BIM1010" s="104"/>
      <c r="BIN1010" s="103"/>
      <c r="BIZ1010" s="104"/>
      <c r="BJA1010" s="103"/>
      <c r="BJM1010" s="104"/>
      <c r="BJN1010" s="103"/>
      <c r="BJZ1010" s="104"/>
      <c r="BKA1010" s="103"/>
      <c r="BKM1010" s="104"/>
      <c r="BKN1010" s="103"/>
      <c r="BKZ1010" s="104"/>
      <c r="BLA1010" s="103"/>
      <c r="BLM1010" s="104"/>
      <c r="BLN1010" s="103"/>
      <c r="BLZ1010" s="104"/>
      <c r="BMA1010" s="103"/>
      <c r="BMM1010" s="104"/>
      <c r="BMN1010" s="103"/>
      <c r="BMZ1010" s="104"/>
      <c r="BNA1010" s="103"/>
      <c r="BNM1010" s="104"/>
      <c r="BNN1010" s="103"/>
      <c r="BNZ1010" s="104"/>
      <c r="BOA1010" s="103"/>
      <c r="BOM1010" s="104"/>
      <c r="BON1010" s="103"/>
      <c r="BOZ1010" s="104"/>
      <c r="BPA1010" s="103"/>
      <c r="BPM1010" s="104"/>
      <c r="BPN1010" s="103"/>
      <c r="BPZ1010" s="104"/>
      <c r="BQA1010" s="103"/>
      <c r="BQM1010" s="104"/>
      <c r="BQN1010" s="103"/>
      <c r="BQZ1010" s="104"/>
      <c r="BRA1010" s="103"/>
      <c r="BRM1010" s="104"/>
      <c r="BRN1010" s="103"/>
      <c r="BRZ1010" s="104"/>
      <c r="BSA1010" s="103"/>
      <c r="BSM1010" s="104"/>
      <c r="BSN1010" s="103"/>
      <c r="BSZ1010" s="104"/>
      <c r="BTA1010" s="103"/>
      <c r="BTM1010" s="104"/>
      <c r="BTN1010" s="103"/>
      <c r="BTZ1010" s="104"/>
      <c r="BUA1010" s="103"/>
      <c r="BUM1010" s="104"/>
      <c r="BUN1010" s="103"/>
      <c r="BUZ1010" s="104"/>
      <c r="BVA1010" s="103"/>
      <c r="BVM1010" s="104"/>
      <c r="BVN1010" s="103"/>
      <c r="BVZ1010" s="104"/>
      <c r="BWA1010" s="103"/>
      <c r="BWM1010" s="104"/>
      <c r="BWN1010" s="103"/>
      <c r="BWZ1010" s="104"/>
      <c r="BXA1010" s="103"/>
      <c r="BXM1010" s="104"/>
      <c r="BXN1010" s="103"/>
      <c r="BXZ1010" s="104"/>
      <c r="BYA1010" s="103"/>
      <c r="BYM1010" s="104"/>
      <c r="BYN1010" s="103"/>
      <c r="BYZ1010" s="104"/>
      <c r="BZA1010" s="103"/>
      <c r="BZM1010" s="104"/>
      <c r="BZN1010" s="103"/>
      <c r="BZZ1010" s="104"/>
      <c r="CAA1010" s="103"/>
      <c r="CAM1010" s="104"/>
      <c r="CAN1010" s="103"/>
      <c r="CAZ1010" s="104"/>
      <c r="CBA1010" s="103"/>
      <c r="CBM1010" s="104"/>
      <c r="CBN1010" s="103"/>
      <c r="CBZ1010" s="104"/>
      <c r="CCA1010" s="103"/>
      <c r="CCM1010" s="104"/>
      <c r="CCN1010" s="103"/>
      <c r="CCZ1010" s="104"/>
      <c r="CDA1010" s="103"/>
      <c r="CDM1010" s="104"/>
      <c r="CDN1010" s="103"/>
      <c r="CDZ1010" s="104"/>
      <c r="CEA1010" s="103"/>
      <c r="CEM1010" s="104"/>
      <c r="CEN1010" s="103"/>
      <c r="CEZ1010" s="104"/>
      <c r="CFA1010" s="103"/>
      <c r="CFM1010" s="104"/>
      <c r="CFN1010" s="103"/>
      <c r="CFZ1010" s="104"/>
      <c r="CGA1010" s="103"/>
      <c r="CGM1010" s="104"/>
      <c r="CGN1010" s="103"/>
      <c r="CGZ1010" s="104"/>
      <c r="CHA1010" s="103"/>
      <c r="CHM1010" s="104"/>
      <c r="CHN1010" s="103"/>
      <c r="CHZ1010" s="104"/>
      <c r="CIA1010" s="103"/>
      <c r="CIM1010" s="104"/>
      <c r="CIN1010" s="103"/>
      <c r="CIZ1010" s="104"/>
      <c r="CJA1010" s="103"/>
      <c r="CJM1010" s="104"/>
      <c r="CJN1010" s="103"/>
      <c r="CJZ1010" s="104"/>
      <c r="CKA1010" s="103"/>
      <c r="CKM1010" s="104"/>
      <c r="CKN1010" s="103"/>
      <c r="CKZ1010" s="104"/>
      <c r="CLA1010" s="103"/>
      <c r="CLM1010" s="104"/>
      <c r="CLN1010" s="103"/>
      <c r="CLZ1010" s="104"/>
      <c r="CMA1010" s="103"/>
      <c r="CMM1010" s="104"/>
      <c r="CMN1010" s="103"/>
      <c r="CMZ1010" s="104"/>
      <c r="CNA1010" s="103"/>
      <c r="CNM1010" s="104"/>
      <c r="CNN1010" s="103"/>
      <c r="CNZ1010" s="104"/>
      <c r="COA1010" s="103"/>
      <c r="COM1010" s="104"/>
      <c r="CON1010" s="103"/>
      <c r="COZ1010" s="104"/>
      <c r="CPA1010" s="103"/>
      <c r="CPM1010" s="104"/>
      <c r="CPN1010" s="103"/>
      <c r="CPZ1010" s="104"/>
      <c r="CQA1010" s="103"/>
      <c r="CQM1010" s="104"/>
      <c r="CQN1010" s="103"/>
      <c r="CQZ1010" s="104"/>
      <c r="CRA1010" s="103"/>
      <c r="CRM1010" s="104"/>
      <c r="CRN1010" s="103"/>
      <c r="CRZ1010" s="104"/>
      <c r="CSA1010" s="103"/>
      <c r="CSM1010" s="104"/>
      <c r="CSN1010" s="103"/>
      <c r="CSZ1010" s="104"/>
      <c r="CTA1010" s="103"/>
      <c r="CTM1010" s="104"/>
      <c r="CTN1010" s="103"/>
      <c r="CTZ1010" s="104"/>
      <c r="CUA1010" s="103"/>
      <c r="CUM1010" s="104"/>
      <c r="CUN1010" s="103"/>
      <c r="CUZ1010" s="104"/>
      <c r="CVA1010" s="103"/>
      <c r="CVM1010" s="104"/>
      <c r="CVN1010" s="103"/>
      <c r="CVZ1010" s="104"/>
      <c r="CWA1010" s="103"/>
      <c r="CWM1010" s="104"/>
      <c r="CWN1010" s="103"/>
      <c r="CWZ1010" s="104"/>
      <c r="CXA1010" s="103"/>
      <c r="CXM1010" s="104"/>
      <c r="CXN1010" s="103"/>
      <c r="CXZ1010" s="104"/>
      <c r="CYA1010" s="103"/>
      <c r="CYM1010" s="104"/>
      <c r="CYN1010" s="103"/>
      <c r="CYZ1010" s="104"/>
      <c r="CZA1010" s="103"/>
      <c r="CZM1010" s="104"/>
      <c r="CZN1010" s="103"/>
      <c r="CZZ1010" s="104"/>
      <c r="DAA1010" s="103"/>
      <c r="DAM1010" s="104"/>
      <c r="DAN1010" s="103"/>
      <c r="DAZ1010" s="104"/>
      <c r="DBA1010" s="103"/>
      <c r="DBM1010" s="104"/>
      <c r="DBN1010" s="103"/>
      <c r="DBZ1010" s="104"/>
      <c r="DCA1010" s="103"/>
      <c r="DCM1010" s="104"/>
      <c r="DCN1010" s="103"/>
      <c r="DCZ1010" s="104"/>
      <c r="DDA1010" s="103"/>
      <c r="DDM1010" s="104"/>
      <c r="DDN1010" s="103"/>
      <c r="DDZ1010" s="104"/>
      <c r="DEA1010" s="103"/>
      <c r="DEM1010" s="104"/>
      <c r="DEN1010" s="103"/>
      <c r="DEZ1010" s="104"/>
      <c r="DFA1010" s="103"/>
      <c r="DFM1010" s="104"/>
      <c r="DFN1010" s="103"/>
      <c r="DFZ1010" s="104"/>
      <c r="DGA1010" s="103"/>
      <c r="DGM1010" s="104"/>
      <c r="DGN1010" s="103"/>
      <c r="DGZ1010" s="104"/>
      <c r="DHA1010" s="103"/>
      <c r="DHM1010" s="104"/>
      <c r="DHN1010" s="103"/>
      <c r="DHZ1010" s="104"/>
      <c r="DIA1010" s="103"/>
      <c r="DIM1010" s="104"/>
      <c r="DIN1010" s="103"/>
      <c r="DIZ1010" s="104"/>
      <c r="DJA1010" s="103"/>
      <c r="DJM1010" s="104"/>
      <c r="DJN1010" s="103"/>
      <c r="DJZ1010" s="104"/>
      <c r="DKA1010" s="103"/>
      <c r="DKM1010" s="104"/>
      <c r="DKN1010" s="103"/>
      <c r="DKZ1010" s="104"/>
      <c r="DLA1010" s="103"/>
      <c r="DLM1010" s="104"/>
      <c r="DLN1010" s="103"/>
      <c r="DLZ1010" s="104"/>
      <c r="DMA1010" s="103"/>
      <c r="DMM1010" s="104"/>
      <c r="DMN1010" s="103"/>
      <c r="DMZ1010" s="104"/>
      <c r="DNA1010" s="103"/>
      <c r="DNM1010" s="104"/>
      <c r="DNN1010" s="103"/>
      <c r="DNZ1010" s="104"/>
      <c r="DOA1010" s="103"/>
      <c r="DOM1010" s="104"/>
      <c r="DON1010" s="103"/>
      <c r="DOZ1010" s="104"/>
      <c r="DPA1010" s="103"/>
      <c r="DPM1010" s="104"/>
      <c r="DPN1010" s="103"/>
      <c r="DPZ1010" s="104"/>
      <c r="DQA1010" s="103"/>
      <c r="DQM1010" s="104"/>
      <c r="DQN1010" s="103"/>
      <c r="DQZ1010" s="104"/>
      <c r="DRA1010" s="103"/>
      <c r="DRM1010" s="104"/>
      <c r="DRN1010" s="103"/>
      <c r="DRZ1010" s="104"/>
      <c r="DSA1010" s="103"/>
      <c r="DSM1010" s="104"/>
      <c r="DSN1010" s="103"/>
      <c r="DSZ1010" s="104"/>
      <c r="DTA1010" s="103"/>
      <c r="DTM1010" s="104"/>
      <c r="DTN1010" s="103"/>
      <c r="DTZ1010" s="104"/>
      <c r="DUA1010" s="103"/>
      <c r="DUM1010" s="104"/>
      <c r="DUN1010" s="103"/>
      <c r="DUZ1010" s="104"/>
      <c r="DVA1010" s="103"/>
      <c r="DVM1010" s="104"/>
      <c r="DVN1010" s="103"/>
      <c r="DVZ1010" s="104"/>
      <c r="DWA1010" s="103"/>
      <c r="DWM1010" s="104"/>
      <c r="DWN1010" s="103"/>
      <c r="DWZ1010" s="104"/>
      <c r="DXA1010" s="103"/>
      <c r="DXM1010" s="104"/>
      <c r="DXN1010" s="103"/>
      <c r="DXZ1010" s="104"/>
      <c r="DYA1010" s="103"/>
      <c r="DYM1010" s="104"/>
      <c r="DYN1010" s="103"/>
      <c r="DYZ1010" s="104"/>
      <c r="DZA1010" s="103"/>
      <c r="DZM1010" s="104"/>
      <c r="DZN1010" s="103"/>
      <c r="DZZ1010" s="104"/>
      <c r="EAA1010" s="103"/>
      <c r="EAM1010" s="104"/>
      <c r="EAN1010" s="103"/>
      <c r="EAZ1010" s="104"/>
      <c r="EBA1010" s="103"/>
      <c r="EBM1010" s="104"/>
      <c r="EBN1010" s="103"/>
      <c r="EBZ1010" s="104"/>
      <c r="ECA1010" s="103"/>
      <c r="ECM1010" s="104"/>
      <c r="ECN1010" s="103"/>
      <c r="ECZ1010" s="104"/>
      <c r="EDA1010" s="103"/>
      <c r="EDM1010" s="104"/>
      <c r="EDN1010" s="103"/>
      <c r="EDZ1010" s="104"/>
      <c r="EEA1010" s="103"/>
      <c r="EEM1010" s="104"/>
      <c r="EEN1010" s="103"/>
      <c r="EEZ1010" s="104"/>
      <c r="EFA1010" s="103"/>
      <c r="EFM1010" s="104"/>
      <c r="EFN1010" s="103"/>
      <c r="EFZ1010" s="104"/>
      <c r="EGA1010" s="103"/>
      <c r="EGM1010" s="104"/>
      <c r="EGN1010" s="103"/>
      <c r="EGZ1010" s="104"/>
      <c r="EHA1010" s="103"/>
      <c r="EHM1010" s="104"/>
      <c r="EHN1010" s="103"/>
      <c r="EHZ1010" s="104"/>
      <c r="EIA1010" s="103"/>
      <c r="EIM1010" s="104"/>
      <c r="EIN1010" s="103"/>
      <c r="EIZ1010" s="104"/>
      <c r="EJA1010" s="103"/>
      <c r="EJM1010" s="104"/>
      <c r="EJN1010" s="103"/>
      <c r="EJZ1010" s="104"/>
      <c r="EKA1010" s="103"/>
      <c r="EKM1010" s="104"/>
      <c r="EKN1010" s="103"/>
      <c r="EKZ1010" s="104"/>
      <c r="ELA1010" s="103"/>
      <c r="ELM1010" s="104"/>
      <c r="ELN1010" s="103"/>
      <c r="ELZ1010" s="104"/>
      <c r="EMA1010" s="103"/>
      <c r="EMM1010" s="104"/>
      <c r="EMN1010" s="103"/>
      <c r="EMZ1010" s="104"/>
      <c r="ENA1010" s="103"/>
      <c r="ENM1010" s="104"/>
      <c r="ENN1010" s="103"/>
      <c r="ENZ1010" s="104"/>
      <c r="EOA1010" s="103"/>
      <c r="EOM1010" s="104"/>
      <c r="EON1010" s="103"/>
      <c r="EOZ1010" s="104"/>
      <c r="EPA1010" s="103"/>
      <c r="EPM1010" s="104"/>
      <c r="EPN1010" s="103"/>
      <c r="EPZ1010" s="104"/>
      <c r="EQA1010" s="103"/>
      <c r="EQM1010" s="104"/>
      <c r="EQN1010" s="103"/>
      <c r="EQZ1010" s="104"/>
      <c r="ERA1010" s="103"/>
      <c r="ERM1010" s="104"/>
      <c r="ERN1010" s="103"/>
      <c r="ERZ1010" s="104"/>
      <c r="ESA1010" s="103"/>
      <c r="ESM1010" s="104"/>
      <c r="ESN1010" s="103"/>
      <c r="ESZ1010" s="104"/>
      <c r="ETA1010" s="103"/>
      <c r="ETM1010" s="104"/>
      <c r="ETN1010" s="103"/>
      <c r="ETZ1010" s="104"/>
      <c r="EUA1010" s="103"/>
      <c r="EUM1010" s="104"/>
      <c r="EUN1010" s="103"/>
      <c r="EUZ1010" s="104"/>
      <c r="EVA1010" s="103"/>
      <c r="EVM1010" s="104"/>
      <c r="EVN1010" s="103"/>
      <c r="EVZ1010" s="104"/>
      <c r="EWA1010" s="103"/>
      <c r="EWM1010" s="104"/>
      <c r="EWN1010" s="103"/>
      <c r="EWZ1010" s="104"/>
      <c r="EXA1010" s="103"/>
      <c r="EXM1010" s="104"/>
      <c r="EXN1010" s="103"/>
      <c r="EXZ1010" s="104"/>
      <c r="EYA1010" s="103"/>
      <c r="EYM1010" s="104"/>
      <c r="EYN1010" s="103"/>
      <c r="EYZ1010" s="104"/>
      <c r="EZA1010" s="103"/>
      <c r="EZM1010" s="104"/>
      <c r="EZN1010" s="103"/>
      <c r="EZZ1010" s="104"/>
      <c r="FAA1010" s="103"/>
      <c r="FAM1010" s="104"/>
      <c r="FAN1010" s="103"/>
      <c r="FAZ1010" s="104"/>
      <c r="FBA1010" s="103"/>
      <c r="FBM1010" s="104"/>
      <c r="FBN1010" s="103"/>
      <c r="FBZ1010" s="104"/>
      <c r="FCA1010" s="103"/>
      <c r="FCM1010" s="104"/>
      <c r="FCN1010" s="103"/>
      <c r="FCZ1010" s="104"/>
      <c r="FDA1010" s="103"/>
      <c r="FDM1010" s="104"/>
      <c r="FDN1010" s="103"/>
      <c r="FDZ1010" s="104"/>
      <c r="FEA1010" s="103"/>
      <c r="FEM1010" s="104"/>
      <c r="FEN1010" s="103"/>
      <c r="FEZ1010" s="104"/>
      <c r="FFA1010" s="103"/>
      <c r="FFM1010" s="104"/>
      <c r="FFN1010" s="103"/>
      <c r="FFZ1010" s="104"/>
      <c r="FGA1010" s="103"/>
      <c r="FGM1010" s="104"/>
      <c r="FGN1010" s="103"/>
      <c r="FGZ1010" s="104"/>
      <c r="FHA1010" s="103"/>
      <c r="FHM1010" s="104"/>
      <c r="FHN1010" s="103"/>
      <c r="FHZ1010" s="104"/>
      <c r="FIA1010" s="103"/>
      <c r="FIM1010" s="104"/>
      <c r="FIN1010" s="103"/>
      <c r="FIZ1010" s="104"/>
      <c r="FJA1010" s="103"/>
      <c r="FJM1010" s="104"/>
      <c r="FJN1010" s="103"/>
      <c r="FJZ1010" s="104"/>
      <c r="FKA1010" s="103"/>
      <c r="FKM1010" s="104"/>
      <c r="FKN1010" s="103"/>
      <c r="FKZ1010" s="104"/>
      <c r="FLA1010" s="103"/>
      <c r="FLM1010" s="104"/>
      <c r="FLN1010" s="103"/>
      <c r="FLZ1010" s="104"/>
      <c r="FMA1010" s="103"/>
      <c r="FMM1010" s="104"/>
      <c r="FMN1010" s="103"/>
      <c r="FMZ1010" s="104"/>
      <c r="FNA1010" s="103"/>
      <c r="FNM1010" s="104"/>
      <c r="FNN1010" s="103"/>
      <c r="FNZ1010" s="104"/>
      <c r="FOA1010" s="103"/>
      <c r="FOM1010" s="104"/>
      <c r="FON1010" s="103"/>
      <c r="FOZ1010" s="104"/>
      <c r="FPA1010" s="103"/>
      <c r="FPM1010" s="104"/>
      <c r="FPN1010" s="103"/>
      <c r="FPZ1010" s="104"/>
      <c r="FQA1010" s="103"/>
      <c r="FQM1010" s="104"/>
      <c r="FQN1010" s="103"/>
      <c r="FQZ1010" s="104"/>
      <c r="FRA1010" s="103"/>
      <c r="FRM1010" s="104"/>
      <c r="FRN1010" s="103"/>
      <c r="FRZ1010" s="104"/>
      <c r="FSA1010" s="103"/>
      <c r="FSM1010" s="104"/>
      <c r="FSN1010" s="103"/>
      <c r="FSZ1010" s="104"/>
      <c r="FTA1010" s="103"/>
      <c r="FTM1010" s="104"/>
      <c r="FTN1010" s="103"/>
      <c r="FTZ1010" s="104"/>
      <c r="FUA1010" s="103"/>
      <c r="FUM1010" s="104"/>
      <c r="FUN1010" s="103"/>
      <c r="FUZ1010" s="104"/>
      <c r="FVA1010" s="103"/>
      <c r="FVM1010" s="104"/>
      <c r="FVN1010" s="103"/>
      <c r="FVZ1010" s="104"/>
      <c r="FWA1010" s="103"/>
      <c r="FWM1010" s="104"/>
      <c r="FWN1010" s="103"/>
      <c r="FWZ1010" s="104"/>
      <c r="FXA1010" s="103"/>
      <c r="FXM1010" s="104"/>
      <c r="FXN1010" s="103"/>
      <c r="FXZ1010" s="104"/>
      <c r="FYA1010" s="103"/>
      <c r="FYM1010" s="104"/>
      <c r="FYN1010" s="103"/>
      <c r="FYZ1010" s="104"/>
      <c r="FZA1010" s="103"/>
      <c r="FZM1010" s="104"/>
      <c r="FZN1010" s="103"/>
      <c r="FZZ1010" s="104"/>
      <c r="GAA1010" s="103"/>
      <c r="GAM1010" s="104"/>
      <c r="GAN1010" s="103"/>
      <c r="GAZ1010" s="104"/>
      <c r="GBA1010" s="103"/>
      <c r="GBM1010" s="104"/>
      <c r="GBN1010" s="103"/>
      <c r="GBZ1010" s="104"/>
      <c r="GCA1010" s="103"/>
      <c r="GCM1010" s="104"/>
      <c r="GCN1010" s="103"/>
      <c r="GCZ1010" s="104"/>
      <c r="GDA1010" s="103"/>
      <c r="GDM1010" s="104"/>
      <c r="GDN1010" s="103"/>
      <c r="GDZ1010" s="104"/>
      <c r="GEA1010" s="103"/>
      <c r="GEM1010" s="104"/>
      <c r="GEN1010" s="103"/>
      <c r="GEZ1010" s="104"/>
      <c r="GFA1010" s="103"/>
      <c r="GFM1010" s="104"/>
      <c r="GFN1010" s="103"/>
      <c r="GFZ1010" s="104"/>
      <c r="GGA1010" s="103"/>
      <c r="GGM1010" s="104"/>
      <c r="GGN1010" s="103"/>
      <c r="GGZ1010" s="104"/>
      <c r="GHA1010" s="103"/>
      <c r="GHM1010" s="104"/>
      <c r="GHN1010" s="103"/>
      <c r="GHZ1010" s="104"/>
      <c r="GIA1010" s="103"/>
      <c r="GIM1010" s="104"/>
      <c r="GIN1010" s="103"/>
      <c r="GIZ1010" s="104"/>
      <c r="GJA1010" s="103"/>
      <c r="GJM1010" s="104"/>
      <c r="GJN1010" s="103"/>
      <c r="GJZ1010" s="104"/>
      <c r="GKA1010" s="103"/>
      <c r="GKM1010" s="104"/>
      <c r="GKN1010" s="103"/>
      <c r="GKZ1010" s="104"/>
      <c r="GLA1010" s="103"/>
      <c r="GLM1010" s="104"/>
      <c r="GLN1010" s="103"/>
      <c r="GLZ1010" s="104"/>
      <c r="GMA1010" s="103"/>
      <c r="GMM1010" s="104"/>
      <c r="GMN1010" s="103"/>
      <c r="GMZ1010" s="104"/>
      <c r="GNA1010" s="103"/>
      <c r="GNM1010" s="104"/>
      <c r="GNN1010" s="103"/>
      <c r="GNZ1010" s="104"/>
      <c r="GOA1010" s="103"/>
      <c r="GOM1010" s="104"/>
      <c r="GON1010" s="103"/>
      <c r="GOZ1010" s="104"/>
      <c r="GPA1010" s="103"/>
      <c r="GPM1010" s="104"/>
      <c r="GPN1010" s="103"/>
      <c r="GPZ1010" s="104"/>
      <c r="GQA1010" s="103"/>
      <c r="GQM1010" s="104"/>
      <c r="GQN1010" s="103"/>
      <c r="GQZ1010" s="104"/>
      <c r="GRA1010" s="103"/>
      <c r="GRM1010" s="104"/>
      <c r="GRN1010" s="103"/>
      <c r="GRZ1010" s="104"/>
      <c r="GSA1010" s="103"/>
      <c r="GSM1010" s="104"/>
      <c r="GSN1010" s="103"/>
      <c r="GSZ1010" s="104"/>
      <c r="GTA1010" s="103"/>
      <c r="GTM1010" s="104"/>
      <c r="GTN1010" s="103"/>
      <c r="GTZ1010" s="104"/>
      <c r="GUA1010" s="103"/>
      <c r="GUM1010" s="104"/>
      <c r="GUN1010" s="103"/>
      <c r="GUZ1010" s="104"/>
      <c r="GVA1010" s="103"/>
      <c r="GVM1010" s="104"/>
      <c r="GVN1010" s="103"/>
      <c r="GVZ1010" s="104"/>
      <c r="GWA1010" s="103"/>
      <c r="GWM1010" s="104"/>
      <c r="GWN1010" s="103"/>
      <c r="GWZ1010" s="104"/>
      <c r="GXA1010" s="103"/>
      <c r="GXM1010" s="104"/>
      <c r="GXN1010" s="103"/>
      <c r="GXZ1010" s="104"/>
      <c r="GYA1010" s="103"/>
      <c r="GYM1010" s="104"/>
      <c r="GYN1010" s="103"/>
      <c r="GYZ1010" s="104"/>
      <c r="GZA1010" s="103"/>
      <c r="GZM1010" s="104"/>
      <c r="GZN1010" s="103"/>
      <c r="GZZ1010" s="104"/>
      <c r="HAA1010" s="103"/>
      <c r="HAM1010" s="104"/>
      <c r="HAN1010" s="103"/>
      <c r="HAZ1010" s="104"/>
      <c r="HBA1010" s="103"/>
      <c r="HBM1010" s="104"/>
      <c r="HBN1010" s="103"/>
      <c r="HBZ1010" s="104"/>
      <c r="HCA1010" s="103"/>
      <c r="HCM1010" s="104"/>
      <c r="HCN1010" s="103"/>
      <c r="HCZ1010" s="104"/>
      <c r="HDA1010" s="103"/>
      <c r="HDM1010" s="104"/>
      <c r="HDN1010" s="103"/>
      <c r="HDZ1010" s="104"/>
      <c r="HEA1010" s="103"/>
      <c r="HEM1010" s="104"/>
      <c r="HEN1010" s="103"/>
      <c r="HEZ1010" s="104"/>
      <c r="HFA1010" s="103"/>
      <c r="HFM1010" s="104"/>
      <c r="HFN1010" s="103"/>
      <c r="HFZ1010" s="104"/>
      <c r="HGA1010" s="103"/>
      <c r="HGM1010" s="104"/>
      <c r="HGN1010" s="103"/>
      <c r="HGZ1010" s="104"/>
      <c r="HHA1010" s="103"/>
      <c r="HHM1010" s="104"/>
      <c r="HHN1010" s="103"/>
      <c r="HHZ1010" s="104"/>
      <c r="HIA1010" s="103"/>
      <c r="HIM1010" s="104"/>
      <c r="HIN1010" s="103"/>
      <c r="HIZ1010" s="104"/>
      <c r="HJA1010" s="103"/>
      <c r="HJM1010" s="104"/>
      <c r="HJN1010" s="103"/>
      <c r="HJZ1010" s="104"/>
      <c r="HKA1010" s="103"/>
      <c r="HKM1010" s="104"/>
      <c r="HKN1010" s="103"/>
      <c r="HKZ1010" s="104"/>
      <c r="HLA1010" s="103"/>
      <c r="HLM1010" s="104"/>
      <c r="HLN1010" s="103"/>
      <c r="HLZ1010" s="104"/>
      <c r="HMA1010" s="103"/>
      <c r="HMM1010" s="104"/>
      <c r="HMN1010" s="103"/>
      <c r="HMZ1010" s="104"/>
      <c r="HNA1010" s="103"/>
      <c r="HNM1010" s="104"/>
      <c r="HNN1010" s="103"/>
      <c r="HNZ1010" s="104"/>
      <c r="HOA1010" s="103"/>
      <c r="HOM1010" s="104"/>
      <c r="HON1010" s="103"/>
      <c r="HOZ1010" s="104"/>
      <c r="HPA1010" s="103"/>
      <c r="HPM1010" s="104"/>
      <c r="HPN1010" s="103"/>
      <c r="HPZ1010" s="104"/>
      <c r="HQA1010" s="103"/>
      <c r="HQM1010" s="104"/>
      <c r="HQN1010" s="103"/>
      <c r="HQZ1010" s="104"/>
      <c r="HRA1010" s="103"/>
      <c r="HRM1010" s="104"/>
      <c r="HRN1010" s="103"/>
      <c r="HRZ1010" s="104"/>
      <c r="HSA1010" s="103"/>
      <c r="HSM1010" s="104"/>
      <c r="HSN1010" s="103"/>
      <c r="HSZ1010" s="104"/>
      <c r="HTA1010" s="103"/>
      <c r="HTM1010" s="104"/>
      <c r="HTN1010" s="103"/>
      <c r="HTZ1010" s="104"/>
      <c r="HUA1010" s="103"/>
      <c r="HUM1010" s="104"/>
      <c r="HUN1010" s="103"/>
      <c r="HUZ1010" s="104"/>
      <c r="HVA1010" s="103"/>
      <c r="HVM1010" s="104"/>
      <c r="HVN1010" s="103"/>
      <c r="HVZ1010" s="104"/>
      <c r="HWA1010" s="103"/>
      <c r="HWM1010" s="104"/>
      <c r="HWN1010" s="103"/>
      <c r="HWZ1010" s="104"/>
      <c r="HXA1010" s="103"/>
      <c r="HXM1010" s="104"/>
      <c r="HXN1010" s="103"/>
      <c r="HXZ1010" s="104"/>
      <c r="HYA1010" s="103"/>
      <c r="HYM1010" s="104"/>
      <c r="HYN1010" s="103"/>
      <c r="HYZ1010" s="104"/>
      <c r="HZA1010" s="103"/>
      <c r="HZM1010" s="104"/>
      <c r="HZN1010" s="103"/>
      <c r="HZZ1010" s="104"/>
      <c r="IAA1010" s="103"/>
      <c r="IAM1010" s="104"/>
      <c r="IAN1010" s="103"/>
      <c r="IAZ1010" s="104"/>
      <c r="IBA1010" s="103"/>
      <c r="IBM1010" s="104"/>
      <c r="IBN1010" s="103"/>
      <c r="IBZ1010" s="104"/>
      <c r="ICA1010" s="103"/>
      <c r="ICM1010" s="104"/>
      <c r="ICN1010" s="103"/>
      <c r="ICZ1010" s="104"/>
      <c r="IDA1010" s="103"/>
      <c r="IDM1010" s="104"/>
      <c r="IDN1010" s="103"/>
      <c r="IDZ1010" s="104"/>
      <c r="IEA1010" s="103"/>
      <c r="IEM1010" s="104"/>
      <c r="IEN1010" s="103"/>
      <c r="IEZ1010" s="104"/>
      <c r="IFA1010" s="103"/>
      <c r="IFM1010" s="104"/>
      <c r="IFN1010" s="103"/>
      <c r="IFZ1010" s="104"/>
      <c r="IGA1010" s="103"/>
      <c r="IGM1010" s="104"/>
      <c r="IGN1010" s="103"/>
      <c r="IGZ1010" s="104"/>
      <c r="IHA1010" s="103"/>
      <c r="IHM1010" s="104"/>
      <c r="IHN1010" s="103"/>
      <c r="IHZ1010" s="104"/>
      <c r="IIA1010" s="103"/>
      <c r="IIM1010" s="104"/>
      <c r="IIN1010" s="103"/>
      <c r="IIZ1010" s="104"/>
      <c r="IJA1010" s="103"/>
      <c r="IJM1010" s="104"/>
      <c r="IJN1010" s="103"/>
      <c r="IJZ1010" s="104"/>
      <c r="IKA1010" s="103"/>
      <c r="IKM1010" s="104"/>
      <c r="IKN1010" s="103"/>
      <c r="IKZ1010" s="104"/>
      <c r="ILA1010" s="103"/>
      <c r="ILM1010" s="104"/>
      <c r="ILN1010" s="103"/>
      <c r="ILZ1010" s="104"/>
      <c r="IMA1010" s="103"/>
      <c r="IMM1010" s="104"/>
      <c r="IMN1010" s="103"/>
      <c r="IMZ1010" s="104"/>
      <c r="INA1010" s="103"/>
      <c r="INM1010" s="104"/>
      <c r="INN1010" s="103"/>
      <c r="INZ1010" s="104"/>
      <c r="IOA1010" s="103"/>
      <c r="IOM1010" s="104"/>
      <c r="ION1010" s="103"/>
      <c r="IOZ1010" s="104"/>
      <c r="IPA1010" s="103"/>
      <c r="IPM1010" s="104"/>
      <c r="IPN1010" s="103"/>
      <c r="IPZ1010" s="104"/>
      <c r="IQA1010" s="103"/>
      <c r="IQM1010" s="104"/>
      <c r="IQN1010" s="103"/>
      <c r="IQZ1010" s="104"/>
      <c r="IRA1010" s="103"/>
      <c r="IRM1010" s="104"/>
      <c r="IRN1010" s="103"/>
      <c r="IRZ1010" s="104"/>
      <c r="ISA1010" s="103"/>
      <c r="ISM1010" s="104"/>
      <c r="ISN1010" s="103"/>
      <c r="ISZ1010" s="104"/>
      <c r="ITA1010" s="103"/>
      <c r="ITM1010" s="104"/>
      <c r="ITN1010" s="103"/>
      <c r="ITZ1010" s="104"/>
      <c r="IUA1010" s="103"/>
      <c r="IUM1010" s="104"/>
      <c r="IUN1010" s="103"/>
      <c r="IUZ1010" s="104"/>
      <c r="IVA1010" s="103"/>
      <c r="IVM1010" s="104"/>
      <c r="IVN1010" s="103"/>
      <c r="IVZ1010" s="104"/>
      <c r="IWA1010" s="103"/>
      <c r="IWM1010" s="104"/>
      <c r="IWN1010" s="103"/>
      <c r="IWZ1010" s="104"/>
      <c r="IXA1010" s="103"/>
      <c r="IXM1010" s="104"/>
      <c r="IXN1010" s="103"/>
      <c r="IXZ1010" s="104"/>
      <c r="IYA1010" s="103"/>
      <c r="IYM1010" s="104"/>
      <c r="IYN1010" s="103"/>
      <c r="IYZ1010" s="104"/>
      <c r="IZA1010" s="103"/>
      <c r="IZM1010" s="104"/>
      <c r="IZN1010" s="103"/>
      <c r="IZZ1010" s="104"/>
      <c r="JAA1010" s="103"/>
      <c r="JAM1010" s="104"/>
      <c r="JAN1010" s="103"/>
      <c r="JAZ1010" s="104"/>
      <c r="JBA1010" s="103"/>
      <c r="JBM1010" s="104"/>
      <c r="JBN1010" s="103"/>
      <c r="JBZ1010" s="104"/>
      <c r="JCA1010" s="103"/>
      <c r="JCM1010" s="104"/>
      <c r="JCN1010" s="103"/>
      <c r="JCZ1010" s="104"/>
      <c r="JDA1010" s="103"/>
      <c r="JDM1010" s="104"/>
      <c r="JDN1010" s="103"/>
      <c r="JDZ1010" s="104"/>
      <c r="JEA1010" s="103"/>
      <c r="JEM1010" s="104"/>
      <c r="JEN1010" s="103"/>
      <c r="JEZ1010" s="104"/>
      <c r="JFA1010" s="103"/>
      <c r="JFM1010" s="104"/>
      <c r="JFN1010" s="103"/>
      <c r="JFZ1010" s="104"/>
      <c r="JGA1010" s="103"/>
      <c r="JGM1010" s="104"/>
      <c r="JGN1010" s="103"/>
      <c r="JGZ1010" s="104"/>
      <c r="JHA1010" s="103"/>
      <c r="JHM1010" s="104"/>
      <c r="JHN1010" s="103"/>
      <c r="JHZ1010" s="104"/>
      <c r="JIA1010" s="103"/>
      <c r="JIM1010" s="104"/>
      <c r="JIN1010" s="103"/>
      <c r="JIZ1010" s="104"/>
      <c r="JJA1010" s="103"/>
      <c r="JJM1010" s="104"/>
      <c r="JJN1010" s="103"/>
      <c r="JJZ1010" s="104"/>
      <c r="JKA1010" s="103"/>
      <c r="JKM1010" s="104"/>
      <c r="JKN1010" s="103"/>
      <c r="JKZ1010" s="104"/>
      <c r="JLA1010" s="103"/>
      <c r="JLM1010" s="104"/>
      <c r="JLN1010" s="103"/>
      <c r="JLZ1010" s="104"/>
      <c r="JMA1010" s="103"/>
      <c r="JMM1010" s="104"/>
      <c r="JMN1010" s="103"/>
      <c r="JMZ1010" s="104"/>
      <c r="JNA1010" s="103"/>
      <c r="JNM1010" s="104"/>
      <c r="JNN1010" s="103"/>
      <c r="JNZ1010" s="104"/>
      <c r="JOA1010" s="103"/>
      <c r="JOM1010" s="104"/>
      <c r="JON1010" s="103"/>
      <c r="JOZ1010" s="104"/>
      <c r="JPA1010" s="103"/>
      <c r="JPM1010" s="104"/>
      <c r="JPN1010" s="103"/>
      <c r="JPZ1010" s="104"/>
      <c r="JQA1010" s="103"/>
      <c r="JQM1010" s="104"/>
      <c r="JQN1010" s="103"/>
      <c r="JQZ1010" s="104"/>
      <c r="JRA1010" s="103"/>
      <c r="JRM1010" s="104"/>
      <c r="JRN1010" s="103"/>
      <c r="JRZ1010" s="104"/>
      <c r="JSA1010" s="103"/>
      <c r="JSM1010" s="104"/>
      <c r="JSN1010" s="103"/>
      <c r="JSZ1010" s="104"/>
      <c r="JTA1010" s="103"/>
      <c r="JTM1010" s="104"/>
      <c r="JTN1010" s="103"/>
      <c r="JTZ1010" s="104"/>
      <c r="JUA1010" s="103"/>
      <c r="JUM1010" s="104"/>
      <c r="JUN1010" s="103"/>
      <c r="JUZ1010" s="104"/>
      <c r="JVA1010" s="103"/>
      <c r="JVM1010" s="104"/>
      <c r="JVN1010" s="103"/>
      <c r="JVZ1010" s="104"/>
      <c r="JWA1010" s="103"/>
      <c r="JWM1010" s="104"/>
      <c r="JWN1010" s="103"/>
      <c r="JWZ1010" s="104"/>
      <c r="JXA1010" s="103"/>
      <c r="JXM1010" s="104"/>
      <c r="JXN1010" s="103"/>
      <c r="JXZ1010" s="104"/>
      <c r="JYA1010" s="103"/>
      <c r="JYM1010" s="104"/>
      <c r="JYN1010" s="103"/>
      <c r="JYZ1010" s="104"/>
      <c r="JZA1010" s="103"/>
      <c r="JZM1010" s="104"/>
      <c r="JZN1010" s="103"/>
      <c r="JZZ1010" s="104"/>
      <c r="KAA1010" s="103"/>
      <c r="KAM1010" s="104"/>
      <c r="KAN1010" s="103"/>
      <c r="KAZ1010" s="104"/>
      <c r="KBA1010" s="103"/>
      <c r="KBM1010" s="104"/>
      <c r="KBN1010" s="103"/>
      <c r="KBZ1010" s="104"/>
      <c r="KCA1010" s="103"/>
      <c r="KCM1010" s="104"/>
      <c r="KCN1010" s="103"/>
      <c r="KCZ1010" s="104"/>
      <c r="KDA1010" s="103"/>
      <c r="KDM1010" s="104"/>
      <c r="KDN1010" s="103"/>
      <c r="KDZ1010" s="104"/>
      <c r="KEA1010" s="103"/>
      <c r="KEM1010" s="104"/>
      <c r="KEN1010" s="103"/>
      <c r="KEZ1010" s="104"/>
      <c r="KFA1010" s="103"/>
      <c r="KFM1010" s="104"/>
      <c r="KFN1010" s="103"/>
      <c r="KFZ1010" s="104"/>
      <c r="KGA1010" s="103"/>
      <c r="KGM1010" s="104"/>
      <c r="KGN1010" s="103"/>
      <c r="KGZ1010" s="104"/>
      <c r="KHA1010" s="103"/>
      <c r="KHM1010" s="104"/>
      <c r="KHN1010" s="103"/>
      <c r="KHZ1010" s="104"/>
      <c r="KIA1010" s="103"/>
      <c r="KIM1010" s="104"/>
      <c r="KIN1010" s="103"/>
      <c r="KIZ1010" s="104"/>
      <c r="KJA1010" s="103"/>
      <c r="KJM1010" s="104"/>
      <c r="KJN1010" s="103"/>
      <c r="KJZ1010" s="104"/>
      <c r="KKA1010" s="103"/>
      <c r="KKM1010" s="104"/>
      <c r="KKN1010" s="103"/>
      <c r="KKZ1010" s="104"/>
      <c r="KLA1010" s="103"/>
      <c r="KLM1010" s="104"/>
      <c r="KLN1010" s="103"/>
      <c r="KLZ1010" s="104"/>
      <c r="KMA1010" s="103"/>
      <c r="KMM1010" s="104"/>
      <c r="KMN1010" s="103"/>
      <c r="KMZ1010" s="104"/>
      <c r="KNA1010" s="103"/>
      <c r="KNM1010" s="104"/>
      <c r="KNN1010" s="103"/>
      <c r="KNZ1010" s="104"/>
      <c r="KOA1010" s="103"/>
      <c r="KOM1010" s="104"/>
      <c r="KON1010" s="103"/>
      <c r="KOZ1010" s="104"/>
      <c r="KPA1010" s="103"/>
      <c r="KPM1010" s="104"/>
      <c r="KPN1010" s="103"/>
      <c r="KPZ1010" s="104"/>
      <c r="KQA1010" s="103"/>
      <c r="KQM1010" s="104"/>
      <c r="KQN1010" s="103"/>
      <c r="KQZ1010" s="104"/>
      <c r="KRA1010" s="103"/>
      <c r="KRM1010" s="104"/>
      <c r="KRN1010" s="103"/>
      <c r="KRZ1010" s="104"/>
      <c r="KSA1010" s="103"/>
      <c r="KSM1010" s="104"/>
      <c r="KSN1010" s="103"/>
      <c r="KSZ1010" s="104"/>
      <c r="KTA1010" s="103"/>
      <c r="KTM1010" s="104"/>
      <c r="KTN1010" s="103"/>
      <c r="KTZ1010" s="104"/>
      <c r="KUA1010" s="103"/>
      <c r="KUM1010" s="104"/>
      <c r="KUN1010" s="103"/>
      <c r="KUZ1010" s="104"/>
      <c r="KVA1010" s="103"/>
      <c r="KVM1010" s="104"/>
      <c r="KVN1010" s="103"/>
      <c r="KVZ1010" s="104"/>
      <c r="KWA1010" s="103"/>
      <c r="KWM1010" s="104"/>
      <c r="KWN1010" s="103"/>
      <c r="KWZ1010" s="104"/>
      <c r="KXA1010" s="103"/>
      <c r="KXM1010" s="104"/>
      <c r="KXN1010" s="103"/>
      <c r="KXZ1010" s="104"/>
      <c r="KYA1010" s="103"/>
      <c r="KYM1010" s="104"/>
      <c r="KYN1010" s="103"/>
      <c r="KYZ1010" s="104"/>
      <c r="KZA1010" s="103"/>
      <c r="KZM1010" s="104"/>
      <c r="KZN1010" s="103"/>
      <c r="KZZ1010" s="104"/>
      <c r="LAA1010" s="103"/>
      <c r="LAM1010" s="104"/>
      <c r="LAN1010" s="103"/>
      <c r="LAZ1010" s="104"/>
      <c r="LBA1010" s="103"/>
      <c r="LBM1010" s="104"/>
      <c r="LBN1010" s="103"/>
      <c r="LBZ1010" s="104"/>
      <c r="LCA1010" s="103"/>
      <c r="LCM1010" s="104"/>
      <c r="LCN1010" s="103"/>
      <c r="LCZ1010" s="104"/>
      <c r="LDA1010" s="103"/>
      <c r="LDM1010" s="104"/>
      <c r="LDN1010" s="103"/>
      <c r="LDZ1010" s="104"/>
      <c r="LEA1010" s="103"/>
      <c r="LEM1010" s="104"/>
      <c r="LEN1010" s="103"/>
      <c r="LEZ1010" s="104"/>
      <c r="LFA1010" s="103"/>
      <c r="LFM1010" s="104"/>
      <c r="LFN1010" s="103"/>
      <c r="LFZ1010" s="104"/>
      <c r="LGA1010" s="103"/>
      <c r="LGM1010" s="104"/>
      <c r="LGN1010" s="103"/>
      <c r="LGZ1010" s="104"/>
      <c r="LHA1010" s="103"/>
      <c r="LHM1010" s="104"/>
      <c r="LHN1010" s="103"/>
      <c r="LHZ1010" s="104"/>
      <c r="LIA1010" s="103"/>
      <c r="LIM1010" s="104"/>
      <c r="LIN1010" s="103"/>
      <c r="LIZ1010" s="104"/>
      <c r="LJA1010" s="103"/>
      <c r="LJM1010" s="104"/>
      <c r="LJN1010" s="103"/>
      <c r="LJZ1010" s="104"/>
      <c r="LKA1010" s="103"/>
      <c r="LKM1010" s="104"/>
      <c r="LKN1010" s="103"/>
      <c r="LKZ1010" s="104"/>
      <c r="LLA1010" s="103"/>
      <c r="LLM1010" s="104"/>
      <c r="LLN1010" s="103"/>
      <c r="LLZ1010" s="104"/>
      <c r="LMA1010" s="103"/>
      <c r="LMM1010" s="104"/>
      <c r="LMN1010" s="103"/>
      <c r="LMZ1010" s="104"/>
      <c r="LNA1010" s="103"/>
      <c r="LNM1010" s="104"/>
      <c r="LNN1010" s="103"/>
      <c r="LNZ1010" s="104"/>
      <c r="LOA1010" s="103"/>
      <c r="LOM1010" s="104"/>
      <c r="LON1010" s="103"/>
      <c r="LOZ1010" s="104"/>
      <c r="LPA1010" s="103"/>
      <c r="LPM1010" s="104"/>
      <c r="LPN1010" s="103"/>
      <c r="LPZ1010" s="104"/>
      <c r="LQA1010" s="103"/>
      <c r="LQM1010" s="104"/>
      <c r="LQN1010" s="103"/>
      <c r="LQZ1010" s="104"/>
      <c r="LRA1010" s="103"/>
      <c r="LRM1010" s="104"/>
      <c r="LRN1010" s="103"/>
      <c r="LRZ1010" s="104"/>
      <c r="LSA1010" s="103"/>
      <c r="LSM1010" s="104"/>
      <c r="LSN1010" s="103"/>
      <c r="LSZ1010" s="104"/>
      <c r="LTA1010" s="103"/>
      <c r="LTM1010" s="104"/>
      <c r="LTN1010" s="103"/>
      <c r="LTZ1010" s="104"/>
      <c r="LUA1010" s="103"/>
      <c r="LUM1010" s="104"/>
      <c r="LUN1010" s="103"/>
      <c r="LUZ1010" s="104"/>
      <c r="LVA1010" s="103"/>
      <c r="LVM1010" s="104"/>
      <c r="LVN1010" s="103"/>
      <c r="LVZ1010" s="104"/>
      <c r="LWA1010" s="103"/>
      <c r="LWM1010" s="104"/>
      <c r="LWN1010" s="103"/>
      <c r="LWZ1010" s="104"/>
      <c r="LXA1010" s="103"/>
      <c r="LXM1010" s="104"/>
      <c r="LXN1010" s="103"/>
      <c r="LXZ1010" s="104"/>
      <c r="LYA1010" s="103"/>
      <c r="LYM1010" s="104"/>
      <c r="LYN1010" s="103"/>
      <c r="LYZ1010" s="104"/>
      <c r="LZA1010" s="103"/>
      <c r="LZM1010" s="104"/>
      <c r="LZN1010" s="103"/>
      <c r="LZZ1010" s="104"/>
      <c r="MAA1010" s="103"/>
      <c r="MAM1010" s="104"/>
      <c r="MAN1010" s="103"/>
      <c r="MAZ1010" s="104"/>
      <c r="MBA1010" s="103"/>
      <c r="MBM1010" s="104"/>
      <c r="MBN1010" s="103"/>
      <c r="MBZ1010" s="104"/>
      <c r="MCA1010" s="103"/>
      <c r="MCM1010" s="104"/>
      <c r="MCN1010" s="103"/>
      <c r="MCZ1010" s="104"/>
      <c r="MDA1010" s="103"/>
      <c r="MDM1010" s="104"/>
      <c r="MDN1010" s="103"/>
      <c r="MDZ1010" s="104"/>
      <c r="MEA1010" s="103"/>
      <c r="MEM1010" s="104"/>
      <c r="MEN1010" s="103"/>
      <c r="MEZ1010" s="104"/>
      <c r="MFA1010" s="103"/>
      <c r="MFM1010" s="104"/>
      <c r="MFN1010" s="103"/>
      <c r="MFZ1010" s="104"/>
      <c r="MGA1010" s="103"/>
      <c r="MGM1010" s="104"/>
      <c r="MGN1010" s="103"/>
      <c r="MGZ1010" s="104"/>
      <c r="MHA1010" s="103"/>
      <c r="MHM1010" s="104"/>
      <c r="MHN1010" s="103"/>
      <c r="MHZ1010" s="104"/>
      <c r="MIA1010" s="103"/>
      <c r="MIM1010" s="104"/>
      <c r="MIN1010" s="103"/>
      <c r="MIZ1010" s="104"/>
      <c r="MJA1010" s="103"/>
      <c r="MJM1010" s="104"/>
      <c r="MJN1010" s="103"/>
      <c r="MJZ1010" s="104"/>
      <c r="MKA1010" s="103"/>
      <c r="MKM1010" s="104"/>
      <c r="MKN1010" s="103"/>
      <c r="MKZ1010" s="104"/>
      <c r="MLA1010" s="103"/>
      <c r="MLM1010" s="104"/>
      <c r="MLN1010" s="103"/>
      <c r="MLZ1010" s="104"/>
      <c r="MMA1010" s="103"/>
      <c r="MMM1010" s="104"/>
      <c r="MMN1010" s="103"/>
      <c r="MMZ1010" s="104"/>
      <c r="MNA1010" s="103"/>
      <c r="MNM1010" s="104"/>
      <c r="MNN1010" s="103"/>
      <c r="MNZ1010" s="104"/>
      <c r="MOA1010" s="103"/>
      <c r="MOM1010" s="104"/>
      <c r="MON1010" s="103"/>
      <c r="MOZ1010" s="104"/>
      <c r="MPA1010" s="103"/>
      <c r="MPM1010" s="104"/>
      <c r="MPN1010" s="103"/>
      <c r="MPZ1010" s="104"/>
      <c r="MQA1010" s="103"/>
      <c r="MQM1010" s="104"/>
      <c r="MQN1010" s="103"/>
      <c r="MQZ1010" s="104"/>
      <c r="MRA1010" s="103"/>
      <c r="MRM1010" s="104"/>
      <c r="MRN1010" s="103"/>
      <c r="MRZ1010" s="104"/>
      <c r="MSA1010" s="103"/>
      <c r="MSM1010" s="104"/>
      <c r="MSN1010" s="103"/>
      <c r="MSZ1010" s="104"/>
      <c r="MTA1010" s="103"/>
      <c r="MTM1010" s="104"/>
      <c r="MTN1010" s="103"/>
      <c r="MTZ1010" s="104"/>
      <c r="MUA1010" s="103"/>
      <c r="MUM1010" s="104"/>
      <c r="MUN1010" s="103"/>
      <c r="MUZ1010" s="104"/>
      <c r="MVA1010" s="103"/>
      <c r="MVM1010" s="104"/>
      <c r="MVN1010" s="103"/>
      <c r="MVZ1010" s="104"/>
      <c r="MWA1010" s="103"/>
      <c r="MWM1010" s="104"/>
      <c r="MWN1010" s="103"/>
      <c r="MWZ1010" s="104"/>
      <c r="MXA1010" s="103"/>
      <c r="MXM1010" s="104"/>
      <c r="MXN1010" s="103"/>
      <c r="MXZ1010" s="104"/>
      <c r="MYA1010" s="103"/>
      <c r="MYM1010" s="104"/>
      <c r="MYN1010" s="103"/>
      <c r="MYZ1010" s="104"/>
      <c r="MZA1010" s="103"/>
      <c r="MZM1010" s="104"/>
      <c r="MZN1010" s="103"/>
      <c r="MZZ1010" s="104"/>
      <c r="NAA1010" s="103"/>
      <c r="NAM1010" s="104"/>
      <c r="NAN1010" s="103"/>
      <c r="NAZ1010" s="104"/>
      <c r="NBA1010" s="103"/>
      <c r="NBM1010" s="104"/>
      <c r="NBN1010" s="103"/>
      <c r="NBZ1010" s="104"/>
      <c r="NCA1010" s="103"/>
      <c r="NCM1010" s="104"/>
      <c r="NCN1010" s="103"/>
      <c r="NCZ1010" s="104"/>
      <c r="NDA1010" s="103"/>
      <c r="NDM1010" s="104"/>
      <c r="NDN1010" s="103"/>
      <c r="NDZ1010" s="104"/>
      <c r="NEA1010" s="103"/>
      <c r="NEM1010" s="104"/>
      <c r="NEN1010" s="103"/>
      <c r="NEZ1010" s="104"/>
      <c r="NFA1010" s="103"/>
      <c r="NFM1010" s="104"/>
      <c r="NFN1010" s="103"/>
      <c r="NFZ1010" s="104"/>
      <c r="NGA1010" s="103"/>
      <c r="NGM1010" s="104"/>
      <c r="NGN1010" s="103"/>
      <c r="NGZ1010" s="104"/>
      <c r="NHA1010" s="103"/>
      <c r="NHM1010" s="104"/>
      <c r="NHN1010" s="103"/>
      <c r="NHZ1010" s="104"/>
      <c r="NIA1010" s="103"/>
      <c r="NIM1010" s="104"/>
      <c r="NIN1010" s="103"/>
      <c r="NIZ1010" s="104"/>
      <c r="NJA1010" s="103"/>
      <c r="NJM1010" s="104"/>
      <c r="NJN1010" s="103"/>
      <c r="NJZ1010" s="104"/>
      <c r="NKA1010" s="103"/>
      <c r="NKM1010" s="104"/>
      <c r="NKN1010" s="103"/>
      <c r="NKZ1010" s="104"/>
      <c r="NLA1010" s="103"/>
      <c r="NLM1010" s="104"/>
      <c r="NLN1010" s="103"/>
      <c r="NLZ1010" s="104"/>
      <c r="NMA1010" s="103"/>
      <c r="NMM1010" s="104"/>
      <c r="NMN1010" s="103"/>
      <c r="NMZ1010" s="104"/>
      <c r="NNA1010" s="103"/>
      <c r="NNM1010" s="104"/>
      <c r="NNN1010" s="103"/>
      <c r="NNZ1010" s="104"/>
      <c r="NOA1010" s="103"/>
      <c r="NOM1010" s="104"/>
      <c r="NON1010" s="103"/>
      <c r="NOZ1010" s="104"/>
      <c r="NPA1010" s="103"/>
      <c r="NPM1010" s="104"/>
      <c r="NPN1010" s="103"/>
      <c r="NPZ1010" s="104"/>
      <c r="NQA1010" s="103"/>
      <c r="NQM1010" s="104"/>
      <c r="NQN1010" s="103"/>
      <c r="NQZ1010" s="104"/>
      <c r="NRA1010" s="103"/>
      <c r="NRM1010" s="104"/>
      <c r="NRN1010" s="103"/>
      <c r="NRZ1010" s="104"/>
      <c r="NSA1010" s="103"/>
      <c r="NSM1010" s="104"/>
      <c r="NSN1010" s="103"/>
      <c r="NSZ1010" s="104"/>
      <c r="NTA1010" s="103"/>
      <c r="NTM1010" s="104"/>
      <c r="NTN1010" s="103"/>
      <c r="NTZ1010" s="104"/>
      <c r="NUA1010" s="103"/>
      <c r="NUM1010" s="104"/>
      <c r="NUN1010" s="103"/>
      <c r="NUZ1010" s="104"/>
      <c r="NVA1010" s="103"/>
      <c r="NVM1010" s="104"/>
      <c r="NVN1010" s="103"/>
      <c r="NVZ1010" s="104"/>
      <c r="NWA1010" s="103"/>
      <c r="NWM1010" s="104"/>
      <c r="NWN1010" s="103"/>
      <c r="NWZ1010" s="104"/>
      <c r="NXA1010" s="103"/>
      <c r="NXM1010" s="104"/>
      <c r="NXN1010" s="103"/>
      <c r="NXZ1010" s="104"/>
      <c r="NYA1010" s="103"/>
      <c r="NYM1010" s="104"/>
      <c r="NYN1010" s="103"/>
      <c r="NYZ1010" s="104"/>
      <c r="NZA1010" s="103"/>
      <c r="NZM1010" s="104"/>
      <c r="NZN1010" s="103"/>
      <c r="NZZ1010" s="104"/>
      <c r="OAA1010" s="103"/>
      <c r="OAM1010" s="104"/>
      <c r="OAN1010" s="103"/>
      <c r="OAZ1010" s="104"/>
      <c r="OBA1010" s="103"/>
      <c r="OBM1010" s="104"/>
      <c r="OBN1010" s="103"/>
      <c r="OBZ1010" s="104"/>
      <c r="OCA1010" s="103"/>
      <c r="OCM1010" s="104"/>
      <c r="OCN1010" s="103"/>
      <c r="OCZ1010" s="104"/>
      <c r="ODA1010" s="103"/>
      <c r="ODM1010" s="104"/>
      <c r="ODN1010" s="103"/>
      <c r="ODZ1010" s="104"/>
      <c r="OEA1010" s="103"/>
      <c r="OEM1010" s="104"/>
      <c r="OEN1010" s="103"/>
      <c r="OEZ1010" s="104"/>
      <c r="OFA1010" s="103"/>
      <c r="OFM1010" s="104"/>
      <c r="OFN1010" s="103"/>
      <c r="OFZ1010" s="104"/>
      <c r="OGA1010" s="103"/>
      <c r="OGM1010" s="104"/>
      <c r="OGN1010" s="103"/>
      <c r="OGZ1010" s="104"/>
      <c r="OHA1010" s="103"/>
      <c r="OHM1010" s="104"/>
      <c r="OHN1010" s="103"/>
      <c r="OHZ1010" s="104"/>
      <c r="OIA1010" s="103"/>
      <c r="OIM1010" s="104"/>
      <c r="OIN1010" s="103"/>
      <c r="OIZ1010" s="104"/>
      <c r="OJA1010" s="103"/>
      <c r="OJM1010" s="104"/>
      <c r="OJN1010" s="103"/>
      <c r="OJZ1010" s="104"/>
      <c r="OKA1010" s="103"/>
      <c r="OKM1010" s="104"/>
      <c r="OKN1010" s="103"/>
      <c r="OKZ1010" s="104"/>
      <c r="OLA1010" s="103"/>
      <c r="OLM1010" s="104"/>
      <c r="OLN1010" s="103"/>
      <c r="OLZ1010" s="104"/>
      <c r="OMA1010" s="103"/>
      <c r="OMM1010" s="104"/>
      <c r="OMN1010" s="103"/>
      <c r="OMZ1010" s="104"/>
      <c r="ONA1010" s="103"/>
      <c r="ONM1010" s="104"/>
      <c r="ONN1010" s="103"/>
      <c r="ONZ1010" s="104"/>
      <c r="OOA1010" s="103"/>
      <c r="OOM1010" s="104"/>
      <c r="OON1010" s="103"/>
      <c r="OOZ1010" s="104"/>
      <c r="OPA1010" s="103"/>
      <c r="OPM1010" s="104"/>
      <c r="OPN1010" s="103"/>
      <c r="OPZ1010" s="104"/>
      <c r="OQA1010" s="103"/>
      <c r="OQM1010" s="104"/>
      <c r="OQN1010" s="103"/>
      <c r="OQZ1010" s="104"/>
      <c r="ORA1010" s="103"/>
      <c r="ORM1010" s="104"/>
      <c r="ORN1010" s="103"/>
      <c r="ORZ1010" s="104"/>
      <c r="OSA1010" s="103"/>
      <c r="OSM1010" s="104"/>
      <c r="OSN1010" s="103"/>
      <c r="OSZ1010" s="104"/>
      <c r="OTA1010" s="103"/>
      <c r="OTM1010" s="104"/>
      <c r="OTN1010" s="103"/>
      <c r="OTZ1010" s="104"/>
      <c r="OUA1010" s="103"/>
      <c r="OUM1010" s="104"/>
      <c r="OUN1010" s="103"/>
      <c r="OUZ1010" s="104"/>
      <c r="OVA1010" s="103"/>
      <c r="OVM1010" s="104"/>
      <c r="OVN1010" s="103"/>
      <c r="OVZ1010" s="104"/>
      <c r="OWA1010" s="103"/>
      <c r="OWM1010" s="104"/>
      <c r="OWN1010" s="103"/>
      <c r="OWZ1010" s="104"/>
      <c r="OXA1010" s="103"/>
      <c r="OXM1010" s="104"/>
      <c r="OXN1010" s="103"/>
      <c r="OXZ1010" s="104"/>
      <c r="OYA1010" s="103"/>
      <c r="OYM1010" s="104"/>
      <c r="OYN1010" s="103"/>
      <c r="OYZ1010" s="104"/>
      <c r="OZA1010" s="103"/>
      <c r="OZM1010" s="104"/>
      <c r="OZN1010" s="103"/>
      <c r="OZZ1010" s="104"/>
      <c r="PAA1010" s="103"/>
      <c r="PAM1010" s="104"/>
      <c r="PAN1010" s="103"/>
      <c r="PAZ1010" s="104"/>
      <c r="PBA1010" s="103"/>
      <c r="PBM1010" s="104"/>
      <c r="PBN1010" s="103"/>
      <c r="PBZ1010" s="104"/>
      <c r="PCA1010" s="103"/>
      <c r="PCM1010" s="104"/>
      <c r="PCN1010" s="103"/>
      <c r="PCZ1010" s="104"/>
      <c r="PDA1010" s="103"/>
      <c r="PDM1010" s="104"/>
      <c r="PDN1010" s="103"/>
      <c r="PDZ1010" s="104"/>
      <c r="PEA1010" s="103"/>
      <c r="PEM1010" s="104"/>
      <c r="PEN1010" s="103"/>
      <c r="PEZ1010" s="104"/>
      <c r="PFA1010" s="103"/>
      <c r="PFM1010" s="104"/>
      <c r="PFN1010" s="103"/>
      <c r="PFZ1010" s="104"/>
      <c r="PGA1010" s="103"/>
      <c r="PGM1010" s="104"/>
      <c r="PGN1010" s="103"/>
      <c r="PGZ1010" s="104"/>
      <c r="PHA1010" s="103"/>
      <c r="PHM1010" s="104"/>
      <c r="PHN1010" s="103"/>
      <c r="PHZ1010" s="104"/>
      <c r="PIA1010" s="103"/>
      <c r="PIM1010" s="104"/>
      <c r="PIN1010" s="103"/>
      <c r="PIZ1010" s="104"/>
      <c r="PJA1010" s="103"/>
      <c r="PJM1010" s="104"/>
      <c r="PJN1010" s="103"/>
      <c r="PJZ1010" s="104"/>
      <c r="PKA1010" s="103"/>
      <c r="PKM1010" s="104"/>
      <c r="PKN1010" s="103"/>
      <c r="PKZ1010" s="104"/>
      <c r="PLA1010" s="103"/>
      <c r="PLM1010" s="104"/>
      <c r="PLN1010" s="103"/>
      <c r="PLZ1010" s="104"/>
      <c r="PMA1010" s="103"/>
      <c r="PMM1010" s="104"/>
      <c r="PMN1010" s="103"/>
      <c r="PMZ1010" s="104"/>
      <c r="PNA1010" s="103"/>
      <c r="PNM1010" s="104"/>
      <c r="PNN1010" s="103"/>
      <c r="PNZ1010" s="104"/>
      <c r="POA1010" s="103"/>
      <c r="POM1010" s="104"/>
      <c r="PON1010" s="103"/>
      <c r="POZ1010" s="104"/>
      <c r="PPA1010" s="103"/>
      <c r="PPM1010" s="104"/>
      <c r="PPN1010" s="103"/>
      <c r="PPZ1010" s="104"/>
      <c r="PQA1010" s="103"/>
      <c r="PQM1010" s="104"/>
      <c r="PQN1010" s="103"/>
      <c r="PQZ1010" s="104"/>
      <c r="PRA1010" s="103"/>
      <c r="PRM1010" s="104"/>
      <c r="PRN1010" s="103"/>
      <c r="PRZ1010" s="104"/>
      <c r="PSA1010" s="103"/>
      <c r="PSM1010" s="104"/>
      <c r="PSN1010" s="103"/>
      <c r="PSZ1010" s="104"/>
      <c r="PTA1010" s="103"/>
      <c r="PTM1010" s="104"/>
      <c r="PTN1010" s="103"/>
      <c r="PTZ1010" s="104"/>
      <c r="PUA1010" s="103"/>
      <c r="PUM1010" s="104"/>
      <c r="PUN1010" s="103"/>
      <c r="PUZ1010" s="104"/>
      <c r="PVA1010" s="103"/>
      <c r="PVM1010" s="104"/>
      <c r="PVN1010" s="103"/>
      <c r="PVZ1010" s="104"/>
      <c r="PWA1010" s="103"/>
      <c r="PWM1010" s="104"/>
      <c r="PWN1010" s="103"/>
      <c r="PWZ1010" s="104"/>
      <c r="PXA1010" s="103"/>
      <c r="PXM1010" s="104"/>
      <c r="PXN1010" s="103"/>
      <c r="PXZ1010" s="104"/>
      <c r="PYA1010" s="103"/>
      <c r="PYM1010" s="104"/>
      <c r="PYN1010" s="103"/>
      <c r="PYZ1010" s="104"/>
      <c r="PZA1010" s="103"/>
      <c r="PZM1010" s="104"/>
      <c r="PZN1010" s="103"/>
      <c r="PZZ1010" s="104"/>
      <c r="QAA1010" s="103"/>
      <c r="QAM1010" s="104"/>
      <c r="QAN1010" s="103"/>
      <c r="QAZ1010" s="104"/>
      <c r="QBA1010" s="103"/>
      <c r="QBM1010" s="104"/>
      <c r="QBN1010" s="103"/>
      <c r="QBZ1010" s="104"/>
      <c r="QCA1010" s="103"/>
      <c r="QCM1010" s="104"/>
      <c r="QCN1010" s="103"/>
      <c r="QCZ1010" s="104"/>
      <c r="QDA1010" s="103"/>
      <c r="QDM1010" s="104"/>
      <c r="QDN1010" s="103"/>
      <c r="QDZ1010" s="104"/>
      <c r="QEA1010" s="103"/>
      <c r="QEM1010" s="104"/>
      <c r="QEN1010" s="103"/>
      <c r="QEZ1010" s="104"/>
      <c r="QFA1010" s="103"/>
      <c r="QFM1010" s="104"/>
      <c r="QFN1010" s="103"/>
      <c r="QFZ1010" s="104"/>
      <c r="QGA1010" s="103"/>
      <c r="QGM1010" s="104"/>
      <c r="QGN1010" s="103"/>
      <c r="QGZ1010" s="104"/>
      <c r="QHA1010" s="103"/>
      <c r="QHM1010" s="104"/>
      <c r="QHN1010" s="103"/>
      <c r="QHZ1010" s="104"/>
      <c r="QIA1010" s="103"/>
      <c r="QIM1010" s="104"/>
      <c r="QIN1010" s="103"/>
      <c r="QIZ1010" s="104"/>
      <c r="QJA1010" s="103"/>
      <c r="QJM1010" s="104"/>
      <c r="QJN1010" s="103"/>
      <c r="QJZ1010" s="104"/>
      <c r="QKA1010" s="103"/>
      <c r="QKM1010" s="104"/>
      <c r="QKN1010" s="103"/>
      <c r="QKZ1010" s="104"/>
      <c r="QLA1010" s="103"/>
      <c r="QLM1010" s="104"/>
      <c r="QLN1010" s="103"/>
      <c r="QLZ1010" s="104"/>
      <c r="QMA1010" s="103"/>
      <c r="QMM1010" s="104"/>
      <c r="QMN1010" s="103"/>
      <c r="QMZ1010" s="104"/>
      <c r="QNA1010" s="103"/>
      <c r="QNM1010" s="104"/>
      <c r="QNN1010" s="103"/>
      <c r="QNZ1010" s="104"/>
      <c r="QOA1010" s="103"/>
      <c r="QOM1010" s="104"/>
      <c r="QON1010" s="103"/>
      <c r="QOZ1010" s="104"/>
      <c r="QPA1010" s="103"/>
      <c r="QPM1010" s="104"/>
      <c r="QPN1010" s="103"/>
      <c r="QPZ1010" s="104"/>
      <c r="QQA1010" s="103"/>
      <c r="QQM1010" s="104"/>
      <c r="QQN1010" s="103"/>
      <c r="QQZ1010" s="104"/>
      <c r="QRA1010" s="103"/>
      <c r="QRM1010" s="104"/>
      <c r="QRN1010" s="103"/>
      <c r="QRZ1010" s="104"/>
      <c r="QSA1010" s="103"/>
      <c r="QSM1010" s="104"/>
      <c r="QSN1010" s="103"/>
      <c r="QSZ1010" s="104"/>
      <c r="QTA1010" s="103"/>
      <c r="QTM1010" s="104"/>
      <c r="QTN1010" s="103"/>
      <c r="QTZ1010" s="104"/>
      <c r="QUA1010" s="103"/>
      <c r="QUM1010" s="104"/>
      <c r="QUN1010" s="103"/>
      <c r="QUZ1010" s="104"/>
      <c r="QVA1010" s="103"/>
      <c r="QVM1010" s="104"/>
      <c r="QVN1010" s="103"/>
      <c r="QVZ1010" s="104"/>
      <c r="QWA1010" s="103"/>
      <c r="QWM1010" s="104"/>
      <c r="QWN1010" s="103"/>
      <c r="QWZ1010" s="104"/>
      <c r="QXA1010" s="103"/>
      <c r="QXM1010" s="104"/>
      <c r="QXN1010" s="103"/>
      <c r="QXZ1010" s="104"/>
      <c r="QYA1010" s="103"/>
      <c r="QYM1010" s="104"/>
      <c r="QYN1010" s="103"/>
      <c r="QYZ1010" s="104"/>
      <c r="QZA1010" s="103"/>
      <c r="QZM1010" s="104"/>
      <c r="QZN1010" s="103"/>
      <c r="QZZ1010" s="104"/>
      <c r="RAA1010" s="103"/>
      <c r="RAM1010" s="104"/>
      <c r="RAN1010" s="103"/>
      <c r="RAZ1010" s="104"/>
      <c r="RBA1010" s="103"/>
      <c r="RBM1010" s="104"/>
      <c r="RBN1010" s="103"/>
      <c r="RBZ1010" s="104"/>
      <c r="RCA1010" s="103"/>
      <c r="RCM1010" s="104"/>
      <c r="RCN1010" s="103"/>
      <c r="RCZ1010" s="104"/>
      <c r="RDA1010" s="103"/>
      <c r="RDM1010" s="104"/>
      <c r="RDN1010" s="103"/>
      <c r="RDZ1010" s="104"/>
      <c r="REA1010" s="103"/>
      <c r="REM1010" s="104"/>
      <c r="REN1010" s="103"/>
      <c r="REZ1010" s="104"/>
      <c r="RFA1010" s="103"/>
      <c r="RFM1010" s="104"/>
      <c r="RFN1010" s="103"/>
      <c r="RFZ1010" s="104"/>
      <c r="RGA1010" s="103"/>
      <c r="RGM1010" s="104"/>
      <c r="RGN1010" s="103"/>
      <c r="RGZ1010" s="104"/>
      <c r="RHA1010" s="103"/>
      <c r="RHM1010" s="104"/>
      <c r="RHN1010" s="103"/>
      <c r="RHZ1010" s="104"/>
      <c r="RIA1010" s="103"/>
      <c r="RIM1010" s="104"/>
      <c r="RIN1010" s="103"/>
      <c r="RIZ1010" s="104"/>
      <c r="RJA1010" s="103"/>
      <c r="RJM1010" s="104"/>
      <c r="RJN1010" s="103"/>
      <c r="RJZ1010" s="104"/>
      <c r="RKA1010" s="103"/>
      <c r="RKM1010" s="104"/>
      <c r="RKN1010" s="103"/>
      <c r="RKZ1010" s="104"/>
      <c r="RLA1010" s="103"/>
      <c r="RLM1010" s="104"/>
      <c r="RLN1010" s="103"/>
      <c r="RLZ1010" s="104"/>
      <c r="RMA1010" s="103"/>
      <c r="RMM1010" s="104"/>
      <c r="RMN1010" s="103"/>
      <c r="RMZ1010" s="104"/>
      <c r="RNA1010" s="103"/>
      <c r="RNM1010" s="104"/>
      <c r="RNN1010" s="103"/>
      <c r="RNZ1010" s="104"/>
      <c r="ROA1010" s="103"/>
      <c r="ROM1010" s="104"/>
      <c r="RON1010" s="103"/>
      <c r="ROZ1010" s="104"/>
      <c r="RPA1010" s="103"/>
      <c r="RPM1010" s="104"/>
      <c r="RPN1010" s="103"/>
      <c r="RPZ1010" s="104"/>
      <c r="RQA1010" s="103"/>
      <c r="RQM1010" s="104"/>
      <c r="RQN1010" s="103"/>
      <c r="RQZ1010" s="104"/>
      <c r="RRA1010" s="103"/>
      <c r="RRM1010" s="104"/>
      <c r="RRN1010" s="103"/>
      <c r="RRZ1010" s="104"/>
      <c r="RSA1010" s="103"/>
      <c r="RSM1010" s="104"/>
      <c r="RSN1010" s="103"/>
      <c r="RSZ1010" s="104"/>
      <c r="RTA1010" s="103"/>
      <c r="RTM1010" s="104"/>
      <c r="RTN1010" s="103"/>
      <c r="RTZ1010" s="104"/>
      <c r="RUA1010" s="103"/>
      <c r="RUM1010" s="104"/>
      <c r="RUN1010" s="103"/>
      <c r="RUZ1010" s="104"/>
      <c r="RVA1010" s="103"/>
      <c r="RVM1010" s="104"/>
      <c r="RVN1010" s="103"/>
      <c r="RVZ1010" s="104"/>
      <c r="RWA1010" s="103"/>
      <c r="RWM1010" s="104"/>
      <c r="RWN1010" s="103"/>
      <c r="RWZ1010" s="104"/>
      <c r="RXA1010" s="103"/>
      <c r="RXM1010" s="104"/>
      <c r="RXN1010" s="103"/>
      <c r="RXZ1010" s="104"/>
      <c r="RYA1010" s="103"/>
      <c r="RYM1010" s="104"/>
      <c r="RYN1010" s="103"/>
      <c r="RYZ1010" s="104"/>
      <c r="RZA1010" s="103"/>
      <c r="RZM1010" s="104"/>
      <c r="RZN1010" s="103"/>
      <c r="RZZ1010" s="104"/>
      <c r="SAA1010" s="103"/>
      <c r="SAM1010" s="104"/>
      <c r="SAN1010" s="103"/>
      <c r="SAZ1010" s="104"/>
      <c r="SBA1010" s="103"/>
      <c r="SBM1010" s="104"/>
      <c r="SBN1010" s="103"/>
      <c r="SBZ1010" s="104"/>
      <c r="SCA1010" s="103"/>
      <c r="SCM1010" s="104"/>
      <c r="SCN1010" s="103"/>
      <c r="SCZ1010" s="104"/>
      <c r="SDA1010" s="103"/>
      <c r="SDM1010" s="104"/>
      <c r="SDN1010" s="103"/>
      <c r="SDZ1010" s="104"/>
      <c r="SEA1010" s="103"/>
      <c r="SEM1010" s="104"/>
      <c r="SEN1010" s="103"/>
      <c r="SEZ1010" s="104"/>
      <c r="SFA1010" s="103"/>
      <c r="SFM1010" s="104"/>
      <c r="SFN1010" s="103"/>
      <c r="SFZ1010" s="104"/>
      <c r="SGA1010" s="103"/>
      <c r="SGM1010" s="104"/>
      <c r="SGN1010" s="103"/>
      <c r="SGZ1010" s="104"/>
      <c r="SHA1010" s="103"/>
      <c r="SHM1010" s="104"/>
      <c r="SHN1010" s="103"/>
      <c r="SHZ1010" s="104"/>
      <c r="SIA1010" s="103"/>
      <c r="SIM1010" s="104"/>
      <c r="SIN1010" s="103"/>
      <c r="SIZ1010" s="104"/>
      <c r="SJA1010" s="103"/>
      <c r="SJM1010" s="104"/>
      <c r="SJN1010" s="103"/>
      <c r="SJZ1010" s="104"/>
      <c r="SKA1010" s="103"/>
      <c r="SKM1010" s="104"/>
      <c r="SKN1010" s="103"/>
      <c r="SKZ1010" s="104"/>
      <c r="SLA1010" s="103"/>
      <c r="SLM1010" s="104"/>
      <c r="SLN1010" s="103"/>
      <c r="SLZ1010" s="104"/>
      <c r="SMA1010" s="103"/>
      <c r="SMM1010" s="104"/>
      <c r="SMN1010" s="103"/>
      <c r="SMZ1010" s="104"/>
      <c r="SNA1010" s="103"/>
      <c r="SNM1010" s="104"/>
      <c r="SNN1010" s="103"/>
      <c r="SNZ1010" s="104"/>
      <c r="SOA1010" s="103"/>
      <c r="SOM1010" s="104"/>
      <c r="SON1010" s="103"/>
      <c r="SOZ1010" s="104"/>
      <c r="SPA1010" s="103"/>
      <c r="SPM1010" s="104"/>
      <c r="SPN1010" s="103"/>
      <c r="SPZ1010" s="104"/>
      <c r="SQA1010" s="103"/>
      <c r="SQM1010" s="104"/>
      <c r="SQN1010" s="103"/>
      <c r="SQZ1010" s="104"/>
      <c r="SRA1010" s="103"/>
      <c r="SRM1010" s="104"/>
      <c r="SRN1010" s="103"/>
      <c r="SRZ1010" s="104"/>
      <c r="SSA1010" s="103"/>
      <c r="SSM1010" s="104"/>
      <c r="SSN1010" s="103"/>
      <c r="SSZ1010" s="104"/>
      <c r="STA1010" s="103"/>
      <c r="STM1010" s="104"/>
      <c r="STN1010" s="103"/>
      <c r="STZ1010" s="104"/>
      <c r="SUA1010" s="103"/>
      <c r="SUM1010" s="104"/>
      <c r="SUN1010" s="103"/>
      <c r="SUZ1010" s="104"/>
      <c r="SVA1010" s="103"/>
      <c r="SVM1010" s="104"/>
      <c r="SVN1010" s="103"/>
      <c r="SVZ1010" s="104"/>
      <c r="SWA1010" s="103"/>
      <c r="SWM1010" s="104"/>
      <c r="SWN1010" s="103"/>
      <c r="SWZ1010" s="104"/>
      <c r="SXA1010" s="103"/>
      <c r="SXM1010" s="104"/>
      <c r="SXN1010" s="103"/>
      <c r="SXZ1010" s="104"/>
      <c r="SYA1010" s="103"/>
      <c r="SYM1010" s="104"/>
      <c r="SYN1010" s="103"/>
      <c r="SYZ1010" s="104"/>
      <c r="SZA1010" s="103"/>
      <c r="SZM1010" s="104"/>
      <c r="SZN1010" s="103"/>
      <c r="SZZ1010" s="104"/>
      <c r="TAA1010" s="103"/>
      <c r="TAM1010" s="104"/>
      <c r="TAN1010" s="103"/>
      <c r="TAZ1010" s="104"/>
      <c r="TBA1010" s="103"/>
      <c r="TBM1010" s="104"/>
      <c r="TBN1010" s="103"/>
      <c r="TBZ1010" s="104"/>
      <c r="TCA1010" s="103"/>
      <c r="TCM1010" s="104"/>
      <c r="TCN1010" s="103"/>
      <c r="TCZ1010" s="104"/>
      <c r="TDA1010" s="103"/>
      <c r="TDM1010" s="104"/>
      <c r="TDN1010" s="103"/>
      <c r="TDZ1010" s="104"/>
      <c r="TEA1010" s="103"/>
      <c r="TEM1010" s="104"/>
      <c r="TEN1010" s="103"/>
      <c r="TEZ1010" s="104"/>
      <c r="TFA1010" s="103"/>
      <c r="TFM1010" s="104"/>
      <c r="TFN1010" s="103"/>
      <c r="TFZ1010" s="104"/>
      <c r="TGA1010" s="103"/>
      <c r="TGM1010" s="104"/>
      <c r="TGN1010" s="103"/>
      <c r="TGZ1010" s="104"/>
      <c r="THA1010" s="103"/>
      <c r="THM1010" s="104"/>
      <c r="THN1010" s="103"/>
      <c r="THZ1010" s="104"/>
      <c r="TIA1010" s="103"/>
      <c r="TIM1010" s="104"/>
      <c r="TIN1010" s="103"/>
      <c r="TIZ1010" s="104"/>
      <c r="TJA1010" s="103"/>
      <c r="TJM1010" s="104"/>
      <c r="TJN1010" s="103"/>
      <c r="TJZ1010" s="104"/>
      <c r="TKA1010" s="103"/>
      <c r="TKM1010" s="104"/>
      <c r="TKN1010" s="103"/>
      <c r="TKZ1010" s="104"/>
      <c r="TLA1010" s="103"/>
      <c r="TLM1010" s="104"/>
      <c r="TLN1010" s="103"/>
      <c r="TLZ1010" s="104"/>
      <c r="TMA1010" s="103"/>
      <c r="TMM1010" s="104"/>
      <c r="TMN1010" s="103"/>
      <c r="TMZ1010" s="104"/>
      <c r="TNA1010" s="103"/>
      <c r="TNM1010" s="104"/>
      <c r="TNN1010" s="103"/>
      <c r="TNZ1010" s="104"/>
      <c r="TOA1010" s="103"/>
      <c r="TOM1010" s="104"/>
      <c r="TON1010" s="103"/>
      <c r="TOZ1010" s="104"/>
      <c r="TPA1010" s="103"/>
      <c r="TPM1010" s="104"/>
      <c r="TPN1010" s="103"/>
      <c r="TPZ1010" s="104"/>
      <c r="TQA1010" s="103"/>
      <c r="TQM1010" s="104"/>
      <c r="TQN1010" s="103"/>
      <c r="TQZ1010" s="104"/>
      <c r="TRA1010" s="103"/>
      <c r="TRM1010" s="104"/>
      <c r="TRN1010" s="103"/>
      <c r="TRZ1010" s="104"/>
      <c r="TSA1010" s="103"/>
      <c r="TSM1010" s="104"/>
      <c r="TSN1010" s="103"/>
      <c r="TSZ1010" s="104"/>
      <c r="TTA1010" s="103"/>
      <c r="TTM1010" s="104"/>
      <c r="TTN1010" s="103"/>
      <c r="TTZ1010" s="104"/>
      <c r="TUA1010" s="103"/>
      <c r="TUM1010" s="104"/>
      <c r="TUN1010" s="103"/>
      <c r="TUZ1010" s="104"/>
      <c r="TVA1010" s="103"/>
      <c r="TVM1010" s="104"/>
      <c r="TVN1010" s="103"/>
      <c r="TVZ1010" s="104"/>
      <c r="TWA1010" s="103"/>
      <c r="TWM1010" s="104"/>
      <c r="TWN1010" s="103"/>
      <c r="TWZ1010" s="104"/>
      <c r="TXA1010" s="103"/>
      <c r="TXM1010" s="104"/>
      <c r="TXN1010" s="103"/>
      <c r="TXZ1010" s="104"/>
      <c r="TYA1010" s="103"/>
      <c r="TYM1010" s="104"/>
      <c r="TYN1010" s="103"/>
      <c r="TYZ1010" s="104"/>
      <c r="TZA1010" s="103"/>
      <c r="TZM1010" s="104"/>
      <c r="TZN1010" s="103"/>
      <c r="TZZ1010" s="104"/>
      <c r="UAA1010" s="103"/>
      <c r="UAM1010" s="104"/>
      <c r="UAN1010" s="103"/>
      <c r="UAZ1010" s="104"/>
      <c r="UBA1010" s="103"/>
      <c r="UBM1010" s="104"/>
      <c r="UBN1010" s="103"/>
      <c r="UBZ1010" s="104"/>
      <c r="UCA1010" s="103"/>
      <c r="UCM1010" s="104"/>
      <c r="UCN1010" s="103"/>
      <c r="UCZ1010" s="104"/>
      <c r="UDA1010" s="103"/>
      <c r="UDM1010" s="104"/>
      <c r="UDN1010" s="103"/>
      <c r="UDZ1010" s="104"/>
      <c r="UEA1010" s="103"/>
      <c r="UEM1010" s="104"/>
      <c r="UEN1010" s="103"/>
      <c r="UEZ1010" s="104"/>
      <c r="UFA1010" s="103"/>
      <c r="UFM1010" s="104"/>
      <c r="UFN1010" s="103"/>
      <c r="UFZ1010" s="104"/>
      <c r="UGA1010" s="103"/>
      <c r="UGM1010" s="104"/>
      <c r="UGN1010" s="103"/>
      <c r="UGZ1010" s="104"/>
      <c r="UHA1010" s="103"/>
      <c r="UHM1010" s="104"/>
      <c r="UHN1010" s="103"/>
      <c r="UHZ1010" s="104"/>
      <c r="UIA1010" s="103"/>
      <c r="UIM1010" s="104"/>
      <c r="UIN1010" s="103"/>
      <c r="UIZ1010" s="104"/>
      <c r="UJA1010" s="103"/>
      <c r="UJM1010" s="104"/>
      <c r="UJN1010" s="103"/>
      <c r="UJZ1010" s="104"/>
      <c r="UKA1010" s="103"/>
      <c r="UKM1010" s="104"/>
      <c r="UKN1010" s="103"/>
      <c r="UKZ1010" s="104"/>
      <c r="ULA1010" s="103"/>
      <c r="ULM1010" s="104"/>
      <c r="ULN1010" s="103"/>
      <c r="ULZ1010" s="104"/>
      <c r="UMA1010" s="103"/>
      <c r="UMM1010" s="104"/>
      <c r="UMN1010" s="103"/>
      <c r="UMZ1010" s="104"/>
      <c r="UNA1010" s="103"/>
      <c r="UNM1010" s="104"/>
      <c r="UNN1010" s="103"/>
      <c r="UNZ1010" s="104"/>
      <c r="UOA1010" s="103"/>
      <c r="UOM1010" s="104"/>
      <c r="UON1010" s="103"/>
      <c r="UOZ1010" s="104"/>
      <c r="UPA1010" s="103"/>
      <c r="UPM1010" s="104"/>
      <c r="UPN1010" s="103"/>
      <c r="UPZ1010" s="104"/>
      <c r="UQA1010" s="103"/>
      <c r="UQM1010" s="104"/>
      <c r="UQN1010" s="103"/>
      <c r="UQZ1010" s="104"/>
      <c r="URA1010" s="103"/>
      <c r="URM1010" s="104"/>
      <c r="URN1010" s="103"/>
      <c r="URZ1010" s="104"/>
      <c r="USA1010" s="103"/>
      <c r="USM1010" s="104"/>
      <c r="USN1010" s="103"/>
      <c r="USZ1010" s="104"/>
      <c r="UTA1010" s="103"/>
      <c r="UTM1010" s="104"/>
      <c r="UTN1010" s="103"/>
      <c r="UTZ1010" s="104"/>
      <c r="UUA1010" s="103"/>
      <c r="UUM1010" s="104"/>
      <c r="UUN1010" s="103"/>
      <c r="UUZ1010" s="104"/>
      <c r="UVA1010" s="103"/>
      <c r="UVM1010" s="104"/>
      <c r="UVN1010" s="103"/>
      <c r="UVZ1010" s="104"/>
      <c r="UWA1010" s="103"/>
      <c r="UWM1010" s="104"/>
      <c r="UWN1010" s="103"/>
      <c r="UWZ1010" s="104"/>
      <c r="UXA1010" s="103"/>
      <c r="UXM1010" s="104"/>
      <c r="UXN1010" s="103"/>
      <c r="UXZ1010" s="104"/>
      <c r="UYA1010" s="103"/>
      <c r="UYM1010" s="104"/>
      <c r="UYN1010" s="103"/>
      <c r="UYZ1010" s="104"/>
      <c r="UZA1010" s="103"/>
      <c r="UZM1010" s="104"/>
      <c r="UZN1010" s="103"/>
      <c r="UZZ1010" s="104"/>
      <c r="VAA1010" s="103"/>
      <c r="VAM1010" s="104"/>
      <c r="VAN1010" s="103"/>
      <c r="VAZ1010" s="104"/>
      <c r="VBA1010" s="103"/>
      <c r="VBM1010" s="104"/>
      <c r="VBN1010" s="103"/>
      <c r="VBZ1010" s="104"/>
      <c r="VCA1010" s="103"/>
      <c r="VCM1010" s="104"/>
      <c r="VCN1010" s="103"/>
      <c r="VCZ1010" s="104"/>
      <c r="VDA1010" s="103"/>
      <c r="VDM1010" s="104"/>
      <c r="VDN1010" s="103"/>
      <c r="VDZ1010" s="104"/>
      <c r="VEA1010" s="103"/>
      <c r="VEM1010" s="104"/>
      <c r="VEN1010" s="103"/>
      <c r="VEZ1010" s="104"/>
      <c r="VFA1010" s="103"/>
      <c r="VFM1010" s="104"/>
      <c r="VFN1010" s="103"/>
      <c r="VFZ1010" s="104"/>
      <c r="VGA1010" s="103"/>
      <c r="VGM1010" s="104"/>
      <c r="VGN1010" s="103"/>
      <c r="VGZ1010" s="104"/>
      <c r="VHA1010" s="103"/>
      <c r="VHM1010" s="104"/>
      <c r="VHN1010" s="103"/>
      <c r="VHZ1010" s="104"/>
      <c r="VIA1010" s="103"/>
      <c r="VIM1010" s="104"/>
      <c r="VIN1010" s="103"/>
      <c r="VIZ1010" s="104"/>
      <c r="VJA1010" s="103"/>
      <c r="VJM1010" s="104"/>
      <c r="VJN1010" s="103"/>
      <c r="VJZ1010" s="104"/>
      <c r="VKA1010" s="103"/>
      <c r="VKM1010" s="104"/>
      <c r="VKN1010" s="103"/>
      <c r="VKZ1010" s="104"/>
      <c r="VLA1010" s="103"/>
      <c r="VLM1010" s="104"/>
      <c r="VLN1010" s="103"/>
      <c r="VLZ1010" s="104"/>
      <c r="VMA1010" s="103"/>
      <c r="VMM1010" s="104"/>
      <c r="VMN1010" s="103"/>
      <c r="VMZ1010" s="104"/>
      <c r="VNA1010" s="103"/>
      <c r="VNM1010" s="104"/>
      <c r="VNN1010" s="103"/>
      <c r="VNZ1010" s="104"/>
      <c r="VOA1010" s="103"/>
      <c r="VOM1010" s="104"/>
      <c r="VON1010" s="103"/>
      <c r="VOZ1010" s="104"/>
      <c r="VPA1010" s="103"/>
      <c r="VPM1010" s="104"/>
      <c r="VPN1010" s="103"/>
      <c r="VPZ1010" s="104"/>
      <c r="VQA1010" s="103"/>
      <c r="VQM1010" s="104"/>
      <c r="VQN1010" s="103"/>
      <c r="VQZ1010" s="104"/>
      <c r="VRA1010" s="103"/>
      <c r="VRM1010" s="104"/>
      <c r="VRN1010" s="103"/>
      <c r="VRZ1010" s="104"/>
      <c r="VSA1010" s="103"/>
      <c r="VSM1010" s="104"/>
      <c r="VSN1010" s="103"/>
      <c r="VSZ1010" s="104"/>
      <c r="VTA1010" s="103"/>
      <c r="VTM1010" s="104"/>
      <c r="VTN1010" s="103"/>
      <c r="VTZ1010" s="104"/>
      <c r="VUA1010" s="103"/>
      <c r="VUM1010" s="104"/>
      <c r="VUN1010" s="103"/>
      <c r="VUZ1010" s="104"/>
      <c r="VVA1010" s="103"/>
      <c r="VVM1010" s="104"/>
      <c r="VVN1010" s="103"/>
      <c r="VVZ1010" s="104"/>
      <c r="VWA1010" s="103"/>
      <c r="VWM1010" s="104"/>
      <c r="VWN1010" s="103"/>
      <c r="VWZ1010" s="104"/>
      <c r="VXA1010" s="103"/>
      <c r="VXM1010" s="104"/>
      <c r="VXN1010" s="103"/>
      <c r="VXZ1010" s="104"/>
      <c r="VYA1010" s="103"/>
      <c r="VYM1010" s="104"/>
      <c r="VYN1010" s="103"/>
      <c r="VYZ1010" s="104"/>
      <c r="VZA1010" s="103"/>
      <c r="VZM1010" s="104"/>
      <c r="VZN1010" s="103"/>
      <c r="VZZ1010" s="104"/>
      <c r="WAA1010" s="103"/>
      <c r="WAM1010" s="104"/>
      <c r="WAN1010" s="103"/>
      <c r="WAZ1010" s="104"/>
      <c r="WBA1010" s="103"/>
      <c r="WBM1010" s="104"/>
      <c r="WBN1010" s="103"/>
      <c r="WBZ1010" s="104"/>
      <c r="WCA1010" s="103"/>
      <c r="WCM1010" s="104"/>
      <c r="WCN1010" s="103"/>
      <c r="WCZ1010" s="104"/>
      <c r="WDA1010" s="103"/>
      <c r="WDM1010" s="104"/>
      <c r="WDN1010" s="103"/>
      <c r="WDZ1010" s="104"/>
      <c r="WEA1010" s="103"/>
      <c r="WEM1010" s="104"/>
      <c r="WEN1010" s="103"/>
      <c r="WEZ1010" s="104"/>
      <c r="WFA1010" s="103"/>
      <c r="WFM1010" s="104"/>
      <c r="WFN1010" s="103"/>
      <c r="WFZ1010" s="104"/>
      <c r="WGA1010" s="103"/>
      <c r="WGM1010" s="104"/>
      <c r="WGN1010" s="103"/>
      <c r="WGZ1010" s="104"/>
      <c r="WHA1010" s="103"/>
      <c r="WHM1010" s="104"/>
      <c r="WHN1010" s="103"/>
      <c r="WHZ1010" s="104"/>
      <c r="WIA1010" s="103"/>
      <c r="WIM1010" s="104"/>
      <c r="WIN1010" s="103"/>
      <c r="WIZ1010" s="104"/>
      <c r="WJA1010" s="103"/>
      <c r="WJM1010" s="104"/>
      <c r="WJN1010" s="103"/>
      <c r="WJZ1010" s="104"/>
      <c r="WKA1010" s="103"/>
      <c r="WKM1010" s="104"/>
      <c r="WKN1010" s="103"/>
      <c r="WKZ1010" s="104"/>
      <c r="WLA1010" s="103"/>
      <c r="WLM1010" s="104"/>
      <c r="WLN1010" s="103"/>
      <c r="WLZ1010" s="104"/>
      <c r="WMA1010" s="103"/>
      <c r="WMM1010" s="104"/>
      <c r="WMN1010" s="103"/>
      <c r="WMZ1010" s="104"/>
      <c r="WNA1010" s="103"/>
      <c r="WNM1010" s="104"/>
      <c r="WNN1010" s="103"/>
      <c r="WNZ1010" s="104"/>
      <c r="WOA1010" s="103"/>
      <c r="WOM1010" s="104"/>
      <c r="WON1010" s="103"/>
      <c r="WOZ1010" s="104"/>
      <c r="WPA1010" s="103"/>
      <c r="WPM1010" s="104"/>
      <c r="WPN1010" s="103"/>
      <c r="WPZ1010" s="104"/>
      <c r="WQA1010" s="103"/>
      <c r="WQM1010" s="104"/>
      <c r="WQN1010" s="103"/>
      <c r="WQZ1010" s="104"/>
      <c r="WRA1010" s="103"/>
      <c r="WRM1010" s="104"/>
      <c r="WRN1010" s="103"/>
      <c r="WRZ1010" s="104"/>
      <c r="WSA1010" s="103"/>
      <c r="WSM1010" s="104"/>
      <c r="WSN1010" s="103"/>
      <c r="WSZ1010" s="104"/>
      <c r="WTA1010" s="103"/>
      <c r="WTM1010" s="104"/>
      <c r="WTN1010" s="103"/>
      <c r="WTZ1010" s="104"/>
      <c r="WUA1010" s="103"/>
      <c r="WUM1010" s="104"/>
      <c r="WUN1010" s="103"/>
      <c r="WUZ1010" s="104"/>
      <c r="WVA1010" s="103"/>
      <c r="WVM1010" s="104"/>
      <c r="WVN1010" s="103"/>
      <c r="WVZ1010" s="104"/>
      <c r="WWA1010" s="103"/>
      <c r="WWM1010" s="104"/>
      <c r="WWN1010" s="103"/>
      <c r="WWZ1010" s="104"/>
      <c r="WXA1010" s="103"/>
      <c r="WXM1010" s="104"/>
      <c r="WXN1010" s="103"/>
      <c r="WXZ1010" s="104"/>
      <c r="WYA1010" s="103"/>
      <c r="WYM1010" s="104"/>
      <c r="WYN1010" s="103"/>
      <c r="WYZ1010" s="104"/>
      <c r="WZA1010" s="103"/>
      <c r="WZM1010" s="104"/>
      <c r="WZN1010" s="103"/>
      <c r="WZZ1010" s="104"/>
      <c r="XAA1010" s="103"/>
      <c r="XAM1010" s="104"/>
      <c r="XAN1010" s="103"/>
      <c r="XAZ1010" s="104"/>
      <c r="XBA1010" s="103"/>
      <c r="XBM1010" s="104"/>
      <c r="XBN1010" s="103"/>
      <c r="XBZ1010" s="104"/>
      <c r="XCA1010" s="103"/>
      <c r="XCM1010" s="104"/>
      <c r="XCN1010" s="103"/>
      <c r="XCZ1010" s="104"/>
      <c r="XDA1010" s="103"/>
      <c r="XDM1010" s="104"/>
      <c r="XDN1010" s="103"/>
      <c r="XDZ1010" s="104"/>
      <c r="XEA1010" s="103"/>
      <c r="XEM1010" s="104"/>
      <c r="XEN1010" s="103"/>
      <c r="XEZ1010" s="104"/>
      <c r="XFA1010" s="103"/>
    </row>
    <row r="1011" spans="2:1015 1027:2042 2054:3069 3081:4096 4108:5110 5122:6137 6149:7164 7176:8191 8203:9205 9217:10232 10244:11259 11271:12286 12298:14327 14339:15354 15366:16381">
      <c r="B1011" s="115" t="s">
        <v>94</v>
      </c>
      <c r="C1011" s="112">
        <v>0</v>
      </c>
      <c r="D1011" s="113">
        <f t="shared" si="41"/>
        <v>0</v>
      </c>
      <c r="E1011" s="114"/>
      <c r="F1011" s="114"/>
    </row>
    <row r="1012" spans="2:1015 1027:2042 2054:3069 3081:4096 4108:5110 5122:6137 6149:7164 7176:8191 8203:9205 9217:10232 10244:11259 11271:12286 12298:14327 14339:15354 15366:16381">
      <c r="B1012" s="115" t="s">
        <v>95</v>
      </c>
      <c r="C1012" s="112">
        <v>2595</v>
      </c>
      <c r="D1012" s="113">
        <f t="shared" si="41"/>
        <v>47.207567764235044</v>
      </c>
      <c r="E1012" s="114"/>
      <c r="F1012" s="114"/>
    </row>
    <row r="1013" spans="2:1015 1027:2042 2054:3069 3081:4096 4108:5110 5122:6137 6149:7164 7176:8191 8203:9205 9217:10232 10244:11259 11271:12286 12298:14327 14339:15354 15366:16381">
      <c r="B1013" s="111" t="s">
        <v>96</v>
      </c>
      <c r="C1013" s="112"/>
      <c r="D1013" s="113">
        <f t="shared" si="41"/>
        <v>0</v>
      </c>
      <c r="E1013" s="114"/>
      <c r="F1013" s="114"/>
    </row>
    <row r="1014" spans="2:1015 1027:2042 2054:3069 3081:4096 4108:5110 5122:6137 6149:7164 7176:8191 8203:9205 9217:10232 10244:11259 11271:12286 12298:14327 14339:15354 15366:16381">
      <c r="B1014" s="115" t="s">
        <v>68</v>
      </c>
      <c r="C1014" s="112">
        <v>204570</v>
      </c>
      <c r="D1014" s="113">
        <f t="shared" si="41"/>
        <v>3721.4844460614886</v>
      </c>
      <c r="E1014" s="114"/>
      <c r="F1014" s="114"/>
    </row>
    <row r="1015" spans="2:1015 1027:2042 2054:3069 3081:4096 4108:5110 5122:6137 6149:7164 7176:8191 8203:9205 9217:10232 10244:11259 11271:12286 12298:14327 14339:15354 15366:16381">
      <c r="B1015" s="115" t="s">
        <v>97</v>
      </c>
      <c r="C1015" s="112">
        <v>0</v>
      </c>
      <c r="D1015" s="113">
        <f t="shared" si="41"/>
        <v>0</v>
      </c>
      <c r="E1015" s="114"/>
      <c r="F1015" s="114"/>
    </row>
    <row r="1016" spans="2:1015 1027:2042 2054:3069 3081:4096 4108:5110 5122:6137 6149:7164 7176:8191 8203:9205 9217:10232 10244:11259 11271:12286 12298:14327 14339:15354 15366:16381">
      <c r="B1016" s="111" t="s">
        <v>32</v>
      </c>
      <c r="C1016" s="113">
        <f>+C1007+C1009+C1011+C1012+C1014+C1006</f>
        <v>249201</v>
      </c>
      <c r="D1016" s="113">
        <f t="shared" si="41"/>
        <v>4533.4000363834821</v>
      </c>
      <c r="E1016" s="114"/>
      <c r="F1016" s="114"/>
    </row>
    <row r="1017" spans="2:1015 1027:2042 2054:3069 3081:4096 4108:5110 5122:6137 6149:7164 7176:8191 8203:9205 9217:10232 10244:11259 11271:12286 12298:14327 14339:15354 15366:16381">
      <c r="B1017" s="111" t="s">
        <v>33</v>
      </c>
      <c r="C1017" s="112">
        <v>5827</v>
      </c>
      <c r="D1017" s="113">
        <f t="shared" si="41"/>
        <v>106.00327451337094</v>
      </c>
      <c r="E1017" s="114"/>
      <c r="F1017" s="114"/>
    </row>
    <row r="1018" spans="2:1015 1027:2042 2054:3069 3081:4096 4108:5110 5122:6137 6149:7164 7176:8191 8203:9205 9217:10232 10244:11259 11271:12286 12298:14327 14339:15354 15366:16381">
      <c r="B1018" s="111" t="s">
        <v>98</v>
      </c>
      <c r="C1018" s="113">
        <f>+C1016-C1017</f>
        <v>243374</v>
      </c>
      <c r="D1018" s="113">
        <f t="shared" si="41"/>
        <v>4427.3967618701117</v>
      </c>
      <c r="E1018" s="114"/>
      <c r="F1018" s="114"/>
    </row>
    <row r="1019" spans="2:1015 1027:2042 2054:3069 3081:4096 4108:5110 5122:6137 6149:7164 7176:8191 8203:9205 9217:10232 10244:11259 11271:12286 12298:14327 14339:15354 15366:16381">
      <c r="B1019" s="117" t="s">
        <v>35</v>
      </c>
      <c r="C1019" s="112">
        <v>5827</v>
      </c>
      <c r="D1019" s="113">
        <f t="shared" si="41"/>
        <v>106.00327451337094</v>
      </c>
      <c r="E1019" s="114"/>
      <c r="F1019" s="118"/>
    </row>
    <row r="1020" spans="2:1015 1027:2042 2054:3069 3081:4096 4108:5110 5122:6137 6149:7164 7176:8191 8203:9205 9217:10232 10244:11259 11271:12286 12298:14327 14339:15354 15366:16381">
      <c r="B1020" s="117" t="s">
        <v>36</v>
      </c>
      <c r="C1020" s="112">
        <v>10000</v>
      </c>
      <c r="D1020" s="113">
        <f t="shared" si="41"/>
        <v>181.91740949608879</v>
      </c>
      <c r="E1020" s="114"/>
      <c r="F1020" s="118"/>
    </row>
    <row r="1021" spans="2:1015 1027:2042 2054:3069 3081:4096 4108:5110 5122:6137 6149:7164 7176:8191 8203:9205 9217:10232 10244:11259 11271:12286 12298:14327 14339:15354 15366:16381">
      <c r="B1021" s="119" t="s">
        <v>37</v>
      </c>
      <c r="C1021" s="120">
        <f>+C1018+C1019+C1020</f>
        <v>259201</v>
      </c>
      <c r="D1021" s="120">
        <f>+D1018+D1019+D1020</f>
        <v>4715.317445879572</v>
      </c>
      <c r="E1021" s="121"/>
      <c r="F1021" s="122"/>
    </row>
    <row r="1022" spans="2:1015 1027:2042 2054:3069 3081:4096 4108:5110 5122:6137 6149:7164 7176:8191 8203:9205 9217:10232 10244:11259 11271:12286 12298:14327 14339:15354 15366:16381">
      <c r="B1022" s="111" t="s">
        <v>99</v>
      </c>
      <c r="C1022" s="112">
        <v>2454</v>
      </c>
      <c r="D1022" s="113">
        <f t="shared" si="41"/>
        <v>44.642532290340192</v>
      </c>
      <c r="E1022" s="121"/>
      <c r="F1022" s="122"/>
    </row>
    <row r="1023" spans="2:1015 1027:2042 2054:3069 3081:4096 4108:5110 5122:6137 6149:7164 7176:8191 8203:9205 9217:10232 10244:11259 11271:12286 12298:14327 14339:15354 15366:16381">
      <c r="B1023" s="142" t="s">
        <v>100</v>
      </c>
      <c r="C1023" s="120">
        <f>C1021+C1022</f>
        <v>261655</v>
      </c>
      <c r="D1023" s="120">
        <f>D1021+D1022</f>
        <v>4759.9599781699126</v>
      </c>
      <c r="E1023" s="121"/>
      <c r="F1023" s="122"/>
    </row>
    <row r="1024" spans="2:1015 1027:2042 2054:3069 3081:4096 4108:5110 5122:6137 6149:7164 7176:8191 8203:9205 9217:10232 10244:11259 11271:12286 12298:14327 14339:15354 15366:16381">
      <c r="B1024" s="117" t="s">
        <v>38</v>
      </c>
      <c r="C1024" s="112">
        <v>5412</v>
      </c>
      <c r="D1024" s="113">
        <f t="shared" si="41"/>
        <v>98.453702019283256</v>
      </c>
      <c r="E1024" s="121"/>
      <c r="F1024" s="122"/>
    </row>
    <row r="1025" spans="2:8" ht="14.65" customHeight="1">
      <c r="B1025" s="117" t="s">
        <v>39</v>
      </c>
      <c r="C1025" s="112">
        <v>28963</v>
      </c>
      <c r="D1025" s="113">
        <f t="shared" si="41"/>
        <v>526.88739312352197</v>
      </c>
      <c r="E1025" s="121"/>
      <c r="F1025" s="122"/>
    </row>
    <row r="1026" spans="2:8">
      <c r="B1026" s="123" t="s">
        <v>40</v>
      </c>
      <c r="C1026" s="124">
        <f>C1021+C1024+C1025</f>
        <v>293576</v>
      </c>
      <c r="D1026" s="124">
        <f>D1021+D1024+D1025</f>
        <v>5340.658541022377</v>
      </c>
      <c r="E1026" s="125">
        <f>C1026/C1031</f>
        <v>3.1040622554928206</v>
      </c>
      <c r="F1026" s="125">
        <f>D1026/D1031</f>
        <v>2.9448216595224781</v>
      </c>
    </row>
    <row r="1027" spans="2:8">
      <c r="B1027" s="117" t="s">
        <v>164</v>
      </c>
      <c r="C1027" s="113">
        <f>Model!AF119</f>
        <v>38863</v>
      </c>
      <c r="D1027" s="113">
        <f>C1027*$N$1000</f>
        <v>706.98562852464988</v>
      </c>
      <c r="E1027" s="126"/>
      <c r="F1027" s="126"/>
    </row>
    <row r="1028" spans="2:8">
      <c r="B1028" s="123" t="s">
        <v>19</v>
      </c>
      <c r="C1028" s="124">
        <f>C1026-C1027</f>
        <v>254713</v>
      </c>
      <c r="D1028" s="124">
        <f>D1026-D1027</f>
        <v>4633.6729124977273</v>
      </c>
      <c r="E1028" s="125">
        <f>C1028/C1031</f>
        <v>2.6931527416523928</v>
      </c>
      <c r="F1028" s="125">
        <f>D1028/D1031</f>
        <v>2.5549920952732821</v>
      </c>
    </row>
    <row r="1029" spans="2:8">
      <c r="B1029" s="119" t="s">
        <v>20</v>
      </c>
      <c r="C1029" s="141">
        <f>Model!AF126</f>
        <v>134077</v>
      </c>
      <c r="D1029" s="127"/>
      <c r="E1029" s="128"/>
      <c r="F1029" s="117"/>
    </row>
    <row r="1030" spans="2:8">
      <c r="B1030" s="119" t="s">
        <v>21</v>
      </c>
      <c r="C1030" s="129">
        <f>C1028+C1029</f>
        <v>388790</v>
      </c>
      <c r="D1030" s="129"/>
      <c r="E1030" s="128"/>
      <c r="F1030" s="117"/>
    </row>
    <row r="1031" spans="2:8" ht="14.65" customHeight="1">
      <c r="B1031" s="117" t="s">
        <v>22</v>
      </c>
      <c r="C1031" s="130">
        <f>Model!AF84</f>
        <v>94578</v>
      </c>
      <c r="D1031" s="130">
        <f>C1031*N1001</f>
        <v>1813.5762224352829</v>
      </c>
      <c r="E1031" s="117"/>
      <c r="F1031" s="117"/>
    </row>
    <row r="1032" spans="2:8">
      <c r="B1032" s="131" t="s">
        <v>23</v>
      </c>
      <c r="C1032" s="159">
        <f>C1026-Model!AF123</f>
        <v>0</v>
      </c>
    </row>
    <row r="1033" spans="2:8">
      <c r="B1033" s="131"/>
      <c r="C1033" s="159"/>
    </row>
    <row r="1034" spans="2:8">
      <c r="B1034" s="343" t="s">
        <v>176</v>
      </c>
      <c r="C1034" s="343"/>
      <c r="D1034" s="343"/>
    </row>
    <row r="1035" spans="2:8">
      <c r="B1035" s="344"/>
      <c r="C1035" s="133" t="s">
        <v>102</v>
      </c>
      <c r="D1035" s="144" t="s">
        <v>103</v>
      </c>
    </row>
    <row r="1036" spans="2:8">
      <c r="B1036" s="134" t="str">
        <f>+B1027</f>
        <v>Cash and Short-Term Investments</v>
      </c>
      <c r="C1036" s="136">
        <f>+C1027</f>
        <v>38863</v>
      </c>
      <c r="D1036" s="136">
        <f>+C1036*$N$1000</f>
        <v>706.98562852464988</v>
      </c>
    </row>
    <row r="1037" spans="2:8">
      <c r="B1037" s="134" t="s">
        <v>117</v>
      </c>
      <c r="C1037" s="136">
        <v>0</v>
      </c>
      <c r="D1037" s="136">
        <f>+C1037*$N$1055</f>
        <v>0</v>
      </c>
    </row>
    <row r="1038" spans="2:8">
      <c r="B1038" s="137" t="s">
        <v>44</v>
      </c>
      <c r="C1038" s="138">
        <f>+SUM(C1036:C1037)</f>
        <v>38863</v>
      </c>
      <c r="D1038" s="138">
        <f>+SUM(D1036:D1037)</f>
        <v>706.98562852464988</v>
      </c>
    </row>
    <row r="1040" spans="2:8">
      <c r="B1040" s="343" t="s">
        <v>79</v>
      </c>
      <c r="C1040" s="343" t="s">
        <v>104</v>
      </c>
      <c r="D1040" s="343"/>
      <c r="E1040" s="132" t="s">
        <v>118</v>
      </c>
      <c r="F1040" s="132"/>
      <c r="G1040" s="343" t="s">
        <v>119</v>
      </c>
      <c r="H1040" s="343"/>
    </row>
    <row r="1041" spans="1:1015 1027:2042 2054:3069 3081:4096 4108:5110 5122:6137 6149:7164 7176:8191 8203:9205 9217:10232 10244:11259 11271:12286 12298:14327 14339:15354 15366:16381">
      <c r="B1041" s="344"/>
      <c r="C1041" s="133" t="s">
        <v>102</v>
      </c>
      <c r="D1041" s="144" t="s">
        <v>103</v>
      </c>
      <c r="E1041" s="144" t="s">
        <v>120</v>
      </c>
      <c r="F1041" s="144" t="s">
        <v>103</v>
      </c>
      <c r="G1041" s="144" t="s">
        <v>120</v>
      </c>
      <c r="H1041" s="144" t="s">
        <v>103</v>
      </c>
      <c r="Q1041" s="131"/>
      <c r="R1041" s="140"/>
      <c r="T1041" s="131"/>
      <c r="W1041" s="131"/>
      <c r="X1041" s="131"/>
      <c r="Y1041" s="131"/>
      <c r="Z1041" s="131"/>
      <c r="AA1041" s="131"/>
    </row>
    <row r="1042" spans="1:1015 1027:2042 2054:3069 3081:4096 4108:5110 5122:6137 6149:7164 7176:8191 8203:9205 9217:10232 10244:11259 11271:12286 12298:14327 14339:15354 15366:16381">
      <c r="B1042" s="134">
        <v>2021</v>
      </c>
      <c r="C1042" s="135">
        <v>0</v>
      </c>
      <c r="D1042" s="136">
        <f t="shared" ref="D1042" si="42">+C1042*$N$1055</f>
        <v>0</v>
      </c>
      <c r="E1042" s="135">
        <v>0</v>
      </c>
      <c r="F1042" s="136">
        <f t="shared" ref="F1042" si="43">+E1042*$N$1055</f>
        <v>0</v>
      </c>
      <c r="G1042" s="136">
        <f>+C1042+E1042</f>
        <v>0</v>
      </c>
      <c r="H1042" s="136">
        <f>+D1042+F1042</f>
        <v>0</v>
      </c>
    </row>
    <row r="1043" spans="1:1015 1027:2042 2054:3069 3081:4096 4108:5110 5122:6137 6149:7164 7176:8191 8203:9205 9217:10232 10244:11259 11271:12286 12298:14327 14339:15354 15366:16381">
      <c r="B1043" s="134">
        <v>2022</v>
      </c>
      <c r="C1043" s="135">
        <v>8662</v>
      </c>
      <c r="D1043" s="136">
        <f>+C1043*$N$1000</f>
        <v>157.57686010551211</v>
      </c>
      <c r="E1043" s="135">
        <v>808</v>
      </c>
      <c r="F1043" s="136">
        <f>+E1043*$N$1000</f>
        <v>14.698926687283974</v>
      </c>
      <c r="G1043" s="136">
        <f t="shared" ref="G1043:G1048" si="44">+C1043+E1043</f>
        <v>9470</v>
      </c>
      <c r="H1043" s="136">
        <f t="shared" ref="H1043:H1048" si="45">+D1043+F1043</f>
        <v>172.27578679279608</v>
      </c>
      <c r="Z1043" s="104"/>
      <c r="AA1043" s="103"/>
      <c r="AM1043" s="104"/>
      <c r="AN1043" s="103"/>
      <c r="AZ1043" s="104"/>
      <c r="BA1043" s="103"/>
      <c r="BM1043" s="104"/>
      <c r="BN1043" s="103"/>
      <c r="BZ1043" s="104"/>
      <c r="CA1043" s="103"/>
      <c r="CM1043" s="104"/>
      <c r="CN1043" s="103"/>
      <c r="CZ1043" s="104"/>
      <c r="DA1043" s="103"/>
      <c r="DM1043" s="104"/>
      <c r="DN1043" s="103"/>
      <c r="DZ1043" s="104"/>
      <c r="EA1043" s="103"/>
      <c r="EM1043" s="104"/>
      <c r="EN1043" s="103"/>
      <c r="EZ1043" s="104"/>
      <c r="FA1043" s="103"/>
      <c r="FM1043" s="104"/>
      <c r="FN1043" s="103"/>
      <c r="FZ1043" s="104"/>
      <c r="GA1043" s="103"/>
      <c r="GM1043" s="104"/>
      <c r="GN1043" s="103"/>
      <c r="GZ1043" s="104"/>
      <c r="HA1043" s="103"/>
      <c r="HM1043" s="104"/>
      <c r="HN1043" s="103"/>
      <c r="HZ1043" s="104"/>
      <c r="IA1043" s="103"/>
      <c r="IM1043" s="104"/>
      <c r="IN1043" s="103"/>
      <c r="IZ1043" s="104"/>
      <c r="JA1043" s="103"/>
      <c r="JM1043" s="104"/>
      <c r="JN1043" s="103"/>
      <c r="JZ1043" s="104"/>
      <c r="KA1043" s="103"/>
      <c r="KM1043" s="104"/>
      <c r="KN1043" s="103"/>
      <c r="KZ1043" s="104"/>
      <c r="LA1043" s="103"/>
      <c r="LM1043" s="104"/>
      <c r="LN1043" s="103"/>
      <c r="LZ1043" s="104"/>
      <c r="MA1043" s="103"/>
      <c r="MM1043" s="104"/>
      <c r="MN1043" s="103"/>
      <c r="MZ1043" s="104"/>
      <c r="NA1043" s="103"/>
      <c r="NM1043" s="104"/>
      <c r="NN1043" s="103"/>
      <c r="NZ1043" s="104"/>
      <c r="OA1043" s="103"/>
      <c r="OM1043" s="104"/>
      <c r="ON1043" s="103"/>
      <c r="OZ1043" s="104"/>
      <c r="PA1043" s="103"/>
      <c r="PM1043" s="104"/>
      <c r="PN1043" s="103"/>
      <c r="PZ1043" s="104"/>
      <c r="QA1043" s="103"/>
      <c r="QM1043" s="104"/>
      <c r="QN1043" s="103"/>
      <c r="QZ1043" s="104"/>
      <c r="RA1043" s="103"/>
      <c r="RM1043" s="104"/>
      <c r="RN1043" s="103"/>
      <c r="RZ1043" s="104"/>
      <c r="SA1043" s="103"/>
      <c r="SM1043" s="104"/>
      <c r="SN1043" s="103"/>
      <c r="SZ1043" s="104"/>
      <c r="TA1043" s="103"/>
      <c r="TM1043" s="104"/>
      <c r="TN1043" s="103"/>
      <c r="TZ1043" s="104"/>
      <c r="UA1043" s="103"/>
      <c r="UM1043" s="104"/>
      <c r="UN1043" s="103"/>
      <c r="UZ1043" s="104"/>
      <c r="VA1043" s="103"/>
      <c r="VM1043" s="104"/>
      <c r="VN1043" s="103"/>
      <c r="VZ1043" s="104"/>
      <c r="WA1043" s="103"/>
      <c r="WM1043" s="104"/>
      <c r="WN1043" s="103"/>
      <c r="WZ1043" s="104"/>
      <c r="XA1043" s="103"/>
      <c r="XM1043" s="104"/>
      <c r="XN1043" s="103"/>
      <c r="XZ1043" s="104"/>
      <c r="YA1043" s="103"/>
      <c r="YM1043" s="104"/>
      <c r="YN1043" s="103"/>
      <c r="YZ1043" s="104"/>
      <c r="ZA1043" s="103"/>
      <c r="ZM1043" s="104"/>
      <c r="ZN1043" s="103"/>
      <c r="ZZ1043" s="104"/>
      <c r="AAA1043" s="103"/>
      <c r="AAM1043" s="104"/>
      <c r="AAN1043" s="103"/>
      <c r="AAZ1043" s="104"/>
      <c r="ABA1043" s="103"/>
      <c r="ABM1043" s="104"/>
      <c r="ABN1043" s="103"/>
      <c r="ABZ1043" s="104"/>
      <c r="ACA1043" s="103"/>
      <c r="ACM1043" s="104"/>
      <c r="ACN1043" s="103"/>
      <c r="ACZ1043" s="104"/>
      <c r="ADA1043" s="103"/>
      <c r="ADM1043" s="104"/>
      <c r="ADN1043" s="103"/>
      <c r="ADZ1043" s="104"/>
      <c r="AEA1043" s="103"/>
      <c r="AEM1043" s="104"/>
      <c r="AEN1043" s="103"/>
      <c r="AEZ1043" s="104"/>
      <c r="AFA1043" s="103"/>
      <c r="AFM1043" s="104"/>
      <c r="AFN1043" s="103"/>
      <c r="AFZ1043" s="104"/>
      <c r="AGA1043" s="103"/>
      <c r="AGM1043" s="104"/>
      <c r="AGN1043" s="103"/>
      <c r="AGZ1043" s="104"/>
      <c r="AHA1043" s="103"/>
      <c r="AHM1043" s="104"/>
      <c r="AHN1043" s="103"/>
      <c r="AHZ1043" s="104"/>
      <c r="AIA1043" s="103"/>
      <c r="AIM1043" s="104"/>
      <c r="AIN1043" s="103"/>
      <c r="AIZ1043" s="104"/>
      <c r="AJA1043" s="103"/>
      <c r="AJM1043" s="104"/>
      <c r="AJN1043" s="103"/>
      <c r="AJZ1043" s="104"/>
      <c r="AKA1043" s="103"/>
      <c r="AKM1043" s="104"/>
      <c r="AKN1043" s="103"/>
      <c r="AKZ1043" s="104"/>
      <c r="ALA1043" s="103"/>
      <c r="ALM1043" s="104"/>
      <c r="ALN1043" s="103"/>
      <c r="ALZ1043" s="104"/>
      <c r="AMA1043" s="103"/>
      <c r="AMM1043" s="104"/>
      <c r="AMN1043" s="103"/>
      <c r="AMZ1043" s="104"/>
      <c r="ANA1043" s="103"/>
      <c r="ANM1043" s="104"/>
      <c r="ANN1043" s="103"/>
      <c r="ANZ1043" s="104"/>
      <c r="AOA1043" s="103"/>
      <c r="AOM1043" s="104"/>
      <c r="AON1043" s="103"/>
      <c r="AOZ1043" s="104"/>
      <c r="APA1043" s="103"/>
      <c r="APM1043" s="104"/>
      <c r="APN1043" s="103"/>
      <c r="APZ1043" s="104"/>
      <c r="AQA1043" s="103"/>
      <c r="AQM1043" s="104"/>
      <c r="AQN1043" s="103"/>
      <c r="AQZ1043" s="104"/>
      <c r="ARA1043" s="103"/>
      <c r="ARM1043" s="104"/>
      <c r="ARN1043" s="103"/>
      <c r="ARZ1043" s="104"/>
      <c r="ASA1043" s="103"/>
      <c r="ASM1043" s="104"/>
      <c r="ASN1043" s="103"/>
      <c r="ASZ1043" s="104"/>
      <c r="ATA1043" s="103"/>
      <c r="ATM1043" s="104"/>
      <c r="ATN1043" s="103"/>
      <c r="ATZ1043" s="104"/>
      <c r="AUA1043" s="103"/>
      <c r="AUM1043" s="104"/>
      <c r="AUN1043" s="103"/>
      <c r="AUZ1043" s="104"/>
      <c r="AVA1043" s="103"/>
      <c r="AVM1043" s="104"/>
      <c r="AVN1043" s="103"/>
      <c r="AVZ1043" s="104"/>
      <c r="AWA1043" s="103"/>
      <c r="AWM1043" s="104"/>
      <c r="AWN1043" s="103"/>
      <c r="AWZ1043" s="104"/>
      <c r="AXA1043" s="103"/>
      <c r="AXM1043" s="104"/>
      <c r="AXN1043" s="103"/>
      <c r="AXZ1043" s="104"/>
      <c r="AYA1043" s="103"/>
      <c r="AYM1043" s="104"/>
      <c r="AYN1043" s="103"/>
      <c r="AYZ1043" s="104"/>
      <c r="AZA1043" s="103"/>
      <c r="AZM1043" s="104"/>
      <c r="AZN1043" s="103"/>
      <c r="AZZ1043" s="104"/>
      <c r="BAA1043" s="103"/>
      <c r="BAM1043" s="104"/>
      <c r="BAN1043" s="103"/>
      <c r="BAZ1043" s="104"/>
      <c r="BBA1043" s="103"/>
      <c r="BBM1043" s="104"/>
      <c r="BBN1043" s="103"/>
      <c r="BBZ1043" s="104"/>
      <c r="BCA1043" s="103"/>
      <c r="BCM1043" s="104"/>
      <c r="BCN1043" s="103"/>
      <c r="BCZ1043" s="104"/>
      <c r="BDA1043" s="103"/>
      <c r="BDM1043" s="104"/>
      <c r="BDN1043" s="103"/>
      <c r="BDZ1043" s="104"/>
      <c r="BEA1043" s="103"/>
      <c r="BEM1043" s="104"/>
      <c r="BEN1043" s="103"/>
      <c r="BEZ1043" s="104"/>
      <c r="BFA1043" s="103"/>
      <c r="BFM1043" s="104"/>
      <c r="BFN1043" s="103"/>
      <c r="BFZ1043" s="104"/>
      <c r="BGA1043" s="103"/>
      <c r="BGM1043" s="104"/>
      <c r="BGN1043" s="103"/>
      <c r="BGZ1043" s="104"/>
      <c r="BHA1043" s="103"/>
      <c r="BHM1043" s="104"/>
      <c r="BHN1043" s="103"/>
      <c r="BHZ1043" s="104"/>
      <c r="BIA1043" s="103"/>
      <c r="BIM1043" s="104"/>
      <c r="BIN1043" s="103"/>
      <c r="BIZ1043" s="104"/>
      <c r="BJA1043" s="103"/>
      <c r="BJM1043" s="104"/>
      <c r="BJN1043" s="103"/>
      <c r="BJZ1043" s="104"/>
      <c r="BKA1043" s="103"/>
      <c r="BKM1043" s="104"/>
      <c r="BKN1043" s="103"/>
      <c r="BKZ1043" s="104"/>
      <c r="BLA1043" s="103"/>
      <c r="BLM1043" s="104"/>
      <c r="BLN1043" s="103"/>
      <c r="BLZ1043" s="104"/>
      <c r="BMA1043" s="103"/>
      <c r="BMM1043" s="104"/>
      <c r="BMN1043" s="103"/>
      <c r="BMZ1043" s="104"/>
      <c r="BNA1043" s="103"/>
      <c r="BNM1043" s="104"/>
      <c r="BNN1043" s="103"/>
      <c r="BNZ1043" s="104"/>
      <c r="BOA1043" s="103"/>
      <c r="BOM1043" s="104"/>
      <c r="BON1043" s="103"/>
      <c r="BOZ1043" s="104"/>
      <c r="BPA1043" s="103"/>
      <c r="BPM1043" s="104"/>
      <c r="BPN1043" s="103"/>
      <c r="BPZ1043" s="104"/>
      <c r="BQA1043" s="103"/>
      <c r="BQM1043" s="104"/>
      <c r="BQN1043" s="103"/>
      <c r="BQZ1043" s="104"/>
      <c r="BRA1043" s="103"/>
      <c r="BRM1043" s="104"/>
      <c r="BRN1043" s="103"/>
      <c r="BRZ1043" s="104"/>
      <c r="BSA1043" s="103"/>
      <c r="BSM1043" s="104"/>
      <c r="BSN1043" s="103"/>
      <c r="BSZ1043" s="104"/>
      <c r="BTA1043" s="103"/>
      <c r="BTM1043" s="104"/>
      <c r="BTN1043" s="103"/>
      <c r="BTZ1043" s="104"/>
      <c r="BUA1043" s="103"/>
      <c r="BUM1043" s="104"/>
      <c r="BUN1043" s="103"/>
      <c r="BUZ1043" s="104"/>
      <c r="BVA1043" s="103"/>
      <c r="BVM1043" s="104"/>
      <c r="BVN1043" s="103"/>
      <c r="BVZ1043" s="104"/>
      <c r="BWA1043" s="103"/>
      <c r="BWM1043" s="104"/>
      <c r="BWN1043" s="103"/>
      <c r="BWZ1043" s="104"/>
      <c r="BXA1043" s="103"/>
      <c r="BXM1043" s="104"/>
      <c r="BXN1043" s="103"/>
      <c r="BXZ1043" s="104"/>
      <c r="BYA1043" s="103"/>
      <c r="BYM1043" s="104"/>
      <c r="BYN1043" s="103"/>
      <c r="BYZ1043" s="104"/>
      <c r="BZA1043" s="103"/>
      <c r="BZM1043" s="104"/>
      <c r="BZN1043" s="103"/>
      <c r="BZZ1043" s="104"/>
      <c r="CAA1043" s="103"/>
      <c r="CAM1043" s="104"/>
      <c r="CAN1043" s="103"/>
      <c r="CAZ1043" s="104"/>
      <c r="CBA1043" s="103"/>
      <c r="CBM1043" s="104"/>
      <c r="CBN1043" s="103"/>
      <c r="CBZ1043" s="104"/>
      <c r="CCA1043" s="103"/>
      <c r="CCM1043" s="104"/>
      <c r="CCN1043" s="103"/>
      <c r="CCZ1043" s="104"/>
      <c r="CDA1043" s="103"/>
      <c r="CDM1043" s="104"/>
      <c r="CDN1043" s="103"/>
      <c r="CDZ1043" s="104"/>
      <c r="CEA1043" s="103"/>
      <c r="CEM1043" s="104"/>
      <c r="CEN1043" s="103"/>
      <c r="CEZ1043" s="104"/>
      <c r="CFA1043" s="103"/>
      <c r="CFM1043" s="104"/>
      <c r="CFN1043" s="103"/>
      <c r="CFZ1043" s="104"/>
      <c r="CGA1043" s="103"/>
      <c r="CGM1043" s="104"/>
      <c r="CGN1043" s="103"/>
      <c r="CGZ1043" s="104"/>
      <c r="CHA1043" s="103"/>
      <c r="CHM1043" s="104"/>
      <c r="CHN1043" s="103"/>
      <c r="CHZ1043" s="104"/>
      <c r="CIA1043" s="103"/>
      <c r="CIM1043" s="104"/>
      <c r="CIN1043" s="103"/>
      <c r="CIZ1043" s="104"/>
      <c r="CJA1043" s="103"/>
      <c r="CJM1043" s="104"/>
      <c r="CJN1043" s="103"/>
      <c r="CJZ1043" s="104"/>
      <c r="CKA1043" s="103"/>
      <c r="CKM1043" s="104"/>
      <c r="CKN1043" s="103"/>
      <c r="CKZ1043" s="104"/>
      <c r="CLA1043" s="103"/>
      <c r="CLM1043" s="104"/>
      <c r="CLN1043" s="103"/>
      <c r="CLZ1043" s="104"/>
      <c r="CMA1043" s="103"/>
      <c r="CMM1043" s="104"/>
      <c r="CMN1043" s="103"/>
      <c r="CMZ1043" s="104"/>
      <c r="CNA1043" s="103"/>
      <c r="CNM1043" s="104"/>
      <c r="CNN1043" s="103"/>
      <c r="CNZ1043" s="104"/>
      <c r="COA1043" s="103"/>
      <c r="COM1043" s="104"/>
      <c r="CON1043" s="103"/>
      <c r="COZ1043" s="104"/>
      <c r="CPA1043" s="103"/>
      <c r="CPM1043" s="104"/>
      <c r="CPN1043" s="103"/>
      <c r="CPZ1043" s="104"/>
      <c r="CQA1043" s="103"/>
      <c r="CQM1043" s="104"/>
      <c r="CQN1043" s="103"/>
      <c r="CQZ1043" s="104"/>
      <c r="CRA1043" s="103"/>
      <c r="CRM1043" s="104"/>
      <c r="CRN1043" s="103"/>
      <c r="CRZ1043" s="104"/>
      <c r="CSA1043" s="103"/>
      <c r="CSM1043" s="104"/>
      <c r="CSN1043" s="103"/>
      <c r="CSZ1043" s="104"/>
      <c r="CTA1043" s="103"/>
      <c r="CTM1043" s="104"/>
      <c r="CTN1043" s="103"/>
      <c r="CTZ1043" s="104"/>
      <c r="CUA1043" s="103"/>
      <c r="CUM1043" s="104"/>
      <c r="CUN1043" s="103"/>
      <c r="CUZ1043" s="104"/>
      <c r="CVA1043" s="103"/>
      <c r="CVM1043" s="104"/>
      <c r="CVN1043" s="103"/>
      <c r="CVZ1043" s="104"/>
      <c r="CWA1043" s="103"/>
      <c r="CWM1043" s="104"/>
      <c r="CWN1043" s="103"/>
      <c r="CWZ1043" s="104"/>
      <c r="CXA1043" s="103"/>
      <c r="CXM1043" s="104"/>
      <c r="CXN1043" s="103"/>
      <c r="CXZ1043" s="104"/>
      <c r="CYA1043" s="103"/>
      <c r="CYM1043" s="104"/>
      <c r="CYN1043" s="103"/>
      <c r="CYZ1043" s="104"/>
      <c r="CZA1043" s="103"/>
      <c r="CZM1043" s="104"/>
      <c r="CZN1043" s="103"/>
      <c r="CZZ1043" s="104"/>
      <c r="DAA1043" s="103"/>
      <c r="DAM1043" s="104"/>
      <c r="DAN1043" s="103"/>
      <c r="DAZ1043" s="104"/>
      <c r="DBA1043" s="103"/>
      <c r="DBM1043" s="104"/>
      <c r="DBN1043" s="103"/>
      <c r="DBZ1043" s="104"/>
      <c r="DCA1043" s="103"/>
      <c r="DCM1043" s="104"/>
      <c r="DCN1043" s="103"/>
      <c r="DCZ1043" s="104"/>
      <c r="DDA1043" s="103"/>
      <c r="DDM1043" s="104"/>
      <c r="DDN1043" s="103"/>
      <c r="DDZ1043" s="104"/>
      <c r="DEA1043" s="103"/>
      <c r="DEM1043" s="104"/>
      <c r="DEN1043" s="103"/>
      <c r="DEZ1043" s="104"/>
      <c r="DFA1043" s="103"/>
      <c r="DFM1043" s="104"/>
      <c r="DFN1043" s="103"/>
      <c r="DFZ1043" s="104"/>
      <c r="DGA1043" s="103"/>
      <c r="DGM1043" s="104"/>
      <c r="DGN1043" s="103"/>
      <c r="DGZ1043" s="104"/>
      <c r="DHA1043" s="103"/>
      <c r="DHM1043" s="104"/>
      <c r="DHN1043" s="103"/>
      <c r="DHZ1043" s="104"/>
      <c r="DIA1043" s="103"/>
      <c r="DIM1043" s="104"/>
      <c r="DIN1043" s="103"/>
      <c r="DIZ1043" s="104"/>
      <c r="DJA1043" s="103"/>
      <c r="DJM1043" s="104"/>
      <c r="DJN1043" s="103"/>
      <c r="DJZ1043" s="104"/>
      <c r="DKA1043" s="103"/>
      <c r="DKM1043" s="104"/>
      <c r="DKN1043" s="103"/>
      <c r="DKZ1043" s="104"/>
      <c r="DLA1043" s="103"/>
      <c r="DLM1043" s="104"/>
      <c r="DLN1043" s="103"/>
      <c r="DLZ1043" s="104"/>
      <c r="DMA1043" s="103"/>
      <c r="DMM1043" s="104"/>
      <c r="DMN1043" s="103"/>
      <c r="DMZ1043" s="104"/>
      <c r="DNA1043" s="103"/>
      <c r="DNM1043" s="104"/>
      <c r="DNN1043" s="103"/>
      <c r="DNZ1043" s="104"/>
      <c r="DOA1043" s="103"/>
      <c r="DOM1043" s="104"/>
      <c r="DON1043" s="103"/>
      <c r="DOZ1043" s="104"/>
      <c r="DPA1043" s="103"/>
      <c r="DPM1043" s="104"/>
      <c r="DPN1043" s="103"/>
      <c r="DPZ1043" s="104"/>
      <c r="DQA1043" s="103"/>
      <c r="DQM1043" s="104"/>
      <c r="DQN1043" s="103"/>
      <c r="DQZ1043" s="104"/>
      <c r="DRA1043" s="103"/>
      <c r="DRM1043" s="104"/>
      <c r="DRN1043" s="103"/>
      <c r="DRZ1043" s="104"/>
      <c r="DSA1043" s="103"/>
      <c r="DSM1043" s="104"/>
      <c r="DSN1043" s="103"/>
      <c r="DSZ1043" s="104"/>
      <c r="DTA1043" s="103"/>
      <c r="DTM1043" s="104"/>
      <c r="DTN1043" s="103"/>
      <c r="DTZ1043" s="104"/>
      <c r="DUA1043" s="103"/>
      <c r="DUM1043" s="104"/>
      <c r="DUN1043" s="103"/>
      <c r="DUZ1043" s="104"/>
      <c r="DVA1043" s="103"/>
      <c r="DVM1043" s="104"/>
      <c r="DVN1043" s="103"/>
      <c r="DVZ1043" s="104"/>
      <c r="DWA1043" s="103"/>
      <c r="DWM1043" s="104"/>
      <c r="DWN1043" s="103"/>
      <c r="DWZ1043" s="104"/>
      <c r="DXA1043" s="103"/>
      <c r="DXM1043" s="104"/>
      <c r="DXN1043" s="103"/>
      <c r="DXZ1043" s="104"/>
      <c r="DYA1043" s="103"/>
      <c r="DYM1043" s="104"/>
      <c r="DYN1043" s="103"/>
      <c r="DYZ1043" s="104"/>
      <c r="DZA1043" s="103"/>
      <c r="DZM1043" s="104"/>
      <c r="DZN1043" s="103"/>
      <c r="DZZ1043" s="104"/>
      <c r="EAA1043" s="103"/>
      <c r="EAM1043" s="104"/>
      <c r="EAN1043" s="103"/>
      <c r="EAZ1043" s="104"/>
      <c r="EBA1043" s="103"/>
      <c r="EBM1043" s="104"/>
      <c r="EBN1043" s="103"/>
      <c r="EBZ1043" s="104"/>
      <c r="ECA1043" s="103"/>
      <c r="ECM1043" s="104"/>
      <c r="ECN1043" s="103"/>
      <c r="ECZ1043" s="104"/>
      <c r="EDA1043" s="103"/>
      <c r="EDM1043" s="104"/>
      <c r="EDN1043" s="103"/>
      <c r="EDZ1043" s="104"/>
      <c r="EEA1043" s="103"/>
      <c r="EEM1043" s="104"/>
      <c r="EEN1043" s="103"/>
      <c r="EEZ1043" s="104"/>
      <c r="EFA1043" s="103"/>
      <c r="EFM1043" s="104"/>
      <c r="EFN1043" s="103"/>
      <c r="EFZ1043" s="104"/>
      <c r="EGA1043" s="103"/>
      <c r="EGM1043" s="104"/>
      <c r="EGN1043" s="103"/>
      <c r="EGZ1043" s="104"/>
      <c r="EHA1043" s="103"/>
      <c r="EHM1043" s="104"/>
      <c r="EHN1043" s="103"/>
      <c r="EHZ1043" s="104"/>
      <c r="EIA1043" s="103"/>
      <c r="EIM1043" s="104"/>
      <c r="EIN1043" s="103"/>
      <c r="EIZ1043" s="104"/>
      <c r="EJA1043" s="103"/>
      <c r="EJM1043" s="104"/>
      <c r="EJN1043" s="103"/>
      <c r="EJZ1043" s="104"/>
      <c r="EKA1043" s="103"/>
      <c r="EKM1043" s="104"/>
      <c r="EKN1043" s="103"/>
      <c r="EKZ1043" s="104"/>
      <c r="ELA1043" s="103"/>
      <c r="ELM1043" s="104"/>
      <c r="ELN1043" s="103"/>
      <c r="ELZ1043" s="104"/>
      <c r="EMA1043" s="103"/>
      <c r="EMM1043" s="104"/>
      <c r="EMN1043" s="103"/>
      <c r="EMZ1043" s="104"/>
      <c r="ENA1043" s="103"/>
      <c r="ENM1043" s="104"/>
      <c r="ENN1043" s="103"/>
      <c r="ENZ1043" s="104"/>
      <c r="EOA1043" s="103"/>
      <c r="EOM1043" s="104"/>
      <c r="EON1043" s="103"/>
      <c r="EOZ1043" s="104"/>
      <c r="EPA1043" s="103"/>
      <c r="EPM1043" s="104"/>
      <c r="EPN1043" s="103"/>
      <c r="EPZ1043" s="104"/>
      <c r="EQA1043" s="103"/>
      <c r="EQM1043" s="104"/>
      <c r="EQN1043" s="103"/>
      <c r="EQZ1043" s="104"/>
      <c r="ERA1043" s="103"/>
      <c r="ERM1043" s="104"/>
      <c r="ERN1043" s="103"/>
      <c r="ERZ1043" s="104"/>
      <c r="ESA1043" s="103"/>
      <c r="ESM1043" s="104"/>
      <c r="ESN1043" s="103"/>
      <c r="ESZ1043" s="104"/>
      <c r="ETA1043" s="103"/>
      <c r="ETM1043" s="104"/>
      <c r="ETN1043" s="103"/>
      <c r="ETZ1043" s="104"/>
      <c r="EUA1043" s="103"/>
      <c r="EUM1043" s="104"/>
      <c r="EUN1043" s="103"/>
      <c r="EUZ1043" s="104"/>
      <c r="EVA1043" s="103"/>
      <c r="EVM1043" s="104"/>
      <c r="EVN1043" s="103"/>
      <c r="EVZ1043" s="104"/>
      <c r="EWA1043" s="103"/>
      <c r="EWM1043" s="104"/>
      <c r="EWN1043" s="103"/>
      <c r="EWZ1043" s="104"/>
      <c r="EXA1043" s="103"/>
      <c r="EXM1043" s="104"/>
      <c r="EXN1043" s="103"/>
      <c r="EXZ1043" s="104"/>
      <c r="EYA1043" s="103"/>
      <c r="EYM1043" s="104"/>
      <c r="EYN1043" s="103"/>
      <c r="EYZ1043" s="104"/>
      <c r="EZA1043" s="103"/>
      <c r="EZM1043" s="104"/>
      <c r="EZN1043" s="103"/>
      <c r="EZZ1043" s="104"/>
      <c r="FAA1043" s="103"/>
      <c r="FAM1043" s="104"/>
      <c r="FAN1043" s="103"/>
      <c r="FAZ1043" s="104"/>
      <c r="FBA1043" s="103"/>
      <c r="FBM1043" s="104"/>
      <c r="FBN1043" s="103"/>
      <c r="FBZ1043" s="104"/>
      <c r="FCA1043" s="103"/>
      <c r="FCM1043" s="104"/>
      <c r="FCN1043" s="103"/>
      <c r="FCZ1043" s="104"/>
      <c r="FDA1043" s="103"/>
      <c r="FDM1043" s="104"/>
      <c r="FDN1043" s="103"/>
      <c r="FDZ1043" s="104"/>
      <c r="FEA1043" s="103"/>
      <c r="FEM1043" s="104"/>
      <c r="FEN1043" s="103"/>
      <c r="FEZ1043" s="104"/>
      <c r="FFA1043" s="103"/>
      <c r="FFM1043" s="104"/>
      <c r="FFN1043" s="103"/>
      <c r="FFZ1043" s="104"/>
      <c r="FGA1043" s="103"/>
      <c r="FGM1043" s="104"/>
      <c r="FGN1043" s="103"/>
      <c r="FGZ1043" s="104"/>
      <c r="FHA1043" s="103"/>
      <c r="FHM1043" s="104"/>
      <c r="FHN1043" s="103"/>
      <c r="FHZ1043" s="104"/>
      <c r="FIA1043" s="103"/>
      <c r="FIM1043" s="104"/>
      <c r="FIN1043" s="103"/>
      <c r="FIZ1043" s="104"/>
      <c r="FJA1043" s="103"/>
      <c r="FJM1043" s="104"/>
      <c r="FJN1043" s="103"/>
      <c r="FJZ1043" s="104"/>
      <c r="FKA1043" s="103"/>
      <c r="FKM1043" s="104"/>
      <c r="FKN1043" s="103"/>
      <c r="FKZ1043" s="104"/>
      <c r="FLA1043" s="103"/>
      <c r="FLM1043" s="104"/>
      <c r="FLN1043" s="103"/>
      <c r="FLZ1043" s="104"/>
      <c r="FMA1043" s="103"/>
      <c r="FMM1043" s="104"/>
      <c r="FMN1043" s="103"/>
      <c r="FMZ1043" s="104"/>
      <c r="FNA1043" s="103"/>
      <c r="FNM1043" s="104"/>
      <c r="FNN1043" s="103"/>
      <c r="FNZ1043" s="104"/>
      <c r="FOA1043" s="103"/>
      <c r="FOM1043" s="104"/>
      <c r="FON1043" s="103"/>
      <c r="FOZ1043" s="104"/>
      <c r="FPA1043" s="103"/>
      <c r="FPM1043" s="104"/>
      <c r="FPN1043" s="103"/>
      <c r="FPZ1043" s="104"/>
      <c r="FQA1043" s="103"/>
      <c r="FQM1043" s="104"/>
      <c r="FQN1043" s="103"/>
      <c r="FQZ1043" s="104"/>
      <c r="FRA1043" s="103"/>
      <c r="FRM1043" s="104"/>
      <c r="FRN1043" s="103"/>
      <c r="FRZ1043" s="104"/>
      <c r="FSA1043" s="103"/>
      <c r="FSM1043" s="104"/>
      <c r="FSN1043" s="103"/>
      <c r="FSZ1043" s="104"/>
      <c r="FTA1043" s="103"/>
      <c r="FTM1043" s="104"/>
      <c r="FTN1043" s="103"/>
      <c r="FTZ1043" s="104"/>
      <c r="FUA1043" s="103"/>
      <c r="FUM1043" s="104"/>
      <c r="FUN1043" s="103"/>
      <c r="FUZ1043" s="104"/>
      <c r="FVA1043" s="103"/>
      <c r="FVM1043" s="104"/>
      <c r="FVN1043" s="103"/>
      <c r="FVZ1043" s="104"/>
      <c r="FWA1043" s="103"/>
      <c r="FWM1043" s="104"/>
      <c r="FWN1043" s="103"/>
      <c r="FWZ1043" s="104"/>
      <c r="FXA1043" s="103"/>
      <c r="FXM1043" s="104"/>
      <c r="FXN1043" s="103"/>
      <c r="FXZ1043" s="104"/>
      <c r="FYA1043" s="103"/>
      <c r="FYM1043" s="104"/>
      <c r="FYN1043" s="103"/>
      <c r="FYZ1043" s="104"/>
      <c r="FZA1043" s="103"/>
      <c r="FZM1043" s="104"/>
      <c r="FZN1043" s="103"/>
      <c r="FZZ1043" s="104"/>
      <c r="GAA1043" s="103"/>
      <c r="GAM1043" s="104"/>
      <c r="GAN1043" s="103"/>
      <c r="GAZ1043" s="104"/>
      <c r="GBA1043" s="103"/>
      <c r="GBM1043" s="104"/>
      <c r="GBN1043" s="103"/>
      <c r="GBZ1043" s="104"/>
      <c r="GCA1043" s="103"/>
      <c r="GCM1043" s="104"/>
      <c r="GCN1043" s="103"/>
      <c r="GCZ1043" s="104"/>
      <c r="GDA1043" s="103"/>
      <c r="GDM1043" s="104"/>
      <c r="GDN1043" s="103"/>
      <c r="GDZ1043" s="104"/>
      <c r="GEA1043" s="103"/>
      <c r="GEM1043" s="104"/>
      <c r="GEN1043" s="103"/>
      <c r="GEZ1043" s="104"/>
      <c r="GFA1043" s="103"/>
      <c r="GFM1043" s="104"/>
      <c r="GFN1043" s="103"/>
      <c r="GFZ1043" s="104"/>
      <c r="GGA1043" s="103"/>
      <c r="GGM1043" s="104"/>
      <c r="GGN1043" s="103"/>
      <c r="GGZ1043" s="104"/>
      <c r="GHA1043" s="103"/>
      <c r="GHM1043" s="104"/>
      <c r="GHN1043" s="103"/>
      <c r="GHZ1043" s="104"/>
      <c r="GIA1043" s="103"/>
      <c r="GIM1043" s="104"/>
      <c r="GIN1043" s="103"/>
      <c r="GIZ1043" s="104"/>
      <c r="GJA1043" s="103"/>
      <c r="GJM1043" s="104"/>
      <c r="GJN1043" s="103"/>
      <c r="GJZ1043" s="104"/>
      <c r="GKA1043" s="103"/>
      <c r="GKM1043" s="104"/>
      <c r="GKN1043" s="103"/>
      <c r="GKZ1043" s="104"/>
      <c r="GLA1043" s="103"/>
      <c r="GLM1043" s="104"/>
      <c r="GLN1043" s="103"/>
      <c r="GLZ1043" s="104"/>
      <c r="GMA1043" s="103"/>
      <c r="GMM1043" s="104"/>
      <c r="GMN1043" s="103"/>
      <c r="GMZ1043" s="104"/>
      <c r="GNA1043" s="103"/>
      <c r="GNM1043" s="104"/>
      <c r="GNN1043" s="103"/>
      <c r="GNZ1043" s="104"/>
      <c r="GOA1043" s="103"/>
      <c r="GOM1043" s="104"/>
      <c r="GON1043" s="103"/>
      <c r="GOZ1043" s="104"/>
      <c r="GPA1043" s="103"/>
      <c r="GPM1043" s="104"/>
      <c r="GPN1043" s="103"/>
      <c r="GPZ1043" s="104"/>
      <c r="GQA1043" s="103"/>
      <c r="GQM1043" s="104"/>
      <c r="GQN1043" s="103"/>
      <c r="GQZ1043" s="104"/>
      <c r="GRA1043" s="103"/>
      <c r="GRM1043" s="104"/>
      <c r="GRN1043" s="103"/>
      <c r="GRZ1043" s="104"/>
      <c r="GSA1043" s="103"/>
      <c r="GSM1043" s="104"/>
      <c r="GSN1043" s="103"/>
      <c r="GSZ1043" s="104"/>
      <c r="GTA1043" s="103"/>
      <c r="GTM1043" s="104"/>
      <c r="GTN1043" s="103"/>
      <c r="GTZ1043" s="104"/>
      <c r="GUA1043" s="103"/>
      <c r="GUM1043" s="104"/>
      <c r="GUN1043" s="103"/>
      <c r="GUZ1043" s="104"/>
      <c r="GVA1043" s="103"/>
      <c r="GVM1043" s="104"/>
      <c r="GVN1043" s="103"/>
      <c r="GVZ1043" s="104"/>
      <c r="GWA1043" s="103"/>
      <c r="GWM1043" s="104"/>
      <c r="GWN1043" s="103"/>
      <c r="GWZ1043" s="104"/>
      <c r="GXA1043" s="103"/>
      <c r="GXM1043" s="104"/>
      <c r="GXN1043" s="103"/>
      <c r="GXZ1043" s="104"/>
      <c r="GYA1043" s="103"/>
      <c r="GYM1043" s="104"/>
      <c r="GYN1043" s="103"/>
      <c r="GYZ1043" s="104"/>
      <c r="GZA1043" s="103"/>
      <c r="GZM1043" s="104"/>
      <c r="GZN1043" s="103"/>
      <c r="GZZ1043" s="104"/>
      <c r="HAA1043" s="103"/>
      <c r="HAM1043" s="104"/>
      <c r="HAN1043" s="103"/>
      <c r="HAZ1043" s="104"/>
      <c r="HBA1043" s="103"/>
      <c r="HBM1043" s="104"/>
      <c r="HBN1043" s="103"/>
      <c r="HBZ1043" s="104"/>
      <c r="HCA1043" s="103"/>
      <c r="HCM1043" s="104"/>
      <c r="HCN1043" s="103"/>
      <c r="HCZ1043" s="104"/>
      <c r="HDA1043" s="103"/>
      <c r="HDM1043" s="104"/>
      <c r="HDN1043" s="103"/>
      <c r="HDZ1043" s="104"/>
      <c r="HEA1043" s="103"/>
      <c r="HEM1043" s="104"/>
      <c r="HEN1043" s="103"/>
      <c r="HEZ1043" s="104"/>
      <c r="HFA1043" s="103"/>
      <c r="HFM1043" s="104"/>
      <c r="HFN1043" s="103"/>
      <c r="HFZ1043" s="104"/>
      <c r="HGA1043" s="103"/>
      <c r="HGM1043" s="104"/>
      <c r="HGN1043" s="103"/>
      <c r="HGZ1043" s="104"/>
      <c r="HHA1043" s="103"/>
      <c r="HHM1043" s="104"/>
      <c r="HHN1043" s="103"/>
      <c r="HHZ1043" s="104"/>
      <c r="HIA1043" s="103"/>
      <c r="HIM1043" s="104"/>
      <c r="HIN1043" s="103"/>
      <c r="HIZ1043" s="104"/>
      <c r="HJA1043" s="103"/>
      <c r="HJM1043" s="104"/>
      <c r="HJN1043" s="103"/>
      <c r="HJZ1043" s="104"/>
      <c r="HKA1043" s="103"/>
      <c r="HKM1043" s="104"/>
      <c r="HKN1043" s="103"/>
      <c r="HKZ1043" s="104"/>
      <c r="HLA1043" s="103"/>
      <c r="HLM1043" s="104"/>
      <c r="HLN1043" s="103"/>
      <c r="HLZ1043" s="104"/>
      <c r="HMA1043" s="103"/>
      <c r="HMM1043" s="104"/>
      <c r="HMN1043" s="103"/>
      <c r="HMZ1043" s="104"/>
      <c r="HNA1043" s="103"/>
      <c r="HNM1043" s="104"/>
      <c r="HNN1043" s="103"/>
      <c r="HNZ1043" s="104"/>
      <c r="HOA1043" s="103"/>
      <c r="HOM1043" s="104"/>
      <c r="HON1043" s="103"/>
      <c r="HOZ1043" s="104"/>
      <c r="HPA1043" s="103"/>
      <c r="HPM1043" s="104"/>
      <c r="HPN1043" s="103"/>
      <c r="HPZ1043" s="104"/>
      <c r="HQA1043" s="103"/>
      <c r="HQM1043" s="104"/>
      <c r="HQN1043" s="103"/>
      <c r="HQZ1043" s="104"/>
      <c r="HRA1043" s="103"/>
      <c r="HRM1043" s="104"/>
      <c r="HRN1043" s="103"/>
      <c r="HRZ1043" s="104"/>
      <c r="HSA1043" s="103"/>
      <c r="HSM1043" s="104"/>
      <c r="HSN1043" s="103"/>
      <c r="HSZ1043" s="104"/>
      <c r="HTA1043" s="103"/>
      <c r="HTM1043" s="104"/>
      <c r="HTN1043" s="103"/>
      <c r="HTZ1043" s="104"/>
      <c r="HUA1043" s="103"/>
      <c r="HUM1043" s="104"/>
      <c r="HUN1043" s="103"/>
      <c r="HUZ1043" s="104"/>
      <c r="HVA1043" s="103"/>
      <c r="HVM1043" s="104"/>
      <c r="HVN1043" s="103"/>
      <c r="HVZ1043" s="104"/>
      <c r="HWA1043" s="103"/>
      <c r="HWM1043" s="104"/>
      <c r="HWN1043" s="103"/>
      <c r="HWZ1043" s="104"/>
      <c r="HXA1043" s="103"/>
      <c r="HXM1043" s="104"/>
      <c r="HXN1043" s="103"/>
      <c r="HXZ1043" s="104"/>
      <c r="HYA1043" s="103"/>
      <c r="HYM1043" s="104"/>
      <c r="HYN1043" s="103"/>
      <c r="HYZ1043" s="104"/>
      <c r="HZA1043" s="103"/>
      <c r="HZM1043" s="104"/>
      <c r="HZN1043" s="103"/>
      <c r="HZZ1043" s="104"/>
      <c r="IAA1043" s="103"/>
      <c r="IAM1043" s="104"/>
      <c r="IAN1043" s="103"/>
      <c r="IAZ1043" s="104"/>
      <c r="IBA1043" s="103"/>
      <c r="IBM1043" s="104"/>
      <c r="IBN1043" s="103"/>
      <c r="IBZ1043" s="104"/>
      <c r="ICA1043" s="103"/>
      <c r="ICM1043" s="104"/>
      <c r="ICN1043" s="103"/>
      <c r="ICZ1043" s="104"/>
      <c r="IDA1043" s="103"/>
      <c r="IDM1043" s="104"/>
      <c r="IDN1043" s="103"/>
      <c r="IDZ1043" s="104"/>
      <c r="IEA1043" s="103"/>
      <c r="IEM1043" s="104"/>
      <c r="IEN1043" s="103"/>
      <c r="IEZ1043" s="104"/>
      <c r="IFA1043" s="103"/>
      <c r="IFM1043" s="104"/>
      <c r="IFN1043" s="103"/>
      <c r="IFZ1043" s="104"/>
      <c r="IGA1043" s="103"/>
      <c r="IGM1043" s="104"/>
      <c r="IGN1043" s="103"/>
      <c r="IGZ1043" s="104"/>
      <c r="IHA1043" s="103"/>
      <c r="IHM1043" s="104"/>
      <c r="IHN1043" s="103"/>
      <c r="IHZ1043" s="104"/>
      <c r="IIA1043" s="103"/>
      <c r="IIM1043" s="104"/>
      <c r="IIN1043" s="103"/>
      <c r="IIZ1043" s="104"/>
      <c r="IJA1043" s="103"/>
      <c r="IJM1043" s="104"/>
      <c r="IJN1043" s="103"/>
      <c r="IJZ1043" s="104"/>
      <c r="IKA1043" s="103"/>
      <c r="IKM1043" s="104"/>
      <c r="IKN1043" s="103"/>
      <c r="IKZ1043" s="104"/>
      <c r="ILA1043" s="103"/>
      <c r="ILM1043" s="104"/>
      <c r="ILN1043" s="103"/>
      <c r="ILZ1043" s="104"/>
      <c r="IMA1043" s="103"/>
      <c r="IMM1043" s="104"/>
      <c r="IMN1043" s="103"/>
      <c r="IMZ1043" s="104"/>
      <c r="INA1043" s="103"/>
      <c r="INM1043" s="104"/>
      <c r="INN1043" s="103"/>
      <c r="INZ1043" s="104"/>
      <c r="IOA1043" s="103"/>
      <c r="IOM1043" s="104"/>
      <c r="ION1043" s="103"/>
      <c r="IOZ1043" s="104"/>
      <c r="IPA1043" s="103"/>
      <c r="IPM1043" s="104"/>
      <c r="IPN1043" s="103"/>
      <c r="IPZ1043" s="104"/>
      <c r="IQA1043" s="103"/>
      <c r="IQM1043" s="104"/>
      <c r="IQN1043" s="103"/>
      <c r="IQZ1043" s="104"/>
      <c r="IRA1043" s="103"/>
      <c r="IRM1043" s="104"/>
      <c r="IRN1043" s="103"/>
      <c r="IRZ1043" s="104"/>
      <c r="ISA1043" s="103"/>
      <c r="ISM1043" s="104"/>
      <c r="ISN1043" s="103"/>
      <c r="ISZ1043" s="104"/>
      <c r="ITA1043" s="103"/>
      <c r="ITM1043" s="104"/>
      <c r="ITN1043" s="103"/>
      <c r="ITZ1043" s="104"/>
      <c r="IUA1043" s="103"/>
      <c r="IUM1043" s="104"/>
      <c r="IUN1043" s="103"/>
      <c r="IUZ1043" s="104"/>
      <c r="IVA1043" s="103"/>
      <c r="IVM1043" s="104"/>
      <c r="IVN1043" s="103"/>
      <c r="IVZ1043" s="104"/>
      <c r="IWA1043" s="103"/>
      <c r="IWM1043" s="104"/>
      <c r="IWN1043" s="103"/>
      <c r="IWZ1043" s="104"/>
      <c r="IXA1043" s="103"/>
      <c r="IXM1043" s="104"/>
      <c r="IXN1043" s="103"/>
      <c r="IXZ1043" s="104"/>
      <c r="IYA1043" s="103"/>
      <c r="IYM1043" s="104"/>
      <c r="IYN1043" s="103"/>
      <c r="IYZ1043" s="104"/>
      <c r="IZA1043" s="103"/>
      <c r="IZM1043" s="104"/>
      <c r="IZN1043" s="103"/>
      <c r="IZZ1043" s="104"/>
      <c r="JAA1043" s="103"/>
      <c r="JAM1043" s="104"/>
      <c r="JAN1043" s="103"/>
      <c r="JAZ1043" s="104"/>
      <c r="JBA1043" s="103"/>
      <c r="JBM1043" s="104"/>
      <c r="JBN1043" s="103"/>
      <c r="JBZ1043" s="104"/>
      <c r="JCA1043" s="103"/>
      <c r="JCM1043" s="104"/>
      <c r="JCN1043" s="103"/>
      <c r="JCZ1043" s="104"/>
      <c r="JDA1043" s="103"/>
      <c r="JDM1043" s="104"/>
      <c r="JDN1043" s="103"/>
      <c r="JDZ1043" s="104"/>
      <c r="JEA1043" s="103"/>
      <c r="JEM1043" s="104"/>
      <c r="JEN1043" s="103"/>
      <c r="JEZ1043" s="104"/>
      <c r="JFA1043" s="103"/>
      <c r="JFM1043" s="104"/>
      <c r="JFN1043" s="103"/>
      <c r="JFZ1043" s="104"/>
      <c r="JGA1043" s="103"/>
      <c r="JGM1043" s="104"/>
      <c r="JGN1043" s="103"/>
      <c r="JGZ1043" s="104"/>
      <c r="JHA1043" s="103"/>
      <c r="JHM1043" s="104"/>
      <c r="JHN1043" s="103"/>
      <c r="JHZ1043" s="104"/>
      <c r="JIA1043" s="103"/>
      <c r="JIM1043" s="104"/>
      <c r="JIN1043" s="103"/>
      <c r="JIZ1043" s="104"/>
      <c r="JJA1043" s="103"/>
      <c r="JJM1043" s="104"/>
      <c r="JJN1043" s="103"/>
      <c r="JJZ1043" s="104"/>
      <c r="JKA1043" s="103"/>
      <c r="JKM1043" s="104"/>
      <c r="JKN1043" s="103"/>
      <c r="JKZ1043" s="104"/>
      <c r="JLA1043" s="103"/>
      <c r="JLM1043" s="104"/>
      <c r="JLN1043" s="103"/>
      <c r="JLZ1043" s="104"/>
      <c r="JMA1043" s="103"/>
      <c r="JMM1043" s="104"/>
      <c r="JMN1043" s="103"/>
      <c r="JMZ1043" s="104"/>
      <c r="JNA1043" s="103"/>
      <c r="JNM1043" s="104"/>
      <c r="JNN1043" s="103"/>
      <c r="JNZ1043" s="104"/>
      <c r="JOA1043" s="103"/>
      <c r="JOM1043" s="104"/>
      <c r="JON1043" s="103"/>
      <c r="JOZ1043" s="104"/>
      <c r="JPA1043" s="103"/>
      <c r="JPM1043" s="104"/>
      <c r="JPN1043" s="103"/>
      <c r="JPZ1043" s="104"/>
      <c r="JQA1043" s="103"/>
      <c r="JQM1043" s="104"/>
      <c r="JQN1043" s="103"/>
      <c r="JQZ1043" s="104"/>
      <c r="JRA1043" s="103"/>
      <c r="JRM1043" s="104"/>
      <c r="JRN1043" s="103"/>
      <c r="JRZ1043" s="104"/>
      <c r="JSA1043" s="103"/>
      <c r="JSM1043" s="104"/>
      <c r="JSN1043" s="103"/>
      <c r="JSZ1043" s="104"/>
      <c r="JTA1043" s="103"/>
      <c r="JTM1043" s="104"/>
      <c r="JTN1043" s="103"/>
      <c r="JTZ1043" s="104"/>
      <c r="JUA1043" s="103"/>
      <c r="JUM1043" s="104"/>
      <c r="JUN1043" s="103"/>
      <c r="JUZ1043" s="104"/>
      <c r="JVA1043" s="103"/>
      <c r="JVM1043" s="104"/>
      <c r="JVN1043" s="103"/>
      <c r="JVZ1043" s="104"/>
      <c r="JWA1043" s="103"/>
      <c r="JWM1043" s="104"/>
      <c r="JWN1043" s="103"/>
      <c r="JWZ1043" s="104"/>
      <c r="JXA1043" s="103"/>
      <c r="JXM1043" s="104"/>
      <c r="JXN1043" s="103"/>
      <c r="JXZ1043" s="104"/>
      <c r="JYA1043" s="103"/>
      <c r="JYM1043" s="104"/>
      <c r="JYN1043" s="103"/>
      <c r="JYZ1043" s="104"/>
      <c r="JZA1043" s="103"/>
      <c r="JZM1043" s="104"/>
      <c r="JZN1043" s="103"/>
      <c r="JZZ1043" s="104"/>
      <c r="KAA1043" s="103"/>
      <c r="KAM1043" s="104"/>
      <c r="KAN1043" s="103"/>
      <c r="KAZ1043" s="104"/>
      <c r="KBA1043" s="103"/>
      <c r="KBM1043" s="104"/>
      <c r="KBN1043" s="103"/>
      <c r="KBZ1043" s="104"/>
      <c r="KCA1043" s="103"/>
      <c r="KCM1043" s="104"/>
      <c r="KCN1043" s="103"/>
      <c r="KCZ1043" s="104"/>
      <c r="KDA1043" s="103"/>
      <c r="KDM1043" s="104"/>
      <c r="KDN1043" s="103"/>
      <c r="KDZ1043" s="104"/>
      <c r="KEA1043" s="103"/>
      <c r="KEM1043" s="104"/>
      <c r="KEN1043" s="103"/>
      <c r="KEZ1043" s="104"/>
      <c r="KFA1043" s="103"/>
      <c r="KFM1043" s="104"/>
      <c r="KFN1043" s="103"/>
      <c r="KFZ1043" s="104"/>
      <c r="KGA1043" s="103"/>
      <c r="KGM1043" s="104"/>
      <c r="KGN1043" s="103"/>
      <c r="KGZ1043" s="104"/>
      <c r="KHA1043" s="103"/>
      <c r="KHM1043" s="104"/>
      <c r="KHN1043" s="103"/>
      <c r="KHZ1043" s="104"/>
      <c r="KIA1043" s="103"/>
      <c r="KIM1043" s="104"/>
      <c r="KIN1043" s="103"/>
      <c r="KIZ1043" s="104"/>
      <c r="KJA1043" s="103"/>
      <c r="KJM1043" s="104"/>
      <c r="KJN1043" s="103"/>
      <c r="KJZ1043" s="104"/>
      <c r="KKA1043" s="103"/>
      <c r="KKM1043" s="104"/>
      <c r="KKN1043" s="103"/>
      <c r="KKZ1043" s="104"/>
      <c r="KLA1043" s="103"/>
      <c r="KLM1043" s="104"/>
      <c r="KLN1043" s="103"/>
      <c r="KLZ1043" s="104"/>
      <c r="KMA1043" s="103"/>
      <c r="KMM1043" s="104"/>
      <c r="KMN1043" s="103"/>
      <c r="KMZ1043" s="104"/>
      <c r="KNA1043" s="103"/>
      <c r="KNM1043" s="104"/>
      <c r="KNN1043" s="103"/>
      <c r="KNZ1043" s="104"/>
      <c r="KOA1043" s="103"/>
      <c r="KOM1043" s="104"/>
      <c r="KON1043" s="103"/>
      <c r="KOZ1043" s="104"/>
      <c r="KPA1043" s="103"/>
      <c r="KPM1043" s="104"/>
      <c r="KPN1043" s="103"/>
      <c r="KPZ1043" s="104"/>
      <c r="KQA1043" s="103"/>
      <c r="KQM1043" s="104"/>
      <c r="KQN1043" s="103"/>
      <c r="KQZ1043" s="104"/>
      <c r="KRA1043" s="103"/>
      <c r="KRM1043" s="104"/>
      <c r="KRN1043" s="103"/>
      <c r="KRZ1043" s="104"/>
      <c r="KSA1043" s="103"/>
      <c r="KSM1043" s="104"/>
      <c r="KSN1043" s="103"/>
      <c r="KSZ1043" s="104"/>
      <c r="KTA1043" s="103"/>
      <c r="KTM1043" s="104"/>
      <c r="KTN1043" s="103"/>
      <c r="KTZ1043" s="104"/>
      <c r="KUA1043" s="103"/>
      <c r="KUM1043" s="104"/>
      <c r="KUN1043" s="103"/>
      <c r="KUZ1043" s="104"/>
      <c r="KVA1043" s="103"/>
      <c r="KVM1043" s="104"/>
      <c r="KVN1043" s="103"/>
      <c r="KVZ1043" s="104"/>
      <c r="KWA1043" s="103"/>
      <c r="KWM1043" s="104"/>
      <c r="KWN1043" s="103"/>
      <c r="KWZ1043" s="104"/>
      <c r="KXA1043" s="103"/>
      <c r="KXM1043" s="104"/>
      <c r="KXN1043" s="103"/>
      <c r="KXZ1043" s="104"/>
      <c r="KYA1043" s="103"/>
      <c r="KYM1043" s="104"/>
      <c r="KYN1043" s="103"/>
      <c r="KYZ1043" s="104"/>
      <c r="KZA1043" s="103"/>
      <c r="KZM1043" s="104"/>
      <c r="KZN1043" s="103"/>
      <c r="KZZ1043" s="104"/>
      <c r="LAA1043" s="103"/>
      <c r="LAM1043" s="104"/>
      <c r="LAN1043" s="103"/>
      <c r="LAZ1043" s="104"/>
      <c r="LBA1043" s="103"/>
      <c r="LBM1043" s="104"/>
      <c r="LBN1043" s="103"/>
      <c r="LBZ1043" s="104"/>
      <c r="LCA1043" s="103"/>
      <c r="LCM1043" s="104"/>
      <c r="LCN1043" s="103"/>
      <c r="LCZ1043" s="104"/>
      <c r="LDA1043" s="103"/>
      <c r="LDM1043" s="104"/>
      <c r="LDN1043" s="103"/>
      <c r="LDZ1043" s="104"/>
      <c r="LEA1043" s="103"/>
      <c r="LEM1043" s="104"/>
      <c r="LEN1043" s="103"/>
      <c r="LEZ1043" s="104"/>
      <c r="LFA1043" s="103"/>
      <c r="LFM1043" s="104"/>
      <c r="LFN1043" s="103"/>
      <c r="LFZ1043" s="104"/>
      <c r="LGA1043" s="103"/>
      <c r="LGM1043" s="104"/>
      <c r="LGN1043" s="103"/>
      <c r="LGZ1043" s="104"/>
      <c r="LHA1043" s="103"/>
      <c r="LHM1043" s="104"/>
      <c r="LHN1043" s="103"/>
      <c r="LHZ1043" s="104"/>
      <c r="LIA1043" s="103"/>
      <c r="LIM1043" s="104"/>
      <c r="LIN1043" s="103"/>
      <c r="LIZ1043" s="104"/>
      <c r="LJA1043" s="103"/>
      <c r="LJM1043" s="104"/>
      <c r="LJN1043" s="103"/>
      <c r="LJZ1043" s="104"/>
      <c r="LKA1043" s="103"/>
      <c r="LKM1043" s="104"/>
      <c r="LKN1043" s="103"/>
      <c r="LKZ1043" s="104"/>
      <c r="LLA1043" s="103"/>
      <c r="LLM1043" s="104"/>
      <c r="LLN1043" s="103"/>
      <c r="LLZ1043" s="104"/>
      <c r="LMA1043" s="103"/>
      <c r="LMM1043" s="104"/>
      <c r="LMN1043" s="103"/>
      <c r="LMZ1043" s="104"/>
      <c r="LNA1043" s="103"/>
      <c r="LNM1043" s="104"/>
      <c r="LNN1043" s="103"/>
      <c r="LNZ1043" s="104"/>
      <c r="LOA1043" s="103"/>
      <c r="LOM1043" s="104"/>
      <c r="LON1043" s="103"/>
      <c r="LOZ1043" s="104"/>
      <c r="LPA1043" s="103"/>
      <c r="LPM1043" s="104"/>
      <c r="LPN1043" s="103"/>
      <c r="LPZ1043" s="104"/>
      <c r="LQA1043" s="103"/>
      <c r="LQM1043" s="104"/>
      <c r="LQN1043" s="103"/>
      <c r="LQZ1043" s="104"/>
      <c r="LRA1043" s="103"/>
      <c r="LRM1043" s="104"/>
      <c r="LRN1043" s="103"/>
      <c r="LRZ1043" s="104"/>
      <c r="LSA1043" s="103"/>
      <c r="LSM1043" s="104"/>
      <c r="LSN1043" s="103"/>
      <c r="LSZ1043" s="104"/>
      <c r="LTA1043" s="103"/>
      <c r="LTM1043" s="104"/>
      <c r="LTN1043" s="103"/>
      <c r="LTZ1043" s="104"/>
      <c r="LUA1043" s="103"/>
      <c r="LUM1043" s="104"/>
      <c r="LUN1043" s="103"/>
      <c r="LUZ1043" s="104"/>
      <c r="LVA1043" s="103"/>
      <c r="LVM1043" s="104"/>
      <c r="LVN1043" s="103"/>
      <c r="LVZ1043" s="104"/>
      <c r="LWA1043" s="103"/>
      <c r="LWM1043" s="104"/>
      <c r="LWN1043" s="103"/>
      <c r="LWZ1043" s="104"/>
      <c r="LXA1043" s="103"/>
      <c r="LXM1043" s="104"/>
      <c r="LXN1043" s="103"/>
      <c r="LXZ1043" s="104"/>
      <c r="LYA1043" s="103"/>
      <c r="LYM1043" s="104"/>
      <c r="LYN1043" s="103"/>
      <c r="LYZ1043" s="104"/>
      <c r="LZA1043" s="103"/>
      <c r="LZM1043" s="104"/>
      <c r="LZN1043" s="103"/>
      <c r="LZZ1043" s="104"/>
      <c r="MAA1043" s="103"/>
      <c r="MAM1043" s="104"/>
      <c r="MAN1043" s="103"/>
      <c r="MAZ1043" s="104"/>
      <c r="MBA1043" s="103"/>
      <c r="MBM1043" s="104"/>
      <c r="MBN1043" s="103"/>
      <c r="MBZ1043" s="104"/>
      <c r="MCA1043" s="103"/>
      <c r="MCM1043" s="104"/>
      <c r="MCN1043" s="103"/>
      <c r="MCZ1043" s="104"/>
      <c r="MDA1043" s="103"/>
      <c r="MDM1043" s="104"/>
      <c r="MDN1043" s="103"/>
      <c r="MDZ1043" s="104"/>
      <c r="MEA1043" s="103"/>
      <c r="MEM1043" s="104"/>
      <c r="MEN1043" s="103"/>
      <c r="MEZ1043" s="104"/>
      <c r="MFA1043" s="103"/>
      <c r="MFM1043" s="104"/>
      <c r="MFN1043" s="103"/>
      <c r="MFZ1043" s="104"/>
      <c r="MGA1043" s="103"/>
      <c r="MGM1043" s="104"/>
      <c r="MGN1043" s="103"/>
      <c r="MGZ1043" s="104"/>
      <c r="MHA1043" s="103"/>
      <c r="MHM1043" s="104"/>
      <c r="MHN1043" s="103"/>
      <c r="MHZ1043" s="104"/>
      <c r="MIA1043" s="103"/>
      <c r="MIM1043" s="104"/>
      <c r="MIN1043" s="103"/>
      <c r="MIZ1043" s="104"/>
      <c r="MJA1043" s="103"/>
      <c r="MJM1043" s="104"/>
      <c r="MJN1043" s="103"/>
      <c r="MJZ1043" s="104"/>
      <c r="MKA1043" s="103"/>
      <c r="MKM1043" s="104"/>
      <c r="MKN1043" s="103"/>
      <c r="MKZ1043" s="104"/>
      <c r="MLA1043" s="103"/>
      <c r="MLM1043" s="104"/>
      <c r="MLN1043" s="103"/>
      <c r="MLZ1043" s="104"/>
      <c r="MMA1043" s="103"/>
      <c r="MMM1043" s="104"/>
      <c r="MMN1043" s="103"/>
      <c r="MMZ1043" s="104"/>
      <c r="MNA1043" s="103"/>
      <c r="MNM1043" s="104"/>
      <c r="MNN1043" s="103"/>
      <c r="MNZ1043" s="104"/>
      <c r="MOA1043" s="103"/>
      <c r="MOM1043" s="104"/>
      <c r="MON1043" s="103"/>
      <c r="MOZ1043" s="104"/>
      <c r="MPA1043" s="103"/>
      <c r="MPM1043" s="104"/>
      <c r="MPN1043" s="103"/>
      <c r="MPZ1043" s="104"/>
      <c r="MQA1043" s="103"/>
      <c r="MQM1043" s="104"/>
      <c r="MQN1043" s="103"/>
      <c r="MQZ1043" s="104"/>
      <c r="MRA1043" s="103"/>
      <c r="MRM1043" s="104"/>
      <c r="MRN1043" s="103"/>
      <c r="MRZ1043" s="104"/>
      <c r="MSA1043" s="103"/>
      <c r="MSM1043" s="104"/>
      <c r="MSN1043" s="103"/>
      <c r="MSZ1043" s="104"/>
      <c r="MTA1043" s="103"/>
      <c r="MTM1043" s="104"/>
      <c r="MTN1043" s="103"/>
      <c r="MTZ1043" s="104"/>
      <c r="MUA1043" s="103"/>
      <c r="MUM1043" s="104"/>
      <c r="MUN1043" s="103"/>
      <c r="MUZ1043" s="104"/>
      <c r="MVA1043" s="103"/>
      <c r="MVM1043" s="104"/>
      <c r="MVN1043" s="103"/>
      <c r="MVZ1043" s="104"/>
      <c r="MWA1043" s="103"/>
      <c r="MWM1043" s="104"/>
      <c r="MWN1043" s="103"/>
      <c r="MWZ1043" s="104"/>
      <c r="MXA1043" s="103"/>
      <c r="MXM1043" s="104"/>
      <c r="MXN1043" s="103"/>
      <c r="MXZ1043" s="104"/>
      <c r="MYA1043" s="103"/>
      <c r="MYM1043" s="104"/>
      <c r="MYN1043" s="103"/>
      <c r="MYZ1043" s="104"/>
      <c r="MZA1043" s="103"/>
      <c r="MZM1043" s="104"/>
      <c r="MZN1043" s="103"/>
      <c r="MZZ1043" s="104"/>
      <c r="NAA1043" s="103"/>
      <c r="NAM1043" s="104"/>
      <c r="NAN1043" s="103"/>
      <c r="NAZ1043" s="104"/>
      <c r="NBA1043" s="103"/>
      <c r="NBM1043" s="104"/>
      <c r="NBN1043" s="103"/>
      <c r="NBZ1043" s="104"/>
      <c r="NCA1043" s="103"/>
      <c r="NCM1043" s="104"/>
      <c r="NCN1043" s="103"/>
      <c r="NCZ1043" s="104"/>
      <c r="NDA1043" s="103"/>
      <c r="NDM1043" s="104"/>
      <c r="NDN1043" s="103"/>
      <c r="NDZ1043" s="104"/>
      <c r="NEA1043" s="103"/>
      <c r="NEM1043" s="104"/>
      <c r="NEN1043" s="103"/>
      <c r="NEZ1043" s="104"/>
      <c r="NFA1043" s="103"/>
      <c r="NFM1043" s="104"/>
      <c r="NFN1043" s="103"/>
      <c r="NFZ1043" s="104"/>
      <c r="NGA1043" s="103"/>
      <c r="NGM1043" s="104"/>
      <c r="NGN1043" s="103"/>
      <c r="NGZ1043" s="104"/>
      <c r="NHA1043" s="103"/>
      <c r="NHM1043" s="104"/>
      <c r="NHN1043" s="103"/>
      <c r="NHZ1043" s="104"/>
      <c r="NIA1043" s="103"/>
      <c r="NIM1043" s="104"/>
      <c r="NIN1043" s="103"/>
      <c r="NIZ1043" s="104"/>
      <c r="NJA1043" s="103"/>
      <c r="NJM1043" s="104"/>
      <c r="NJN1043" s="103"/>
      <c r="NJZ1043" s="104"/>
      <c r="NKA1043" s="103"/>
      <c r="NKM1043" s="104"/>
      <c r="NKN1043" s="103"/>
      <c r="NKZ1043" s="104"/>
      <c r="NLA1043" s="103"/>
      <c r="NLM1043" s="104"/>
      <c r="NLN1043" s="103"/>
      <c r="NLZ1043" s="104"/>
      <c r="NMA1043" s="103"/>
      <c r="NMM1043" s="104"/>
      <c r="NMN1043" s="103"/>
      <c r="NMZ1043" s="104"/>
      <c r="NNA1043" s="103"/>
      <c r="NNM1043" s="104"/>
      <c r="NNN1043" s="103"/>
      <c r="NNZ1043" s="104"/>
      <c r="NOA1043" s="103"/>
      <c r="NOM1043" s="104"/>
      <c r="NON1043" s="103"/>
      <c r="NOZ1043" s="104"/>
      <c r="NPA1043" s="103"/>
      <c r="NPM1043" s="104"/>
      <c r="NPN1043" s="103"/>
      <c r="NPZ1043" s="104"/>
      <c r="NQA1043" s="103"/>
      <c r="NQM1043" s="104"/>
      <c r="NQN1043" s="103"/>
      <c r="NQZ1043" s="104"/>
      <c r="NRA1043" s="103"/>
      <c r="NRM1043" s="104"/>
      <c r="NRN1043" s="103"/>
      <c r="NRZ1043" s="104"/>
      <c r="NSA1043" s="103"/>
      <c r="NSM1043" s="104"/>
      <c r="NSN1043" s="103"/>
      <c r="NSZ1043" s="104"/>
      <c r="NTA1043" s="103"/>
      <c r="NTM1043" s="104"/>
      <c r="NTN1043" s="103"/>
      <c r="NTZ1043" s="104"/>
      <c r="NUA1043" s="103"/>
      <c r="NUM1043" s="104"/>
      <c r="NUN1043" s="103"/>
      <c r="NUZ1043" s="104"/>
      <c r="NVA1043" s="103"/>
      <c r="NVM1043" s="104"/>
      <c r="NVN1043" s="103"/>
      <c r="NVZ1043" s="104"/>
      <c r="NWA1043" s="103"/>
      <c r="NWM1043" s="104"/>
      <c r="NWN1043" s="103"/>
      <c r="NWZ1043" s="104"/>
      <c r="NXA1043" s="103"/>
      <c r="NXM1043" s="104"/>
      <c r="NXN1043" s="103"/>
      <c r="NXZ1043" s="104"/>
      <c r="NYA1043" s="103"/>
      <c r="NYM1043" s="104"/>
      <c r="NYN1043" s="103"/>
      <c r="NYZ1043" s="104"/>
      <c r="NZA1043" s="103"/>
      <c r="NZM1043" s="104"/>
      <c r="NZN1043" s="103"/>
      <c r="NZZ1043" s="104"/>
      <c r="OAA1043" s="103"/>
      <c r="OAM1043" s="104"/>
      <c r="OAN1043" s="103"/>
      <c r="OAZ1043" s="104"/>
      <c r="OBA1043" s="103"/>
      <c r="OBM1043" s="104"/>
      <c r="OBN1043" s="103"/>
      <c r="OBZ1043" s="104"/>
      <c r="OCA1043" s="103"/>
      <c r="OCM1043" s="104"/>
      <c r="OCN1043" s="103"/>
      <c r="OCZ1043" s="104"/>
      <c r="ODA1043" s="103"/>
      <c r="ODM1043" s="104"/>
      <c r="ODN1043" s="103"/>
      <c r="ODZ1043" s="104"/>
      <c r="OEA1043" s="103"/>
      <c r="OEM1043" s="104"/>
      <c r="OEN1043" s="103"/>
      <c r="OEZ1043" s="104"/>
      <c r="OFA1043" s="103"/>
      <c r="OFM1043" s="104"/>
      <c r="OFN1043" s="103"/>
      <c r="OFZ1043" s="104"/>
      <c r="OGA1043" s="103"/>
      <c r="OGM1043" s="104"/>
      <c r="OGN1043" s="103"/>
      <c r="OGZ1043" s="104"/>
      <c r="OHA1043" s="103"/>
      <c r="OHM1043" s="104"/>
      <c r="OHN1043" s="103"/>
      <c r="OHZ1043" s="104"/>
      <c r="OIA1043" s="103"/>
      <c r="OIM1043" s="104"/>
      <c r="OIN1043" s="103"/>
      <c r="OIZ1043" s="104"/>
      <c r="OJA1043" s="103"/>
      <c r="OJM1043" s="104"/>
      <c r="OJN1043" s="103"/>
      <c r="OJZ1043" s="104"/>
      <c r="OKA1043" s="103"/>
      <c r="OKM1043" s="104"/>
      <c r="OKN1043" s="103"/>
      <c r="OKZ1043" s="104"/>
      <c r="OLA1043" s="103"/>
      <c r="OLM1043" s="104"/>
      <c r="OLN1043" s="103"/>
      <c r="OLZ1043" s="104"/>
      <c r="OMA1043" s="103"/>
      <c r="OMM1043" s="104"/>
      <c r="OMN1043" s="103"/>
      <c r="OMZ1043" s="104"/>
      <c r="ONA1043" s="103"/>
      <c r="ONM1043" s="104"/>
      <c r="ONN1043" s="103"/>
      <c r="ONZ1043" s="104"/>
      <c r="OOA1043" s="103"/>
      <c r="OOM1043" s="104"/>
      <c r="OON1043" s="103"/>
      <c r="OOZ1043" s="104"/>
      <c r="OPA1043" s="103"/>
      <c r="OPM1043" s="104"/>
      <c r="OPN1043" s="103"/>
      <c r="OPZ1043" s="104"/>
      <c r="OQA1043" s="103"/>
      <c r="OQM1043" s="104"/>
      <c r="OQN1043" s="103"/>
      <c r="OQZ1043" s="104"/>
      <c r="ORA1043" s="103"/>
      <c r="ORM1043" s="104"/>
      <c r="ORN1043" s="103"/>
      <c r="ORZ1043" s="104"/>
      <c r="OSA1043" s="103"/>
      <c r="OSM1043" s="104"/>
      <c r="OSN1043" s="103"/>
      <c r="OSZ1043" s="104"/>
      <c r="OTA1043" s="103"/>
      <c r="OTM1043" s="104"/>
      <c r="OTN1043" s="103"/>
      <c r="OTZ1043" s="104"/>
      <c r="OUA1043" s="103"/>
      <c r="OUM1043" s="104"/>
      <c r="OUN1043" s="103"/>
      <c r="OUZ1043" s="104"/>
      <c r="OVA1043" s="103"/>
      <c r="OVM1043" s="104"/>
      <c r="OVN1043" s="103"/>
      <c r="OVZ1043" s="104"/>
      <c r="OWA1043" s="103"/>
      <c r="OWM1043" s="104"/>
      <c r="OWN1043" s="103"/>
      <c r="OWZ1043" s="104"/>
      <c r="OXA1043" s="103"/>
      <c r="OXM1043" s="104"/>
      <c r="OXN1043" s="103"/>
      <c r="OXZ1043" s="104"/>
      <c r="OYA1043" s="103"/>
      <c r="OYM1043" s="104"/>
      <c r="OYN1043" s="103"/>
      <c r="OYZ1043" s="104"/>
      <c r="OZA1043" s="103"/>
      <c r="OZM1043" s="104"/>
      <c r="OZN1043" s="103"/>
      <c r="OZZ1043" s="104"/>
      <c r="PAA1043" s="103"/>
      <c r="PAM1043" s="104"/>
      <c r="PAN1043" s="103"/>
      <c r="PAZ1043" s="104"/>
      <c r="PBA1043" s="103"/>
      <c r="PBM1043" s="104"/>
      <c r="PBN1043" s="103"/>
      <c r="PBZ1043" s="104"/>
      <c r="PCA1043" s="103"/>
      <c r="PCM1043" s="104"/>
      <c r="PCN1043" s="103"/>
      <c r="PCZ1043" s="104"/>
      <c r="PDA1043" s="103"/>
      <c r="PDM1043" s="104"/>
      <c r="PDN1043" s="103"/>
      <c r="PDZ1043" s="104"/>
      <c r="PEA1043" s="103"/>
      <c r="PEM1043" s="104"/>
      <c r="PEN1043" s="103"/>
      <c r="PEZ1043" s="104"/>
      <c r="PFA1043" s="103"/>
      <c r="PFM1043" s="104"/>
      <c r="PFN1043" s="103"/>
      <c r="PFZ1043" s="104"/>
      <c r="PGA1043" s="103"/>
      <c r="PGM1043" s="104"/>
      <c r="PGN1043" s="103"/>
      <c r="PGZ1043" s="104"/>
      <c r="PHA1043" s="103"/>
      <c r="PHM1043" s="104"/>
      <c r="PHN1043" s="103"/>
      <c r="PHZ1043" s="104"/>
      <c r="PIA1043" s="103"/>
      <c r="PIM1043" s="104"/>
      <c r="PIN1043" s="103"/>
      <c r="PIZ1043" s="104"/>
      <c r="PJA1043" s="103"/>
      <c r="PJM1043" s="104"/>
      <c r="PJN1043" s="103"/>
      <c r="PJZ1043" s="104"/>
      <c r="PKA1043" s="103"/>
      <c r="PKM1043" s="104"/>
      <c r="PKN1043" s="103"/>
      <c r="PKZ1043" s="104"/>
      <c r="PLA1043" s="103"/>
      <c r="PLM1043" s="104"/>
      <c r="PLN1043" s="103"/>
      <c r="PLZ1043" s="104"/>
      <c r="PMA1043" s="103"/>
      <c r="PMM1043" s="104"/>
      <c r="PMN1043" s="103"/>
      <c r="PMZ1043" s="104"/>
      <c r="PNA1043" s="103"/>
      <c r="PNM1043" s="104"/>
      <c r="PNN1043" s="103"/>
      <c r="PNZ1043" s="104"/>
      <c r="POA1043" s="103"/>
      <c r="POM1043" s="104"/>
      <c r="PON1043" s="103"/>
      <c r="POZ1043" s="104"/>
      <c r="PPA1043" s="103"/>
      <c r="PPM1043" s="104"/>
      <c r="PPN1043" s="103"/>
      <c r="PPZ1043" s="104"/>
      <c r="PQA1043" s="103"/>
      <c r="PQM1043" s="104"/>
      <c r="PQN1043" s="103"/>
      <c r="PQZ1043" s="104"/>
      <c r="PRA1043" s="103"/>
      <c r="PRM1043" s="104"/>
      <c r="PRN1043" s="103"/>
      <c r="PRZ1043" s="104"/>
      <c r="PSA1043" s="103"/>
      <c r="PSM1043" s="104"/>
      <c r="PSN1043" s="103"/>
      <c r="PSZ1043" s="104"/>
      <c r="PTA1043" s="103"/>
      <c r="PTM1043" s="104"/>
      <c r="PTN1043" s="103"/>
      <c r="PTZ1043" s="104"/>
      <c r="PUA1043" s="103"/>
      <c r="PUM1043" s="104"/>
      <c r="PUN1043" s="103"/>
      <c r="PUZ1043" s="104"/>
      <c r="PVA1043" s="103"/>
      <c r="PVM1043" s="104"/>
      <c r="PVN1043" s="103"/>
      <c r="PVZ1043" s="104"/>
      <c r="PWA1043" s="103"/>
      <c r="PWM1043" s="104"/>
      <c r="PWN1043" s="103"/>
      <c r="PWZ1043" s="104"/>
      <c r="PXA1043" s="103"/>
      <c r="PXM1043" s="104"/>
      <c r="PXN1043" s="103"/>
      <c r="PXZ1043" s="104"/>
      <c r="PYA1043" s="103"/>
      <c r="PYM1043" s="104"/>
      <c r="PYN1043" s="103"/>
      <c r="PYZ1043" s="104"/>
      <c r="PZA1043" s="103"/>
      <c r="PZM1043" s="104"/>
      <c r="PZN1043" s="103"/>
      <c r="PZZ1043" s="104"/>
      <c r="QAA1043" s="103"/>
      <c r="QAM1043" s="104"/>
      <c r="QAN1043" s="103"/>
      <c r="QAZ1043" s="104"/>
      <c r="QBA1043" s="103"/>
      <c r="QBM1043" s="104"/>
      <c r="QBN1043" s="103"/>
      <c r="QBZ1043" s="104"/>
      <c r="QCA1043" s="103"/>
      <c r="QCM1043" s="104"/>
      <c r="QCN1043" s="103"/>
      <c r="QCZ1043" s="104"/>
      <c r="QDA1043" s="103"/>
      <c r="QDM1043" s="104"/>
      <c r="QDN1043" s="103"/>
      <c r="QDZ1043" s="104"/>
      <c r="QEA1043" s="103"/>
      <c r="QEM1043" s="104"/>
      <c r="QEN1043" s="103"/>
      <c r="QEZ1043" s="104"/>
      <c r="QFA1043" s="103"/>
      <c r="QFM1043" s="104"/>
      <c r="QFN1043" s="103"/>
      <c r="QFZ1043" s="104"/>
      <c r="QGA1043" s="103"/>
      <c r="QGM1043" s="104"/>
      <c r="QGN1043" s="103"/>
      <c r="QGZ1043" s="104"/>
      <c r="QHA1043" s="103"/>
      <c r="QHM1043" s="104"/>
      <c r="QHN1043" s="103"/>
      <c r="QHZ1043" s="104"/>
      <c r="QIA1043" s="103"/>
      <c r="QIM1043" s="104"/>
      <c r="QIN1043" s="103"/>
      <c r="QIZ1043" s="104"/>
      <c r="QJA1043" s="103"/>
      <c r="QJM1043" s="104"/>
      <c r="QJN1043" s="103"/>
      <c r="QJZ1043" s="104"/>
      <c r="QKA1043" s="103"/>
      <c r="QKM1043" s="104"/>
      <c r="QKN1043" s="103"/>
      <c r="QKZ1043" s="104"/>
      <c r="QLA1043" s="103"/>
      <c r="QLM1043" s="104"/>
      <c r="QLN1043" s="103"/>
      <c r="QLZ1043" s="104"/>
      <c r="QMA1043" s="103"/>
      <c r="QMM1043" s="104"/>
      <c r="QMN1043" s="103"/>
      <c r="QMZ1043" s="104"/>
      <c r="QNA1043" s="103"/>
      <c r="QNM1043" s="104"/>
      <c r="QNN1043" s="103"/>
      <c r="QNZ1043" s="104"/>
      <c r="QOA1043" s="103"/>
      <c r="QOM1043" s="104"/>
      <c r="QON1043" s="103"/>
      <c r="QOZ1043" s="104"/>
      <c r="QPA1043" s="103"/>
      <c r="QPM1043" s="104"/>
      <c r="QPN1043" s="103"/>
      <c r="QPZ1043" s="104"/>
      <c r="QQA1043" s="103"/>
      <c r="QQM1043" s="104"/>
      <c r="QQN1043" s="103"/>
      <c r="QQZ1043" s="104"/>
      <c r="QRA1043" s="103"/>
      <c r="QRM1043" s="104"/>
      <c r="QRN1043" s="103"/>
      <c r="QRZ1043" s="104"/>
      <c r="QSA1043" s="103"/>
      <c r="QSM1043" s="104"/>
      <c r="QSN1043" s="103"/>
      <c r="QSZ1043" s="104"/>
      <c r="QTA1043" s="103"/>
      <c r="QTM1043" s="104"/>
      <c r="QTN1043" s="103"/>
      <c r="QTZ1043" s="104"/>
      <c r="QUA1043" s="103"/>
      <c r="QUM1043" s="104"/>
      <c r="QUN1043" s="103"/>
      <c r="QUZ1043" s="104"/>
      <c r="QVA1043" s="103"/>
      <c r="QVM1043" s="104"/>
      <c r="QVN1043" s="103"/>
      <c r="QVZ1043" s="104"/>
      <c r="QWA1043" s="103"/>
      <c r="QWM1043" s="104"/>
      <c r="QWN1043" s="103"/>
      <c r="QWZ1043" s="104"/>
      <c r="QXA1043" s="103"/>
      <c r="QXM1043" s="104"/>
      <c r="QXN1043" s="103"/>
      <c r="QXZ1043" s="104"/>
      <c r="QYA1043" s="103"/>
      <c r="QYM1043" s="104"/>
      <c r="QYN1043" s="103"/>
      <c r="QYZ1043" s="104"/>
      <c r="QZA1043" s="103"/>
      <c r="QZM1043" s="104"/>
      <c r="QZN1043" s="103"/>
      <c r="QZZ1043" s="104"/>
      <c r="RAA1043" s="103"/>
      <c r="RAM1043" s="104"/>
      <c r="RAN1043" s="103"/>
      <c r="RAZ1043" s="104"/>
      <c r="RBA1043" s="103"/>
      <c r="RBM1043" s="104"/>
      <c r="RBN1043" s="103"/>
      <c r="RBZ1043" s="104"/>
      <c r="RCA1043" s="103"/>
      <c r="RCM1043" s="104"/>
      <c r="RCN1043" s="103"/>
      <c r="RCZ1043" s="104"/>
      <c r="RDA1043" s="103"/>
      <c r="RDM1043" s="104"/>
      <c r="RDN1043" s="103"/>
      <c r="RDZ1043" s="104"/>
      <c r="REA1043" s="103"/>
      <c r="REM1043" s="104"/>
      <c r="REN1043" s="103"/>
      <c r="REZ1043" s="104"/>
      <c r="RFA1043" s="103"/>
      <c r="RFM1043" s="104"/>
      <c r="RFN1043" s="103"/>
      <c r="RFZ1043" s="104"/>
      <c r="RGA1043" s="103"/>
      <c r="RGM1043" s="104"/>
      <c r="RGN1043" s="103"/>
      <c r="RGZ1043" s="104"/>
      <c r="RHA1043" s="103"/>
      <c r="RHM1043" s="104"/>
      <c r="RHN1043" s="103"/>
      <c r="RHZ1043" s="104"/>
      <c r="RIA1043" s="103"/>
      <c r="RIM1043" s="104"/>
      <c r="RIN1043" s="103"/>
      <c r="RIZ1043" s="104"/>
      <c r="RJA1043" s="103"/>
      <c r="RJM1043" s="104"/>
      <c r="RJN1043" s="103"/>
      <c r="RJZ1043" s="104"/>
      <c r="RKA1043" s="103"/>
      <c r="RKM1043" s="104"/>
      <c r="RKN1043" s="103"/>
      <c r="RKZ1043" s="104"/>
      <c r="RLA1043" s="103"/>
      <c r="RLM1043" s="104"/>
      <c r="RLN1043" s="103"/>
      <c r="RLZ1043" s="104"/>
      <c r="RMA1043" s="103"/>
      <c r="RMM1043" s="104"/>
      <c r="RMN1043" s="103"/>
      <c r="RMZ1043" s="104"/>
      <c r="RNA1043" s="103"/>
      <c r="RNM1043" s="104"/>
      <c r="RNN1043" s="103"/>
      <c r="RNZ1043" s="104"/>
      <c r="ROA1043" s="103"/>
      <c r="ROM1043" s="104"/>
      <c r="RON1043" s="103"/>
      <c r="ROZ1043" s="104"/>
      <c r="RPA1043" s="103"/>
      <c r="RPM1043" s="104"/>
      <c r="RPN1043" s="103"/>
      <c r="RPZ1043" s="104"/>
      <c r="RQA1043" s="103"/>
      <c r="RQM1043" s="104"/>
      <c r="RQN1043" s="103"/>
      <c r="RQZ1043" s="104"/>
      <c r="RRA1043" s="103"/>
      <c r="RRM1043" s="104"/>
      <c r="RRN1043" s="103"/>
      <c r="RRZ1043" s="104"/>
      <c r="RSA1043" s="103"/>
      <c r="RSM1043" s="104"/>
      <c r="RSN1043" s="103"/>
      <c r="RSZ1043" s="104"/>
      <c r="RTA1043" s="103"/>
      <c r="RTM1043" s="104"/>
      <c r="RTN1043" s="103"/>
      <c r="RTZ1043" s="104"/>
      <c r="RUA1043" s="103"/>
      <c r="RUM1043" s="104"/>
      <c r="RUN1043" s="103"/>
      <c r="RUZ1043" s="104"/>
      <c r="RVA1043" s="103"/>
      <c r="RVM1043" s="104"/>
      <c r="RVN1043" s="103"/>
      <c r="RVZ1043" s="104"/>
      <c r="RWA1043" s="103"/>
      <c r="RWM1043" s="104"/>
      <c r="RWN1043" s="103"/>
      <c r="RWZ1043" s="104"/>
      <c r="RXA1043" s="103"/>
      <c r="RXM1043" s="104"/>
      <c r="RXN1043" s="103"/>
      <c r="RXZ1043" s="104"/>
      <c r="RYA1043" s="103"/>
      <c r="RYM1043" s="104"/>
      <c r="RYN1043" s="103"/>
      <c r="RYZ1043" s="104"/>
      <c r="RZA1043" s="103"/>
      <c r="RZM1043" s="104"/>
      <c r="RZN1043" s="103"/>
      <c r="RZZ1043" s="104"/>
      <c r="SAA1043" s="103"/>
      <c r="SAM1043" s="104"/>
      <c r="SAN1043" s="103"/>
      <c r="SAZ1043" s="104"/>
      <c r="SBA1043" s="103"/>
      <c r="SBM1043" s="104"/>
      <c r="SBN1043" s="103"/>
      <c r="SBZ1043" s="104"/>
      <c r="SCA1043" s="103"/>
      <c r="SCM1043" s="104"/>
      <c r="SCN1043" s="103"/>
      <c r="SCZ1043" s="104"/>
      <c r="SDA1043" s="103"/>
      <c r="SDM1043" s="104"/>
      <c r="SDN1043" s="103"/>
      <c r="SDZ1043" s="104"/>
      <c r="SEA1043" s="103"/>
      <c r="SEM1043" s="104"/>
      <c r="SEN1043" s="103"/>
      <c r="SEZ1043" s="104"/>
      <c r="SFA1043" s="103"/>
      <c r="SFM1043" s="104"/>
      <c r="SFN1043" s="103"/>
      <c r="SFZ1043" s="104"/>
      <c r="SGA1043" s="103"/>
      <c r="SGM1043" s="104"/>
      <c r="SGN1043" s="103"/>
      <c r="SGZ1043" s="104"/>
      <c r="SHA1043" s="103"/>
      <c r="SHM1043" s="104"/>
      <c r="SHN1043" s="103"/>
      <c r="SHZ1043" s="104"/>
      <c r="SIA1043" s="103"/>
      <c r="SIM1043" s="104"/>
      <c r="SIN1043" s="103"/>
      <c r="SIZ1043" s="104"/>
      <c r="SJA1043" s="103"/>
      <c r="SJM1043" s="104"/>
      <c r="SJN1043" s="103"/>
      <c r="SJZ1043" s="104"/>
      <c r="SKA1043" s="103"/>
      <c r="SKM1043" s="104"/>
      <c r="SKN1043" s="103"/>
      <c r="SKZ1043" s="104"/>
      <c r="SLA1043" s="103"/>
      <c r="SLM1043" s="104"/>
      <c r="SLN1043" s="103"/>
      <c r="SLZ1043" s="104"/>
      <c r="SMA1043" s="103"/>
      <c r="SMM1043" s="104"/>
      <c r="SMN1043" s="103"/>
      <c r="SMZ1043" s="104"/>
      <c r="SNA1043" s="103"/>
      <c r="SNM1043" s="104"/>
      <c r="SNN1043" s="103"/>
      <c r="SNZ1043" s="104"/>
      <c r="SOA1043" s="103"/>
      <c r="SOM1043" s="104"/>
      <c r="SON1043" s="103"/>
      <c r="SOZ1043" s="104"/>
      <c r="SPA1043" s="103"/>
      <c r="SPM1043" s="104"/>
      <c r="SPN1043" s="103"/>
      <c r="SPZ1043" s="104"/>
      <c r="SQA1043" s="103"/>
      <c r="SQM1043" s="104"/>
      <c r="SQN1043" s="103"/>
      <c r="SQZ1043" s="104"/>
      <c r="SRA1043" s="103"/>
      <c r="SRM1043" s="104"/>
      <c r="SRN1043" s="103"/>
      <c r="SRZ1043" s="104"/>
      <c r="SSA1043" s="103"/>
      <c r="SSM1043" s="104"/>
      <c r="SSN1043" s="103"/>
      <c r="SSZ1043" s="104"/>
      <c r="STA1043" s="103"/>
      <c r="STM1043" s="104"/>
      <c r="STN1043" s="103"/>
      <c r="STZ1043" s="104"/>
      <c r="SUA1043" s="103"/>
      <c r="SUM1043" s="104"/>
      <c r="SUN1043" s="103"/>
      <c r="SUZ1043" s="104"/>
      <c r="SVA1043" s="103"/>
      <c r="SVM1043" s="104"/>
      <c r="SVN1043" s="103"/>
      <c r="SVZ1043" s="104"/>
      <c r="SWA1043" s="103"/>
      <c r="SWM1043" s="104"/>
      <c r="SWN1043" s="103"/>
      <c r="SWZ1043" s="104"/>
      <c r="SXA1043" s="103"/>
      <c r="SXM1043" s="104"/>
      <c r="SXN1043" s="103"/>
      <c r="SXZ1043" s="104"/>
      <c r="SYA1043" s="103"/>
      <c r="SYM1043" s="104"/>
      <c r="SYN1043" s="103"/>
      <c r="SYZ1043" s="104"/>
      <c r="SZA1043" s="103"/>
      <c r="SZM1043" s="104"/>
      <c r="SZN1043" s="103"/>
      <c r="SZZ1043" s="104"/>
      <c r="TAA1043" s="103"/>
      <c r="TAM1043" s="104"/>
      <c r="TAN1043" s="103"/>
      <c r="TAZ1043" s="104"/>
      <c r="TBA1043" s="103"/>
      <c r="TBM1043" s="104"/>
      <c r="TBN1043" s="103"/>
      <c r="TBZ1043" s="104"/>
      <c r="TCA1043" s="103"/>
      <c r="TCM1043" s="104"/>
      <c r="TCN1043" s="103"/>
      <c r="TCZ1043" s="104"/>
      <c r="TDA1043" s="103"/>
      <c r="TDM1043" s="104"/>
      <c r="TDN1043" s="103"/>
      <c r="TDZ1043" s="104"/>
      <c r="TEA1043" s="103"/>
      <c r="TEM1043" s="104"/>
      <c r="TEN1043" s="103"/>
      <c r="TEZ1043" s="104"/>
      <c r="TFA1043" s="103"/>
      <c r="TFM1043" s="104"/>
      <c r="TFN1043" s="103"/>
      <c r="TFZ1043" s="104"/>
      <c r="TGA1043" s="103"/>
      <c r="TGM1043" s="104"/>
      <c r="TGN1043" s="103"/>
      <c r="TGZ1043" s="104"/>
      <c r="THA1043" s="103"/>
      <c r="THM1043" s="104"/>
      <c r="THN1043" s="103"/>
      <c r="THZ1043" s="104"/>
      <c r="TIA1043" s="103"/>
      <c r="TIM1043" s="104"/>
      <c r="TIN1043" s="103"/>
      <c r="TIZ1043" s="104"/>
      <c r="TJA1043" s="103"/>
      <c r="TJM1043" s="104"/>
      <c r="TJN1043" s="103"/>
      <c r="TJZ1043" s="104"/>
      <c r="TKA1043" s="103"/>
      <c r="TKM1043" s="104"/>
      <c r="TKN1043" s="103"/>
      <c r="TKZ1043" s="104"/>
      <c r="TLA1043" s="103"/>
      <c r="TLM1043" s="104"/>
      <c r="TLN1043" s="103"/>
      <c r="TLZ1043" s="104"/>
      <c r="TMA1043" s="103"/>
      <c r="TMM1043" s="104"/>
      <c r="TMN1043" s="103"/>
      <c r="TMZ1043" s="104"/>
      <c r="TNA1043" s="103"/>
      <c r="TNM1043" s="104"/>
      <c r="TNN1043" s="103"/>
      <c r="TNZ1043" s="104"/>
      <c r="TOA1043" s="103"/>
      <c r="TOM1043" s="104"/>
      <c r="TON1043" s="103"/>
      <c r="TOZ1043" s="104"/>
      <c r="TPA1043" s="103"/>
      <c r="TPM1043" s="104"/>
      <c r="TPN1043" s="103"/>
      <c r="TPZ1043" s="104"/>
      <c r="TQA1043" s="103"/>
      <c r="TQM1043" s="104"/>
      <c r="TQN1043" s="103"/>
      <c r="TQZ1043" s="104"/>
      <c r="TRA1043" s="103"/>
      <c r="TRM1043" s="104"/>
      <c r="TRN1043" s="103"/>
      <c r="TRZ1043" s="104"/>
      <c r="TSA1043" s="103"/>
      <c r="TSM1043" s="104"/>
      <c r="TSN1043" s="103"/>
      <c r="TSZ1043" s="104"/>
      <c r="TTA1043" s="103"/>
      <c r="TTM1043" s="104"/>
      <c r="TTN1043" s="103"/>
      <c r="TTZ1043" s="104"/>
      <c r="TUA1043" s="103"/>
      <c r="TUM1043" s="104"/>
      <c r="TUN1043" s="103"/>
      <c r="TUZ1043" s="104"/>
      <c r="TVA1043" s="103"/>
      <c r="TVM1043" s="104"/>
      <c r="TVN1043" s="103"/>
      <c r="TVZ1043" s="104"/>
      <c r="TWA1043" s="103"/>
      <c r="TWM1043" s="104"/>
      <c r="TWN1043" s="103"/>
      <c r="TWZ1043" s="104"/>
      <c r="TXA1043" s="103"/>
      <c r="TXM1043" s="104"/>
      <c r="TXN1043" s="103"/>
      <c r="TXZ1043" s="104"/>
      <c r="TYA1043" s="103"/>
      <c r="TYM1043" s="104"/>
      <c r="TYN1043" s="103"/>
      <c r="TYZ1043" s="104"/>
      <c r="TZA1043" s="103"/>
      <c r="TZM1043" s="104"/>
      <c r="TZN1043" s="103"/>
      <c r="TZZ1043" s="104"/>
      <c r="UAA1043" s="103"/>
      <c r="UAM1043" s="104"/>
      <c r="UAN1043" s="103"/>
      <c r="UAZ1043" s="104"/>
      <c r="UBA1043" s="103"/>
      <c r="UBM1043" s="104"/>
      <c r="UBN1043" s="103"/>
      <c r="UBZ1043" s="104"/>
      <c r="UCA1043" s="103"/>
      <c r="UCM1043" s="104"/>
      <c r="UCN1043" s="103"/>
      <c r="UCZ1043" s="104"/>
      <c r="UDA1043" s="103"/>
      <c r="UDM1043" s="104"/>
      <c r="UDN1043" s="103"/>
      <c r="UDZ1043" s="104"/>
      <c r="UEA1043" s="103"/>
      <c r="UEM1043" s="104"/>
      <c r="UEN1043" s="103"/>
      <c r="UEZ1043" s="104"/>
      <c r="UFA1043" s="103"/>
      <c r="UFM1043" s="104"/>
      <c r="UFN1043" s="103"/>
      <c r="UFZ1043" s="104"/>
      <c r="UGA1043" s="103"/>
      <c r="UGM1043" s="104"/>
      <c r="UGN1043" s="103"/>
      <c r="UGZ1043" s="104"/>
      <c r="UHA1043" s="103"/>
      <c r="UHM1043" s="104"/>
      <c r="UHN1043" s="103"/>
      <c r="UHZ1043" s="104"/>
      <c r="UIA1043" s="103"/>
      <c r="UIM1043" s="104"/>
      <c r="UIN1043" s="103"/>
      <c r="UIZ1043" s="104"/>
      <c r="UJA1043" s="103"/>
      <c r="UJM1043" s="104"/>
      <c r="UJN1043" s="103"/>
      <c r="UJZ1043" s="104"/>
      <c r="UKA1043" s="103"/>
      <c r="UKM1043" s="104"/>
      <c r="UKN1043" s="103"/>
      <c r="UKZ1043" s="104"/>
      <c r="ULA1043" s="103"/>
      <c r="ULM1043" s="104"/>
      <c r="ULN1043" s="103"/>
      <c r="ULZ1043" s="104"/>
      <c r="UMA1043" s="103"/>
      <c r="UMM1043" s="104"/>
      <c r="UMN1043" s="103"/>
      <c r="UMZ1043" s="104"/>
      <c r="UNA1043" s="103"/>
      <c r="UNM1043" s="104"/>
      <c r="UNN1043" s="103"/>
      <c r="UNZ1043" s="104"/>
      <c r="UOA1043" s="103"/>
      <c r="UOM1043" s="104"/>
      <c r="UON1043" s="103"/>
      <c r="UOZ1043" s="104"/>
      <c r="UPA1043" s="103"/>
      <c r="UPM1043" s="104"/>
      <c r="UPN1043" s="103"/>
      <c r="UPZ1043" s="104"/>
      <c r="UQA1043" s="103"/>
      <c r="UQM1043" s="104"/>
      <c r="UQN1043" s="103"/>
      <c r="UQZ1043" s="104"/>
      <c r="URA1043" s="103"/>
      <c r="URM1043" s="104"/>
      <c r="URN1043" s="103"/>
      <c r="URZ1043" s="104"/>
      <c r="USA1043" s="103"/>
      <c r="USM1043" s="104"/>
      <c r="USN1043" s="103"/>
      <c r="USZ1043" s="104"/>
      <c r="UTA1043" s="103"/>
      <c r="UTM1043" s="104"/>
      <c r="UTN1043" s="103"/>
      <c r="UTZ1043" s="104"/>
      <c r="UUA1043" s="103"/>
      <c r="UUM1043" s="104"/>
      <c r="UUN1043" s="103"/>
      <c r="UUZ1043" s="104"/>
      <c r="UVA1043" s="103"/>
      <c r="UVM1043" s="104"/>
      <c r="UVN1043" s="103"/>
      <c r="UVZ1043" s="104"/>
      <c r="UWA1043" s="103"/>
      <c r="UWM1043" s="104"/>
      <c r="UWN1043" s="103"/>
      <c r="UWZ1043" s="104"/>
      <c r="UXA1043" s="103"/>
      <c r="UXM1043" s="104"/>
      <c r="UXN1043" s="103"/>
      <c r="UXZ1043" s="104"/>
      <c r="UYA1043" s="103"/>
      <c r="UYM1043" s="104"/>
      <c r="UYN1043" s="103"/>
      <c r="UYZ1043" s="104"/>
      <c r="UZA1043" s="103"/>
      <c r="UZM1043" s="104"/>
      <c r="UZN1043" s="103"/>
      <c r="UZZ1043" s="104"/>
      <c r="VAA1043" s="103"/>
      <c r="VAM1043" s="104"/>
      <c r="VAN1043" s="103"/>
      <c r="VAZ1043" s="104"/>
      <c r="VBA1043" s="103"/>
      <c r="VBM1043" s="104"/>
      <c r="VBN1043" s="103"/>
      <c r="VBZ1043" s="104"/>
      <c r="VCA1043" s="103"/>
      <c r="VCM1043" s="104"/>
      <c r="VCN1043" s="103"/>
      <c r="VCZ1043" s="104"/>
      <c r="VDA1043" s="103"/>
      <c r="VDM1043" s="104"/>
      <c r="VDN1043" s="103"/>
      <c r="VDZ1043" s="104"/>
      <c r="VEA1043" s="103"/>
      <c r="VEM1043" s="104"/>
      <c r="VEN1043" s="103"/>
      <c r="VEZ1043" s="104"/>
      <c r="VFA1043" s="103"/>
      <c r="VFM1043" s="104"/>
      <c r="VFN1043" s="103"/>
      <c r="VFZ1043" s="104"/>
      <c r="VGA1043" s="103"/>
      <c r="VGM1043" s="104"/>
      <c r="VGN1043" s="103"/>
      <c r="VGZ1043" s="104"/>
      <c r="VHA1043" s="103"/>
      <c r="VHM1043" s="104"/>
      <c r="VHN1043" s="103"/>
      <c r="VHZ1043" s="104"/>
      <c r="VIA1043" s="103"/>
      <c r="VIM1043" s="104"/>
      <c r="VIN1043" s="103"/>
      <c r="VIZ1043" s="104"/>
      <c r="VJA1043" s="103"/>
      <c r="VJM1043" s="104"/>
      <c r="VJN1043" s="103"/>
      <c r="VJZ1043" s="104"/>
      <c r="VKA1043" s="103"/>
      <c r="VKM1043" s="104"/>
      <c r="VKN1043" s="103"/>
      <c r="VKZ1043" s="104"/>
      <c r="VLA1043" s="103"/>
      <c r="VLM1043" s="104"/>
      <c r="VLN1043" s="103"/>
      <c r="VLZ1043" s="104"/>
      <c r="VMA1043" s="103"/>
      <c r="VMM1043" s="104"/>
      <c r="VMN1043" s="103"/>
      <c r="VMZ1043" s="104"/>
      <c r="VNA1043" s="103"/>
      <c r="VNM1043" s="104"/>
      <c r="VNN1043" s="103"/>
      <c r="VNZ1043" s="104"/>
      <c r="VOA1043" s="103"/>
      <c r="VOM1043" s="104"/>
      <c r="VON1043" s="103"/>
      <c r="VOZ1043" s="104"/>
      <c r="VPA1043" s="103"/>
      <c r="VPM1043" s="104"/>
      <c r="VPN1043" s="103"/>
      <c r="VPZ1043" s="104"/>
      <c r="VQA1043" s="103"/>
      <c r="VQM1043" s="104"/>
      <c r="VQN1043" s="103"/>
      <c r="VQZ1043" s="104"/>
      <c r="VRA1043" s="103"/>
      <c r="VRM1043" s="104"/>
      <c r="VRN1043" s="103"/>
      <c r="VRZ1043" s="104"/>
      <c r="VSA1043" s="103"/>
      <c r="VSM1043" s="104"/>
      <c r="VSN1043" s="103"/>
      <c r="VSZ1043" s="104"/>
      <c r="VTA1043" s="103"/>
      <c r="VTM1043" s="104"/>
      <c r="VTN1043" s="103"/>
      <c r="VTZ1043" s="104"/>
      <c r="VUA1043" s="103"/>
      <c r="VUM1043" s="104"/>
      <c r="VUN1043" s="103"/>
      <c r="VUZ1043" s="104"/>
      <c r="VVA1043" s="103"/>
      <c r="VVM1043" s="104"/>
      <c r="VVN1043" s="103"/>
      <c r="VVZ1043" s="104"/>
      <c r="VWA1043" s="103"/>
      <c r="VWM1043" s="104"/>
      <c r="VWN1043" s="103"/>
      <c r="VWZ1043" s="104"/>
      <c r="VXA1043" s="103"/>
      <c r="VXM1043" s="104"/>
      <c r="VXN1043" s="103"/>
      <c r="VXZ1043" s="104"/>
      <c r="VYA1043" s="103"/>
      <c r="VYM1043" s="104"/>
      <c r="VYN1043" s="103"/>
      <c r="VYZ1043" s="104"/>
      <c r="VZA1043" s="103"/>
      <c r="VZM1043" s="104"/>
      <c r="VZN1043" s="103"/>
      <c r="VZZ1043" s="104"/>
      <c r="WAA1043" s="103"/>
      <c r="WAM1043" s="104"/>
      <c r="WAN1043" s="103"/>
      <c r="WAZ1043" s="104"/>
      <c r="WBA1043" s="103"/>
      <c r="WBM1043" s="104"/>
      <c r="WBN1043" s="103"/>
      <c r="WBZ1043" s="104"/>
      <c r="WCA1043" s="103"/>
      <c r="WCM1043" s="104"/>
      <c r="WCN1043" s="103"/>
      <c r="WCZ1043" s="104"/>
      <c r="WDA1043" s="103"/>
      <c r="WDM1043" s="104"/>
      <c r="WDN1043" s="103"/>
      <c r="WDZ1043" s="104"/>
      <c r="WEA1043" s="103"/>
      <c r="WEM1043" s="104"/>
      <c r="WEN1043" s="103"/>
      <c r="WEZ1043" s="104"/>
      <c r="WFA1043" s="103"/>
      <c r="WFM1043" s="104"/>
      <c r="WFN1043" s="103"/>
      <c r="WFZ1043" s="104"/>
      <c r="WGA1043" s="103"/>
      <c r="WGM1043" s="104"/>
      <c r="WGN1043" s="103"/>
      <c r="WGZ1043" s="104"/>
      <c r="WHA1043" s="103"/>
      <c r="WHM1043" s="104"/>
      <c r="WHN1043" s="103"/>
      <c r="WHZ1043" s="104"/>
      <c r="WIA1043" s="103"/>
      <c r="WIM1043" s="104"/>
      <c r="WIN1043" s="103"/>
      <c r="WIZ1043" s="104"/>
      <c r="WJA1043" s="103"/>
      <c r="WJM1043" s="104"/>
      <c r="WJN1043" s="103"/>
      <c r="WJZ1043" s="104"/>
      <c r="WKA1043" s="103"/>
      <c r="WKM1043" s="104"/>
      <c r="WKN1043" s="103"/>
      <c r="WKZ1043" s="104"/>
      <c r="WLA1043" s="103"/>
      <c r="WLM1043" s="104"/>
      <c r="WLN1043" s="103"/>
      <c r="WLZ1043" s="104"/>
      <c r="WMA1043" s="103"/>
      <c r="WMM1043" s="104"/>
      <c r="WMN1043" s="103"/>
      <c r="WMZ1043" s="104"/>
      <c r="WNA1043" s="103"/>
      <c r="WNM1043" s="104"/>
      <c r="WNN1043" s="103"/>
      <c r="WNZ1043" s="104"/>
      <c r="WOA1043" s="103"/>
      <c r="WOM1043" s="104"/>
      <c r="WON1043" s="103"/>
      <c r="WOZ1043" s="104"/>
      <c r="WPA1043" s="103"/>
      <c r="WPM1043" s="104"/>
      <c r="WPN1043" s="103"/>
      <c r="WPZ1043" s="104"/>
      <c r="WQA1043" s="103"/>
      <c r="WQM1043" s="104"/>
      <c r="WQN1043" s="103"/>
      <c r="WQZ1043" s="104"/>
      <c r="WRA1043" s="103"/>
      <c r="WRM1043" s="104"/>
      <c r="WRN1043" s="103"/>
      <c r="WRZ1043" s="104"/>
      <c r="WSA1043" s="103"/>
      <c r="WSM1043" s="104"/>
      <c r="WSN1043" s="103"/>
      <c r="WSZ1043" s="104"/>
      <c r="WTA1043" s="103"/>
      <c r="WTM1043" s="104"/>
      <c r="WTN1043" s="103"/>
      <c r="WTZ1043" s="104"/>
      <c r="WUA1043" s="103"/>
      <c r="WUM1043" s="104"/>
      <c r="WUN1043" s="103"/>
      <c r="WUZ1043" s="104"/>
      <c r="WVA1043" s="103"/>
      <c r="WVM1043" s="104"/>
      <c r="WVN1043" s="103"/>
      <c r="WVZ1043" s="104"/>
      <c r="WWA1043" s="103"/>
      <c r="WWM1043" s="104"/>
      <c r="WWN1043" s="103"/>
      <c r="WWZ1043" s="104"/>
      <c r="WXA1043" s="103"/>
      <c r="WXM1043" s="104"/>
      <c r="WXN1043" s="103"/>
      <c r="WXZ1043" s="104"/>
      <c r="WYA1043" s="103"/>
      <c r="WYM1043" s="104"/>
      <c r="WYN1043" s="103"/>
      <c r="WYZ1043" s="104"/>
      <c r="WZA1043" s="103"/>
      <c r="WZM1043" s="104"/>
      <c r="WZN1043" s="103"/>
      <c r="WZZ1043" s="104"/>
      <c r="XAA1043" s="103"/>
      <c r="XAM1043" s="104"/>
      <c r="XAN1043" s="103"/>
      <c r="XAZ1043" s="104"/>
      <c r="XBA1043" s="103"/>
      <c r="XBM1043" s="104"/>
      <c r="XBN1043" s="103"/>
      <c r="XBZ1043" s="104"/>
      <c r="XCA1043" s="103"/>
      <c r="XCM1043" s="104"/>
      <c r="XCN1043" s="103"/>
      <c r="XCZ1043" s="104"/>
      <c r="XDA1043" s="103"/>
      <c r="XDM1043" s="104"/>
      <c r="XDN1043" s="103"/>
      <c r="XDZ1043" s="104"/>
      <c r="XEA1043" s="103"/>
      <c r="XEM1043" s="104"/>
      <c r="XEN1043" s="103"/>
      <c r="XEZ1043" s="104"/>
      <c r="XFA1043" s="103"/>
    </row>
    <row r="1044" spans="1:1015 1027:2042 2054:3069 3081:4096 4108:5110 5122:6137 6149:7164 7176:8191 8203:9205 9217:10232 10244:11259 11271:12286 12298:14327 14339:15354 15366:16381">
      <c r="B1044" s="134">
        <v>2023</v>
      </c>
      <c r="C1044" s="135">
        <v>29983</v>
      </c>
      <c r="D1044" s="136">
        <f t="shared" ref="D1044:D1048" si="46">+C1044*$N$1000</f>
        <v>545.44296889212308</v>
      </c>
      <c r="E1044" s="135">
        <v>2144</v>
      </c>
      <c r="F1044" s="136">
        <f t="shared" ref="F1044:F1048" si="47">+E1044*$N$1000</f>
        <v>39.003092595961434</v>
      </c>
      <c r="G1044" s="136">
        <f t="shared" si="44"/>
        <v>32127</v>
      </c>
      <c r="H1044" s="136">
        <f t="shared" si="45"/>
        <v>584.44606148808452</v>
      </c>
      <c r="Z1044" s="104"/>
      <c r="AA1044" s="103"/>
      <c r="AM1044" s="104"/>
      <c r="AN1044" s="103"/>
      <c r="AZ1044" s="104"/>
      <c r="BA1044" s="103"/>
      <c r="BM1044" s="104"/>
      <c r="BN1044" s="103"/>
      <c r="BZ1044" s="104"/>
      <c r="CA1044" s="103"/>
      <c r="CM1044" s="104"/>
      <c r="CN1044" s="103"/>
      <c r="CZ1044" s="104"/>
      <c r="DA1044" s="103"/>
      <c r="DM1044" s="104"/>
      <c r="DN1044" s="103"/>
      <c r="DZ1044" s="104"/>
      <c r="EA1044" s="103"/>
      <c r="EM1044" s="104"/>
      <c r="EN1044" s="103"/>
      <c r="EZ1044" s="104"/>
      <c r="FA1044" s="103"/>
      <c r="FM1044" s="104"/>
      <c r="FN1044" s="103"/>
      <c r="FZ1044" s="104"/>
      <c r="GA1044" s="103"/>
      <c r="GM1044" s="104"/>
      <c r="GN1044" s="103"/>
      <c r="GZ1044" s="104"/>
      <c r="HA1044" s="103"/>
      <c r="HM1044" s="104"/>
      <c r="HN1044" s="103"/>
      <c r="HZ1044" s="104"/>
      <c r="IA1044" s="103"/>
      <c r="IM1044" s="104"/>
      <c r="IN1044" s="103"/>
      <c r="IZ1044" s="104"/>
      <c r="JA1044" s="103"/>
      <c r="JM1044" s="104"/>
      <c r="JN1044" s="103"/>
      <c r="JZ1044" s="104"/>
      <c r="KA1044" s="103"/>
      <c r="KM1044" s="104"/>
      <c r="KN1044" s="103"/>
      <c r="KZ1044" s="104"/>
      <c r="LA1044" s="103"/>
      <c r="LM1044" s="104"/>
      <c r="LN1044" s="103"/>
      <c r="LZ1044" s="104"/>
      <c r="MA1044" s="103"/>
      <c r="MM1044" s="104"/>
      <c r="MN1044" s="103"/>
      <c r="MZ1044" s="104"/>
      <c r="NA1044" s="103"/>
      <c r="NM1044" s="104"/>
      <c r="NN1044" s="103"/>
      <c r="NZ1044" s="104"/>
      <c r="OA1044" s="103"/>
      <c r="OM1044" s="104"/>
      <c r="ON1044" s="103"/>
      <c r="OZ1044" s="104"/>
      <c r="PA1044" s="103"/>
      <c r="PM1044" s="104"/>
      <c r="PN1044" s="103"/>
      <c r="PZ1044" s="104"/>
      <c r="QA1044" s="103"/>
      <c r="QM1044" s="104"/>
      <c r="QN1044" s="103"/>
      <c r="QZ1044" s="104"/>
      <c r="RA1044" s="103"/>
      <c r="RM1044" s="104"/>
      <c r="RN1044" s="103"/>
      <c r="RZ1044" s="104"/>
      <c r="SA1044" s="103"/>
      <c r="SM1044" s="104"/>
      <c r="SN1044" s="103"/>
      <c r="SZ1044" s="104"/>
      <c r="TA1044" s="103"/>
      <c r="TM1044" s="104"/>
      <c r="TN1044" s="103"/>
      <c r="TZ1044" s="104"/>
      <c r="UA1044" s="103"/>
      <c r="UM1044" s="104"/>
      <c r="UN1044" s="103"/>
      <c r="UZ1044" s="104"/>
      <c r="VA1044" s="103"/>
      <c r="VM1044" s="104"/>
      <c r="VN1044" s="103"/>
      <c r="VZ1044" s="104"/>
      <c r="WA1044" s="103"/>
      <c r="WM1044" s="104"/>
      <c r="WN1044" s="103"/>
      <c r="WZ1044" s="104"/>
      <c r="XA1044" s="103"/>
      <c r="XM1044" s="104"/>
      <c r="XN1044" s="103"/>
      <c r="XZ1044" s="104"/>
      <c r="YA1044" s="103"/>
      <c r="YM1044" s="104"/>
      <c r="YN1044" s="103"/>
      <c r="YZ1044" s="104"/>
      <c r="ZA1044" s="103"/>
      <c r="ZM1044" s="104"/>
      <c r="ZN1044" s="103"/>
      <c r="ZZ1044" s="104"/>
      <c r="AAA1044" s="103"/>
      <c r="AAM1044" s="104"/>
      <c r="AAN1044" s="103"/>
      <c r="AAZ1044" s="104"/>
      <c r="ABA1044" s="103"/>
      <c r="ABM1044" s="104"/>
      <c r="ABN1044" s="103"/>
      <c r="ABZ1044" s="104"/>
      <c r="ACA1044" s="103"/>
      <c r="ACM1044" s="104"/>
      <c r="ACN1044" s="103"/>
      <c r="ACZ1044" s="104"/>
      <c r="ADA1044" s="103"/>
      <c r="ADM1044" s="104"/>
      <c r="ADN1044" s="103"/>
      <c r="ADZ1044" s="104"/>
      <c r="AEA1044" s="103"/>
      <c r="AEM1044" s="104"/>
      <c r="AEN1044" s="103"/>
      <c r="AEZ1044" s="104"/>
      <c r="AFA1044" s="103"/>
      <c r="AFM1044" s="104"/>
      <c r="AFN1044" s="103"/>
      <c r="AFZ1044" s="104"/>
      <c r="AGA1044" s="103"/>
      <c r="AGM1044" s="104"/>
      <c r="AGN1044" s="103"/>
      <c r="AGZ1044" s="104"/>
      <c r="AHA1044" s="103"/>
      <c r="AHM1044" s="104"/>
      <c r="AHN1044" s="103"/>
      <c r="AHZ1044" s="104"/>
      <c r="AIA1044" s="103"/>
      <c r="AIM1044" s="104"/>
      <c r="AIN1044" s="103"/>
      <c r="AIZ1044" s="104"/>
      <c r="AJA1044" s="103"/>
      <c r="AJM1044" s="104"/>
      <c r="AJN1044" s="103"/>
      <c r="AJZ1044" s="104"/>
      <c r="AKA1044" s="103"/>
      <c r="AKM1044" s="104"/>
      <c r="AKN1044" s="103"/>
      <c r="AKZ1044" s="104"/>
      <c r="ALA1044" s="103"/>
      <c r="ALM1044" s="104"/>
      <c r="ALN1044" s="103"/>
      <c r="ALZ1044" s="104"/>
      <c r="AMA1044" s="103"/>
      <c r="AMM1044" s="104"/>
      <c r="AMN1044" s="103"/>
      <c r="AMZ1044" s="104"/>
      <c r="ANA1044" s="103"/>
      <c r="ANM1044" s="104"/>
      <c r="ANN1044" s="103"/>
      <c r="ANZ1044" s="104"/>
      <c r="AOA1044" s="103"/>
      <c r="AOM1044" s="104"/>
      <c r="AON1044" s="103"/>
      <c r="AOZ1044" s="104"/>
      <c r="APA1044" s="103"/>
      <c r="APM1044" s="104"/>
      <c r="APN1044" s="103"/>
      <c r="APZ1044" s="104"/>
      <c r="AQA1044" s="103"/>
      <c r="AQM1044" s="104"/>
      <c r="AQN1044" s="103"/>
      <c r="AQZ1044" s="104"/>
      <c r="ARA1044" s="103"/>
      <c r="ARM1044" s="104"/>
      <c r="ARN1044" s="103"/>
      <c r="ARZ1044" s="104"/>
      <c r="ASA1044" s="103"/>
      <c r="ASM1044" s="104"/>
      <c r="ASN1044" s="103"/>
      <c r="ASZ1044" s="104"/>
      <c r="ATA1044" s="103"/>
      <c r="ATM1044" s="104"/>
      <c r="ATN1044" s="103"/>
      <c r="ATZ1044" s="104"/>
      <c r="AUA1044" s="103"/>
      <c r="AUM1044" s="104"/>
      <c r="AUN1044" s="103"/>
      <c r="AUZ1044" s="104"/>
      <c r="AVA1044" s="103"/>
      <c r="AVM1044" s="104"/>
      <c r="AVN1044" s="103"/>
      <c r="AVZ1044" s="104"/>
      <c r="AWA1044" s="103"/>
      <c r="AWM1044" s="104"/>
      <c r="AWN1044" s="103"/>
      <c r="AWZ1044" s="104"/>
      <c r="AXA1044" s="103"/>
      <c r="AXM1044" s="104"/>
      <c r="AXN1044" s="103"/>
      <c r="AXZ1044" s="104"/>
      <c r="AYA1044" s="103"/>
      <c r="AYM1044" s="104"/>
      <c r="AYN1044" s="103"/>
      <c r="AYZ1044" s="104"/>
      <c r="AZA1044" s="103"/>
      <c r="AZM1044" s="104"/>
      <c r="AZN1044" s="103"/>
      <c r="AZZ1044" s="104"/>
      <c r="BAA1044" s="103"/>
      <c r="BAM1044" s="104"/>
      <c r="BAN1044" s="103"/>
      <c r="BAZ1044" s="104"/>
      <c r="BBA1044" s="103"/>
      <c r="BBM1044" s="104"/>
      <c r="BBN1044" s="103"/>
      <c r="BBZ1044" s="104"/>
      <c r="BCA1044" s="103"/>
      <c r="BCM1044" s="104"/>
      <c r="BCN1044" s="103"/>
      <c r="BCZ1044" s="104"/>
      <c r="BDA1044" s="103"/>
      <c r="BDM1044" s="104"/>
      <c r="BDN1044" s="103"/>
      <c r="BDZ1044" s="104"/>
      <c r="BEA1044" s="103"/>
      <c r="BEM1044" s="104"/>
      <c r="BEN1044" s="103"/>
      <c r="BEZ1044" s="104"/>
      <c r="BFA1044" s="103"/>
      <c r="BFM1044" s="104"/>
      <c r="BFN1044" s="103"/>
      <c r="BFZ1044" s="104"/>
      <c r="BGA1044" s="103"/>
      <c r="BGM1044" s="104"/>
      <c r="BGN1044" s="103"/>
      <c r="BGZ1044" s="104"/>
      <c r="BHA1044" s="103"/>
      <c r="BHM1044" s="104"/>
      <c r="BHN1044" s="103"/>
      <c r="BHZ1044" s="104"/>
      <c r="BIA1044" s="103"/>
      <c r="BIM1044" s="104"/>
      <c r="BIN1044" s="103"/>
      <c r="BIZ1044" s="104"/>
      <c r="BJA1044" s="103"/>
      <c r="BJM1044" s="104"/>
      <c r="BJN1044" s="103"/>
      <c r="BJZ1044" s="104"/>
      <c r="BKA1044" s="103"/>
      <c r="BKM1044" s="104"/>
      <c r="BKN1044" s="103"/>
      <c r="BKZ1044" s="104"/>
      <c r="BLA1044" s="103"/>
      <c r="BLM1044" s="104"/>
      <c r="BLN1044" s="103"/>
      <c r="BLZ1044" s="104"/>
      <c r="BMA1044" s="103"/>
      <c r="BMM1044" s="104"/>
      <c r="BMN1044" s="103"/>
      <c r="BMZ1044" s="104"/>
      <c r="BNA1044" s="103"/>
      <c r="BNM1044" s="104"/>
      <c r="BNN1044" s="103"/>
      <c r="BNZ1044" s="104"/>
      <c r="BOA1044" s="103"/>
      <c r="BOM1044" s="104"/>
      <c r="BON1044" s="103"/>
      <c r="BOZ1044" s="104"/>
      <c r="BPA1044" s="103"/>
      <c r="BPM1044" s="104"/>
      <c r="BPN1044" s="103"/>
      <c r="BPZ1044" s="104"/>
      <c r="BQA1044" s="103"/>
      <c r="BQM1044" s="104"/>
      <c r="BQN1044" s="103"/>
      <c r="BQZ1044" s="104"/>
      <c r="BRA1044" s="103"/>
      <c r="BRM1044" s="104"/>
      <c r="BRN1044" s="103"/>
      <c r="BRZ1044" s="104"/>
      <c r="BSA1044" s="103"/>
      <c r="BSM1044" s="104"/>
      <c r="BSN1044" s="103"/>
      <c r="BSZ1044" s="104"/>
      <c r="BTA1044" s="103"/>
      <c r="BTM1044" s="104"/>
      <c r="BTN1044" s="103"/>
      <c r="BTZ1044" s="104"/>
      <c r="BUA1044" s="103"/>
      <c r="BUM1044" s="104"/>
      <c r="BUN1044" s="103"/>
      <c r="BUZ1044" s="104"/>
      <c r="BVA1044" s="103"/>
      <c r="BVM1044" s="104"/>
      <c r="BVN1044" s="103"/>
      <c r="BVZ1044" s="104"/>
      <c r="BWA1044" s="103"/>
      <c r="BWM1044" s="104"/>
      <c r="BWN1044" s="103"/>
      <c r="BWZ1044" s="104"/>
      <c r="BXA1044" s="103"/>
      <c r="BXM1044" s="104"/>
      <c r="BXN1044" s="103"/>
      <c r="BXZ1044" s="104"/>
      <c r="BYA1044" s="103"/>
      <c r="BYM1044" s="104"/>
      <c r="BYN1044" s="103"/>
      <c r="BYZ1044" s="104"/>
      <c r="BZA1044" s="103"/>
      <c r="BZM1044" s="104"/>
      <c r="BZN1044" s="103"/>
      <c r="BZZ1044" s="104"/>
      <c r="CAA1044" s="103"/>
      <c r="CAM1044" s="104"/>
      <c r="CAN1044" s="103"/>
      <c r="CAZ1044" s="104"/>
      <c r="CBA1044" s="103"/>
      <c r="CBM1044" s="104"/>
      <c r="CBN1044" s="103"/>
      <c r="CBZ1044" s="104"/>
      <c r="CCA1044" s="103"/>
      <c r="CCM1044" s="104"/>
      <c r="CCN1044" s="103"/>
      <c r="CCZ1044" s="104"/>
      <c r="CDA1044" s="103"/>
      <c r="CDM1044" s="104"/>
      <c r="CDN1044" s="103"/>
      <c r="CDZ1044" s="104"/>
      <c r="CEA1044" s="103"/>
      <c r="CEM1044" s="104"/>
      <c r="CEN1044" s="103"/>
      <c r="CEZ1044" s="104"/>
      <c r="CFA1044" s="103"/>
      <c r="CFM1044" s="104"/>
      <c r="CFN1044" s="103"/>
      <c r="CFZ1044" s="104"/>
      <c r="CGA1044" s="103"/>
      <c r="CGM1044" s="104"/>
      <c r="CGN1044" s="103"/>
      <c r="CGZ1044" s="104"/>
      <c r="CHA1044" s="103"/>
      <c r="CHM1044" s="104"/>
      <c r="CHN1044" s="103"/>
      <c r="CHZ1044" s="104"/>
      <c r="CIA1044" s="103"/>
      <c r="CIM1044" s="104"/>
      <c r="CIN1044" s="103"/>
      <c r="CIZ1044" s="104"/>
      <c r="CJA1044" s="103"/>
      <c r="CJM1044" s="104"/>
      <c r="CJN1044" s="103"/>
      <c r="CJZ1044" s="104"/>
      <c r="CKA1044" s="103"/>
      <c r="CKM1044" s="104"/>
      <c r="CKN1044" s="103"/>
      <c r="CKZ1044" s="104"/>
      <c r="CLA1044" s="103"/>
      <c r="CLM1044" s="104"/>
      <c r="CLN1044" s="103"/>
      <c r="CLZ1044" s="104"/>
      <c r="CMA1044" s="103"/>
      <c r="CMM1044" s="104"/>
      <c r="CMN1044" s="103"/>
      <c r="CMZ1044" s="104"/>
      <c r="CNA1044" s="103"/>
      <c r="CNM1044" s="104"/>
      <c r="CNN1044" s="103"/>
      <c r="CNZ1044" s="104"/>
      <c r="COA1044" s="103"/>
      <c r="COM1044" s="104"/>
      <c r="CON1044" s="103"/>
      <c r="COZ1044" s="104"/>
      <c r="CPA1044" s="103"/>
      <c r="CPM1044" s="104"/>
      <c r="CPN1044" s="103"/>
      <c r="CPZ1044" s="104"/>
      <c r="CQA1044" s="103"/>
      <c r="CQM1044" s="104"/>
      <c r="CQN1044" s="103"/>
      <c r="CQZ1044" s="104"/>
      <c r="CRA1044" s="103"/>
      <c r="CRM1044" s="104"/>
      <c r="CRN1044" s="103"/>
      <c r="CRZ1044" s="104"/>
      <c r="CSA1044" s="103"/>
      <c r="CSM1044" s="104"/>
      <c r="CSN1044" s="103"/>
      <c r="CSZ1044" s="104"/>
      <c r="CTA1044" s="103"/>
      <c r="CTM1044" s="104"/>
      <c r="CTN1044" s="103"/>
      <c r="CTZ1044" s="104"/>
      <c r="CUA1044" s="103"/>
      <c r="CUM1044" s="104"/>
      <c r="CUN1044" s="103"/>
      <c r="CUZ1044" s="104"/>
      <c r="CVA1044" s="103"/>
      <c r="CVM1044" s="104"/>
      <c r="CVN1044" s="103"/>
      <c r="CVZ1044" s="104"/>
      <c r="CWA1044" s="103"/>
      <c r="CWM1044" s="104"/>
      <c r="CWN1044" s="103"/>
      <c r="CWZ1044" s="104"/>
      <c r="CXA1044" s="103"/>
      <c r="CXM1044" s="104"/>
      <c r="CXN1044" s="103"/>
      <c r="CXZ1044" s="104"/>
      <c r="CYA1044" s="103"/>
      <c r="CYM1044" s="104"/>
      <c r="CYN1044" s="103"/>
      <c r="CYZ1044" s="104"/>
      <c r="CZA1044" s="103"/>
      <c r="CZM1044" s="104"/>
      <c r="CZN1044" s="103"/>
      <c r="CZZ1044" s="104"/>
      <c r="DAA1044" s="103"/>
      <c r="DAM1044" s="104"/>
      <c r="DAN1044" s="103"/>
      <c r="DAZ1044" s="104"/>
      <c r="DBA1044" s="103"/>
      <c r="DBM1044" s="104"/>
      <c r="DBN1044" s="103"/>
      <c r="DBZ1044" s="104"/>
      <c r="DCA1044" s="103"/>
      <c r="DCM1044" s="104"/>
      <c r="DCN1044" s="103"/>
      <c r="DCZ1044" s="104"/>
      <c r="DDA1044" s="103"/>
      <c r="DDM1044" s="104"/>
      <c r="DDN1044" s="103"/>
      <c r="DDZ1044" s="104"/>
      <c r="DEA1044" s="103"/>
      <c r="DEM1044" s="104"/>
      <c r="DEN1044" s="103"/>
      <c r="DEZ1044" s="104"/>
      <c r="DFA1044" s="103"/>
      <c r="DFM1044" s="104"/>
      <c r="DFN1044" s="103"/>
      <c r="DFZ1044" s="104"/>
      <c r="DGA1044" s="103"/>
      <c r="DGM1044" s="104"/>
      <c r="DGN1044" s="103"/>
      <c r="DGZ1044" s="104"/>
      <c r="DHA1044" s="103"/>
      <c r="DHM1044" s="104"/>
      <c r="DHN1044" s="103"/>
      <c r="DHZ1044" s="104"/>
      <c r="DIA1044" s="103"/>
      <c r="DIM1044" s="104"/>
      <c r="DIN1044" s="103"/>
      <c r="DIZ1044" s="104"/>
      <c r="DJA1044" s="103"/>
      <c r="DJM1044" s="104"/>
      <c r="DJN1044" s="103"/>
      <c r="DJZ1044" s="104"/>
      <c r="DKA1044" s="103"/>
      <c r="DKM1044" s="104"/>
      <c r="DKN1044" s="103"/>
      <c r="DKZ1044" s="104"/>
      <c r="DLA1044" s="103"/>
      <c r="DLM1044" s="104"/>
      <c r="DLN1044" s="103"/>
      <c r="DLZ1044" s="104"/>
      <c r="DMA1044" s="103"/>
      <c r="DMM1044" s="104"/>
      <c r="DMN1044" s="103"/>
      <c r="DMZ1044" s="104"/>
      <c r="DNA1044" s="103"/>
      <c r="DNM1044" s="104"/>
      <c r="DNN1044" s="103"/>
      <c r="DNZ1044" s="104"/>
      <c r="DOA1044" s="103"/>
      <c r="DOM1044" s="104"/>
      <c r="DON1044" s="103"/>
      <c r="DOZ1044" s="104"/>
      <c r="DPA1044" s="103"/>
      <c r="DPM1044" s="104"/>
      <c r="DPN1044" s="103"/>
      <c r="DPZ1044" s="104"/>
      <c r="DQA1044" s="103"/>
      <c r="DQM1044" s="104"/>
      <c r="DQN1044" s="103"/>
      <c r="DQZ1044" s="104"/>
      <c r="DRA1044" s="103"/>
      <c r="DRM1044" s="104"/>
      <c r="DRN1044" s="103"/>
      <c r="DRZ1044" s="104"/>
      <c r="DSA1044" s="103"/>
      <c r="DSM1044" s="104"/>
      <c r="DSN1044" s="103"/>
      <c r="DSZ1044" s="104"/>
      <c r="DTA1044" s="103"/>
      <c r="DTM1044" s="104"/>
      <c r="DTN1044" s="103"/>
      <c r="DTZ1044" s="104"/>
      <c r="DUA1044" s="103"/>
      <c r="DUM1044" s="104"/>
      <c r="DUN1044" s="103"/>
      <c r="DUZ1044" s="104"/>
      <c r="DVA1044" s="103"/>
      <c r="DVM1044" s="104"/>
      <c r="DVN1044" s="103"/>
      <c r="DVZ1044" s="104"/>
      <c r="DWA1044" s="103"/>
      <c r="DWM1044" s="104"/>
      <c r="DWN1044" s="103"/>
      <c r="DWZ1044" s="104"/>
      <c r="DXA1044" s="103"/>
      <c r="DXM1044" s="104"/>
      <c r="DXN1044" s="103"/>
      <c r="DXZ1044" s="104"/>
      <c r="DYA1044" s="103"/>
      <c r="DYM1044" s="104"/>
      <c r="DYN1044" s="103"/>
      <c r="DYZ1044" s="104"/>
      <c r="DZA1044" s="103"/>
      <c r="DZM1044" s="104"/>
      <c r="DZN1044" s="103"/>
      <c r="DZZ1044" s="104"/>
      <c r="EAA1044" s="103"/>
      <c r="EAM1044" s="104"/>
      <c r="EAN1044" s="103"/>
      <c r="EAZ1044" s="104"/>
      <c r="EBA1044" s="103"/>
      <c r="EBM1044" s="104"/>
      <c r="EBN1044" s="103"/>
      <c r="EBZ1044" s="104"/>
      <c r="ECA1044" s="103"/>
      <c r="ECM1044" s="104"/>
      <c r="ECN1044" s="103"/>
      <c r="ECZ1044" s="104"/>
      <c r="EDA1044" s="103"/>
      <c r="EDM1044" s="104"/>
      <c r="EDN1044" s="103"/>
      <c r="EDZ1044" s="104"/>
      <c r="EEA1044" s="103"/>
      <c r="EEM1044" s="104"/>
      <c r="EEN1044" s="103"/>
      <c r="EEZ1044" s="104"/>
      <c r="EFA1044" s="103"/>
      <c r="EFM1044" s="104"/>
      <c r="EFN1044" s="103"/>
      <c r="EFZ1044" s="104"/>
      <c r="EGA1044" s="103"/>
      <c r="EGM1044" s="104"/>
      <c r="EGN1044" s="103"/>
      <c r="EGZ1044" s="104"/>
      <c r="EHA1044" s="103"/>
      <c r="EHM1044" s="104"/>
      <c r="EHN1044" s="103"/>
      <c r="EHZ1044" s="104"/>
      <c r="EIA1044" s="103"/>
      <c r="EIM1044" s="104"/>
      <c r="EIN1044" s="103"/>
      <c r="EIZ1044" s="104"/>
      <c r="EJA1044" s="103"/>
      <c r="EJM1044" s="104"/>
      <c r="EJN1044" s="103"/>
      <c r="EJZ1044" s="104"/>
      <c r="EKA1044" s="103"/>
      <c r="EKM1044" s="104"/>
      <c r="EKN1044" s="103"/>
      <c r="EKZ1044" s="104"/>
      <c r="ELA1044" s="103"/>
      <c r="ELM1044" s="104"/>
      <c r="ELN1044" s="103"/>
      <c r="ELZ1044" s="104"/>
      <c r="EMA1044" s="103"/>
      <c r="EMM1044" s="104"/>
      <c r="EMN1044" s="103"/>
      <c r="EMZ1044" s="104"/>
      <c r="ENA1044" s="103"/>
      <c r="ENM1044" s="104"/>
      <c r="ENN1044" s="103"/>
      <c r="ENZ1044" s="104"/>
      <c r="EOA1044" s="103"/>
      <c r="EOM1044" s="104"/>
      <c r="EON1044" s="103"/>
      <c r="EOZ1044" s="104"/>
      <c r="EPA1044" s="103"/>
      <c r="EPM1044" s="104"/>
      <c r="EPN1044" s="103"/>
      <c r="EPZ1044" s="104"/>
      <c r="EQA1044" s="103"/>
      <c r="EQM1044" s="104"/>
      <c r="EQN1044" s="103"/>
      <c r="EQZ1044" s="104"/>
      <c r="ERA1044" s="103"/>
      <c r="ERM1044" s="104"/>
      <c r="ERN1044" s="103"/>
      <c r="ERZ1044" s="104"/>
      <c r="ESA1044" s="103"/>
      <c r="ESM1044" s="104"/>
      <c r="ESN1044" s="103"/>
      <c r="ESZ1044" s="104"/>
      <c r="ETA1044" s="103"/>
      <c r="ETM1044" s="104"/>
      <c r="ETN1044" s="103"/>
      <c r="ETZ1044" s="104"/>
      <c r="EUA1044" s="103"/>
      <c r="EUM1044" s="104"/>
      <c r="EUN1044" s="103"/>
      <c r="EUZ1044" s="104"/>
      <c r="EVA1044" s="103"/>
      <c r="EVM1044" s="104"/>
      <c r="EVN1044" s="103"/>
      <c r="EVZ1044" s="104"/>
      <c r="EWA1044" s="103"/>
      <c r="EWM1044" s="104"/>
      <c r="EWN1044" s="103"/>
      <c r="EWZ1044" s="104"/>
      <c r="EXA1044" s="103"/>
      <c r="EXM1044" s="104"/>
      <c r="EXN1044" s="103"/>
      <c r="EXZ1044" s="104"/>
      <c r="EYA1044" s="103"/>
      <c r="EYM1044" s="104"/>
      <c r="EYN1044" s="103"/>
      <c r="EYZ1044" s="104"/>
      <c r="EZA1044" s="103"/>
      <c r="EZM1044" s="104"/>
      <c r="EZN1044" s="103"/>
      <c r="EZZ1044" s="104"/>
      <c r="FAA1044" s="103"/>
      <c r="FAM1044" s="104"/>
      <c r="FAN1044" s="103"/>
      <c r="FAZ1044" s="104"/>
      <c r="FBA1044" s="103"/>
      <c r="FBM1044" s="104"/>
      <c r="FBN1044" s="103"/>
      <c r="FBZ1044" s="104"/>
      <c r="FCA1044" s="103"/>
      <c r="FCM1044" s="104"/>
      <c r="FCN1044" s="103"/>
      <c r="FCZ1044" s="104"/>
      <c r="FDA1044" s="103"/>
      <c r="FDM1044" s="104"/>
      <c r="FDN1044" s="103"/>
      <c r="FDZ1044" s="104"/>
      <c r="FEA1044" s="103"/>
      <c r="FEM1044" s="104"/>
      <c r="FEN1044" s="103"/>
      <c r="FEZ1044" s="104"/>
      <c r="FFA1044" s="103"/>
      <c r="FFM1044" s="104"/>
      <c r="FFN1044" s="103"/>
      <c r="FFZ1044" s="104"/>
      <c r="FGA1044" s="103"/>
      <c r="FGM1044" s="104"/>
      <c r="FGN1044" s="103"/>
      <c r="FGZ1044" s="104"/>
      <c r="FHA1044" s="103"/>
      <c r="FHM1044" s="104"/>
      <c r="FHN1044" s="103"/>
      <c r="FHZ1044" s="104"/>
      <c r="FIA1044" s="103"/>
      <c r="FIM1044" s="104"/>
      <c r="FIN1044" s="103"/>
      <c r="FIZ1044" s="104"/>
      <c r="FJA1044" s="103"/>
      <c r="FJM1044" s="104"/>
      <c r="FJN1044" s="103"/>
      <c r="FJZ1044" s="104"/>
      <c r="FKA1044" s="103"/>
      <c r="FKM1044" s="104"/>
      <c r="FKN1044" s="103"/>
      <c r="FKZ1044" s="104"/>
      <c r="FLA1044" s="103"/>
      <c r="FLM1044" s="104"/>
      <c r="FLN1044" s="103"/>
      <c r="FLZ1044" s="104"/>
      <c r="FMA1044" s="103"/>
      <c r="FMM1044" s="104"/>
      <c r="FMN1044" s="103"/>
      <c r="FMZ1044" s="104"/>
      <c r="FNA1044" s="103"/>
      <c r="FNM1044" s="104"/>
      <c r="FNN1044" s="103"/>
      <c r="FNZ1044" s="104"/>
      <c r="FOA1044" s="103"/>
      <c r="FOM1044" s="104"/>
      <c r="FON1044" s="103"/>
      <c r="FOZ1044" s="104"/>
      <c r="FPA1044" s="103"/>
      <c r="FPM1044" s="104"/>
      <c r="FPN1044" s="103"/>
      <c r="FPZ1044" s="104"/>
      <c r="FQA1044" s="103"/>
      <c r="FQM1044" s="104"/>
      <c r="FQN1044" s="103"/>
      <c r="FQZ1044" s="104"/>
      <c r="FRA1044" s="103"/>
      <c r="FRM1044" s="104"/>
      <c r="FRN1044" s="103"/>
      <c r="FRZ1044" s="104"/>
      <c r="FSA1044" s="103"/>
      <c r="FSM1044" s="104"/>
      <c r="FSN1044" s="103"/>
      <c r="FSZ1044" s="104"/>
      <c r="FTA1044" s="103"/>
      <c r="FTM1044" s="104"/>
      <c r="FTN1044" s="103"/>
      <c r="FTZ1044" s="104"/>
      <c r="FUA1044" s="103"/>
      <c r="FUM1044" s="104"/>
      <c r="FUN1044" s="103"/>
      <c r="FUZ1044" s="104"/>
      <c r="FVA1044" s="103"/>
      <c r="FVM1044" s="104"/>
      <c r="FVN1044" s="103"/>
      <c r="FVZ1044" s="104"/>
      <c r="FWA1044" s="103"/>
      <c r="FWM1044" s="104"/>
      <c r="FWN1044" s="103"/>
      <c r="FWZ1044" s="104"/>
      <c r="FXA1044" s="103"/>
      <c r="FXM1044" s="104"/>
      <c r="FXN1044" s="103"/>
      <c r="FXZ1044" s="104"/>
      <c r="FYA1044" s="103"/>
      <c r="FYM1044" s="104"/>
      <c r="FYN1044" s="103"/>
      <c r="FYZ1044" s="104"/>
      <c r="FZA1044" s="103"/>
      <c r="FZM1044" s="104"/>
      <c r="FZN1044" s="103"/>
      <c r="FZZ1044" s="104"/>
      <c r="GAA1044" s="103"/>
      <c r="GAM1044" s="104"/>
      <c r="GAN1044" s="103"/>
      <c r="GAZ1044" s="104"/>
      <c r="GBA1044" s="103"/>
      <c r="GBM1044" s="104"/>
      <c r="GBN1044" s="103"/>
      <c r="GBZ1044" s="104"/>
      <c r="GCA1044" s="103"/>
      <c r="GCM1044" s="104"/>
      <c r="GCN1044" s="103"/>
      <c r="GCZ1044" s="104"/>
      <c r="GDA1044" s="103"/>
      <c r="GDM1044" s="104"/>
      <c r="GDN1044" s="103"/>
      <c r="GDZ1044" s="104"/>
      <c r="GEA1044" s="103"/>
      <c r="GEM1044" s="104"/>
      <c r="GEN1044" s="103"/>
      <c r="GEZ1044" s="104"/>
      <c r="GFA1044" s="103"/>
      <c r="GFM1044" s="104"/>
      <c r="GFN1044" s="103"/>
      <c r="GFZ1044" s="104"/>
      <c r="GGA1044" s="103"/>
      <c r="GGM1044" s="104"/>
      <c r="GGN1044" s="103"/>
      <c r="GGZ1044" s="104"/>
      <c r="GHA1044" s="103"/>
      <c r="GHM1044" s="104"/>
      <c r="GHN1044" s="103"/>
      <c r="GHZ1044" s="104"/>
      <c r="GIA1044" s="103"/>
      <c r="GIM1044" s="104"/>
      <c r="GIN1044" s="103"/>
      <c r="GIZ1044" s="104"/>
      <c r="GJA1044" s="103"/>
      <c r="GJM1044" s="104"/>
      <c r="GJN1044" s="103"/>
      <c r="GJZ1044" s="104"/>
      <c r="GKA1044" s="103"/>
      <c r="GKM1044" s="104"/>
      <c r="GKN1044" s="103"/>
      <c r="GKZ1044" s="104"/>
      <c r="GLA1044" s="103"/>
      <c r="GLM1044" s="104"/>
      <c r="GLN1044" s="103"/>
      <c r="GLZ1044" s="104"/>
      <c r="GMA1044" s="103"/>
      <c r="GMM1044" s="104"/>
      <c r="GMN1044" s="103"/>
      <c r="GMZ1044" s="104"/>
      <c r="GNA1044" s="103"/>
      <c r="GNM1044" s="104"/>
      <c r="GNN1044" s="103"/>
      <c r="GNZ1044" s="104"/>
      <c r="GOA1044" s="103"/>
      <c r="GOM1044" s="104"/>
      <c r="GON1044" s="103"/>
      <c r="GOZ1044" s="104"/>
      <c r="GPA1044" s="103"/>
      <c r="GPM1044" s="104"/>
      <c r="GPN1044" s="103"/>
      <c r="GPZ1044" s="104"/>
      <c r="GQA1044" s="103"/>
      <c r="GQM1044" s="104"/>
      <c r="GQN1044" s="103"/>
      <c r="GQZ1044" s="104"/>
      <c r="GRA1044" s="103"/>
      <c r="GRM1044" s="104"/>
      <c r="GRN1044" s="103"/>
      <c r="GRZ1044" s="104"/>
      <c r="GSA1044" s="103"/>
      <c r="GSM1044" s="104"/>
      <c r="GSN1044" s="103"/>
      <c r="GSZ1044" s="104"/>
      <c r="GTA1044" s="103"/>
      <c r="GTM1044" s="104"/>
      <c r="GTN1044" s="103"/>
      <c r="GTZ1044" s="104"/>
      <c r="GUA1044" s="103"/>
      <c r="GUM1044" s="104"/>
      <c r="GUN1044" s="103"/>
      <c r="GUZ1044" s="104"/>
      <c r="GVA1044" s="103"/>
      <c r="GVM1044" s="104"/>
      <c r="GVN1044" s="103"/>
      <c r="GVZ1044" s="104"/>
      <c r="GWA1044" s="103"/>
      <c r="GWM1044" s="104"/>
      <c r="GWN1044" s="103"/>
      <c r="GWZ1044" s="104"/>
      <c r="GXA1044" s="103"/>
      <c r="GXM1044" s="104"/>
      <c r="GXN1044" s="103"/>
      <c r="GXZ1044" s="104"/>
      <c r="GYA1044" s="103"/>
      <c r="GYM1044" s="104"/>
      <c r="GYN1044" s="103"/>
      <c r="GYZ1044" s="104"/>
      <c r="GZA1044" s="103"/>
      <c r="GZM1044" s="104"/>
      <c r="GZN1044" s="103"/>
      <c r="GZZ1044" s="104"/>
      <c r="HAA1044" s="103"/>
      <c r="HAM1044" s="104"/>
      <c r="HAN1044" s="103"/>
      <c r="HAZ1044" s="104"/>
      <c r="HBA1044" s="103"/>
      <c r="HBM1044" s="104"/>
      <c r="HBN1044" s="103"/>
      <c r="HBZ1044" s="104"/>
      <c r="HCA1044" s="103"/>
      <c r="HCM1044" s="104"/>
      <c r="HCN1044" s="103"/>
      <c r="HCZ1044" s="104"/>
      <c r="HDA1044" s="103"/>
      <c r="HDM1044" s="104"/>
      <c r="HDN1044" s="103"/>
      <c r="HDZ1044" s="104"/>
      <c r="HEA1044" s="103"/>
      <c r="HEM1044" s="104"/>
      <c r="HEN1044" s="103"/>
      <c r="HEZ1044" s="104"/>
      <c r="HFA1044" s="103"/>
      <c r="HFM1044" s="104"/>
      <c r="HFN1044" s="103"/>
      <c r="HFZ1044" s="104"/>
      <c r="HGA1044" s="103"/>
      <c r="HGM1044" s="104"/>
      <c r="HGN1044" s="103"/>
      <c r="HGZ1044" s="104"/>
      <c r="HHA1044" s="103"/>
      <c r="HHM1044" s="104"/>
      <c r="HHN1044" s="103"/>
      <c r="HHZ1044" s="104"/>
      <c r="HIA1044" s="103"/>
      <c r="HIM1044" s="104"/>
      <c r="HIN1044" s="103"/>
      <c r="HIZ1044" s="104"/>
      <c r="HJA1044" s="103"/>
      <c r="HJM1044" s="104"/>
      <c r="HJN1044" s="103"/>
      <c r="HJZ1044" s="104"/>
      <c r="HKA1044" s="103"/>
      <c r="HKM1044" s="104"/>
      <c r="HKN1044" s="103"/>
      <c r="HKZ1044" s="104"/>
      <c r="HLA1044" s="103"/>
      <c r="HLM1044" s="104"/>
      <c r="HLN1044" s="103"/>
      <c r="HLZ1044" s="104"/>
      <c r="HMA1044" s="103"/>
      <c r="HMM1044" s="104"/>
      <c r="HMN1044" s="103"/>
      <c r="HMZ1044" s="104"/>
      <c r="HNA1044" s="103"/>
      <c r="HNM1044" s="104"/>
      <c r="HNN1044" s="103"/>
      <c r="HNZ1044" s="104"/>
      <c r="HOA1044" s="103"/>
      <c r="HOM1044" s="104"/>
      <c r="HON1044" s="103"/>
      <c r="HOZ1044" s="104"/>
      <c r="HPA1044" s="103"/>
      <c r="HPM1044" s="104"/>
      <c r="HPN1044" s="103"/>
      <c r="HPZ1044" s="104"/>
      <c r="HQA1044" s="103"/>
      <c r="HQM1044" s="104"/>
      <c r="HQN1044" s="103"/>
      <c r="HQZ1044" s="104"/>
      <c r="HRA1044" s="103"/>
      <c r="HRM1044" s="104"/>
      <c r="HRN1044" s="103"/>
      <c r="HRZ1044" s="104"/>
      <c r="HSA1044" s="103"/>
      <c r="HSM1044" s="104"/>
      <c r="HSN1044" s="103"/>
      <c r="HSZ1044" s="104"/>
      <c r="HTA1044" s="103"/>
      <c r="HTM1044" s="104"/>
      <c r="HTN1044" s="103"/>
      <c r="HTZ1044" s="104"/>
      <c r="HUA1044" s="103"/>
      <c r="HUM1044" s="104"/>
      <c r="HUN1044" s="103"/>
      <c r="HUZ1044" s="104"/>
      <c r="HVA1044" s="103"/>
      <c r="HVM1044" s="104"/>
      <c r="HVN1044" s="103"/>
      <c r="HVZ1044" s="104"/>
      <c r="HWA1044" s="103"/>
      <c r="HWM1044" s="104"/>
      <c r="HWN1044" s="103"/>
      <c r="HWZ1044" s="104"/>
      <c r="HXA1044" s="103"/>
      <c r="HXM1044" s="104"/>
      <c r="HXN1044" s="103"/>
      <c r="HXZ1044" s="104"/>
      <c r="HYA1044" s="103"/>
      <c r="HYM1044" s="104"/>
      <c r="HYN1044" s="103"/>
      <c r="HYZ1044" s="104"/>
      <c r="HZA1044" s="103"/>
      <c r="HZM1044" s="104"/>
      <c r="HZN1044" s="103"/>
      <c r="HZZ1044" s="104"/>
      <c r="IAA1044" s="103"/>
      <c r="IAM1044" s="104"/>
      <c r="IAN1044" s="103"/>
      <c r="IAZ1044" s="104"/>
      <c r="IBA1044" s="103"/>
      <c r="IBM1044" s="104"/>
      <c r="IBN1044" s="103"/>
      <c r="IBZ1044" s="104"/>
      <c r="ICA1044" s="103"/>
      <c r="ICM1044" s="104"/>
      <c r="ICN1044" s="103"/>
      <c r="ICZ1044" s="104"/>
      <c r="IDA1044" s="103"/>
      <c r="IDM1044" s="104"/>
      <c r="IDN1044" s="103"/>
      <c r="IDZ1044" s="104"/>
      <c r="IEA1044" s="103"/>
      <c r="IEM1044" s="104"/>
      <c r="IEN1044" s="103"/>
      <c r="IEZ1044" s="104"/>
      <c r="IFA1044" s="103"/>
      <c r="IFM1044" s="104"/>
      <c r="IFN1044" s="103"/>
      <c r="IFZ1044" s="104"/>
      <c r="IGA1044" s="103"/>
      <c r="IGM1044" s="104"/>
      <c r="IGN1044" s="103"/>
      <c r="IGZ1044" s="104"/>
      <c r="IHA1044" s="103"/>
      <c r="IHM1044" s="104"/>
      <c r="IHN1044" s="103"/>
      <c r="IHZ1044" s="104"/>
      <c r="IIA1044" s="103"/>
      <c r="IIM1044" s="104"/>
      <c r="IIN1044" s="103"/>
      <c r="IIZ1044" s="104"/>
      <c r="IJA1044" s="103"/>
      <c r="IJM1044" s="104"/>
      <c r="IJN1044" s="103"/>
      <c r="IJZ1044" s="104"/>
      <c r="IKA1044" s="103"/>
      <c r="IKM1044" s="104"/>
      <c r="IKN1044" s="103"/>
      <c r="IKZ1044" s="104"/>
      <c r="ILA1044" s="103"/>
      <c r="ILM1044" s="104"/>
      <c r="ILN1044" s="103"/>
      <c r="ILZ1044" s="104"/>
      <c r="IMA1044" s="103"/>
      <c r="IMM1044" s="104"/>
      <c r="IMN1044" s="103"/>
      <c r="IMZ1044" s="104"/>
      <c r="INA1044" s="103"/>
      <c r="INM1044" s="104"/>
      <c r="INN1044" s="103"/>
      <c r="INZ1044" s="104"/>
      <c r="IOA1044" s="103"/>
      <c r="IOM1044" s="104"/>
      <c r="ION1044" s="103"/>
      <c r="IOZ1044" s="104"/>
      <c r="IPA1044" s="103"/>
      <c r="IPM1044" s="104"/>
      <c r="IPN1044" s="103"/>
      <c r="IPZ1044" s="104"/>
      <c r="IQA1044" s="103"/>
      <c r="IQM1044" s="104"/>
      <c r="IQN1044" s="103"/>
      <c r="IQZ1044" s="104"/>
      <c r="IRA1044" s="103"/>
      <c r="IRM1044" s="104"/>
      <c r="IRN1044" s="103"/>
      <c r="IRZ1044" s="104"/>
      <c r="ISA1044" s="103"/>
      <c r="ISM1044" s="104"/>
      <c r="ISN1044" s="103"/>
      <c r="ISZ1044" s="104"/>
      <c r="ITA1044" s="103"/>
      <c r="ITM1044" s="104"/>
      <c r="ITN1044" s="103"/>
      <c r="ITZ1044" s="104"/>
      <c r="IUA1044" s="103"/>
      <c r="IUM1044" s="104"/>
      <c r="IUN1044" s="103"/>
      <c r="IUZ1044" s="104"/>
      <c r="IVA1044" s="103"/>
      <c r="IVM1044" s="104"/>
      <c r="IVN1044" s="103"/>
      <c r="IVZ1044" s="104"/>
      <c r="IWA1044" s="103"/>
      <c r="IWM1044" s="104"/>
      <c r="IWN1044" s="103"/>
      <c r="IWZ1044" s="104"/>
      <c r="IXA1044" s="103"/>
      <c r="IXM1044" s="104"/>
      <c r="IXN1044" s="103"/>
      <c r="IXZ1044" s="104"/>
      <c r="IYA1044" s="103"/>
      <c r="IYM1044" s="104"/>
      <c r="IYN1044" s="103"/>
      <c r="IYZ1044" s="104"/>
      <c r="IZA1044" s="103"/>
      <c r="IZM1044" s="104"/>
      <c r="IZN1044" s="103"/>
      <c r="IZZ1044" s="104"/>
      <c r="JAA1044" s="103"/>
      <c r="JAM1044" s="104"/>
      <c r="JAN1044" s="103"/>
      <c r="JAZ1044" s="104"/>
      <c r="JBA1044" s="103"/>
      <c r="JBM1044" s="104"/>
      <c r="JBN1044" s="103"/>
      <c r="JBZ1044" s="104"/>
      <c r="JCA1044" s="103"/>
      <c r="JCM1044" s="104"/>
      <c r="JCN1044" s="103"/>
      <c r="JCZ1044" s="104"/>
      <c r="JDA1044" s="103"/>
      <c r="JDM1044" s="104"/>
      <c r="JDN1044" s="103"/>
      <c r="JDZ1044" s="104"/>
      <c r="JEA1044" s="103"/>
      <c r="JEM1044" s="104"/>
      <c r="JEN1044" s="103"/>
      <c r="JEZ1044" s="104"/>
      <c r="JFA1044" s="103"/>
      <c r="JFM1044" s="104"/>
      <c r="JFN1044" s="103"/>
      <c r="JFZ1044" s="104"/>
      <c r="JGA1044" s="103"/>
      <c r="JGM1044" s="104"/>
      <c r="JGN1044" s="103"/>
      <c r="JGZ1044" s="104"/>
      <c r="JHA1044" s="103"/>
      <c r="JHM1044" s="104"/>
      <c r="JHN1044" s="103"/>
      <c r="JHZ1044" s="104"/>
      <c r="JIA1044" s="103"/>
      <c r="JIM1044" s="104"/>
      <c r="JIN1044" s="103"/>
      <c r="JIZ1044" s="104"/>
      <c r="JJA1044" s="103"/>
      <c r="JJM1044" s="104"/>
      <c r="JJN1044" s="103"/>
      <c r="JJZ1044" s="104"/>
      <c r="JKA1044" s="103"/>
      <c r="JKM1044" s="104"/>
      <c r="JKN1044" s="103"/>
      <c r="JKZ1044" s="104"/>
      <c r="JLA1044" s="103"/>
      <c r="JLM1044" s="104"/>
      <c r="JLN1044" s="103"/>
      <c r="JLZ1044" s="104"/>
      <c r="JMA1044" s="103"/>
      <c r="JMM1044" s="104"/>
      <c r="JMN1044" s="103"/>
      <c r="JMZ1044" s="104"/>
      <c r="JNA1044" s="103"/>
      <c r="JNM1044" s="104"/>
      <c r="JNN1044" s="103"/>
      <c r="JNZ1044" s="104"/>
      <c r="JOA1044" s="103"/>
      <c r="JOM1044" s="104"/>
      <c r="JON1044" s="103"/>
      <c r="JOZ1044" s="104"/>
      <c r="JPA1044" s="103"/>
      <c r="JPM1044" s="104"/>
      <c r="JPN1044" s="103"/>
      <c r="JPZ1044" s="104"/>
      <c r="JQA1044" s="103"/>
      <c r="JQM1044" s="104"/>
      <c r="JQN1044" s="103"/>
      <c r="JQZ1044" s="104"/>
      <c r="JRA1044" s="103"/>
      <c r="JRM1044" s="104"/>
      <c r="JRN1044" s="103"/>
      <c r="JRZ1044" s="104"/>
      <c r="JSA1044" s="103"/>
      <c r="JSM1044" s="104"/>
      <c r="JSN1044" s="103"/>
      <c r="JSZ1044" s="104"/>
      <c r="JTA1044" s="103"/>
      <c r="JTM1044" s="104"/>
      <c r="JTN1044" s="103"/>
      <c r="JTZ1044" s="104"/>
      <c r="JUA1044" s="103"/>
      <c r="JUM1044" s="104"/>
      <c r="JUN1044" s="103"/>
      <c r="JUZ1044" s="104"/>
      <c r="JVA1044" s="103"/>
      <c r="JVM1044" s="104"/>
      <c r="JVN1044" s="103"/>
      <c r="JVZ1044" s="104"/>
      <c r="JWA1044" s="103"/>
      <c r="JWM1044" s="104"/>
      <c r="JWN1044" s="103"/>
      <c r="JWZ1044" s="104"/>
      <c r="JXA1044" s="103"/>
      <c r="JXM1044" s="104"/>
      <c r="JXN1044" s="103"/>
      <c r="JXZ1044" s="104"/>
      <c r="JYA1044" s="103"/>
      <c r="JYM1044" s="104"/>
      <c r="JYN1044" s="103"/>
      <c r="JYZ1044" s="104"/>
      <c r="JZA1044" s="103"/>
      <c r="JZM1044" s="104"/>
      <c r="JZN1044" s="103"/>
      <c r="JZZ1044" s="104"/>
      <c r="KAA1044" s="103"/>
      <c r="KAM1044" s="104"/>
      <c r="KAN1044" s="103"/>
      <c r="KAZ1044" s="104"/>
      <c r="KBA1044" s="103"/>
      <c r="KBM1044" s="104"/>
      <c r="KBN1044" s="103"/>
      <c r="KBZ1044" s="104"/>
      <c r="KCA1044" s="103"/>
      <c r="KCM1044" s="104"/>
      <c r="KCN1044" s="103"/>
      <c r="KCZ1044" s="104"/>
      <c r="KDA1044" s="103"/>
      <c r="KDM1044" s="104"/>
      <c r="KDN1044" s="103"/>
      <c r="KDZ1044" s="104"/>
      <c r="KEA1044" s="103"/>
      <c r="KEM1044" s="104"/>
      <c r="KEN1044" s="103"/>
      <c r="KEZ1044" s="104"/>
      <c r="KFA1044" s="103"/>
      <c r="KFM1044" s="104"/>
      <c r="KFN1044" s="103"/>
      <c r="KFZ1044" s="104"/>
      <c r="KGA1044" s="103"/>
      <c r="KGM1044" s="104"/>
      <c r="KGN1044" s="103"/>
      <c r="KGZ1044" s="104"/>
      <c r="KHA1044" s="103"/>
      <c r="KHM1044" s="104"/>
      <c r="KHN1044" s="103"/>
      <c r="KHZ1044" s="104"/>
      <c r="KIA1044" s="103"/>
      <c r="KIM1044" s="104"/>
      <c r="KIN1044" s="103"/>
      <c r="KIZ1044" s="104"/>
      <c r="KJA1044" s="103"/>
      <c r="KJM1044" s="104"/>
      <c r="KJN1044" s="103"/>
      <c r="KJZ1044" s="104"/>
      <c r="KKA1044" s="103"/>
      <c r="KKM1044" s="104"/>
      <c r="KKN1044" s="103"/>
      <c r="KKZ1044" s="104"/>
      <c r="KLA1044" s="103"/>
      <c r="KLM1044" s="104"/>
      <c r="KLN1044" s="103"/>
      <c r="KLZ1044" s="104"/>
      <c r="KMA1044" s="103"/>
      <c r="KMM1044" s="104"/>
      <c r="KMN1044" s="103"/>
      <c r="KMZ1044" s="104"/>
      <c r="KNA1044" s="103"/>
      <c r="KNM1044" s="104"/>
      <c r="KNN1044" s="103"/>
      <c r="KNZ1044" s="104"/>
      <c r="KOA1044" s="103"/>
      <c r="KOM1044" s="104"/>
      <c r="KON1044" s="103"/>
      <c r="KOZ1044" s="104"/>
      <c r="KPA1044" s="103"/>
      <c r="KPM1044" s="104"/>
      <c r="KPN1044" s="103"/>
      <c r="KPZ1044" s="104"/>
      <c r="KQA1044" s="103"/>
      <c r="KQM1044" s="104"/>
      <c r="KQN1044" s="103"/>
      <c r="KQZ1044" s="104"/>
      <c r="KRA1044" s="103"/>
      <c r="KRM1044" s="104"/>
      <c r="KRN1044" s="103"/>
      <c r="KRZ1044" s="104"/>
      <c r="KSA1044" s="103"/>
      <c r="KSM1044" s="104"/>
      <c r="KSN1044" s="103"/>
      <c r="KSZ1044" s="104"/>
      <c r="KTA1044" s="103"/>
      <c r="KTM1044" s="104"/>
      <c r="KTN1044" s="103"/>
      <c r="KTZ1044" s="104"/>
      <c r="KUA1044" s="103"/>
      <c r="KUM1044" s="104"/>
      <c r="KUN1044" s="103"/>
      <c r="KUZ1044" s="104"/>
      <c r="KVA1044" s="103"/>
      <c r="KVM1044" s="104"/>
      <c r="KVN1044" s="103"/>
      <c r="KVZ1044" s="104"/>
      <c r="KWA1044" s="103"/>
      <c r="KWM1044" s="104"/>
      <c r="KWN1044" s="103"/>
      <c r="KWZ1044" s="104"/>
      <c r="KXA1044" s="103"/>
      <c r="KXM1044" s="104"/>
      <c r="KXN1044" s="103"/>
      <c r="KXZ1044" s="104"/>
      <c r="KYA1044" s="103"/>
      <c r="KYM1044" s="104"/>
      <c r="KYN1044" s="103"/>
      <c r="KYZ1044" s="104"/>
      <c r="KZA1044" s="103"/>
      <c r="KZM1044" s="104"/>
      <c r="KZN1044" s="103"/>
      <c r="KZZ1044" s="104"/>
      <c r="LAA1044" s="103"/>
      <c r="LAM1044" s="104"/>
      <c r="LAN1044" s="103"/>
      <c r="LAZ1044" s="104"/>
      <c r="LBA1044" s="103"/>
      <c r="LBM1044" s="104"/>
      <c r="LBN1044" s="103"/>
      <c r="LBZ1044" s="104"/>
      <c r="LCA1044" s="103"/>
      <c r="LCM1044" s="104"/>
      <c r="LCN1044" s="103"/>
      <c r="LCZ1044" s="104"/>
      <c r="LDA1044" s="103"/>
      <c r="LDM1044" s="104"/>
      <c r="LDN1044" s="103"/>
      <c r="LDZ1044" s="104"/>
      <c r="LEA1044" s="103"/>
      <c r="LEM1044" s="104"/>
      <c r="LEN1044" s="103"/>
      <c r="LEZ1044" s="104"/>
      <c r="LFA1044" s="103"/>
      <c r="LFM1044" s="104"/>
      <c r="LFN1044" s="103"/>
      <c r="LFZ1044" s="104"/>
      <c r="LGA1044" s="103"/>
      <c r="LGM1044" s="104"/>
      <c r="LGN1044" s="103"/>
      <c r="LGZ1044" s="104"/>
      <c r="LHA1044" s="103"/>
      <c r="LHM1044" s="104"/>
      <c r="LHN1044" s="103"/>
      <c r="LHZ1044" s="104"/>
      <c r="LIA1044" s="103"/>
      <c r="LIM1044" s="104"/>
      <c r="LIN1044" s="103"/>
      <c r="LIZ1044" s="104"/>
      <c r="LJA1044" s="103"/>
      <c r="LJM1044" s="104"/>
      <c r="LJN1044" s="103"/>
      <c r="LJZ1044" s="104"/>
      <c r="LKA1044" s="103"/>
      <c r="LKM1044" s="104"/>
      <c r="LKN1044" s="103"/>
      <c r="LKZ1044" s="104"/>
      <c r="LLA1044" s="103"/>
      <c r="LLM1044" s="104"/>
      <c r="LLN1044" s="103"/>
      <c r="LLZ1044" s="104"/>
      <c r="LMA1044" s="103"/>
      <c r="LMM1044" s="104"/>
      <c r="LMN1044" s="103"/>
      <c r="LMZ1044" s="104"/>
      <c r="LNA1044" s="103"/>
      <c r="LNM1044" s="104"/>
      <c r="LNN1044" s="103"/>
      <c r="LNZ1044" s="104"/>
      <c r="LOA1044" s="103"/>
      <c r="LOM1044" s="104"/>
      <c r="LON1044" s="103"/>
      <c r="LOZ1044" s="104"/>
      <c r="LPA1044" s="103"/>
      <c r="LPM1044" s="104"/>
      <c r="LPN1044" s="103"/>
      <c r="LPZ1044" s="104"/>
      <c r="LQA1044" s="103"/>
      <c r="LQM1044" s="104"/>
      <c r="LQN1044" s="103"/>
      <c r="LQZ1044" s="104"/>
      <c r="LRA1044" s="103"/>
      <c r="LRM1044" s="104"/>
      <c r="LRN1044" s="103"/>
      <c r="LRZ1044" s="104"/>
      <c r="LSA1044" s="103"/>
      <c r="LSM1044" s="104"/>
      <c r="LSN1044" s="103"/>
      <c r="LSZ1044" s="104"/>
      <c r="LTA1044" s="103"/>
      <c r="LTM1044" s="104"/>
      <c r="LTN1044" s="103"/>
      <c r="LTZ1044" s="104"/>
      <c r="LUA1044" s="103"/>
      <c r="LUM1044" s="104"/>
      <c r="LUN1044" s="103"/>
      <c r="LUZ1044" s="104"/>
      <c r="LVA1044" s="103"/>
      <c r="LVM1044" s="104"/>
      <c r="LVN1044" s="103"/>
      <c r="LVZ1044" s="104"/>
      <c r="LWA1044" s="103"/>
      <c r="LWM1044" s="104"/>
      <c r="LWN1044" s="103"/>
      <c r="LWZ1044" s="104"/>
      <c r="LXA1044" s="103"/>
      <c r="LXM1044" s="104"/>
      <c r="LXN1044" s="103"/>
      <c r="LXZ1044" s="104"/>
      <c r="LYA1044" s="103"/>
      <c r="LYM1044" s="104"/>
      <c r="LYN1044" s="103"/>
      <c r="LYZ1044" s="104"/>
      <c r="LZA1044" s="103"/>
      <c r="LZM1044" s="104"/>
      <c r="LZN1044" s="103"/>
      <c r="LZZ1044" s="104"/>
      <c r="MAA1044" s="103"/>
      <c r="MAM1044" s="104"/>
      <c r="MAN1044" s="103"/>
      <c r="MAZ1044" s="104"/>
      <c r="MBA1044" s="103"/>
      <c r="MBM1044" s="104"/>
      <c r="MBN1044" s="103"/>
      <c r="MBZ1044" s="104"/>
      <c r="MCA1044" s="103"/>
      <c r="MCM1044" s="104"/>
      <c r="MCN1044" s="103"/>
      <c r="MCZ1044" s="104"/>
      <c r="MDA1044" s="103"/>
      <c r="MDM1044" s="104"/>
      <c r="MDN1044" s="103"/>
      <c r="MDZ1044" s="104"/>
      <c r="MEA1044" s="103"/>
      <c r="MEM1044" s="104"/>
      <c r="MEN1044" s="103"/>
      <c r="MEZ1044" s="104"/>
      <c r="MFA1044" s="103"/>
      <c r="MFM1044" s="104"/>
      <c r="MFN1044" s="103"/>
      <c r="MFZ1044" s="104"/>
      <c r="MGA1044" s="103"/>
      <c r="MGM1044" s="104"/>
      <c r="MGN1044" s="103"/>
      <c r="MGZ1044" s="104"/>
      <c r="MHA1044" s="103"/>
      <c r="MHM1044" s="104"/>
      <c r="MHN1044" s="103"/>
      <c r="MHZ1044" s="104"/>
      <c r="MIA1044" s="103"/>
      <c r="MIM1044" s="104"/>
      <c r="MIN1044" s="103"/>
      <c r="MIZ1044" s="104"/>
      <c r="MJA1044" s="103"/>
      <c r="MJM1044" s="104"/>
      <c r="MJN1044" s="103"/>
      <c r="MJZ1044" s="104"/>
      <c r="MKA1044" s="103"/>
      <c r="MKM1044" s="104"/>
      <c r="MKN1044" s="103"/>
      <c r="MKZ1044" s="104"/>
      <c r="MLA1044" s="103"/>
      <c r="MLM1044" s="104"/>
      <c r="MLN1044" s="103"/>
      <c r="MLZ1044" s="104"/>
      <c r="MMA1044" s="103"/>
      <c r="MMM1044" s="104"/>
      <c r="MMN1044" s="103"/>
      <c r="MMZ1044" s="104"/>
      <c r="MNA1044" s="103"/>
      <c r="MNM1044" s="104"/>
      <c r="MNN1044" s="103"/>
      <c r="MNZ1044" s="104"/>
      <c r="MOA1044" s="103"/>
      <c r="MOM1044" s="104"/>
      <c r="MON1044" s="103"/>
      <c r="MOZ1044" s="104"/>
      <c r="MPA1044" s="103"/>
      <c r="MPM1044" s="104"/>
      <c r="MPN1044" s="103"/>
      <c r="MPZ1044" s="104"/>
      <c r="MQA1044" s="103"/>
      <c r="MQM1044" s="104"/>
      <c r="MQN1044" s="103"/>
      <c r="MQZ1044" s="104"/>
      <c r="MRA1044" s="103"/>
      <c r="MRM1044" s="104"/>
      <c r="MRN1044" s="103"/>
      <c r="MRZ1044" s="104"/>
      <c r="MSA1044" s="103"/>
      <c r="MSM1044" s="104"/>
      <c r="MSN1044" s="103"/>
      <c r="MSZ1044" s="104"/>
      <c r="MTA1044" s="103"/>
      <c r="MTM1044" s="104"/>
      <c r="MTN1044" s="103"/>
      <c r="MTZ1044" s="104"/>
      <c r="MUA1044" s="103"/>
      <c r="MUM1044" s="104"/>
      <c r="MUN1044" s="103"/>
      <c r="MUZ1044" s="104"/>
      <c r="MVA1044" s="103"/>
      <c r="MVM1044" s="104"/>
      <c r="MVN1044" s="103"/>
      <c r="MVZ1044" s="104"/>
      <c r="MWA1044" s="103"/>
      <c r="MWM1044" s="104"/>
      <c r="MWN1044" s="103"/>
      <c r="MWZ1044" s="104"/>
      <c r="MXA1044" s="103"/>
      <c r="MXM1044" s="104"/>
      <c r="MXN1044" s="103"/>
      <c r="MXZ1044" s="104"/>
      <c r="MYA1044" s="103"/>
      <c r="MYM1044" s="104"/>
      <c r="MYN1044" s="103"/>
      <c r="MYZ1044" s="104"/>
      <c r="MZA1044" s="103"/>
      <c r="MZM1044" s="104"/>
      <c r="MZN1044" s="103"/>
      <c r="MZZ1044" s="104"/>
      <c r="NAA1044" s="103"/>
      <c r="NAM1044" s="104"/>
      <c r="NAN1044" s="103"/>
      <c r="NAZ1044" s="104"/>
      <c r="NBA1044" s="103"/>
      <c r="NBM1044" s="104"/>
      <c r="NBN1044" s="103"/>
      <c r="NBZ1044" s="104"/>
      <c r="NCA1044" s="103"/>
      <c r="NCM1044" s="104"/>
      <c r="NCN1044" s="103"/>
      <c r="NCZ1044" s="104"/>
      <c r="NDA1044" s="103"/>
      <c r="NDM1044" s="104"/>
      <c r="NDN1044" s="103"/>
      <c r="NDZ1044" s="104"/>
      <c r="NEA1044" s="103"/>
      <c r="NEM1044" s="104"/>
      <c r="NEN1044" s="103"/>
      <c r="NEZ1044" s="104"/>
      <c r="NFA1044" s="103"/>
      <c r="NFM1044" s="104"/>
      <c r="NFN1044" s="103"/>
      <c r="NFZ1044" s="104"/>
      <c r="NGA1044" s="103"/>
      <c r="NGM1044" s="104"/>
      <c r="NGN1044" s="103"/>
      <c r="NGZ1044" s="104"/>
      <c r="NHA1044" s="103"/>
      <c r="NHM1044" s="104"/>
      <c r="NHN1044" s="103"/>
      <c r="NHZ1044" s="104"/>
      <c r="NIA1044" s="103"/>
      <c r="NIM1044" s="104"/>
      <c r="NIN1044" s="103"/>
      <c r="NIZ1044" s="104"/>
      <c r="NJA1044" s="103"/>
      <c r="NJM1044" s="104"/>
      <c r="NJN1044" s="103"/>
      <c r="NJZ1044" s="104"/>
      <c r="NKA1044" s="103"/>
      <c r="NKM1044" s="104"/>
      <c r="NKN1044" s="103"/>
      <c r="NKZ1044" s="104"/>
      <c r="NLA1044" s="103"/>
      <c r="NLM1044" s="104"/>
      <c r="NLN1044" s="103"/>
      <c r="NLZ1044" s="104"/>
      <c r="NMA1044" s="103"/>
      <c r="NMM1044" s="104"/>
      <c r="NMN1044" s="103"/>
      <c r="NMZ1044" s="104"/>
      <c r="NNA1044" s="103"/>
      <c r="NNM1044" s="104"/>
      <c r="NNN1044" s="103"/>
      <c r="NNZ1044" s="104"/>
      <c r="NOA1044" s="103"/>
      <c r="NOM1044" s="104"/>
      <c r="NON1044" s="103"/>
      <c r="NOZ1044" s="104"/>
      <c r="NPA1044" s="103"/>
      <c r="NPM1044" s="104"/>
      <c r="NPN1044" s="103"/>
      <c r="NPZ1044" s="104"/>
      <c r="NQA1044" s="103"/>
      <c r="NQM1044" s="104"/>
      <c r="NQN1044" s="103"/>
      <c r="NQZ1044" s="104"/>
      <c r="NRA1044" s="103"/>
      <c r="NRM1044" s="104"/>
      <c r="NRN1044" s="103"/>
      <c r="NRZ1044" s="104"/>
      <c r="NSA1044" s="103"/>
      <c r="NSM1044" s="104"/>
      <c r="NSN1044" s="103"/>
      <c r="NSZ1044" s="104"/>
      <c r="NTA1044" s="103"/>
      <c r="NTM1044" s="104"/>
      <c r="NTN1044" s="103"/>
      <c r="NTZ1044" s="104"/>
      <c r="NUA1044" s="103"/>
      <c r="NUM1044" s="104"/>
      <c r="NUN1044" s="103"/>
      <c r="NUZ1044" s="104"/>
      <c r="NVA1044" s="103"/>
      <c r="NVM1044" s="104"/>
      <c r="NVN1044" s="103"/>
      <c r="NVZ1044" s="104"/>
      <c r="NWA1044" s="103"/>
      <c r="NWM1044" s="104"/>
      <c r="NWN1044" s="103"/>
      <c r="NWZ1044" s="104"/>
      <c r="NXA1044" s="103"/>
      <c r="NXM1044" s="104"/>
      <c r="NXN1044" s="103"/>
      <c r="NXZ1044" s="104"/>
      <c r="NYA1044" s="103"/>
      <c r="NYM1044" s="104"/>
      <c r="NYN1044" s="103"/>
      <c r="NYZ1044" s="104"/>
      <c r="NZA1044" s="103"/>
      <c r="NZM1044" s="104"/>
      <c r="NZN1044" s="103"/>
      <c r="NZZ1044" s="104"/>
      <c r="OAA1044" s="103"/>
      <c r="OAM1044" s="104"/>
      <c r="OAN1044" s="103"/>
      <c r="OAZ1044" s="104"/>
      <c r="OBA1044" s="103"/>
      <c r="OBM1044" s="104"/>
      <c r="OBN1044" s="103"/>
      <c r="OBZ1044" s="104"/>
      <c r="OCA1044" s="103"/>
      <c r="OCM1044" s="104"/>
      <c r="OCN1044" s="103"/>
      <c r="OCZ1044" s="104"/>
      <c r="ODA1044" s="103"/>
      <c r="ODM1044" s="104"/>
      <c r="ODN1044" s="103"/>
      <c r="ODZ1044" s="104"/>
      <c r="OEA1044" s="103"/>
      <c r="OEM1044" s="104"/>
      <c r="OEN1044" s="103"/>
      <c r="OEZ1044" s="104"/>
      <c r="OFA1044" s="103"/>
      <c r="OFM1044" s="104"/>
      <c r="OFN1044" s="103"/>
      <c r="OFZ1044" s="104"/>
      <c r="OGA1044" s="103"/>
      <c r="OGM1044" s="104"/>
      <c r="OGN1044" s="103"/>
      <c r="OGZ1044" s="104"/>
      <c r="OHA1044" s="103"/>
      <c r="OHM1044" s="104"/>
      <c r="OHN1044" s="103"/>
      <c r="OHZ1044" s="104"/>
      <c r="OIA1044" s="103"/>
      <c r="OIM1044" s="104"/>
      <c r="OIN1044" s="103"/>
      <c r="OIZ1044" s="104"/>
      <c r="OJA1044" s="103"/>
      <c r="OJM1044" s="104"/>
      <c r="OJN1044" s="103"/>
      <c r="OJZ1044" s="104"/>
      <c r="OKA1044" s="103"/>
      <c r="OKM1044" s="104"/>
      <c r="OKN1044" s="103"/>
      <c r="OKZ1044" s="104"/>
      <c r="OLA1044" s="103"/>
      <c r="OLM1044" s="104"/>
      <c r="OLN1044" s="103"/>
      <c r="OLZ1044" s="104"/>
      <c r="OMA1044" s="103"/>
      <c r="OMM1044" s="104"/>
      <c r="OMN1044" s="103"/>
      <c r="OMZ1044" s="104"/>
      <c r="ONA1044" s="103"/>
      <c r="ONM1044" s="104"/>
      <c r="ONN1044" s="103"/>
      <c r="ONZ1044" s="104"/>
      <c r="OOA1044" s="103"/>
      <c r="OOM1044" s="104"/>
      <c r="OON1044" s="103"/>
      <c r="OOZ1044" s="104"/>
      <c r="OPA1044" s="103"/>
      <c r="OPM1044" s="104"/>
      <c r="OPN1044" s="103"/>
      <c r="OPZ1044" s="104"/>
      <c r="OQA1044" s="103"/>
      <c r="OQM1044" s="104"/>
      <c r="OQN1044" s="103"/>
      <c r="OQZ1044" s="104"/>
      <c r="ORA1044" s="103"/>
      <c r="ORM1044" s="104"/>
      <c r="ORN1044" s="103"/>
      <c r="ORZ1044" s="104"/>
      <c r="OSA1044" s="103"/>
      <c r="OSM1044" s="104"/>
      <c r="OSN1044" s="103"/>
      <c r="OSZ1044" s="104"/>
      <c r="OTA1044" s="103"/>
      <c r="OTM1044" s="104"/>
      <c r="OTN1044" s="103"/>
      <c r="OTZ1044" s="104"/>
      <c r="OUA1044" s="103"/>
      <c r="OUM1044" s="104"/>
      <c r="OUN1044" s="103"/>
      <c r="OUZ1044" s="104"/>
      <c r="OVA1044" s="103"/>
      <c r="OVM1044" s="104"/>
      <c r="OVN1044" s="103"/>
      <c r="OVZ1044" s="104"/>
      <c r="OWA1044" s="103"/>
      <c r="OWM1044" s="104"/>
      <c r="OWN1044" s="103"/>
      <c r="OWZ1044" s="104"/>
      <c r="OXA1044" s="103"/>
      <c r="OXM1044" s="104"/>
      <c r="OXN1044" s="103"/>
      <c r="OXZ1044" s="104"/>
      <c r="OYA1044" s="103"/>
      <c r="OYM1044" s="104"/>
      <c r="OYN1044" s="103"/>
      <c r="OYZ1044" s="104"/>
      <c r="OZA1044" s="103"/>
      <c r="OZM1044" s="104"/>
      <c r="OZN1044" s="103"/>
      <c r="OZZ1044" s="104"/>
      <c r="PAA1044" s="103"/>
      <c r="PAM1044" s="104"/>
      <c r="PAN1044" s="103"/>
      <c r="PAZ1044" s="104"/>
      <c r="PBA1044" s="103"/>
      <c r="PBM1044" s="104"/>
      <c r="PBN1044" s="103"/>
      <c r="PBZ1044" s="104"/>
      <c r="PCA1044" s="103"/>
      <c r="PCM1044" s="104"/>
      <c r="PCN1044" s="103"/>
      <c r="PCZ1044" s="104"/>
      <c r="PDA1044" s="103"/>
      <c r="PDM1044" s="104"/>
      <c r="PDN1044" s="103"/>
      <c r="PDZ1044" s="104"/>
      <c r="PEA1044" s="103"/>
      <c r="PEM1044" s="104"/>
      <c r="PEN1044" s="103"/>
      <c r="PEZ1044" s="104"/>
      <c r="PFA1044" s="103"/>
      <c r="PFM1044" s="104"/>
      <c r="PFN1044" s="103"/>
      <c r="PFZ1044" s="104"/>
      <c r="PGA1044" s="103"/>
      <c r="PGM1044" s="104"/>
      <c r="PGN1044" s="103"/>
      <c r="PGZ1044" s="104"/>
      <c r="PHA1044" s="103"/>
      <c r="PHM1044" s="104"/>
      <c r="PHN1044" s="103"/>
      <c r="PHZ1044" s="104"/>
      <c r="PIA1044" s="103"/>
      <c r="PIM1044" s="104"/>
      <c r="PIN1044" s="103"/>
      <c r="PIZ1044" s="104"/>
      <c r="PJA1044" s="103"/>
      <c r="PJM1044" s="104"/>
      <c r="PJN1044" s="103"/>
      <c r="PJZ1044" s="104"/>
      <c r="PKA1044" s="103"/>
      <c r="PKM1044" s="104"/>
      <c r="PKN1044" s="103"/>
      <c r="PKZ1044" s="104"/>
      <c r="PLA1044" s="103"/>
      <c r="PLM1044" s="104"/>
      <c r="PLN1044" s="103"/>
      <c r="PLZ1044" s="104"/>
      <c r="PMA1044" s="103"/>
      <c r="PMM1044" s="104"/>
      <c r="PMN1044" s="103"/>
      <c r="PMZ1044" s="104"/>
      <c r="PNA1044" s="103"/>
      <c r="PNM1044" s="104"/>
      <c r="PNN1044" s="103"/>
      <c r="PNZ1044" s="104"/>
      <c r="POA1044" s="103"/>
      <c r="POM1044" s="104"/>
      <c r="PON1044" s="103"/>
      <c r="POZ1044" s="104"/>
      <c r="PPA1044" s="103"/>
      <c r="PPM1044" s="104"/>
      <c r="PPN1044" s="103"/>
      <c r="PPZ1044" s="104"/>
      <c r="PQA1044" s="103"/>
      <c r="PQM1044" s="104"/>
      <c r="PQN1044" s="103"/>
      <c r="PQZ1044" s="104"/>
      <c r="PRA1044" s="103"/>
      <c r="PRM1044" s="104"/>
      <c r="PRN1044" s="103"/>
      <c r="PRZ1044" s="104"/>
      <c r="PSA1044" s="103"/>
      <c r="PSM1044" s="104"/>
      <c r="PSN1044" s="103"/>
      <c r="PSZ1044" s="104"/>
      <c r="PTA1044" s="103"/>
      <c r="PTM1044" s="104"/>
      <c r="PTN1044" s="103"/>
      <c r="PTZ1044" s="104"/>
      <c r="PUA1044" s="103"/>
      <c r="PUM1044" s="104"/>
      <c r="PUN1044" s="103"/>
      <c r="PUZ1044" s="104"/>
      <c r="PVA1044" s="103"/>
      <c r="PVM1044" s="104"/>
      <c r="PVN1044" s="103"/>
      <c r="PVZ1044" s="104"/>
      <c r="PWA1044" s="103"/>
      <c r="PWM1044" s="104"/>
      <c r="PWN1044" s="103"/>
      <c r="PWZ1044" s="104"/>
      <c r="PXA1044" s="103"/>
      <c r="PXM1044" s="104"/>
      <c r="PXN1044" s="103"/>
      <c r="PXZ1044" s="104"/>
      <c r="PYA1044" s="103"/>
      <c r="PYM1044" s="104"/>
      <c r="PYN1044" s="103"/>
      <c r="PYZ1044" s="104"/>
      <c r="PZA1044" s="103"/>
      <c r="PZM1044" s="104"/>
      <c r="PZN1044" s="103"/>
      <c r="PZZ1044" s="104"/>
      <c r="QAA1044" s="103"/>
      <c r="QAM1044" s="104"/>
      <c r="QAN1044" s="103"/>
      <c r="QAZ1044" s="104"/>
      <c r="QBA1044" s="103"/>
      <c r="QBM1044" s="104"/>
      <c r="QBN1044" s="103"/>
      <c r="QBZ1044" s="104"/>
      <c r="QCA1044" s="103"/>
      <c r="QCM1044" s="104"/>
      <c r="QCN1044" s="103"/>
      <c r="QCZ1044" s="104"/>
      <c r="QDA1044" s="103"/>
      <c r="QDM1044" s="104"/>
      <c r="QDN1044" s="103"/>
      <c r="QDZ1044" s="104"/>
      <c r="QEA1044" s="103"/>
      <c r="QEM1044" s="104"/>
      <c r="QEN1044" s="103"/>
      <c r="QEZ1044" s="104"/>
      <c r="QFA1044" s="103"/>
      <c r="QFM1044" s="104"/>
      <c r="QFN1044" s="103"/>
      <c r="QFZ1044" s="104"/>
      <c r="QGA1044" s="103"/>
      <c r="QGM1044" s="104"/>
      <c r="QGN1044" s="103"/>
      <c r="QGZ1044" s="104"/>
      <c r="QHA1044" s="103"/>
      <c r="QHM1044" s="104"/>
      <c r="QHN1044" s="103"/>
      <c r="QHZ1044" s="104"/>
      <c r="QIA1044" s="103"/>
      <c r="QIM1044" s="104"/>
      <c r="QIN1044" s="103"/>
      <c r="QIZ1044" s="104"/>
      <c r="QJA1044" s="103"/>
      <c r="QJM1044" s="104"/>
      <c r="QJN1044" s="103"/>
      <c r="QJZ1044" s="104"/>
      <c r="QKA1044" s="103"/>
      <c r="QKM1044" s="104"/>
      <c r="QKN1044" s="103"/>
      <c r="QKZ1044" s="104"/>
      <c r="QLA1044" s="103"/>
      <c r="QLM1044" s="104"/>
      <c r="QLN1044" s="103"/>
      <c r="QLZ1044" s="104"/>
      <c r="QMA1044" s="103"/>
      <c r="QMM1044" s="104"/>
      <c r="QMN1044" s="103"/>
      <c r="QMZ1044" s="104"/>
      <c r="QNA1044" s="103"/>
      <c r="QNM1044" s="104"/>
      <c r="QNN1044" s="103"/>
      <c r="QNZ1044" s="104"/>
      <c r="QOA1044" s="103"/>
      <c r="QOM1044" s="104"/>
      <c r="QON1044" s="103"/>
      <c r="QOZ1044" s="104"/>
      <c r="QPA1044" s="103"/>
      <c r="QPM1044" s="104"/>
      <c r="QPN1044" s="103"/>
      <c r="QPZ1044" s="104"/>
      <c r="QQA1044" s="103"/>
      <c r="QQM1044" s="104"/>
      <c r="QQN1044" s="103"/>
      <c r="QQZ1044" s="104"/>
      <c r="QRA1044" s="103"/>
      <c r="QRM1044" s="104"/>
      <c r="QRN1044" s="103"/>
      <c r="QRZ1044" s="104"/>
      <c r="QSA1044" s="103"/>
      <c r="QSM1044" s="104"/>
      <c r="QSN1044" s="103"/>
      <c r="QSZ1044" s="104"/>
      <c r="QTA1044" s="103"/>
      <c r="QTM1044" s="104"/>
      <c r="QTN1044" s="103"/>
      <c r="QTZ1044" s="104"/>
      <c r="QUA1044" s="103"/>
      <c r="QUM1044" s="104"/>
      <c r="QUN1044" s="103"/>
      <c r="QUZ1044" s="104"/>
      <c r="QVA1044" s="103"/>
      <c r="QVM1044" s="104"/>
      <c r="QVN1044" s="103"/>
      <c r="QVZ1044" s="104"/>
      <c r="QWA1044" s="103"/>
      <c r="QWM1044" s="104"/>
      <c r="QWN1044" s="103"/>
      <c r="QWZ1044" s="104"/>
      <c r="QXA1044" s="103"/>
      <c r="QXM1044" s="104"/>
      <c r="QXN1044" s="103"/>
      <c r="QXZ1044" s="104"/>
      <c r="QYA1044" s="103"/>
      <c r="QYM1044" s="104"/>
      <c r="QYN1044" s="103"/>
      <c r="QYZ1044" s="104"/>
      <c r="QZA1044" s="103"/>
      <c r="QZM1044" s="104"/>
      <c r="QZN1044" s="103"/>
      <c r="QZZ1044" s="104"/>
      <c r="RAA1044" s="103"/>
      <c r="RAM1044" s="104"/>
      <c r="RAN1044" s="103"/>
      <c r="RAZ1044" s="104"/>
      <c r="RBA1044" s="103"/>
      <c r="RBM1044" s="104"/>
      <c r="RBN1044" s="103"/>
      <c r="RBZ1044" s="104"/>
      <c r="RCA1044" s="103"/>
      <c r="RCM1044" s="104"/>
      <c r="RCN1044" s="103"/>
      <c r="RCZ1044" s="104"/>
      <c r="RDA1044" s="103"/>
      <c r="RDM1044" s="104"/>
      <c r="RDN1044" s="103"/>
      <c r="RDZ1044" s="104"/>
      <c r="REA1044" s="103"/>
      <c r="REM1044" s="104"/>
      <c r="REN1044" s="103"/>
      <c r="REZ1044" s="104"/>
      <c r="RFA1044" s="103"/>
      <c r="RFM1044" s="104"/>
      <c r="RFN1044" s="103"/>
      <c r="RFZ1044" s="104"/>
      <c r="RGA1044" s="103"/>
      <c r="RGM1044" s="104"/>
      <c r="RGN1044" s="103"/>
      <c r="RGZ1044" s="104"/>
      <c r="RHA1044" s="103"/>
      <c r="RHM1044" s="104"/>
      <c r="RHN1044" s="103"/>
      <c r="RHZ1044" s="104"/>
      <c r="RIA1044" s="103"/>
      <c r="RIM1044" s="104"/>
      <c r="RIN1044" s="103"/>
      <c r="RIZ1044" s="104"/>
      <c r="RJA1044" s="103"/>
      <c r="RJM1044" s="104"/>
      <c r="RJN1044" s="103"/>
      <c r="RJZ1044" s="104"/>
      <c r="RKA1044" s="103"/>
      <c r="RKM1044" s="104"/>
      <c r="RKN1044" s="103"/>
      <c r="RKZ1044" s="104"/>
      <c r="RLA1044" s="103"/>
      <c r="RLM1044" s="104"/>
      <c r="RLN1044" s="103"/>
      <c r="RLZ1044" s="104"/>
      <c r="RMA1044" s="103"/>
      <c r="RMM1044" s="104"/>
      <c r="RMN1044" s="103"/>
      <c r="RMZ1044" s="104"/>
      <c r="RNA1044" s="103"/>
      <c r="RNM1044" s="104"/>
      <c r="RNN1044" s="103"/>
      <c r="RNZ1044" s="104"/>
      <c r="ROA1044" s="103"/>
      <c r="ROM1044" s="104"/>
      <c r="RON1044" s="103"/>
      <c r="ROZ1044" s="104"/>
      <c r="RPA1044" s="103"/>
      <c r="RPM1044" s="104"/>
      <c r="RPN1044" s="103"/>
      <c r="RPZ1044" s="104"/>
      <c r="RQA1044" s="103"/>
      <c r="RQM1044" s="104"/>
      <c r="RQN1044" s="103"/>
      <c r="RQZ1044" s="104"/>
      <c r="RRA1044" s="103"/>
      <c r="RRM1044" s="104"/>
      <c r="RRN1044" s="103"/>
      <c r="RRZ1044" s="104"/>
      <c r="RSA1044" s="103"/>
      <c r="RSM1044" s="104"/>
      <c r="RSN1044" s="103"/>
      <c r="RSZ1044" s="104"/>
      <c r="RTA1044" s="103"/>
      <c r="RTM1044" s="104"/>
      <c r="RTN1044" s="103"/>
      <c r="RTZ1044" s="104"/>
      <c r="RUA1044" s="103"/>
      <c r="RUM1044" s="104"/>
      <c r="RUN1044" s="103"/>
      <c r="RUZ1044" s="104"/>
      <c r="RVA1044" s="103"/>
      <c r="RVM1044" s="104"/>
      <c r="RVN1044" s="103"/>
      <c r="RVZ1044" s="104"/>
      <c r="RWA1044" s="103"/>
      <c r="RWM1044" s="104"/>
      <c r="RWN1044" s="103"/>
      <c r="RWZ1044" s="104"/>
      <c r="RXA1044" s="103"/>
      <c r="RXM1044" s="104"/>
      <c r="RXN1044" s="103"/>
      <c r="RXZ1044" s="104"/>
      <c r="RYA1044" s="103"/>
      <c r="RYM1044" s="104"/>
      <c r="RYN1044" s="103"/>
      <c r="RYZ1044" s="104"/>
      <c r="RZA1044" s="103"/>
      <c r="RZM1044" s="104"/>
      <c r="RZN1044" s="103"/>
      <c r="RZZ1044" s="104"/>
      <c r="SAA1044" s="103"/>
      <c r="SAM1044" s="104"/>
      <c r="SAN1044" s="103"/>
      <c r="SAZ1044" s="104"/>
      <c r="SBA1044" s="103"/>
      <c r="SBM1044" s="104"/>
      <c r="SBN1044" s="103"/>
      <c r="SBZ1044" s="104"/>
      <c r="SCA1044" s="103"/>
      <c r="SCM1044" s="104"/>
      <c r="SCN1044" s="103"/>
      <c r="SCZ1044" s="104"/>
      <c r="SDA1044" s="103"/>
      <c r="SDM1044" s="104"/>
      <c r="SDN1044" s="103"/>
      <c r="SDZ1044" s="104"/>
      <c r="SEA1044" s="103"/>
      <c r="SEM1044" s="104"/>
      <c r="SEN1044" s="103"/>
      <c r="SEZ1044" s="104"/>
      <c r="SFA1044" s="103"/>
      <c r="SFM1044" s="104"/>
      <c r="SFN1044" s="103"/>
      <c r="SFZ1044" s="104"/>
      <c r="SGA1044" s="103"/>
      <c r="SGM1044" s="104"/>
      <c r="SGN1044" s="103"/>
      <c r="SGZ1044" s="104"/>
      <c r="SHA1044" s="103"/>
      <c r="SHM1044" s="104"/>
      <c r="SHN1044" s="103"/>
      <c r="SHZ1044" s="104"/>
      <c r="SIA1044" s="103"/>
      <c r="SIM1044" s="104"/>
      <c r="SIN1044" s="103"/>
      <c r="SIZ1044" s="104"/>
      <c r="SJA1044" s="103"/>
      <c r="SJM1044" s="104"/>
      <c r="SJN1044" s="103"/>
      <c r="SJZ1044" s="104"/>
      <c r="SKA1044" s="103"/>
      <c r="SKM1044" s="104"/>
      <c r="SKN1044" s="103"/>
      <c r="SKZ1044" s="104"/>
      <c r="SLA1044" s="103"/>
      <c r="SLM1044" s="104"/>
      <c r="SLN1044" s="103"/>
      <c r="SLZ1044" s="104"/>
      <c r="SMA1044" s="103"/>
      <c r="SMM1044" s="104"/>
      <c r="SMN1044" s="103"/>
      <c r="SMZ1044" s="104"/>
      <c r="SNA1044" s="103"/>
      <c r="SNM1044" s="104"/>
      <c r="SNN1044" s="103"/>
      <c r="SNZ1044" s="104"/>
      <c r="SOA1044" s="103"/>
      <c r="SOM1044" s="104"/>
      <c r="SON1044" s="103"/>
      <c r="SOZ1044" s="104"/>
      <c r="SPA1044" s="103"/>
      <c r="SPM1044" s="104"/>
      <c r="SPN1044" s="103"/>
      <c r="SPZ1044" s="104"/>
      <c r="SQA1044" s="103"/>
      <c r="SQM1044" s="104"/>
      <c r="SQN1044" s="103"/>
      <c r="SQZ1044" s="104"/>
      <c r="SRA1044" s="103"/>
      <c r="SRM1044" s="104"/>
      <c r="SRN1044" s="103"/>
      <c r="SRZ1044" s="104"/>
      <c r="SSA1044" s="103"/>
      <c r="SSM1044" s="104"/>
      <c r="SSN1044" s="103"/>
      <c r="SSZ1044" s="104"/>
      <c r="STA1044" s="103"/>
      <c r="STM1044" s="104"/>
      <c r="STN1044" s="103"/>
      <c r="STZ1044" s="104"/>
      <c r="SUA1044" s="103"/>
      <c r="SUM1044" s="104"/>
      <c r="SUN1044" s="103"/>
      <c r="SUZ1044" s="104"/>
      <c r="SVA1044" s="103"/>
      <c r="SVM1044" s="104"/>
      <c r="SVN1044" s="103"/>
      <c r="SVZ1044" s="104"/>
      <c r="SWA1044" s="103"/>
      <c r="SWM1044" s="104"/>
      <c r="SWN1044" s="103"/>
      <c r="SWZ1044" s="104"/>
      <c r="SXA1044" s="103"/>
      <c r="SXM1044" s="104"/>
      <c r="SXN1044" s="103"/>
      <c r="SXZ1044" s="104"/>
      <c r="SYA1044" s="103"/>
      <c r="SYM1044" s="104"/>
      <c r="SYN1044" s="103"/>
      <c r="SYZ1044" s="104"/>
      <c r="SZA1044" s="103"/>
      <c r="SZM1044" s="104"/>
      <c r="SZN1044" s="103"/>
      <c r="SZZ1044" s="104"/>
      <c r="TAA1044" s="103"/>
      <c r="TAM1044" s="104"/>
      <c r="TAN1044" s="103"/>
      <c r="TAZ1044" s="104"/>
      <c r="TBA1044" s="103"/>
      <c r="TBM1044" s="104"/>
      <c r="TBN1044" s="103"/>
      <c r="TBZ1044" s="104"/>
      <c r="TCA1044" s="103"/>
      <c r="TCM1044" s="104"/>
      <c r="TCN1044" s="103"/>
      <c r="TCZ1044" s="104"/>
      <c r="TDA1044" s="103"/>
      <c r="TDM1044" s="104"/>
      <c r="TDN1044" s="103"/>
      <c r="TDZ1044" s="104"/>
      <c r="TEA1044" s="103"/>
      <c r="TEM1044" s="104"/>
      <c r="TEN1044" s="103"/>
      <c r="TEZ1044" s="104"/>
      <c r="TFA1044" s="103"/>
      <c r="TFM1044" s="104"/>
      <c r="TFN1044" s="103"/>
      <c r="TFZ1044" s="104"/>
      <c r="TGA1044" s="103"/>
      <c r="TGM1044" s="104"/>
      <c r="TGN1044" s="103"/>
      <c r="TGZ1044" s="104"/>
      <c r="THA1044" s="103"/>
      <c r="THM1044" s="104"/>
      <c r="THN1044" s="103"/>
      <c r="THZ1044" s="104"/>
      <c r="TIA1044" s="103"/>
      <c r="TIM1044" s="104"/>
      <c r="TIN1044" s="103"/>
      <c r="TIZ1044" s="104"/>
      <c r="TJA1044" s="103"/>
      <c r="TJM1044" s="104"/>
      <c r="TJN1044" s="103"/>
      <c r="TJZ1044" s="104"/>
      <c r="TKA1044" s="103"/>
      <c r="TKM1044" s="104"/>
      <c r="TKN1044" s="103"/>
      <c r="TKZ1044" s="104"/>
      <c r="TLA1044" s="103"/>
      <c r="TLM1044" s="104"/>
      <c r="TLN1044" s="103"/>
      <c r="TLZ1044" s="104"/>
      <c r="TMA1044" s="103"/>
      <c r="TMM1044" s="104"/>
      <c r="TMN1044" s="103"/>
      <c r="TMZ1044" s="104"/>
      <c r="TNA1044" s="103"/>
      <c r="TNM1044" s="104"/>
      <c r="TNN1044" s="103"/>
      <c r="TNZ1044" s="104"/>
      <c r="TOA1044" s="103"/>
      <c r="TOM1044" s="104"/>
      <c r="TON1044" s="103"/>
      <c r="TOZ1044" s="104"/>
      <c r="TPA1044" s="103"/>
      <c r="TPM1044" s="104"/>
      <c r="TPN1044" s="103"/>
      <c r="TPZ1044" s="104"/>
      <c r="TQA1044" s="103"/>
      <c r="TQM1044" s="104"/>
      <c r="TQN1044" s="103"/>
      <c r="TQZ1044" s="104"/>
      <c r="TRA1044" s="103"/>
      <c r="TRM1044" s="104"/>
      <c r="TRN1044" s="103"/>
      <c r="TRZ1044" s="104"/>
      <c r="TSA1044" s="103"/>
      <c r="TSM1044" s="104"/>
      <c r="TSN1044" s="103"/>
      <c r="TSZ1044" s="104"/>
      <c r="TTA1044" s="103"/>
      <c r="TTM1044" s="104"/>
      <c r="TTN1044" s="103"/>
      <c r="TTZ1044" s="104"/>
      <c r="TUA1044" s="103"/>
      <c r="TUM1044" s="104"/>
      <c r="TUN1044" s="103"/>
      <c r="TUZ1044" s="104"/>
      <c r="TVA1044" s="103"/>
      <c r="TVM1044" s="104"/>
      <c r="TVN1044" s="103"/>
      <c r="TVZ1044" s="104"/>
      <c r="TWA1044" s="103"/>
      <c r="TWM1044" s="104"/>
      <c r="TWN1044" s="103"/>
      <c r="TWZ1044" s="104"/>
      <c r="TXA1044" s="103"/>
      <c r="TXM1044" s="104"/>
      <c r="TXN1044" s="103"/>
      <c r="TXZ1044" s="104"/>
      <c r="TYA1044" s="103"/>
      <c r="TYM1044" s="104"/>
      <c r="TYN1044" s="103"/>
      <c r="TYZ1044" s="104"/>
      <c r="TZA1044" s="103"/>
      <c r="TZM1044" s="104"/>
      <c r="TZN1044" s="103"/>
      <c r="TZZ1044" s="104"/>
      <c r="UAA1044" s="103"/>
      <c r="UAM1044" s="104"/>
      <c r="UAN1044" s="103"/>
      <c r="UAZ1044" s="104"/>
      <c r="UBA1044" s="103"/>
      <c r="UBM1044" s="104"/>
      <c r="UBN1044" s="103"/>
      <c r="UBZ1044" s="104"/>
      <c r="UCA1044" s="103"/>
      <c r="UCM1044" s="104"/>
      <c r="UCN1044" s="103"/>
      <c r="UCZ1044" s="104"/>
      <c r="UDA1044" s="103"/>
      <c r="UDM1044" s="104"/>
      <c r="UDN1044" s="103"/>
      <c r="UDZ1044" s="104"/>
      <c r="UEA1044" s="103"/>
      <c r="UEM1044" s="104"/>
      <c r="UEN1044" s="103"/>
      <c r="UEZ1044" s="104"/>
      <c r="UFA1044" s="103"/>
      <c r="UFM1044" s="104"/>
      <c r="UFN1044" s="103"/>
      <c r="UFZ1044" s="104"/>
      <c r="UGA1044" s="103"/>
      <c r="UGM1044" s="104"/>
      <c r="UGN1044" s="103"/>
      <c r="UGZ1044" s="104"/>
      <c r="UHA1044" s="103"/>
      <c r="UHM1044" s="104"/>
      <c r="UHN1044" s="103"/>
      <c r="UHZ1044" s="104"/>
      <c r="UIA1044" s="103"/>
      <c r="UIM1044" s="104"/>
      <c r="UIN1044" s="103"/>
      <c r="UIZ1044" s="104"/>
      <c r="UJA1044" s="103"/>
      <c r="UJM1044" s="104"/>
      <c r="UJN1044" s="103"/>
      <c r="UJZ1044" s="104"/>
      <c r="UKA1044" s="103"/>
      <c r="UKM1044" s="104"/>
      <c r="UKN1044" s="103"/>
      <c r="UKZ1044" s="104"/>
      <c r="ULA1044" s="103"/>
      <c r="ULM1044" s="104"/>
      <c r="ULN1044" s="103"/>
      <c r="ULZ1044" s="104"/>
      <c r="UMA1044" s="103"/>
      <c r="UMM1044" s="104"/>
      <c r="UMN1044" s="103"/>
      <c r="UMZ1044" s="104"/>
      <c r="UNA1044" s="103"/>
      <c r="UNM1044" s="104"/>
      <c r="UNN1044" s="103"/>
      <c r="UNZ1044" s="104"/>
      <c r="UOA1044" s="103"/>
      <c r="UOM1044" s="104"/>
      <c r="UON1044" s="103"/>
      <c r="UOZ1044" s="104"/>
      <c r="UPA1044" s="103"/>
      <c r="UPM1044" s="104"/>
      <c r="UPN1044" s="103"/>
      <c r="UPZ1044" s="104"/>
      <c r="UQA1044" s="103"/>
      <c r="UQM1044" s="104"/>
      <c r="UQN1044" s="103"/>
      <c r="UQZ1044" s="104"/>
      <c r="URA1044" s="103"/>
      <c r="URM1044" s="104"/>
      <c r="URN1044" s="103"/>
      <c r="URZ1044" s="104"/>
      <c r="USA1044" s="103"/>
      <c r="USM1044" s="104"/>
      <c r="USN1044" s="103"/>
      <c r="USZ1044" s="104"/>
      <c r="UTA1044" s="103"/>
      <c r="UTM1044" s="104"/>
      <c r="UTN1044" s="103"/>
      <c r="UTZ1044" s="104"/>
      <c r="UUA1044" s="103"/>
      <c r="UUM1044" s="104"/>
      <c r="UUN1044" s="103"/>
      <c r="UUZ1044" s="104"/>
      <c r="UVA1044" s="103"/>
      <c r="UVM1044" s="104"/>
      <c r="UVN1044" s="103"/>
      <c r="UVZ1044" s="104"/>
      <c r="UWA1044" s="103"/>
      <c r="UWM1044" s="104"/>
      <c r="UWN1044" s="103"/>
      <c r="UWZ1044" s="104"/>
      <c r="UXA1044" s="103"/>
      <c r="UXM1044" s="104"/>
      <c r="UXN1044" s="103"/>
      <c r="UXZ1044" s="104"/>
      <c r="UYA1044" s="103"/>
      <c r="UYM1044" s="104"/>
      <c r="UYN1044" s="103"/>
      <c r="UYZ1044" s="104"/>
      <c r="UZA1044" s="103"/>
      <c r="UZM1044" s="104"/>
      <c r="UZN1044" s="103"/>
      <c r="UZZ1044" s="104"/>
      <c r="VAA1044" s="103"/>
      <c r="VAM1044" s="104"/>
      <c r="VAN1044" s="103"/>
      <c r="VAZ1044" s="104"/>
      <c r="VBA1044" s="103"/>
      <c r="VBM1044" s="104"/>
      <c r="VBN1044" s="103"/>
      <c r="VBZ1044" s="104"/>
      <c r="VCA1044" s="103"/>
      <c r="VCM1044" s="104"/>
      <c r="VCN1044" s="103"/>
      <c r="VCZ1044" s="104"/>
      <c r="VDA1044" s="103"/>
      <c r="VDM1044" s="104"/>
      <c r="VDN1044" s="103"/>
      <c r="VDZ1044" s="104"/>
      <c r="VEA1044" s="103"/>
      <c r="VEM1044" s="104"/>
      <c r="VEN1044" s="103"/>
      <c r="VEZ1044" s="104"/>
      <c r="VFA1044" s="103"/>
      <c r="VFM1044" s="104"/>
      <c r="VFN1044" s="103"/>
      <c r="VFZ1044" s="104"/>
      <c r="VGA1044" s="103"/>
      <c r="VGM1044" s="104"/>
      <c r="VGN1044" s="103"/>
      <c r="VGZ1044" s="104"/>
      <c r="VHA1044" s="103"/>
      <c r="VHM1044" s="104"/>
      <c r="VHN1044" s="103"/>
      <c r="VHZ1044" s="104"/>
      <c r="VIA1044" s="103"/>
      <c r="VIM1044" s="104"/>
      <c r="VIN1044" s="103"/>
      <c r="VIZ1044" s="104"/>
      <c r="VJA1044" s="103"/>
      <c r="VJM1044" s="104"/>
      <c r="VJN1044" s="103"/>
      <c r="VJZ1044" s="104"/>
      <c r="VKA1044" s="103"/>
      <c r="VKM1044" s="104"/>
      <c r="VKN1044" s="103"/>
      <c r="VKZ1044" s="104"/>
      <c r="VLA1044" s="103"/>
      <c r="VLM1044" s="104"/>
      <c r="VLN1044" s="103"/>
      <c r="VLZ1044" s="104"/>
      <c r="VMA1044" s="103"/>
      <c r="VMM1044" s="104"/>
      <c r="VMN1044" s="103"/>
      <c r="VMZ1044" s="104"/>
      <c r="VNA1044" s="103"/>
      <c r="VNM1044" s="104"/>
      <c r="VNN1044" s="103"/>
      <c r="VNZ1044" s="104"/>
      <c r="VOA1044" s="103"/>
      <c r="VOM1044" s="104"/>
      <c r="VON1044" s="103"/>
      <c r="VOZ1044" s="104"/>
      <c r="VPA1044" s="103"/>
      <c r="VPM1044" s="104"/>
      <c r="VPN1044" s="103"/>
      <c r="VPZ1044" s="104"/>
      <c r="VQA1044" s="103"/>
      <c r="VQM1044" s="104"/>
      <c r="VQN1044" s="103"/>
      <c r="VQZ1044" s="104"/>
      <c r="VRA1044" s="103"/>
      <c r="VRM1044" s="104"/>
      <c r="VRN1044" s="103"/>
      <c r="VRZ1044" s="104"/>
      <c r="VSA1044" s="103"/>
      <c r="VSM1044" s="104"/>
      <c r="VSN1044" s="103"/>
      <c r="VSZ1044" s="104"/>
      <c r="VTA1044" s="103"/>
      <c r="VTM1044" s="104"/>
      <c r="VTN1044" s="103"/>
      <c r="VTZ1044" s="104"/>
      <c r="VUA1044" s="103"/>
      <c r="VUM1044" s="104"/>
      <c r="VUN1044" s="103"/>
      <c r="VUZ1044" s="104"/>
      <c r="VVA1044" s="103"/>
      <c r="VVM1044" s="104"/>
      <c r="VVN1044" s="103"/>
      <c r="VVZ1044" s="104"/>
      <c r="VWA1044" s="103"/>
      <c r="VWM1044" s="104"/>
      <c r="VWN1044" s="103"/>
      <c r="VWZ1044" s="104"/>
      <c r="VXA1044" s="103"/>
      <c r="VXM1044" s="104"/>
      <c r="VXN1044" s="103"/>
      <c r="VXZ1044" s="104"/>
      <c r="VYA1044" s="103"/>
      <c r="VYM1044" s="104"/>
      <c r="VYN1044" s="103"/>
      <c r="VYZ1044" s="104"/>
      <c r="VZA1044" s="103"/>
      <c r="VZM1044" s="104"/>
      <c r="VZN1044" s="103"/>
      <c r="VZZ1044" s="104"/>
      <c r="WAA1044" s="103"/>
      <c r="WAM1044" s="104"/>
      <c r="WAN1044" s="103"/>
      <c r="WAZ1044" s="104"/>
      <c r="WBA1044" s="103"/>
      <c r="WBM1044" s="104"/>
      <c r="WBN1044" s="103"/>
      <c r="WBZ1044" s="104"/>
      <c r="WCA1044" s="103"/>
      <c r="WCM1044" s="104"/>
      <c r="WCN1044" s="103"/>
      <c r="WCZ1044" s="104"/>
      <c r="WDA1044" s="103"/>
      <c r="WDM1044" s="104"/>
      <c r="WDN1044" s="103"/>
      <c r="WDZ1044" s="104"/>
      <c r="WEA1044" s="103"/>
      <c r="WEM1044" s="104"/>
      <c r="WEN1044" s="103"/>
      <c r="WEZ1044" s="104"/>
      <c r="WFA1044" s="103"/>
      <c r="WFM1044" s="104"/>
      <c r="WFN1044" s="103"/>
      <c r="WFZ1044" s="104"/>
      <c r="WGA1044" s="103"/>
      <c r="WGM1044" s="104"/>
      <c r="WGN1044" s="103"/>
      <c r="WGZ1044" s="104"/>
      <c r="WHA1044" s="103"/>
      <c r="WHM1044" s="104"/>
      <c r="WHN1044" s="103"/>
      <c r="WHZ1044" s="104"/>
      <c r="WIA1044" s="103"/>
      <c r="WIM1044" s="104"/>
      <c r="WIN1044" s="103"/>
      <c r="WIZ1044" s="104"/>
      <c r="WJA1044" s="103"/>
      <c r="WJM1044" s="104"/>
      <c r="WJN1044" s="103"/>
      <c r="WJZ1044" s="104"/>
      <c r="WKA1044" s="103"/>
      <c r="WKM1044" s="104"/>
      <c r="WKN1044" s="103"/>
      <c r="WKZ1044" s="104"/>
      <c r="WLA1044" s="103"/>
      <c r="WLM1044" s="104"/>
      <c r="WLN1044" s="103"/>
      <c r="WLZ1044" s="104"/>
      <c r="WMA1044" s="103"/>
      <c r="WMM1044" s="104"/>
      <c r="WMN1044" s="103"/>
      <c r="WMZ1044" s="104"/>
      <c r="WNA1044" s="103"/>
      <c r="WNM1044" s="104"/>
      <c r="WNN1044" s="103"/>
      <c r="WNZ1044" s="104"/>
      <c r="WOA1044" s="103"/>
      <c r="WOM1044" s="104"/>
      <c r="WON1044" s="103"/>
      <c r="WOZ1044" s="104"/>
      <c r="WPA1044" s="103"/>
      <c r="WPM1044" s="104"/>
      <c r="WPN1044" s="103"/>
      <c r="WPZ1044" s="104"/>
      <c r="WQA1044" s="103"/>
      <c r="WQM1044" s="104"/>
      <c r="WQN1044" s="103"/>
      <c r="WQZ1044" s="104"/>
      <c r="WRA1044" s="103"/>
      <c r="WRM1044" s="104"/>
      <c r="WRN1044" s="103"/>
      <c r="WRZ1044" s="104"/>
      <c r="WSA1044" s="103"/>
      <c r="WSM1044" s="104"/>
      <c r="WSN1044" s="103"/>
      <c r="WSZ1044" s="104"/>
      <c r="WTA1044" s="103"/>
      <c r="WTM1044" s="104"/>
      <c r="WTN1044" s="103"/>
      <c r="WTZ1044" s="104"/>
      <c r="WUA1044" s="103"/>
      <c r="WUM1044" s="104"/>
      <c r="WUN1044" s="103"/>
      <c r="WUZ1044" s="104"/>
      <c r="WVA1044" s="103"/>
      <c r="WVM1044" s="104"/>
      <c r="WVN1044" s="103"/>
      <c r="WVZ1044" s="104"/>
      <c r="WWA1044" s="103"/>
      <c r="WWM1044" s="104"/>
      <c r="WWN1044" s="103"/>
      <c r="WWZ1044" s="104"/>
      <c r="WXA1044" s="103"/>
      <c r="WXM1044" s="104"/>
      <c r="WXN1044" s="103"/>
      <c r="WXZ1044" s="104"/>
      <c r="WYA1044" s="103"/>
      <c r="WYM1044" s="104"/>
      <c r="WYN1044" s="103"/>
      <c r="WYZ1044" s="104"/>
      <c r="WZA1044" s="103"/>
      <c r="WZM1044" s="104"/>
      <c r="WZN1044" s="103"/>
      <c r="WZZ1044" s="104"/>
      <c r="XAA1044" s="103"/>
      <c r="XAM1044" s="104"/>
      <c r="XAN1044" s="103"/>
      <c r="XAZ1044" s="104"/>
      <c r="XBA1044" s="103"/>
      <c r="XBM1044" s="104"/>
      <c r="XBN1044" s="103"/>
      <c r="XBZ1044" s="104"/>
      <c r="XCA1044" s="103"/>
      <c r="XCM1044" s="104"/>
      <c r="XCN1044" s="103"/>
      <c r="XCZ1044" s="104"/>
      <c r="XDA1044" s="103"/>
      <c r="XDM1044" s="104"/>
      <c r="XDN1044" s="103"/>
      <c r="XDZ1044" s="104"/>
      <c r="XEA1044" s="103"/>
      <c r="XEM1044" s="104"/>
      <c r="XEN1044" s="103"/>
      <c r="XEZ1044" s="104"/>
      <c r="XFA1044" s="103"/>
    </row>
    <row r="1045" spans="1:1015 1027:2042 2054:3069 3081:4096 4108:5110 5122:6137 6149:7164 7176:8191 8203:9205 9217:10232 10244:11259 11271:12286 12298:14327 14339:15354 15366:16381">
      <c r="B1045" s="134">
        <v>2024</v>
      </c>
      <c r="C1045" s="135">
        <v>10920</v>
      </c>
      <c r="D1045" s="136">
        <f t="shared" si="46"/>
        <v>198.65381116972895</v>
      </c>
      <c r="E1045" s="135">
        <v>2144</v>
      </c>
      <c r="F1045" s="136">
        <f t="shared" si="47"/>
        <v>39.003092595961434</v>
      </c>
      <c r="G1045" s="136">
        <f t="shared" si="44"/>
        <v>13064</v>
      </c>
      <c r="H1045" s="136">
        <f t="shared" si="45"/>
        <v>237.6569037656904</v>
      </c>
      <c r="Z1045" s="104"/>
      <c r="AA1045" s="103"/>
      <c r="AM1045" s="104"/>
      <c r="AN1045" s="103"/>
      <c r="AZ1045" s="104"/>
      <c r="BA1045" s="103"/>
      <c r="BM1045" s="104"/>
      <c r="BN1045" s="103"/>
      <c r="BZ1045" s="104"/>
      <c r="CA1045" s="103"/>
      <c r="CM1045" s="104"/>
      <c r="CN1045" s="103"/>
      <c r="CZ1045" s="104"/>
      <c r="DA1045" s="103"/>
      <c r="DM1045" s="104"/>
      <c r="DN1045" s="103"/>
      <c r="DZ1045" s="104"/>
      <c r="EA1045" s="103"/>
      <c r="EM1045" s="104"/>
      <c r="EN1045" s="103"/>
      <c r="EZ1045" s="104"/>
      <c r="FA1045" s="103"/>
      <c r="FM1045" s="104"/>
      <c r="FN1045" s="103"/>
      <c r="FZ1045" s="104"/>
      <c r="GA1045" s="103"/>
      <c r="GM1045" s="104"/>
      <c r="GN1045" s="103"/>
      <c r="GZ1045" s="104"/>
      <c r="HA1045" s="103"/>
      <c r="HM1045" s="104"/>
      <c r="HN1045" s="103"/>
      <c r="HZ1045" s="104"/>
      <c r="IA1045" s="103"/>
      <c r="IM1045" s="104"/>
      <c r="IN1045" s="103"/>
      <c r="IZ1045" s="104"/>
      <c r="JA1045" s="103"/>
      <c r="JM1045" s="104"/>
      <c r="JN1045" s="103"/>
      <c r="JZ1045" s="104"/>
      <c r="KA1045" s="103"/>
      <c r="KM1045" s="104"/>
      <c r="KN1045" s="103"/>
      <c r="KZ1045" s="104"/>
      <c r="LA1045" s="103"/>
      <c r="LM1045" s="104"/>
      <c r="LN1045" s="103"/>
      <c r="LZ1045" s="104"/>
      <c r="MA1045" s="103"/>
      <c r="MM1045" s="104"/>
      <c r="MN1045" s="103"/>
      <c r="MZ1045" s="104"/>
      <c r="NA1045" s="103"/>
      <c r="NM1045" s="104"/>
      <c r="NN1045" s="103"/>
      <c r="NZ1045" s="104"/>
      <c r="OA1045" s="103"/>
      <c r="OM1045" s="104"/>
      <c r="ON1045" s="103"/>
      <c r="OZ1045" s="104"/>
      <c r="PA1045" s="103"/>
      <c r="PM1045" s="104"/>
      <c r="PN1045" s="103"/>
      <c r="PZ1045" s="104"/>
      <c r="QA1045" s="103"/>
      <c r="QM1045" s="104"/>
      <c r="QN1045" s="103"/>
      <c r="QZ1045" s="104"/>
      <c r="RA1045" s="103"/>
      <c r="RM1045" s="104"/>
      <c r="RN1045" s="103"/>
      <c r="RZ1045" s="104"/>
      <c r="SA1045" s="103"/>
      <c r="SM1045" s="104"/>
      <c r="SN1045" s="103"/>
      <c r="SZ1045" s="104"/>
      <c r="TA1045" s="103"/>
      <c r="TM1045" s="104"/>
      <c r="TN1045" s="103"/>
      <c r="TZ1045" s="104"/>
      <c r="UA1045" s="103"/>
      <c r="UM1045" s="104"/>
      <c r="UN1045" s="103"/>
      <c r="UZ1045" s="104"/>
      <c r="VA1045" s="103"/>
      <c r="VM1045" s="104"/>
      <c r="VN1045" s="103"/>
      <c r="VZ1045" s="104"/>
      <c r="WA1045" s="103"/>
      <c r="WM1045" s="104"/>
      <c r="WN1045" s="103"/>
      <c r="WZ1045" s="104"/>
      <c r="XA1045" s="103"/>
      <c r="XM1045" s="104"/>
      <c r="XN1045" s="103"/>
      <c r="XZ1045" s="104"/>
      <c r="YA1045" s="103"/>
      <c r="YM1045" s="104"/>
      <c r="YN1045" s="103"/>
      <c r="YZ1045" s="104"/>
      <c r="ZA1045" s="103"/>
      <c r="ZM1045" s="104"/>
      <c r="ZN1045" s="103"/>
      <c r="ZZ1045" s="104"/>
      <c r="AAA1045" s="103"/>
      <c r="AAM1045" s="104"/>
      <c r="AAN1045" s="103"/>
      <c r="AAZ1045" s="104"/>
      <c r="ABA1045" s="103"/>
      <c r="ABM1045" s="104"/>
      <c r="ABN1045" s="103"/>
      <c r="ABZ1045" s="104"/>
      <c r="ACA1045" s="103"/>
      <c r="ACM1045" s="104"/>
      <c r="ACN1045" s="103"/>
      <c r="ACZ1045" s="104"/>
      <c r="ADA1045" s="103"/>
      <c r="ADM1045" s="104"/>
      <c r="ADN1045" s="103"/>
      <c r="ADZ1045" s="104"/>
      <c r="AEA1045" s="103"/>
      <c r="AEM1045" s="104"/>
      <c r="AEN1045" s="103"/>
      <c r="AEZ1045" s="104"/>
      <c r="AFA1045" s="103"/>
      <c r="AFM1045" s="104"/>
      <c r="AFN1045" s="103"/>
      <c r="AFZ1045" s="104"/>
      <c r="AGA1045" s="103"/>
      <c r="AGM1045" s="104"/>
      <c r="AGN1045" s="103"/>
      <c r="AGZ1045" s="104"/>
      <c r="AHA1045" s="103"/>
      <c r="AHM1045" s="104"/>
      <c r="AHN1045" s="103"/>
      <c r="AHZ1045" s="104"/>
      <c r="AIA1045" s="103"/>
      <c r="AIM1045" s="104"/>
      <c r="AIN1045" s="103"/>
      <c r="AIZ1045" s="104"/>
      <c r="AJA1045" s="103"/>
      <c r="AJM1045" s="104"/>
      <c r="AJN1045" s="103"/>
      <c r="AJZ1045" s="104"/>
      <c r="AKA1045" s="103"/>
      <c r="AKM1045" s="104"/>
      <c r="AKN1045" s="103"/>
      <c r="AKZ1045" s="104"/>
      <c r="ALA1045" s="103"/>
      <c r="ALM1045" s="104"/>
      <c r="ALN1045" s="103"/>
      <c r="ALZ1045" s="104"/>
      <c r="AMA1045" s="103"/>
      <c r="AMM1045" s="104"/>
      <c r="AMN1045" s="103"/>
      <c r="AMZ1045" s="104"/>
      <c r="ANA1045" s="103"/>
      <c r="ANM1045" s="104"/>
      <c r="ANN1045" s="103"/>
      <c r="ANZ1045" s="104"/>
      <c r="AOA1045" s="103"/>
      <c r="AOM1045" s="104"/>
      <c r="AON1045" s="103"/>
      <c r="AOZ1045" s="104"/>
      <c r="APA1045" s="103"/>
      <c r="APM1045" s="104"/>
      <c r="APN1045" s="103"/>
      <c r="APZ1045" s="104"/>
      <c r="AQA1045" s="103"/>
      <c r="AQM1045" s="104"/>
      <c r="AQN1045" s="103"/>
      <c r="AQZ1045" s="104"/>
      <c r="ARA1045" s="103"/>
      <c r="ARM1045" s="104"/>
      <c r="ARN1045" s="103"/>
      <c r="ARZ1045" s="104"/>
      <c r="ASA1045" s="103"/>
      <c r="ASM1045" s="104"/>
      <c r="ASN1045" s="103"/>
      <c r="ASZ1045" s="104"/>
      <c r="ATA1045" s="103"/>
      <c r="ATM1045" s="104"/>
      <c r="ATN1045" s="103"/>
      <c r="ATZ1045" s="104"/>
      <c r="AUA1045" s="103"/>
      <c r="AUM1045" s="104"/>
      <c r="AUN1045" s="103"/>
      <c r="AUZ1045" s="104"/>
      <c r="AVA1045" s="103"/>
      <c r="AVM1045" s="104"/>
      <c r="AVN1045" s="103"/>
      <c r="AVZ1045" s="104"/>
      <c r="AWA1045" s="103"/>
      <c r="AWM1045" s="104"/>
      <c r="AWN1045" s="103"/>
      <c r="AWZ1045" s="104"/>
      <c r="AXA1045" s="103"/>
      <c r="AXM1045" s="104"/>
      <c r="AXN1045" s="103"/>
      <c r="AXZ1045" s="104"/>
      <c r="AYA1045" s="103"/>
      <c r="AYM1045" s="104"/>
      <c r="AYN1045" s="103"/>
      <c r="AYZ1045" s="104"/>
      <c r="AZA1045" s="103"/>
      <c r="AZM1045" s="104"/>
      <c r="AZN1045" s="103"/>
      <c r="AZZ1045" s="104"/>
      <c r="BAA1045" s="103"/>
      <c r="BAM1045" s="104"/>
      <c r="BAN1045" s="103"/>
      <c r="BAZ1045" s="104"/>
      <c r="BBA1045" s="103"/>
      <c r="BBM1045" s="104"/>
      <c r="BBN1045" s="103"/>
      <c r="BBZ1045" s="104"/>
      <c r="BCA1045" s="103"/>
      <c r="BCM1045" s="104"/>
      <c r="BCN1045" s="103"/>
      <c r="BCZ1045" s="104"/>
      <c r="BDA1045" s="103"/>
      <c r="BDM1045" s="104"/>
      <c r="BDN1045" s="103"/>
      <c r="BDZ1045" s="104"/>
      <c r="BEA1045" s="103"/>
      <c r="BEM1045" s="104"/>
      <c r="BEN1045" s="103"/>
      <c r="BEZ1045" s="104"/>
      <c r="BFA1045" s="103"/>
      <c r="BFM1045" s="104"/>
      <c r="BFN1045" s="103"/>
      <c r="BFZ1045" s="104"/>
      <c r="BGA1045" s="103"/>
      <c r="BGM1045" s="104"/>
      <c r="BGN1045" s="103"/>
      <c r="BGZ1045" s="104"/>
      <c r="BHA1045" s="103"/>
      <c r="BHM1045" s="104"/>
      <c r="BHN1045" s="103"/>
      <c r="BHZ1045" s="104"/>
      <c r="BIA1045" s="103"/>
      <c r="BIM1045" s="104"/>
      <c r="BIN1045" s="103"/>
      <c r="BIZ1045" s="104"/>
      <c r="BJA1045" s="103"/>
      <c r="BJM1045" s="104"/>
      <c r="BJN1045" s="103"/>
      <c r="BJZ1045" s="104"/>
      <c r="BKA1045" s="103"/>
      <c r="BKM1045" s="104"/>
      <c r="BKN1045" s="103"/>
      <c r="BKZ1045" s="104"/>
      <c r="BLA1045" s="103"/>
      <c r="BLM1045" s="104"/>
      <c r="BLN1045" s="103"/>
      <c r="BLZ1045" s="104"/>
      <c r="BMA1045" s="103"/>
      <c r="BMM1045" s="104"/>
      <c r="BMN1045" s="103"/>
      <c r="BMZ1045" s="104"/>
      <c r="BNA1045" s="103"/>
      <c r="BNM1045" s="104"/>
      <c r="BNN1045" s="103"/>
      <c r="BNZ1045" s="104"/>
      <c r="BOA1045" s="103"/>
      <c r="BOM1045" s="104"/>
      <c r="BON1045" s="103"/>
      <c r="BOZ1045" s="104"/>
      <c r="BPA1045" s="103"/>
      <c r="BPM1045" s="104"/>
      <c r="BPN1045" s="103"/>
      <c r="BPZ1045" s="104"/>
      <c r="BQA1045" s="103"/>
      <c r="BQM1045" s="104"/>
      <c r="BQN1045" s="103"/>
      <c r="BQZ1045" s="104"/>
      <c r="BRA1045" s="103"/>
      <c r="BRM1045" s="104"/>
      <c r="BRN1045" s="103"/>
      <c r="BRZ1045" s="104"/>
      <c r="BSA1045" s="103"/>
      <c r="BSM1045" s="104"/>
      <c r="BSN1045" s="103"/>
      <c r="BSZ1045" s="104"/>
      <c r="BTA1045" s="103"/>
      <c r="BTM1045" s="104"/>
      <c r="BTN1045" s="103"/>
      <c r="BTZ1045" s="104"/>
      <c r="BUA1045" s="103"/>
      <c r="BUM1045" s="104"/>
      <c r="BUN1045" s="103"/>
      <c r="BUZ1045" s="104"/>
      <c r="BVA1045" s="103"/>
      <c r="BVM1045" s="104"/>
      <c r="BVN1045" s="103"/>
      <c r="BVZ1045" s="104"/>
      <c r="BWA1045" s="103"/>
      <c r="BWM1045" s="104"/>
      <c r="BWN1045" s="103"/>
      <c r="BWZ1045" s="104"/>
      <c r="BXA1045" s="103"/>
      <c r="BXM1045" s="104"/>
      <c r="BXN1045" s="103"/>
      <c r="BXZ1045" s="104"/>
      <c r="BYA1045" s="103"/>
      <c r="BYM1045" s="104"/>
      <c r="BYN1045" s="103"/>
      <c r="BYZ1045" s="104"/>
      <c r="BZA1045" s="103"/>
      <c r="BZM1045" s="104"/>
      <c r="BZN1045" s="103"/>
      <c r="BZZ1045" s="104"/>
      <c r="CAA1045" s="103"/>
      <c r="CAM1045" s="104"/>
      <c r="CAN1045" s="103"/>
      <c r="CAZ1045" s="104"/>
      <c r="CBA1045" s="103"/>
      <c r="CBM1045" s="104"/>
      <c r="CBN1045" s="103"/>
      <c r="CBZ1045" s="104"/>
      <c r="CCA1045" s="103"/>
      <c r="CCM1045" s="104"/>
      <c r="CCN1045" s="103"/>
      <c r="CCZ1045" s="104"/>
      <c r="CDA1045" s="103"/>
      <c r="CDM1045" s="104"/>
      <c r="CDN1045" s="103"/>
      <c r="CDZ1045" s="104"/>
      <c r="CEA1045" s="103"/>
      <c r="CEM1045" s="104"/>
      <c r="CEN1045" s="103"/>
      <c r="CEZ1045" s="104"/>
      <c r="CFA1045" s="103"/>
      <c r="CFM1045" s="104"/>
      <c r="CFN1045" s="103"/>
      <c r="CFZ1045" s="104"/>
      <c r="CGA1045" s="103"/>
      <c r="CGM1045" s="104"/>
      <c r="CGN1045" s="103"/>
      <c r="CGZ1045" s="104"/>
      <c r="CHA1045" s="103"/>
      <c r="CHM1045" s="104"/>
      <c r="CHN1045" s="103"/>
      <c r="CHZ1045" s="104"/>
      <c r="CIA1045" s="103"/>
      <c r="CIM1045" s="104"/>
      <c r="CIN1045" s="103"/>
      <c r="CIZ1045" s="104"/>
      <c r="CJA1045" s="103"/>
      <c r="CJM1045" s="104"/>
      <c r="CJN1045" s="103"/>
      <c r="CJZ1045" s="104"/>
      <c r="CKA1045" s="103"/>
      <c r="CKM1045" s="104"/>
      <c r="CKN1045" s="103"/>
      <c r="CKZ1045" s="104"/>
      <c r="CLA1045" s="103"/>
      <c r="CLM1045" s="104"/>
      <c r="CLN1045" s="103"/>
      <c r="CLZ1045" s="104"/>
      <c r="CMA1045" s="103"/>
      <c r="CMM1045" s="104"/>
      <c r="CMN1045" s="103"/>
      <c r="CMZ1045" s="104"/>
      <c r="CNA1045" s="103"/>
      <c r="CNM1045" s="104"/>
      <c r="CNN1045" s="103"/>
      <c r="CNZ1045" s="104"/>
      <c r="COA1045" s="103"/>
      <c r="COM1045" s="104"/>
      <c r="CON1045" s="103"/>
      <c r="COZ1045" s="104"/>
      <c r="CPA1045" s="103"/>
      <c r="CPM1045" s="104"/>
      <c r="CPN1045" s="103"/>
      <c r="CPZ1045" s="104"/>
      <c r="CQA1045" s="103"/>
      <c r="CQM1045" s="104"/>
      <c r="CQN1045" s="103"/>
      <c r="CQZ1045" s="104"/>
      <c r="CRA1045" s="103"/>
      <c r="CRM1045" s="104"/>
      <c r="CRN1045" s="103"/>
      <c r="CRZ1045" s="104"/>
      <c r="CSA1045" s="103"/>
      <c r="CSM1045" s="104"/>
      <c r="CSN1045" s="103"/>
      <c r="CSZ1045" s="104"/>
      <c r="CTA1045" s="103"/>
      <c r="CTM1045" s="104"/>
      <c r="CTN1045" s="103"/>
      <c r="CTZ1045" s="104"/>
      <c r="CUA1045" s="103"/>
      <c r="CUM1045" s="104"/>
      <c r="CUN1045" s="103"/>
      <c r="CUZ1045" s="104"/>
      <c r="CVA1045" s="103"/>
      <c r="CVM1045" s="104"/>
      <c r="CVN1045" s="103"/>
      <c r="CVZ1045" s="104"/>
      <c r="CWA1045" s="103"/>
      <c r="CWM1045" s="104"/>
      <c r="CWN1045" s="103"/>
      <c r="CWZ1045" s="104"/>
      <c r="CXA1045" s="103"/>
      <c r="CXM1045" s="104"/>
      <c r="CXN1045" s="103"/>
      <c r="CXZ1045" s="104"/>
      <c r="CYA1045" s="103"/>
      <c r="CYM1045" s="104"/>
      <c r="CYN1045" s="103"/>
      <c r="CYZ1045" s="104"/>
      <c r="CZA1045" s="103"/>
      <c r="CZM1045" s="104"/>
      <c r="CZN1045" s="103"/>
      <c r="CZZ1045" s="104"/>
      <c r="DAA1045" s="103"/>
      <c r="DAM1045" s="104"/>
      <c r="DAN1045" s="103"/>
      <c r="DAZ1045" s="104"/>
      <c r="DBA1045" s="103"/>
      <c r="DBM1045" s="104"/>
      <c r="DBN1045" s="103"/>
      <c r="DBZ1045" s="104"/>
      <c r="DCA1045" s="103"/>
      <c r="DCM1045" s="104"/>
      <c r="DCN1045" s="103"/>
      <c r="DCZ1045" s="104"/>
      <c r="DDA1045" s="103"/>
      <c r="DDM1045" s="104"/>
      <c r="DDN1045" s="103"/>
      <c r="DDZ1045" s="104"/>
      <c r="DEA1045" s="103"/>
      <c r="DEM1045" s="104"/>
      <c r="DEN1045" s="103"/>
      <c r="DEZ1045" s="104"/>
      <c r="DFA1045" s="103"/>
      <c r="DFM1045" s="104"/>
      <c r="DFN1045" s="103"/>
      <c r="DFZ1045" s="104"/>
      <c r="DGA1045" s="103"/>
      <c r="DGM1045" s="104"/>
      <c r="DGN1045" s="103"/>
      <c r="DGZ1045" s="104"/>
      <c r="DHA1045" s="103"/>
      <c r="DHM1045" s="104"/>
      <c r="DHN1045" s="103"/>
      <c r="DHZ1045" s="104"/>
      <c r="DIA1045" s="103"/>
      <c r="DIM1045" s="104"/>
      <c r="DIN1045" s="103"/>
      <c r="DIZ1045" s="104"/>
      <c r="DJA1045" s="103"/>
      <c r="DJM1045" s="104"/>
      <c r="DJN1045" s="103"/>
      <c r="DJZ1045" s="104"/>
      <c r="DKA1045" s="103"/>
      <c r="DKM1045" s="104"/>
      <c r="DKN1045" s="103"/>
      <c r="DKZ1045" s="104"/>
      <c r="DLA1045" s="103"/>
      <c r="DLM1045" s="104"/>
      <c r="DLN1045" s="103"/>
      <c r="DLZ1045" s="104"/>
      <c r="DMA1045" s="103"/>
      <c r="DMM1045" s="104"/>
      <c r="DMN1045" s="103"/>
      <c r="DMZ1045" s="104"/>
      <c r="DNA1045" s="103"/>
      <c r="DNM1045" s="104"/>
      <c r="DNN1045" s="103"/>
      <c r="DNZ1045" s="104"/>
      <c r="DOA1045" s="103"/>
      <c r="DOM1045" s="104"/>
      <c r="DON1045" s="103"/>
      <c r="DOZ1045" s="104"/>
      <c r="DPA1045" s="103"/>
      <c r="DPM1045" s="104"/>
      <c r="DPN1045" s="103"/>
      <c r="DPZ1045" s="104"/>
      <c r="DQA1045" s="103"/>
      <c r="DQM1045" s="104"/>
      <c r="DQN1045" s="103"/>
      <c r="DQZ1045" s="104"/>
      <c r="DRA1045" s="103"/>
      <c r="DRM1045" s="104"/>
      <c r="DRN1045" s="103"/>
      <c r="DRZ1045" s="104"/>
      <c r="DSA1045" s="103"/>
      <c r="DSM1045" s="104"/>
      <c r="DSN1045" s="103"/>
      <c r="DSZ1045" s="104"/>
      <c r="DTA1045" s="103"/>
      <c r="DTM1045" s="104"/>
      <c r="DTN1045" s="103"/>
      <c r="DTZ1045" s="104"/>
      <c r="DUA1045" s="103"/>
      <c r="DUM1045" s="104"/>
      <c r="DUN1045" s="103"/>
      <c r="DUZ1045" s="104"/>
      <c r="DVA1045" s="103"/>
      <c r="DVM1045" s="104"/>
      <c r="DVN1045" s="103"/>
      <c r="DVZ1045" s="104"/>
      <c r="DWA1045" s="103"/>
      <c r="DWM1045" s="104"/>
      <c r="DWN1045" s="103"/>
      <c r="DWZ1045" s="104"/>
      <c r="DXA1045" s="103"/>
      <c r="DXM1045" s="104"/>
      <c r="DXN1045" s="103"/>
      <c r="DXZ1045" s="104"/>
      <c r="DYA1045" s="103"/>
      <c r="DYM1045" s="104"/>
      <c r="DYN1045" s="103"/>
      <c r="DYZ1045" s="104"/>
      <c r="DZA1045" s="103"/>
      <c r="DZM1045" s="104"/>
      <c r="DZN1045" s="103"/>
      <c r="DZZ1045" s="104"/>
      <c r="EAA1045" s="103"/>
      <c r="EAM1045" s="104"/>
      <c r="EAN1045" s="103"/>
      <c r="EAZ1045" s="104"/>
      <c r="EBA1045" s="103"/>
      <c r="EBM1045" s="104"/>
      <c r="EBN1045" s="103"/>
      <c r="EBZ1045" s="104"/>
      <c r="ECA1045" s="103"/>
      <c r="ECM1045" s="104"/>
      <c r="ECN1045" s="103"/>
      <c r="ECZ1045" s="104"/>
      <c r="EDA1045" s="103"/>
      <c r="EDM1045" s="104"/>
      <c r="EDN1045" s="103"/>
      <c r="EDZ1045" s="104"/>
      <c r="EEA1045" s="103"/>
      <c r="EEM1045" s="104"/>
      <c r="EEN1045" s="103"/>
      <c r="EEZ1045" s="104"/>
      <c r="EFA1045" s="103"/>
      <c r="EFM1045" s="104"/>
      <c r="EFN1045" s="103"/>
      <c r="EFZ1045" s="104"/>
      <c r="EGA1045" s="103"/>
      <c r="EGM1045" s="104"/>
      <c r="EGN1045" s="103"/>
      <c r="EGZ1045" s="104"/>
      <c r="EHA1045" s="103"/>
      <c r="EHM1045" s="104"/>
      <c r="EHN1045" s="103"/>
      <c r="EHZ1045" s="104"/>
      <c r="EIA1045" s="103"/>
      <c r="EIM1045" s="104"/>
      <c r="EIN1045" s="103"/>
      <c r="EIZ1045" s="104"/>
      <c r="EJA1045" s="103"/>
      <c r="EJM1045" s="104"/>
      <c r="EJN1045" s="103"/>
      <c r="EJZ1045" s="104"/>
      <c r="EKA1045" s="103"/>
      <c r="EKM1045" s="104"/>
      <c r="EKN1045" s="103"/>
      <c r="EKZ1045" s="104"/>
      <c r="ELA1045" s="103"/>
      <c r="ELM1045" s="104"/>
      <c r="ELN1045" s="103"/>
      <c r="ELZ1045" s="104"/>
      <c r="EMA1045" s="103"/>
      <c r="EMM1045" s="104"/>
      <c r="EMN1045" s="103"/>
      <c r="EMZ1045" s="104"/>
      <c r="ENA1045" s="103"/>
      <c r="ENM1045" s="104"/>
      <c r="ENN1045" s="103"/>
      <c r="ENZ1045" s="104"/>
      <c r="EOA1045" s="103"/>
      <c r="EOM1045" s="104"/>
      <c r="EON1045" s="103"/>
      <c r="EOZ1045" s="104"/>
      <c r="EPA1045" s="103"/>
      <c r="EPM1045" s="104"/>
      <c r="EPN1045" s="103"/>
      <c r="EPZ1045" s="104"/>
      <c r="EQA1045" s="103"/>
      <c r="EQM1045" s="104"/>
      <c r="EQN1045" s="103"/>
      <c r="EQZ1045" s="104"/>
      <c r="ERA1045" s="103"/>
      <c r="ERM1045" s="104"/>
      <c r="ERN1045" s="103"/>
      <c r="ERZ1045" s="104"/>
      <c r="ESA1045" s="103"/>
      <c r="ESM1045" s="104"/>
      <c r="ESN1045" s="103"/>
      <c r="ESZ1045" s="104"/>
      <c r="ETA1045" s="103"/>
      <c r="ETM1045" s="104"/>
      <c r="ETN1045" s="103"/>
      <c r="ETZ1045" s="104"/>
      <c r="EUA1045" s="103"/>
      <c r="EUM1045" s="104"/>
      <c r="EUN1045" s="103"/>
      <c r="EUZ1045" s="104"/>
      <c r="EVA1045" s="103"/>
      <c r="EVM1045" s="104"/>
      <c r="EVN1045" s="103"/>
      <c r="EVZ1045" s="104"/>
      <c r="EWA1045" s="103"/>
      <c r="EWM1045" s="104"/>
      <c r="EWN1045" s="103"/>
      <c r="EWZ1045" s="104"/>
      <c r="EXA1045" s="103"/>
      <c r="EXM1045" s="104"/>
      <c r="EXN1045" s="103"/>
      <c r="EXZ1045" s="104"/>
      <c r="EYA1045" s="103"/>
      <c r="EYM1045" s="104"/>
      <c r="EYN1045" s="103"/>
      <c r="EYZ1045" s="104"/>
      <c r="EZA1045" s="103"/>
      <c r="EZM1045" s="104"/>
      <c r="EZN1045" s="103"/>
      <c r="EZZ1045" s="104"/>
      <c r="FAA1045" s="103"/>
      <c r="FAM1045" s="104"/>
      <c r="FAN1045" s="103"/>
      <c r="FAZ1045" s="104"/>
      <c r="FBA1045" s="103"/>
      <c r="FBM1045" s="104"/>
      <c r="FBN1045" s="103"/>
      <c r="FBZ1045" s="104"/>
      <c r="FCA1045" s="103"/>
      <c r="FCM1045" s="104"/>
      <c r="FCN1045" s="103"/>
      <c r="FCZ1045" s="104"/>
      <c r="FDA1045" s="103"/>
      <c r="FDM1045" s="104"/>
      <c r="FDN1045" s="103"/>
      <c r="FDZ1045" s="104"/>
      <c r="FEA1045" s="103"/>
      <c r="FEM1045" s="104"/>
      <c r="FEN1045" s="103"/>
      <c r="FEZ1045" s="104"/>
      <c r="FFA1045" s="103"/>
      <c r="FFM1045" s="104"/>
      <c r="FFN1045" s="103"/>
      <c r="FFZ1045" s="104"/>
      <c r="FGA1045" s="103"/>
      <c r="FGM1045" s="104"/>
      <c r="FGN1045" s="103"/>
      <c r="FGZ1045" s="104"/>
      <c r="FHA1045" s="103"/>
      <c r="FHM1045" s="104"/>
      <c r="FHN1045" s="103"/>
      <c r="FHZ1045" s="104"/>
      <c r="FIA1045" s="103"/>
      <c r="FIM1045" s="104"/>
      <c r="FIN1045" s="103"/>
      <c r="FIZ1045" s="104"/>
      <c r="FJA1045" s="103"/>
      <c r="FJM1045" s="104"/>
      <c r="FJN1045" s="103"/>
      <c r="FJZ1045" s="104"/>
      <c r="FKA1045" s="103"/>
      <c r="FKM1045" s="104"/>
      <c r="FKN1045" s="103"/>
      <c r="FKZ1045" s="104"/>
      <c r="FLA1045" s="103"/>
      <c r="FLM1045" s="104"/>
      <c r="FLN1045" s="103"/>
      <c r="FLZ1045" s="104"/>
      <c r="FMA1045" s="103"/>
      <c r="FMM1045" s="104"/>
      <c r="FMN1045" s="103"/>
      <c r="FMZ1045" s="104"/>
      <c r="FNA1045" s="103"/>
      <c r="FNM1045" s="104"/>
      <c r="FNN1045" s="103"/>
      <c r="FNZ1045" s="104"/>
      <c r="FOA1045" s="103"/>
      <c r="FOM1045" s="104"/>
      <c r="FON1045" s="103"/>
      <c r="FOZ1045" s="104"/>
      <c r="FPA1045" s="103"/>
      <c r="FPM1045" s="104"/>
      <c r="FPN1045" s="103"/>
      <c r="FPZ1045" s="104"/>
      <c r="FQA1045" s="103"/>
      <c r="FQM1045" s="104"/>
      <c r="FQN1045" s="103"/>
      <c r="FQZ1045" s="104"/>
      <c r="FRA1045" s="103"/>
      <c r="FRM1045" s="104"/>
      <c r="FRN1045" s="103"/>
      <c r="FRZ1045" s="104"/>
      <c r="FSA1045" s="103"/>
      <c r="FSM1045" s="104"/>
      <c r="FSN1045" s="103"/>
      <c r="FSZ1045" s="104"/>
      <c r="FTA1045" s="103"/>
      <c r="FTM1045" s="104"/>
      <c r="FTN1045" s="103"/>
      <c r="FTZ1045" s="104"/>
      <c r="FUA1045" s="103"/>
      <c r="FUM1045" s="104"/>
      <c r="FUN1045" s="103"/>
      <c r="FUZ1045" s="104"/>
      <c r="FVA1045" s="103"/>
      <c r="FVM1045" s="104"/>
      <c r="FVN1045" s="103"/>
      <c r="FVZ1045" s="104"/>
      <c r="FWA1045" s="103"/>
      <c r="FWM1045" s="104"/>
      <c r="FWN1045" s="103"/>
      <c r="FWZ1045" s="104"/>
      <c r="FXA1045" s="103"/>
      <c r="FXM1045" s="104"/>
      <c r="FXN1045" s="103"/>
      <c r="FXZ1045" s="104"/>
      <c r="FYA1045" s="103"/>
      <c r="FYM1045" s="104"/>
      <c r="FYN1045" s="103"/>
      <c r="FYZ1045" s="104"/>
      <c r="FZA1045" s="103"/>
      <c r="FZM1045" s="104"/>
      <c r="FZN1045" s="103"/>
      <c r="FZZ1045" s="104"/>
      <c r="GAA1045" s="103"/>
      <c r="GAM1045" s="104"/>
      <c r="GAN1045" s="103"/>
      <c r="GAZ1045" s="104"/>
      <c r="GBA1045" s="103"/>
      <c r="GBM1045" s="104"/>
      <c r="GBN1045" s="103"/>
      <c r="GBZ1045" s="104"/>
      <c r="GCA1045" s="103"/>
      <c r="GCM1045" s="104"/>
      <c r="GCN1045" s="103"/>
      <c r="GCZ1045" s="104"/>
      <c r="GDA1045" s="103"/>
      <c r="GDM1045" s="104"/>
      <c r="GDN1045" s="103"/>
      <c r="GDZ1045" s="104"/>
      <c r="GEA1045" s="103"/>
      <c r="GEM1045" s="104"/>
      <c r="GEN1045" s="103"/>
      <c r="GEZ1045" s="104"/>
      <c r="GFA1045" s="103"/>
      <c r="GFM1045" s="104"/>
      <c r="GFN1045" s="103"/>
      <c r="GFZ1045" s="104"/>
      <c r="GGA1045" s="103"/>
      <c r="GGM1045" s="104"/>
      <c r="GGN1045" s="103"/>
      <c r="GGZ1045" s="104"/>
      <c r="GHA1045" s="103"/>
      <c r="GHM1045" s="104"/>
      <c r="GHN1045" s="103"/>
      <c r="GHZ1045" s="104"/>
      <c r="GIA1045" s="103"/>
      <c r="GIM1045" s="104"/>
      <c r="GIN1045" s="103"/>
      <c r="GIZ1045" s="104"/>
      <c r="GJA1045" s="103"/>
      <c r="GJM1045" s="104"/>
      <c r="GJN1045" s="103"/>
      <c r="GJZ1045" s="104"/>
      <c r="GKA1045" s="103"/>
      <c r="GKM1045" s="104"/>
      <c r="GKN1045" s="103"/>
      <c r="GKZ1045" s="104"/>
      <c r="GLA1045" s="103"/>
      <c r="GLM1045" s="104"/>
      <c r="GLN1045" s="103"/>
      <c r="GLZ1045" s="104"/>
      <c r="GMA1045" s="103"/>
      <c r="GMM1045" s="104"/>
      <c r="GMN1045" s="103"/>
      <c r="GMZ1045" s="104"/>
      <c r="GNA1045" s="103"/>
      <c r="GNM1045" s="104"/>
      <c r="GNN1045" s="103"/>
      <c r="GNZ1045" s="104"/>
      <c r="GOA1045" s="103"/>
      <c r="GOM1045" s="104"/>
      <c r="GON1045" s="103"/>
      <c r="GOZ1045" s="104"/>
      <c r="GPA1045" s="103"/>
      <c r="GPM1045" s="104"/>
      <c r="GPN1045" s="103"/>
      <c r="GPZ1045" s="104"/>
      <c r="GQA1045" s="103"/>
      <c r="GQM1045" s="104"/>
      <c r="GQN1045" s="103"/>
      <c r="GQZ1045" s="104"/>
      <c r="GRA1045" s="103"/>
      <c r="GRM1045" s="104"/>
      <c r="GRN1045" s="103"/>
      <c r="GRZ1045" s="104"/>
      <c r="GSA1045" s="103"/>
      <c r="GSM1045" s="104"/>
      <c r="GSN1045" s="103"/>
      <c r="GSZ1045" s="104"/>
      <c r="GTA1045" s="103"/>
      <c r="GTM1045" s="104"/>
      <c r="GTN1045" s="103"/>
      <c r="GTZ1045" s="104"/>
      <c r="GUA1045" s="103"/>
      <c r="GUM1045" s="104"/>
      <c r="GUN1045" s="103"/>
      <c r="GUZ1045" s="104"/>
      <c r="GVA1045" s="103"/>
      <c r="GVM1045" s="104"/>
      <c r="GVN1045" s="103"/>
      <c r="GVZ1045" s="104"/>
      <c r="GWA1045" s="103"/>
      <c r="GWM1045" s="104"/>
      <c r="GWN1045" s="103"/>
      <c r="GWZ1045" s="104"/>
      <c r="GXA1045" s="103"/>
      <c r="GXM1045" s="104"/>
      <c r="GXN1045" s="103"/>
      <c r="GXZ1045" s="104"/>
      <c r="GYA1045" s="103"/>
      <c r="GYM1045" s="104"/>
      <c r="GYN1045" s="103"/>
      <c r="GYZ1045" s="104"/>
      <c r="GZA1045" s="103"/>
      <c r="GZM1045" s="104"/>
      <c r="GZN1045" s="103"/>
      <c r="GZZ1045" s="104"/>
      <c r="HAA1045" s="103"/>
      <c r="HAM1045" s="104"/>
      <c r="HAN1045" s="103"/>
      <c r="HAZ1045" s="104"/>
      <c r="HBA1045" s="103"/>
      <c r="HBM1045" s="104"/>
      <c r="HBN1045" s="103"/>
      <c r="HBZ1045" s="104"/>
      <c r="HCA1045" s="103"/>
      <c r="HCM1045" s="104"/>
      <c r="HCN1045" s="103"/>
      <c r="HCZ1045" s="104"/>
      <c r="HDA1045" s="103"/>
      <c r="HDM1045" s="104"/>
      <c r="HDN1045" s="103"/>
      <c r="HDZ1045" s="104"/>
      <c r="HEA1045" s="103"/>
      <c r="HEM1045" s="104"/>
      <c r="HEN1045" s="103"/>
      <c r="HEZ1045" s="104"/>
      <c r="HFA1045" s="103"/>
      <c r="HFM1045" s="104"/>
      <c r="HFN1045" s="103"/>
      <c r="HFZ1045" s="104"/>
      <c r="HGA1045" s="103"/>
      <c r="HGM1045" s="104"/>
      <c r="HGN1045" s="103"/>
      <c r="HGZ1045" s="104"/>
      <c r="HHA1045" s="103"/>
      <c r="HHM1045" s="104"/>
      <c r="HHN1045" s="103"/>
      <c r="HHZ1045" s="104"/>
      <c r="HIA1045" s="103"/>
      <c r="HIM1045" s="104"/>
      <c r="HIN1045" s="103"/>
      <c r="HIZ1045" s="104"/>
      <c r="HJA1045" s="103"/>
      <c r="HJM1045" s="104"/>
      <c r="HJN1045" s="103"/>
      <c r="HJZ1045" s="104"/>
      <c r="HKA1045" s="103"/>
      <c r="HKM1045" s="104"/>
      <c r="HKN1045" s="103"/>
      <c r="HKZ1045" s="104"/>
      <c r="HLA1045" s="103"/>
      <c r="HLM1045" s="104"/>
      <c r="HLN1045" s="103"/>
      <c r="HLZ1045" s="104"/>
      <c r="HMA1045" s="103"/>
      <c r="HMM1045" s="104"/>
      <c r="HMN1045" s="103"/>
      <c r="HMZ1045" s="104"/>
      <c r="HNA1045" s="103"/>
      <c r="HNM1045" s="104"/>
      <c r="HNN1045" s="103"/>
      <c r="HNZ1045" s="104"/>
      <c r="HOA1045" s="103"/>
      <c r="HOM1045" s="104"/>
      <c r="HON1045" s="103"/>
      <c r="HOZ1045" s="104"/>
      <c r="HPA1045" s="103"/>
      <c r="HPM1045" s="104"/>
      <c r="HPN1045" s="103"/>
      <c r="HPZ1045" s="104"/>
      <c r="HQA1045" s="103"/>
      <c r="HQM1045" s="104"/>
      <c r="HQN1045" s="103"/>
      <c r="HQZ1045" s="104"/>
      <c r="HRA1045" s="103"/>
      <c r="HRM1045" s="104"/>
      <c r="HRN1045" s="103"/>
      <c r="HRZ1045" s="104"/>
      <c r="HSA1045" s="103"/>
      <c r="HSM1045" s="104"/>
      <c r="HSN1045" s="103"/>
      <c r="HSZ1045" s="104"/>
      <c r="HTA1045" s="103"/>
      <c r="HTM1045" s="104"/>
      <c r="HTN1045" s="103"/>
      <c r="HTZ1045" s="104"/>
      <c r="HUA1045" s="103"/>
      <c r="HUM1045" s="104"/>
      <c r="HUN1045" s="103"/>
      <c r="HUZ1045" s="104"/>
      <c r="HVA1045" s="103"/>
      <c r="HVM1045" s="104"/>
      <c r="HVN1045" s="103"/>
      <c r="HVZ1045" s="104"/>
      <c r="HWA1045" s="103"/>
      <c r="HWM1045" s="104"/>
      <c r="HWN1045" s="103"/>
      <c r="HWZ1045" s="104"/>
      <c r="HXA1045" s="103"/>
      <c r="HXM1045" s="104"/>
      <c r="HXN1045" s="103"/>
      <c r="HXZ1045" s="104"/>
      <c r="HYA1045" s="103"/>
      <c r="HYM1045" s="104"/>
      <c r="HYN1045" s="103"/>
      <c r="HYZ1045" s="104"/>
      <c r="HZA1045" s="103"/>
      <c r="HZM1045" s="104"/>
      <c r="HZN1045" s="103"/>
      <c r="HZZ1045" s="104"/>
      <c r="IAA1045" s="103"/>
      <c r="IAM1045" s="104"/>
      <c r="IAN1045" s="103"/>
      <c r="IAZ1045" s="104"/>
      <c r="IBA1045" s="103"/>
      <c r="IBM1045" s="104"/>
      <c r="IBN1045" s="103"/>
      <c r="IBZ1045" s="104"/>
      <c r="ICA1045" s="103"/>
      <c r="ICM1045" s="104"/>
      <c r="ICN1045" s="103"/>
      <c r="ICZ1045" s="104"/>
      <c r="IDA1045" s="103"/>
      <c r="IDM1045" s="104"/>
      <c r="IDN1045" s="103"/>
      <c r="IDZ1045" s="104"/>
      <c r="IEA1045" s="103"/>
      <c r="IEM1045" s="104"/>
      <c r="IEN1045" s="103"/>
      <c r="IEZ1045" s="104"/>
      <c r="IFA1045" s="103"/>
      <c r="IFM1045" s="104"/>
      <c r="IFN1045" s="103"/>
      <c r="IFZ1045" s="104"/>
      <c r="IGA1045" s="103"/>
      <c r="IGM1045" s="104"/>
      <c r="IGN1045" s="103"/>
      <c r="IGZ1045" s="104"/>
      <c r="IHA1045" s="103"/>
      <c r="IHM1045" s="104"/>
      <c r="IHN1045" s="103"/>
      <c r="IHZ1045" s="104"/>
      <c r="IIA1045" s="103"/>
      <c r="IIM1045" s="104"/>
      <c r="IIN1045" s="103"/>
      <c r="IIZ1045" s="104"/>
      <c r="IJA1045" s="103"/>
      <c r="IJM1045" s="104"/>
      <c r="IJN1045" s="103"/>
      <c r="IJZ1045" s="104"/>
      <c r="IKA1045" s="103"/>
      <c r="IKM1045" s="104"/>
      <c r="IKN1045" s="103"/>
      <c r="IKZ1045" s="104"/>
      <c r="ILA1045" s="103"/>
      <c r="ILM1045" s="104"/>
      <c r="ILN1045" s="103"/>
      <c r="ILZ1045" s="104"/>
      <c r="IMA1045" s="103"/>
      <c r="IMM1045" s="104"/>
      <c r="IMN1045" s="103"/>
      <c r="IMZ1045" s="104"/>
      <c r="INA1045" s="103"/>
      <c r="INM1045" s="104"/>
      <c r="INN1045" s="103"/>
      <c r="INZ1045" s="104"/>
      <c r="IOA1045" s="103"/>
      <c r="IOM1045" s="104"/>
      <c r="ION1045" s="103"/>
      <c r="IOZ1045" s="104"/>
      <c r="IPA1045" s="103"/>
      <c r="IPM1045" s="104"/>
      <c r="IPN1045" s="103"/>
      <c r="IPZ1045" s="104"/>
      <c r="IQA1045" s="103"/>
      <c r="IQM1045" s="104"/>
      <c r="IQN1045" s="103"/>
      <c r="IQZ1045" s="104"/>
      <c r="IRA1045" s="103"/>
      <c r="IRM1045" s="104"/>
      <c r="IRN1045" s="103"/>
      <c r="IRZ1045" s="104"/>
      <c r="ISA1045" s="103"/>
      <c r="ISM1045" s="104"/>
      <c r="ISN1045" s="103"/>
      <c r="ISZ1045" s="104"/>
      <c r="ITA1045" s="103"/>
      <c r="ITM1045" s="104"/>
      <c r="ITN1045" s="103"/>
      <c r="ITZ1045" s="104"/>
      <c r="IUA1045" s="103"/>
      <c r="IUM1045" s="104"/>
      <c r="IUN1045" s="103"/>
      <c r="IUZ1045" s="104"/>
      <c r="IVA1045" s="103"/>
      <c r="IVM1045" s="104"/>
      <c r="IVN1045" s="103"/>
      <c r="IVZ1045" s="104"/>
      <c r="IWA1045" s="103"/>
      <c r="IWM1045" s="104"/>
      <c r="IWN1045" s="103"/>
      <c r="IWZ1045" s="104"/>
      <c r="IXA1045" s="103"/>
      <c r="IXM1045" s="104"/>
      <c r="IXN1045" s="103"/>
      <c r="IXZ1045" s="104"/>
      <c r="IYA1045" s="103"/>
      <c r="IYM1045" s="104"/>
      <c r="IYN1045" s="103"/>
      <c r="IYZ1045" s="104"/>
      <c r="IZA1045" s="103"/>
      <c r="IZM1045" s="104"/>
      <c r="IZN1045" s="103"/>
      <c r="IZZ1045" s="104"/>
      <c r="JAA1045" s="103"/>
      <c r="JAM1045" s="104"/>
      <c r="JAN1045" s="103"/>
      <c r="JAZ1045" s="104"/>
      <c r="JBA1045" s="103"/>
      <c r="JBM1045" s="104"/>
      <c r="JBN1045" s="103"/>
      <c r="JBZ1045" s="104"/>
      <c r="JCA1045" s="103"/>
      <c r="JCM1045" s="104"/>
      <c r="JCN1045" s="103"/>
      <c r="JCZ1045" s="104"/>
      <c r="JDA1045" s="103"/>
      <c r="JDM1045" s="104"/>
      <c r="JDN1045" s="103"/>
      <c r="JDZ1045" s="104"/>
      <c r="JEA1045" s="103"/>
      <c r="JEM1045" s="104"/>
      <c r="JEN1045" s="103"/>
      <c r="JEZ1045" s="104"/>
      <c r="JFA1045" s="103"/>
      <c r="JFM1045" s="104"/>
      <c r="JFN1045" s="103"/>
      <c r="JFZ1045" s="104"/>
      <c r="JGA1045" s="103"/>
      <c r="JGM1045" s="104"/>
      <c r="JGN1045" s="103"/>
      <c r="JGZ1045" s="104"/>
      <c r="JHA1045" s="103"/>
      <c r="JHM1045" s="104"/>
      <c r="JHN1045" s="103"/>
      <c r="JHZ1045" s="104"/>
      <c r="JIA1045" s="103"/>
      <c r="JIM1045" s="104"/>
      <c r="JIN1045" s="103"/>
      <c r="JIZ1045" s="104"/>
      <c r="JJA1045" s="103"/>
      <c r="JJM1045" s="104"/>
      <c r="JJN1045" s="103"/>
      <c r="JJZ1045" s="104"/>
      <c r="JKA1045" s="103"/>
      <c r="JKM1045" s="104"/>
      <c r="JKN1045" s="103"/>
      <c r="JKZ1045" s="104"/>
      <c r="JLA1045" s="103"/>
      <c r="JLM1045" s="104"/>
      <c r="JLN1045" s="103"/>
      <c r="JLZ1045" s="104"/>
      <c r="JMA1045" s="103"/>
      <c r="JMM1045" s="104"/>
      <c r="JMN1045" s="103"/>
      <c r="JMZ1045" s="104"/>
      <c r="JNA1045" s="103"/>
      <c r="JNM1045" s="104"/>
      <c r="JNN1045" s="103"/>
      <c r="JNZ1045" s="104"/>
      <c r="JOA1045" s="103"/>
      <c r="JOM1045" s="104"/>
      <c r="JON1045" s="103"/>
      <c r="JOZ1045" s="104"/>
      <c r="JPA1045" s="103"/>
      <c r="JPM1045" s="104"/>
      <c r="JPN1045" s="103"/>
      <c r="JPZ1045" s="104"/>
      <c r="JQA1045" s="103"/>
      <c r="JQM1045" s="104"/>
      <c r="JQN1045" s="103"/>
      <c r="JQZ1045" s="104"/>
      <c r="JRA1045" s="103"/>
      <c r="JRM1045" s="104"/>
      <c r="JRN1045" s="103"/>
      <c r="JRZ1045" s="104"/>
      <c r="JSA1045" s="103"/>
      <c r="JSM1045" s="104"/>
      <c r="JSN1045" s="103"/>
      <c r="JSZ1045" s="104"/>
      <c r="JTA1045" s="103"/>
      <c r="JTM1045" s="104"/>
      <c r="JTN1045" s="103"/>
      <c r="JTZ1045" s="104"/>
      <c r="JUA1045" s="103"/>
      <c r="JUM1045" s="104"/>
      <c r="JUN1045" s="103"/>
      <c r="JUZ1045" s="104"/>
      <c r="JVA1045" s="103"/>
      <c r="JVM1045" s="104"/>
      <c r="JVN1045" s="103"/>
      <c r="JVZ1045" s="104"/>
      <c r="JWA1045" s="103"/>
      <c r="JWM1045" s="104"/>
      <c r="JWN1045" s="103"/>
      <c r="JWZ1045" s="104"/>
      <c r="JXA1045" s="103"/>
      <c r="JXM1045" s="104"/>
      <c r="JXN1045" s="103"/>
      <c r="JXZ1045" s="104"/>
      <c r="JYA1045" s="103"/>
      <c r="JYM1045" s="104"/>
      <c r="JYN1045" s="103"/>
      <c r="JYZ1045" s="104"/>
      <c r="JZA1045" s="103"/>
      <c r="JZM1045" s="104"/>
      <c r="JZN1045" s="103"/>
      <c r="JZZ1045" s="104"/>
      <c r="KAA1045" s="103"/>
      <c r="KAM1045" s="104"/>
      <c r="KAN1045" s="103"/>
      <c r="KAZ1045" s="104"/>
      <c r="KBA1045" s="103"/>
      <c r="KBM1045" s="104"/>
      <c r="KBN1045" s="103"/>
      <c r="KBZ1045" s="104"/>
      <c r="KCA1045" s="103"/>
      <c r="KCM1045" s="104"/>
      <c r="KCN1045" s="103"/>
      <c r="KCZ1045" s="104"/>
      <c r="KDA1045" s="103"/>
      <c r="KDM1045" s="104"/>
      <c r="KDN1045" s="103"/>
      <c r="KDZ1045" s="104"/>
      <c r="KEA1045" s="103"/>
      <c r="KEM1045" s="104"/>
      <c r="KEN1045" s="103"/>
      <c r="KEZ1045" s="104"/>
      <c r="KFA1045" s="103"/>
      <c r="KFM1045" s="104"/>
      <c r="KFN1045" s="103"/>
      <c r="KFZ1045" s="104"/>
      <c r="KGA1045" s="103"/>
      <c r="KGM1045" s="104"/>
      <c r="KGN1045" s="103"/>
      <c r="KGZ1045" s="104"/>
      <c r="KHA1045" s="103"/>
      <c r="KHM1045" s="104"/>
      <c r="KHN1045" s="103"/>
      <c r="KHZ1045" s="104"/>
      <c r="KIA1045" s="103"/>
      <c r="KIM1045" s="104"/>
      <c r="KIN1045" s="103"/>
      <c r="KIZ1045" s="104"/>
      <c r="KJA1045" s="103"/>
      <c r="KJM1045" s="104"/>
      <c r="KJN1045" s="103"/>
      <c r="KJZ1045" s="104"/>
      <c r="KKA1045" s="103"/>
      <c r="KKM1045" s="104"/>
      <c r="KKN1045" s="103"/>
      <c r="KKZ1045" s="104"/>
      <c r="KLA1045" s="103"/>
      <c r="KLM1045" s="104"/>
      <c r="KLN1045" s="103"/>
      <c r="KLZ1045" s="104"/>
      <c r="KMA1045" s="103"/>
      <c r="KMM1045" s="104"/>
      <c r="KMN1045" s="103"/>
      <c r="KMZ1045" s="104"/>
      <c r="KNA1045" s="103"/>
      <c r="KNM1045" s="104"/>
      <c r="KNN1045" s="103"/>
      <c r="KNZ1045" s="104"/>
      <c r="KOA1045" s="103"/>
      <c r="KOM1045" s="104"/>
      <c r="KON1045" s="103"/>
      <c r="KOZ1045" s="104"/>
      <c r="KPA1045" s="103"/>
      <c r="KPM1045" s="104"/>
      <c r="KPN1045" s="103"/>
      <c r="KPZ1045" s="104"/>
      <c r="KQA1045" s="103"/>
      <c r="KQM1045" s="104"/>
      <c r="KQN1045" s="103"/>
      <c r="KQZ1045" s="104"/>
      <c r="KRA1045" s="103"/>
      <c r="KRM1045" s="104"/>
      <c r="KRN1045" s="103"/>
      <c r="KRZ1045" s="104"/>
      <c r="KSA1045" s="103"/>
      <c r="KSM1045" s="104"/>
      <c r="KSN1045" s="103"/>
      <c r="KSZ1045" s="104"/>
      <c r="KTA1045" s="103"/>
      <c r="KTM1045" s="104"/>
      <c r="KTN1045" s="103"/>
      <c r="KTZ1045" s="104"/>
      <c r="KUA1045" s="103"/>
      <c r="KUM1045" s="104"/>
      <c r="KUN1045" s="103"/>
      <c r="KUZ1045" s="104"/>
      <c r="KVA1045" s="103"/>
      <c r="KVM1045" s="104"/>
      <c r="KVN1045" s="103"/>
      <c r="KVZ1045" s="104"/>
      <c r="KWA1045" s="103"/>
      <c r="KWM1045" s="104"/>
      <c r="KWN1045" s="103"/>
      <c r="KWZ1045" s="104"/>
      <c r="KXA1045" s="103"/>
      <c r="KXM1045" s="104"/>
      <c r="KXN1045" s="103"/>
      <c r="KXZ1045" s="104"/>
      <c r="KYA1045" s="103"/>
      <c r="KYM1045" s="104"/>
      <c r="KYN1045" s="103"/>
      <c r="KYZ1045" s="104"/>
      <c r="KZA1045" s="103"/>
      <c r="KZM1045" s="104"/>
      <c r="KZN1045" s="103"/>
      <c r="KZZ1045" s="104"/>
      <c r="LAA1045" s="103"/>
      <c r="LAM1045" s="104"/>
      <c r="LAN1045" s="103"/>
      <c r="LAZ1045" s="104"/>
      <c r="LBA1045" s="103"/>
      <c r="LBM1045" s="104"/>
      <c r="LBN1045" s="103"/>
      <c r="LBZ1045" s="104"/>
      <c r="LCA1045" s="103"/>
      <c r="LCM1045" s="104"/>
      <c r="LCN1045" s="103"/>
      <c r="LCZ1045" s="104"/>
      <c r="LDA1045" s="103"/>
      <c r="LDM1045" s="104"/>
      <c r="LDN1045" s="103"/>
      <c r="LDZ1045" s="104"/>
      <c r="LEA1045" s="103"/>
      <c r="LEM1045" s="104"/>
      <c r="LEN1045" s="103"/>
      <c r="LEZ1045" s="104"/>
      <c r="LFA1045" s="103"/>
      <c r="LFM1045" s="104"/>
      <c r="LFN1045" s="103"/>
      <c r="LFZ1045" s="104"/>
      <c r="LGA1045" s="103"/>
      <c r="LGM1045" s="104"/>
      <c r="LGN1045" s="103"/>
      <c r="LGZ1045" s="104"/>
      <c r="LHA1045" s="103"/>
      <c r="LHM1045" s="104"/>
      <c r="LHN1045" s="103"/>
      <c r="LHZ1045" s="104"/>
      <c r="LIA1045" s="103"/>
      <c r="LIM1045" s="104"/>
      <c r="LIN1045" s="103"/>
      <c r="LIZ1045" s="104"/>
      <c r="LJA1045" s="103"/>
      <c r="LJM1045" s="104"/>
      <c r="LJN1045" s="103"/>
      <c r="LJZ1045" s="104"/>
      <c r="LKA1045" s="103"/>
      <c r="LKM1045" s="104"/>
      <c r="LKN1045" s="103"/>
      <c r="LKZ1045" s="104"/>
      <c r="LLA1045" s="103"/>
      <c r="LLM1045" s="104"/>
      <c r="LLN1045" s="103"/>
      <c r="LLZ1045" s="104"/>
      <c r="LMA1045" s="103"/>
      <c r="LMM1045" s="104"/>
      <c r="LMN1045" s="103"/>
      <c r="LMZ1045" s="104"/>
      <c r="LNA1045" s="103"/>
      <c r="LNM1045" s="104"/>
      <c r="LNN1045" s="103"/>
      <c r="LNZ1045" s="104"/>
      <c r="LOA1045" s="103"/>
      <c r="LOM1045" s="104"/>
      <c r="LON1045" s="103"/>
      <c r="LOZ1045" s="104"/>
      <c r="LPA1045" s="103"/>
      <c r="LPM1045" s="104"/>
      <c r="LPN1045" s="103"/>
      <c r="LPZ1045" s="104"/>
      <c r="LQA1045" s="103"/>
      <c r="LQM1045" s="104"/>
      <c r="LQN1045" s="103"/>
      <c r="LQZ1045" s="104"/>
      <c r="LRA1045" s="103"/>
      <c r="LRM1045" s="104"/>
      <c r="LRN1045" s="103"/>
      <c r="LRZ1045" s="104"/>
      <c r="LSA1045" s="103"/>
      <c r="LSM1045" s="104"/>
      <c r="LSN1045" s="103"/>
      <c r="LSZ1045" s="104"/>
      <c r="LTA1045" s="103"/>
      <c r="LTM1045" s="104"/>
      <c r="LTN1045" s="103"/>
      <c r="LTZ1045" s="104"/>
      <c r="LUA1045" s="103"/>
      <c r="LUM1045" s="104"/>
      <c r="LUN1045" s="103"/>
      <c r="LUZ1045" s="104"/>
      <c r="LVA1045" s="103"/>
      <c r="LVM1045" s="104"/>
      <c r="LVN1045" s="103"/>
      <c r="LVZ1045" s="104"/>
      <c r="LWA1045" s="103"/>
      <c r="LWM1045" s="104"/>
      <c r="LWN1045" s="103"/>
      <c r="LWZ1045" s="104"/>
      <c r="LXA1045" s="103"/>
      <c r="LXM1045" s="104"/>
      <c r="LXN1045" s="103"/>
      <c r="LXZ1045" s="104"/>
      <c r="LYA1045" s="103"/>
      <c r="LYM1045" s="104"/>
      <c r="LYN1045" s="103"/>
      <c r="LYZ1045" s="104"/>
      <c r="LZA1045" s="103"/>
      <c r="LZM1045" s="104"/>
      <c r="LZN1045" s="103"/>
      <c r="LZZ1045" s="104"/>
      <c r="MAA1045" s="103"/>
      <c r="MAM1045" s="104"/>
      <c r="MAN1045" s="103"/>
      <c r="MAZ1045" s="104"/>
      <c r="MBA1045" s="103"/>
      <c r="MBM1045" s="104"/>
      <c r="MBN1045" s="103"/>
      <c r="MBZ1045" s="104"/>
      <c r="MCA1045" s="103"/>
      <c r="MCM1045" s="104"/>
      <c r="MCN1045" s="103"/>
      <c r="MCZ1045" s="104"/>
      <c r="MDA1045" s="103"/>
      <c r="MDM1045" s="104"/>
      <c r="MDN1045" s="103"/>
      <c r="MDZ1045" s="104"/>
      <c r="MEA1045" s="103"/>
      <c r="MEM1045" s="104"/>
      <c r="MEN1045" s="103"/>
      <c r="MEZ1045" s="104"/>
      <c r="MFA1045" s="103"/>
      <c r="MFM1045" s="104"/>
      <c r="MFN1045" s="103"/>
      <c r="MFZ1045" s="104"/>
      <c r="MGA1045" s="103"/>
      <c r="MGM1045" s="104"/>
      <c r="MGN1045" s="103"/>
      <c r="MGZ1045" s="104"/>
      <c r="MHA1045" s="103"/>
      <c r="MHM1045" s="104"/>
      <c r="MHN1045" s="103"/>
      <c r="MHZ1045" s="104"/>
      <c r="MIA1045" s="103"/>
      <c r="MIM1045" s="104"/>
      <c r="MIN1045" s="103"/>
      <c r="MIZ1045" s="104"/>
      <c r="MJA1045" s="103"/>
      <c r="MJM1045" s="104"/>
      <c r="MJN1045" s="103"/>
      <c r="MJZ1045" s="104"/>
      <c r="MKA1045" s="103"/>
      <c r="MKM1045" s="104"/>
      <c r="MKN1045" s="103"/>
      <c r="MKZ1045" s="104"/>
      <c r="MLA1045" s="103"/>
      <c r="MLM1045" s="104"/>
      <c r="MLN1045" s="103"/>
      <c r="MLZ1045" s="104"/>
      <c r="MMA1045" s="103"/>
      <c r="MMM1045" s="104"/>
      <c r="MMN1045" s="103"/>
      <c r="MMZ1045" s="104"/>
      <c r="MNA1045" s="103"/>
      <c r="MNM1045" s="104"/>
      <c r="MNN1045" s="103"/>
      <c r="MNZ1045" s="104"/>
      <c r="MOA1045" s="103"/>
      <c r="MOM1045" s="104"/>
      <c r="MON1045" s="103"/>
      <c r="MOZ1045" s="104"/>
      <c r="MPA1045" s="103"/>
      <c r="MPM1045" s="104"/>
      <c r="MPN1045" s="103"/>
      <c r="MPZ1045" s="104"/>
      <c r="MQA1045" s="103"/>
      <c r="MQM1045" s="104"/>
      <c r="MQN1045" s="103"/>
      <c r="MQZ1045" s="104"/>
      <c r="MRA1045" s="103"/>
      <c r="MRM1045" s="104"/>
      <c r="MRN1045" s="103"/>
      <c r="MRZ1045" s="104"/>
      <c r="MSA1045" s="103"/>
      <c r="MSM1045" s="104"/>
      <c r="MSN1045" s="103"/>
      <c r="MSZ1045" s="104"/>
      <c r="MTA1045" s="103"/>
      <c r="MTM1045" s="104"/>
      <c r="MTN1045" s="103"/>
      <c r="MTZ1045" s="104"/>
      <c r="MUA1045" s="103"/>
      <c r="MUM1045" s="104"/>
      <c r="MUN1045" s="103"/>
      <c r="MUZ1045" s="104"/>
      <c r="MVA1045" s="103"/>
      <c r="MVM1045" s="104"/>
      <c r="MVN1045" s="103"/>
      <c r="MVZ1045" s="104"/>
      <c r="MWA1045" s="103"/>
      <c r="MWM1045" s="104"/>
      <c r="MWN1045" s="103"/>
      <c r="MWZ1045" s="104"/>
      <c r="MXA1045" s="103"/>
      <c r="MXM1045" s="104"/>
      <c r="MXN1045" s="103"/>
      <c r="MXZ1045" s="104"/>
      <c r="MYA1045" s="103"/>
      <c r="MYM1045" s="104"/>
      <c r="MYN1045" s="103"/>
      <c r="MYZ1045" s="104"/>
      <c r="MZA1045" s="103"/>
      <c r="MZM1045" s="104"/>
      <c r="MZN1045" s="103"/>
      <c r="MZZ1045" s="104"/>
      <c r="NAA1045" s="103"/>
      <c r="NAM1045" s="104"/>
      <c r="NAN1045" s="103"/>
      <c r="NAZ1045" s="104"/>
      <c r="NBA1045" s="103"/>
      <c r="NBM1045" s="104"/>
      <c r="NBN1045" s="103"/>
      <c r="NBZ1045" s="104"/>
      <c r="NCA1045" s="103"/>
      <c r="NCM1045" s="104"/>
      <c r="NCN1045" s="103"/>
      <c r="NCZ1045" s="104"/>
      <c r="NDA1045" s="103"/>
      <c r="NDM1045" s="104"/>
      <c r="NDN1045" s="103"/>
      <c r="NDZ1045" s="104"/>
      <c r="NEA1045" s="103"/>
      <c r="NEM1045" s="104"/>
      <c r="NEN1045" s="103"/>
      <c r="NEZ1045" s="104"/>
      <c r="NFA1045" s="103"/>
      <c r="NFM1045" s="104"/>
      <c r="NFN1045" s="103"/>
      <c r="NFZ1045" s="104"/>
      <c r="NGA1045" s="103"/>
      <c r="NGM1045" s="104"/>
      <c r="NGN1045" s="103"/>
      <c r="NGZ1045" s="104"/>
      <c r="NHA1045" s="103"/>
      <c r="NHM1045" s="104"/>
      <c r="NHN1045" s="103"/>
      <c r="NHZ1045" s="104"/>
      <c r="NIA1045" s="103"/>
      <c r="NIM1045" s="104"/>
      <c r="NIN1045" s="103"/>
      <c r="NIZ1045" s="104"/>
      <c r="NJA1045" s="103"/>
      <c r="NJM1045" s="104"/>
      <c r="NJN1045" s="103"/>
      <c r="NJZ1045" s="104"/>
      <c r="NKA1045" s="103"/>
      <c r="NKM1045" s="104"/>
      <c r="NKN1045" s="103"/>
      <c r="NKZ1045" s="104"/>
      <c r="NLA1045" s="103"/>
      <c r="NLM1045" s="104"/>
      <c r="NLN1045" s="103"/>
      <c r="NLZ1045" s="104"/>
      <c r="NMA1045" s="103"/>
      <c r="NMM1045" s="104"/>
      <c r="NMN1045" s="103"/>
      <c r="NMZ1045" s="104"/>
      <c r="NNA1045" s="103"/>
      <c r="NNM1045" s="104"/>
      <c r="NNN1045" s="103"/>
      <c r="NNZ1045" s="104"/>
      <c r="NOA1045" s="103"/>
      <c r="NOM1045" s="104"/>
      <c r="NON1045" s="103"/>
      <c r="NOZ1045" s="104"/>
      <c r="NPA1045" s="103"/>
      <c r="NPM1045" s="104"/>
      <c r="NPN1045" s="103"/>
      <c r="NPZ1045" s="104"/>
      <c r="NQA1045" s="103"/>
      <c r="NQM1045" s="104"/>
      <c r="NQN1045" s="103"/>
      <c r="NQZ1045" s="104"/>
      <c r="NRA1045" s="103"/>
      <c r="NRM1045" s="104"/>
      <c r="NRN1045" s="103"/>
      <c r="NRZ1045" s="104"/>
      <c r="NSA1045" s="103"/>
      <c r="NSM1045" s="104"/>
      <c r="NSN1045" s="103"/>
      <c r="NSZ1045" s="104"/>
      <c r="NTA1045" s="103"/>
      <c r="NTM1045" s="104"/>
      <c r="NTN1045" s="103"/>
      <c r="NTZ1045" s="104"/>
      <c r="NUA1045" s="103"/>
      <c r="NUM1045" s="104"/>
      <c r="NUN1045" s="103"/>
      <c r="NUZ1045" s="104"/>
      <c r="NVA1045" s="103"/>
      <c r="NVM1045" s="104"/>
      <c r="NVN1045" s="103"/>
      <c r="NVZ1045" s="104"/>
      <c r="NWA1045" s="103"/>
      <c r="NWM1045" s="104"/>
      <c r="NWN1045" s="103"/>
      <c r="NWZ1045" s="104"/>
      <c r="NXA1045" s="103"/>
      <c r="NXM1045" s="104"/>
      <c r="NXN1045" s="103"/>
      <c r="NXZ1045" s="104"/>
      <c r="NYA1045" s="103"/>
      <c r="NYM1045" s="104"/>
      <c r="NYN1045" s="103"/>
      <c r="NYZ1045" s="104"/>
      <c r="NZA1045" s="103"/>
      <c r="NZM1045" s="104"/>
      <c r="NZN1045" s="103"/>
      <c r="NZZ1045" s="104"/>
      <c r="OAA1045" s="103"/>
      <c r="OAM1045" s="104"/>
      <c r="OAN1045" s="103"/>
      <c r="OAZ1045" s="104"/>
      <c r="OBA1045" s="103"/>
      <c r="OBM1045" s="104"/>
      <c r="OBN1045" s="103"/>
      <c r="OBZ1045" s="104"/>
      <c r="OCA1045" s="103"/>
      <c r="OCM1045" s="104"/>
      <c r="OCN1045" s="103"/>
      <c r="OCZ1045" s="104"/>
      <c r="ODA1045" s="103"/>
      <c r="ODM1045" s="104"/>
      <c r="ODN1045" s="103"/>
      <c r="ODZ1045" s="104"/>
      <c r="OEA1045" s="103"/>
      <c r="OEM1045" s="104"/>
      <c r="OEN1045" s="103"/>
      <c r="OEZ1045" s="104"/>
      <c r="OFA1045" s="103"/>
      <c r="OFM1045" s="104"/>
      <c r="OFN1045" s="103"/>
      <c r="OFZ1045" s="104"/>
      <c r="OGA1045" s="103"/>
      <c r="OGM1045" s="104"/>
      <c r="OGN1045" s="103"/>
      <c r="OGZ1045" s="104"/>
      <c r="OHA1045" s="103"/>
      <c r="OHM1045" s="104"/>
      <c r="OHN1045" s="103"/>
      <c r="OHZ1045" s="104"/>
      <c r="OIA1045" s="103"/>
      <c r="OIM1045" s="104"/>
      <c r="OIN1045" s="103"/>
      <c r="OIZ1045" s="104"/>
      <c r="OJA1045" s="103"/>
      <c r="OJM1045" s="104"/>
      <c r="OJN1045" s="103"/>
      <c r="OJZ1045" s="104"/>
      <c r="OKA1045" s="103"/>
      <c r="OKM1045" s="104"/>
      <c r="OKN1045" s="103"/>
      <c r="OKZ1045" s="104"/>
      <c r="OLA1045" s="103"/>
      <c r="OLM1045" s="104"/>
      <c r="OLN1045" s="103"/>
      <c r="OLZ1045" s="104"/>
      <c r="OMA1045" s="103"/>
      <c r="OMM1045" s="104"/>
      <c r="OMN1045" s="103"/>
      <c r="OMZ1045" s="104"/>
      <c r="ONA1045" s="103"/>
      <c r="ONM1045" s="104"/>
      <c r="ONN1045" s="103"/>
      <c r="ONZ1045" s="104"/>
      <c r="OOA1045" s="103"/>
      <c r="OOM1045" s="104"/>
      <c r="OON1045" s="103"/>
      <c r="OOZ1045" s="104"/>
      <c r="OPA1045" s="103"/>
      <c r="OPM1045" s="104"/>
      <c r="OPN1045" s="103"/>
      <c r="OPZ1045" s="104"/>
      <c r="OQA1045" s="103"/>
      <c r="OQM1045" s="104"/>
      <c r="OQN1045" s="103"/>
      <c r="OQZ1045" s="104"/>
      <c r="ORA1045" s="103"/>
      <c r="ORM1045" s="104"/>
      <c r="ORN1045" s="103"/>
      <c r="ORZ1045" s="104"/>
      <c r="OSA1045" s="103"/>
      <c r="OSM1045" s="104"/>
      <c r="OSN1045" s="103"/>
      <c r="OSZ1045" s="104"/>
      <c r="OTA1045" s="103"/>
      <c r="OTM1045" s="104"/>
      <c r="OTN1045" s="103"/>
      <c r="OTZ1045" s="104"/>
      <c r="OUA1045" s="103"/>
      <c r="OUM1045" s="104"/>
      <c r="OUN1045" s="103"/>
      <c r="OUZ1045" s="104"/>
      <c r="OVA1045" s="103"/>
      <c r="OVM1045" s="104"/>
      <c r="OVN1045" s="103"/>
      <c r="OVZ1045" s="104"/>
      <c r="OWA1045" s="103"/>
      <c r="OWM1045" s="104"/>
      <c r="OWN1045" s="103"/>
      <c r="OWZ1045" s="104"/>
      <c r="OXA1045" s="103"/>
      <c r="OXM1045" s="104"/>
      <c r="OXN1045" s="103"/>
      <c r="OXZ1045" s="104"/>
      <c r="OYA1045" s="103"/>
      <c r="OYM1045" s="104"/>
      <c r="OYN1045" s="103"/>
      <c r="OYZ1045" s="104"/>
      <c r="OZA1045" s="103"/>
      <c r="OZM1045" s="104"/>
      <c r="OZN1045" s="103"/>
      <c r="OZZ1045" s="104"/>
      <c r="PAA1045" s="103"/>
      <c r="PAM1045" s="104"/>
      <c r="PAN1045" s="103"/>
      <c r="PAZ1045" s="104"/>
      <c r="PBA1045" s="103"/>
      <c r="PBM1045" s="104"/>
      <c r="PBN1045" s="103"/>
      <c r="PBZ1045" s="104"/>
      <c r="PCA1045" s="103"/>
      <c r="PCM1045" s="104"/>
      <c r="PCN1045" s="103"/>
      <c r="PCZ1045" s="104"/>
      <c r="PDA1045" s="103"/>
      <c r="PDM1045" s="104"/>
      <c r="PDN1045" s="103"/>
      <c r="PDZ1045" s="104"/>
      <c r="PEA1045" s="103"/>
      <c r="PEM1045" s="104"/>
      <c r="PEN1045" s="103"/>
      <c r="PEZ1045" s="104"/>
      <c r="PFA1045" s="103"/>
      <c r="PFM1045" s="104"/>
      <c r="PFN1045" s="103"/>
      <c r="PFZ1045" s="104"/>
      <c r="PGA1045" s="103"/>
      <c r="PGM1045" s="104"/>
      <c r="PGN1045" s="103"/>
      <c r="PGZ1045" s="104"/>
      <c r="PHA1045" s="103"/>
      <c r="PHM1045" s="104"/>
      <c r="PHN1045" s="103"/>
      <c r="PHZ1045" s="104"/>
      <c r="PIA1045" s="103"/>
      <c r="PIM1045" s="104"/>
      <c r="PIN1045" s="103"/>
      <c r="PIZ1045" s="104"/>
      <c r="PJA1045" s="103"/>
      <c r="PJM1045" s="104"/>
      <c r="PJN1045" s="103"/>
      <c r="PJZ1045" s="104"/>
      <c r="PKA1045" s="103"/>
      <c r="PKM1045" s="104"/>
      <c r="PKN1045" s="103"/>
      <c r="PKZ1045" s="104"/>
      <c r="PLA1045" s="103"/>
      <c r="PLM1045" s="104"/>
      <c r="PLN1045" s="103"/>
      <c r="PLZ1045" s="104"/>
      <c r="PMA1045" s="103"/>
      <c r="PMM1045" s="104"/>
      <c r="PMN1045" s="103"/>
      <c r="PMZ1045" s="104"/>
      <c r="PNA1045" s="103"/>
      <c r="PNM1045" s="104"/>
      <c r="PNN1045" s="103"/>
      <c r="PNZ1045" s="104"/>
      <c r="POA1045" s="103"/>
      <c r="POM1045" s="104"/>
      <c r="PON1045" s="103"/>
      <c r="POZ1045" s="104"/>
      <c r="PPA1045" s="103"/>
      <c r="PPM1045" s="104"/>
      <c r="PPN1045" s="103"/>
      <c r="PPZ1045" s="104"/>
      <c r="PQA1045" s="103"/>
      <c r="PQM1045" s="104"/>
      <c r="PQN1045" s="103"/>
      <c r="PQZ1045" s="104"/>
      <c r="PRA1045" s="103"/>
      <c r="PRM1045" s="104"/>
      <c r="PRN1045" s="103"/>
      <c r="PRZ1045" s="104"/>
      <c r="PSA1045" s="103"/>
      <c r="PSM1045" s="104"/>
      <c r="PSN1045" s="103"/>
      <c r="PSZ1045" s="104"/>
      <c r="PTA1045" s="103"/>
      <c r="PTM1045" s="104"/>
      <c r="PTN1045" s="103"/>
      <c r="PTZ1045" s="104"/>
      <c r="PUA1045" s="103"/>
      <c r="PUM1045" s="104"/>
      <c r="PUN1045" s="103"/>
      <c r="PUZ1045" s="104"/>
      <c r="PVA1045" s="103"/>
      <c r="PVM1045" s="104"/>
      <c r="PVN1045" s="103"/>
      <c r="PVZ1045" s="104"/>
      <c r="PWA1045" s="103"/>
      <c r="PWM1045" s="104"/>
      <c r="PWN1045" s="103"/>
      <c r="PWZ1045" s="104"/>
      <c r="PXA1045" s="103"/>
      <c r="PXM1045" s="104"/>
      <c r="PXN1045" s="103"/>
      <c r="PXZ1045" s="104"/>
      <c r="PYA1045" s="103"/>
      <c r="PYM1045" s="104"/>
      <c r="PYN1045" s="103"/>
      <c r="PYZ1045" s="104"/>
      <c r="PZA1045" s="103"/>
      <c r="PZM1045" s="104"/>
      <c r="PZN1045" s="103"/>
      <c r="PZZ1045" s="104"/>
      <c r="QAA1045" s="103"/>
      <c r="QAM1045" s="104"/>
      <c r="QAN1045" s="103"/>
      <c r="QAZ1045" s="104"/>
      <c r="QBA1045" s="103"/>
      <c r="QBM1045" s="104"/>
      <c r="QBN1045" s="103"/>
      <c r="QBZ1045" s="104"/>
      <c r="QCA1045" s="103"/>
      <c r="QCM1045" s="104"/>
      <c r="QCN1045" s="103"/>
      <c r="QCZ1045" s="104"/>
      <c r="QDA1045" s="103"/>
      <c r="QDM1045" s="104"/>
      <c r="QDN1045" s="103"/>
      <c r="QDZ1045" s="104"/>
      <c r="QEA1045" s="103"/>
      <c r="QEM1045" s="104"/>
      <c r="QEN1045" s="103"/>
      <c r="QEZ1045" s="104"/>
      <c r="QFA1045" s="103"/>
      <c r="QFM1045" s="104"/>
      <c r="QFN1045" s="103"/>
      <c r="QFZ1045" s="104"/>
      <c r="QGA1045" s="103"/>
      <c r="QGM1045" s="104"/>
      <c r="QGN1045" s="103"/>
      <c r="QGZ1045" s="104"/>
      <c r="QHA1045" s="103"/>
      <c r="QHM1045" s="104"/>
      <c r="QHN1045" s="103"/>
      <c r="QHZ1045" s="104"/>
      <c r="QIA1045" s="103"/>
      <c r="QIM1045" s="104"/>
      <c r="QIN1045" s="103"/>
      <c r="QIZ1045" s="104"/>
      <c r="QJA1045" s="103"/>
      <c r="QJM1045" s="104"/>
      <c r="QJN1045" s="103"/>
      <c r="QJZ1045" s="104"/>
      <c r="QKA1045" s="103"/>
      <c r="QKM1045" s="104"/>
      <c r="QKN1045" s="103"/>
      <c r="QKZ1045" s="104"/>
      <c r="QLA1045" s="103"/>
      <c r="QLM1045" s="104"/>
      <c r="QLN1045" s="103"/>
      <c r="QLZ1045" s="104"/>
      <c r="QMA1045" s="103"/>
      <c r="QMM1045" s="104"/>
      <c r="QMN1045" s="103"/>
      <c r="QMZ1045" s="104"/>
      <c r="QNA1045" s="103"/>
      <c r="QNM1045" s="104"/>
      <c r="QNN1045" s="103"/>
      <c r="QNZ1045" s="104"/>
      <c r="QOA1045" s="103"/>
      <c r="QOM1045" s="104"/>
      <c r="QON1045" s="103"/>
      <c r="QOZ1045" s="104"/>
      <c r="QPA1045" s="103"/>
      <c r="QPM1045" s="104"/>
      <c r="QPN1045" s="103"/>
      <c r="QPZ1045" s="104"/>
      <c r="QQA1045" s="103"/>
      <c r="QQM1045" s="104"/>
      <c r="QQN1045" s="103"/>
      <c r="QQZ1045" s="104"/>
      <c r="QRA1045" s="103"/>
      <c r="QRM1045" s="104"/>
      <c r="QRN1045" s="103"/>
      <c r="QRZ1045" s="104"/>
      <c r="QSA1045" s="103"/>
      <c r="QSM1045" s="104"/>
      <c r="QSN1045" s="103"/>
      <c r="QSZ1045" s="104"/>
      <c r="QTA1045" s="103"/>
      <c r="QTM1045" s="104"/>
      <c r="QTN1045" s="103"/>
      <c r="QTZ1045" s="104"/>
      <c r="QUA1045" s="103"/>
      <c r="QUM1045" s="104"/>
      <c r="QUN1045" s="103"/>
      <c r="QUZ1045" s="104"/>
      <c r="QVA1045" s="103"/>
      <c r="QVM1045" s="104"/>
      <c r="QVN1045" s="103"/>
      <c r="QVZ1045" s="104"/>
      <c r="QWA1045" s="103"/>
      <c r="QWM1045" s="104"/>
      <c r="QWN1045" s="103"/>
      <c r="QWZ1045" s="104"/>
      <c r="QXA1045" s="103"/>
      <c r="QXM1045" s="104"/>
      <c r="QXN1045" s="103"/>
      <c r="QXZ1045" s="104"/>
      <c r="QYA1045" s="103"/>
      <c r="QYM1045" s="104"/>
      <c r="QYN1045" s="103"/>
      <c r="QYZ1045" s="104"/>
      <c r="QZA1045" s="103"/>
      <c r="QZM1045" s="104"/>
      <c r="QZN1045" s="103"/>
      <c r="QZZ1045" s="104"/>
      <c r="RAA1045" s="103"/>
      <c r="RAM1045" s="104"/>
      <c r="RAN1045" s="103"/>
      <c r="RAZ1045" s="104"/>
      <c r="RBA1045" s="103"/>
      <c r="RBM1045" s="104"/>
      <c r="RBN1045" s="103"/>
      <c r="RBZ1045" s="104"/>
      <c r="RCA1045" s="103"/>
      <c r="RCM1045" s="104"/>
      <c r="RCN1045" s="103"/>
      <c r="RCZ1045" s="104"/>
      <c r="RDA1045" s="103"/>
      <c r="RDM1045" s="104"/>
      <c r="RDN1045" s="103"/>
      <c r="RDZ1045" s="104"/>
      <c r="REA1045" s="103"/>
      <c r="REM1045" s="104"/>
      <c r="REN1045" s="103"/>
      <c r="REZ1045" s="104"/>
      <c r="RFA1045" s="103"/>
      <c r="RFM1045" s="104"/>
      <c r="RFN1045" s="103"/>
      <c r="RFZ1045" s="104"/>
      <c r="RGA1045" s="103"/>
      <c r="RGM1045" s="104"/>
      <c r="RGN1045" s="103"/>
      <c r="RGZ1045" s="104"/>
      <c r="RHA1045" s="103"/>
      <c r="RHM1045" s="104"/>
      <c r="RHN1045" s="103"/>
      <c r="RHZ1045" s="104"/>
      <c r="RIA1045" s="103"/>
      <c r="RIM1045" s="104"/>
      <c r="RIN1045" s="103"/>
      <c r="RIZ1045" s="104"/>
      <c r="RJA1045" s="103"/>
      <c r="RJM1045" s="104"/>
      <c r="RJN1045" s="103"/>
      <c r="RJZ1045" s="104"/>
      <c r="RKA1045" s="103"/>
      <c r="RKM1045" s="104"/>
      <c r="RKN1045" s="103"/>
      <c r="RKZ1045" s="104"/>
      <c r="RLA1045" s="103"/>
      <c r="RLM1045" s="104"/>
      <c r="RLN1045" s="103"/>
      <c r="RLZ1045" s="104"/>
      <c r="RMA1045" s="103"/>
      <c r="RMM1045" s="104"/>
      <c r="RMN1045" s="103"/>
      <c r="RMZ1045" s="104"/>
      <c r="RNA1045" s="103"/>
      <c r="RNM1045" s="104"/>
      <c r="RNN1045" s="103"/>
      <c r="RNZ1045" s="104"/>
      <c r="ROA1045" s="103"/>
      <c r="ROM1045" s="104"/>
      <c r="RON1045" s="103"/>
      <c r="ROZ1045" s="104"/>
      <c r="RPA1045" s="103"/>
      <c r="RPM1045" s="104"/>
      <c r="RPN1045" s="103"/>
      <c r="RPZ1045" s="104"/>
      <c r="RQA1045" s="103"/>
      <c r="RQM1045" s="104"/>
      <c r="RQN1045" s="103"/>
      <c r="RQZ1045" s="104"/>
      <c r="RRA1045" s="103"/>
      <c r="RRM1045" s="104"/>
      <c r="RRN1045" s="103"/>
      <c r="RRZ1045" s="104"/>
      <c r="RSA1045" s="103"/>
      <c r="RSM1045" s="104"/>
      <c r="RSN1045" s="103"/>
      <c r="RSZ1045" s="104"/>
      <c r="RTA1045" s="103"/>
      <c r="RTM1045" s="104"/>
      <c r="RTN1045" s="103"/>
      <c r="RTZ1045" s="104"/>
      <c r="RUA1045" s="103"/>
      <c r="RUM1045" s="104"/>
      <c r="RUN1045" s="103"/>
      <c r="RUZ1045" s="104"/>
      <c r="RVA1045" s="103"/>
      <c r="RVM1045" s="104"/>
      <c r="RVN1045" s="103"/>
      <c r="RVZ1045" s="104"/>
      <c r="RWA1045" s="103"/>
      <c r="RWM1045" s="104"/>
      <c r="RWN1045" s="103"/>
      <c r="RWZ1045" s="104"/>
      <c r="RXA1045" s="103"/>
      <c r="RXM1045" s="104"/>
      <c r="RXN1045" s="103"/>
      <c r="RXZ1045" s="104"/>
      <c r="RYA1045" s="103"/>
      <c r="RYM1045" s="104"/>
      <c r="RYN1045" s="103"/>
      <c r="RYZ1045" s="104"/>
      <c r="RZA1045" s="103"/>
      <c r="RZM1045" s="104"/>
      <c r="RZN1045" s="103"/>
      <c r="RZZ1045" s="104"/>
      <c r="SAA1045" s="103"/>
      <c r="SAM1045" s="104"/>
      <c r="SAN1045" s="103"/>
      <c r="SAZ1045" s="104"/>
      <c r="SBA1045" s="103"/>
      <c r="SBM1045" s="104"/>
      <c r="SBN1045" s="103"/>
      <c r="SBZ1045" s="104"/>
      <c r="SCA1045" s="103"/>
      <c r="SCM1045" s="104"/>
      <c r="SCN1045" s="103"/>
      <c r="SCZ1045" s="104"/>
      <c r="SDA1045" s="103"/>
      <c r="SDM1045" s="104"/>
      <c r="SDN1045" s="103"/>
      <c r="SDZ1045" s="104"/>
      <c r="SEA1045" s="103"/>
      <c r="SEM1045" s="104"/>
      <c r="SEN1045" s="103"/>
      <c r="SEZ1045" s="104"/>
      <c r="SFA1045" s="103"/>
      <c r="SFM1045" s="104"/>
      <c r="SFN1045" s="103"/>
      <c r="SFZ1045" s="104"/>
      <c r="SGA1045" s="103"/>
      <c r="SGM1045" s="104"/>
      <c r="SGN1045" s="103"/>
      <c r="SGZ1045" s="104"/>
      <c r="SHA1045" s="103"/>
      <c r="SHM1045" s="104"/>
      <c r="SHN1045" s="103"/>
      <c r="SHZ1045" s="104"/>
      <c r="SIA1045" s="103"/>
      <c r="SIM1045" s="104"/>
      <c r="SIN1045" s="103"/>
      <c r="SIZ1045" s="104"/>
      <c r="SJA1045" s="103"/>
      <c r="SJM1045" s="104"/>
      <c r="SJN1045" s="103"/>
      <c r="SJZ1045" s="104"/>
      <c r="SKA1045" s="103"/>
      <c r="SKM1045" s="104"/>
      <c r="SKN1045" s="103"/>
      <c r="SKZ1045" s="104"/>
      <c r="SLA1045" s="103"/>
      <c r="SLM1045" s="104"/>
      <c r="SLN1045" s="103"/>
      <c r="SLZ1045" s="104"/>
      <c r="SMA1045" s="103"/>
      <c r="SMM1045" s="104"/>
      <c r="SMN1045" s="103"/>
      <c r="SMZ1045" s="104"/>
      <c r="SNA1045" s="103"/>
      <c r="SNM1045" s="104"/>
      <c r="SNN1045" s="103"/>
      <c r="SNZ1045" s="104"/>
      <c r="SOA1045" s="103"/>
      <c r="SOM1045" s="104"/>
      <c r="SON1045" s="103"/>
      <c r="SOZ1045" s="104"/>
      <c r="SPA1045" s="103"/>
      <c r="SPM1045" s="104"/>
      <c r="SPN1045" s="103"/>
      <c r="SPZ1045" s="104"/>
      <c r="SQA1045" s="103"/>
      <c r="SQM1045" s="104"/>
      <c r="SQN1045" s="103"/>
      <c r="SQZ1045" s="104"/>
      <c r="SRA1045" s="103"/>
      <c r="SRM1045" s="104"/>
      <c r="SRN1045" s="103"/>
      <c r="SRZ1045" s="104"/>
      <c r="SSA1045" s="103"/>
      <c r="SSM1045" s="104"/>
      <c r="SSN1045" s="103"/>
      <c r="SSZ1045" s="104"/>
      <c r="STA1045" s="103"/>
      <c r="STM1045" s="104"/>
      <c r="STN1045" s="103"/>
      <c r="STZ1045" s="104"/>
      <c r="SUA1045" s="103"/>
      <c r="SUM1045" s="104"/>
      <c r="SUN1045" s="103"/>
      <c r="SUZ1045" s="104"/>
      <c r="SVA1045" s="103"/>
      <c r="SVM1045" s="104"/>
      <c r="SVN1045" s="103"/>
      <c r="SVZ1045" s="104"/>
      <c r="SWA1045" s="103"/>
      <c r="SWM1045" s="104"/>
      <c r="SWN1045" s="103"/>
      <c r="SWZ1045" s="104"/>
      <c r="SXA1045" s="103"/>
      <c r="SXM1045" s="104"/>
      <c r="SXN1045" s="103"/>
      <c r="SXZ1045" s="104"/>
      <c r="SYA1045" s="103"/>
      <c r="SYM1045" s="104"/>
      <c r="SYN1045" s="103"/>
      <c r="SYZ1045" s="104"/>
      <c r="SZA1045" s="103"/>
      <c r="SZM1045" s="104"/>
      <c r="SZN1045" s="103"/>
      <c r="SZZ1045" s="104"/>
      <c r="TAA1045" s="103"/>
      <c r="TAM1045" s="104"/>
      <c r="TAN1045" s="103"/>
      <c r="TAZ1045" s="104"/>
      <c r="TBA1045" s="103"/>
      <c r="TBM1045" s="104"/>
      <c r="TBN1045" s="103"/>
      <c r="TBZ1045" s="104"/>
      <c r="TCA1045" s="103"/>
      <c r="TCM1045" s="104"/>
      <c r="TCN1045" s="103"/>
      <c r="TCZ1045" s="104"/>
      <c r="TDA1045" s="103"/>
      <c r="TDM1045" s="104"/>
      <c r="TDN1045" s="103"/>
      <c r="TDZ1045" s="104"/>
      <c r="TEA1045" s="103"/>
      <c r="TEM1045" s="104"/>
      <c r="TEN1045" s="103"/>
      <c r="TEZ1045" s="104"/>
      <c r="TFA1045" s="103"/>
      <c r="TFM1045" s="104"/>
      <c r="TFN1045" s="103"/>
      <c r="TFZ1045" s="104"/>
      <c r="TGA1045" s="103"/>
      <c r="TGM1045" s="104"/>
      <c r="TGN1045" s="103"/>
      <c r="TGZ1045" s="104"/>
      <c r="THA1045" s="103"/>
      <c r="THM1045" s="104"/>
      <c r="THN1045" s="103"/>
      <c r="THZ1045" s="104"/>
      <c r="TIA1045" s="103"/>
      <c r="TIM1045" s="104"/>
      <c r="TIN1045" s="103"/>
      <c r="TIZ1045" s="104"/>
      <c r="TJA1045" s="103"/>
      <c r="TJM1045" s="104"/>
      <c r="TJN1045" s="103"/>
      <c r="TJZ1045" s="104"/>
      <c r="TKA1045" s="103"/>
      <c r="TKM1045" s="104"/>
      <c r="TKN1045" s="103"/>
      <c r="TKZ1045" s="104"/>
      <c r="TLA1045" s="103"/>
      <c r="TLM1045" s="104"/>
      <c r="TLN1045" s="103"/>
      <c r="TLZ1045" s="104"/>
      <c r="TMA1045" s="103"/>
      <c r="TMM1045" s="104"/>
      <c r="TMN1045" s="103"/>
      <c r="TMZ1045" s="104"/>
      <c r="TNA1045" s="103"/>
      <c r="TNM1045" s="104"/>
      <c r="TNN1045" s="103"/>
      <c r="TNZ1045" s="104"/>
      <c r="TOA1045" s="103"/>
      <c r="TOM1045" s="104"/>
      <c r="TON1045" s="103"/>
      <c r="TOZ1045" s="104"/>
      <c r="TPA1045" s="103"/>
      <c r="TPM1045" s="104"/>
      <c r="TPN1045" s="103"/>
      <c r="TPZ1045" s="104"/>
      <c r="TQA1045" s="103"/>
      <c r="TQM1045" s="104"/>
      <c r="TQN1045" s="103"/>
      <c r="TQZ1045" s="104"/>
      <c r="TRA1045" s="103"/>
      <c r="TRM1045" s="104"/>
      <c r="TRN1045" s="103"/>
      <c r="TRZ1045" s="104"/>
      <c r="TSA1045" s="103"/>
      <c r="TSM1045" s="104"/>
      <c r="TSN1045" s="103"/>
      <c r="TSZ1045" s="104"/>
      <c r="TTA1045" s="103"/>
      <c r="TTM1045" s="104"/>
      <c r="TTN1045" s="103"/>
      <c r="TTZ1045" s="104"/>
      <c r="TUA1045" s="103"/>
      <c r="TUM1045" s="104"/>
      <c r="TUN1045" s="103"/>
      <c r="TUZ1045" s="104"/>
      <c r="TVA1045" s="103"/>
      <c r="TVM1045" s="104"/>
      <c r="TVN1045" s="103"/>
      <c r="TVZ1045" s="104"/>
      <c r="TWA1045" s="103"/>
      <c r="TWM1045" s="104"/>
      <c r="TWN1045" s="103"/>
      <c r="TWZ1045" s="104"/>
      <c r="TXA1045" s="103"/>
      <c r="TXM1045" s="104"/>
      <c r="TXN1045" s="103"/>
      <c r="TXZ1045" s="104"/>
      <c r="TYA1045" s="103"/>
      <c r="TYM1045" s="104"/>
      <c r="TYN1045" s="103"/>
      <c r="TYZ1045" s="104"/>
      <c r="TZA1045" s="103"/>
      <c r="TZM1045" s="104"/>
      <c r="TZN1045" s="103"/>
      <c r="TZZ1045" s="104"/>
      <c r="UAA1045" s="103"/>
      <c r="UAM1045" s="104"/>
      <c r="UAN1045" s="103"/>
      <c r="UAZ1045" s="104"/>
      <c r="UBA1045" s="103"/>
      <c r="UBM1045" s="104"/>
      <c r="UBN1045" s="103"/>
      <c r="UBZ1045" s="104"/>
      <c r="UCA1045" s="103"/>
      <c r="UCM1045" s="104"/>
      <c r="UCN1045" s="103"/>
      <c r="UCZ1045" s="104"/>
      <c r="UDA1045" s="103"/>
      <c r="UDM1045" s="104"/>
      <c r="UDN1045" s="103"/>
      <c r="UDZ1045" s="104"/>
      <c r="UEA1045" s="103"/>
      <c r="UEM1045" s="104"/>
      <c r="UEN1045" s="103"/>
      <c r="UEZ1045" s="104"/>
      <c r="UFA1045" s="103"/>
      <c r="UFM1045" s="104"/>
      <c r="UFN1045" s="103"/>
      <c r="UFZ1045" s="104"/>
      <c r="UGA1045" s="103"/>
      <c r="UGM1045" s="104"/>
      <c r="UGN1045" s="103"/>
      <c r="UGZ1045" s="104"/>
      <c r="UHA1045" s="103"/>
      <c r="UHM1045" s="104"/>
      <c r="UHN1045" s="103"/>
      <c r="UHZ1045" s="104"/>
      <c r="UIA1045" s="103"/>
      <c r="UIM1045" s="104"/>
      <c r="UIN1045" s="103"/>
      <c r="UIZ1045" s="104"/>
      <c r="UJA1045" s="103"/>
      <c r="UJM1045" s="104"/>
      <c r="UJN1045" s="103"/>
      <c r="UJZ1045" s="104"/>
      <c r="UKA1045" s="103"/>
      <c r="UKM1045" s="104"/>
      <c r="UKN1045" s="103"/>
      <c r="UKZ1045" s="104"/>
      <c r="ULA1045" s="103"/>
      <c r="ULM1045" s="104"/>
      <c r="ULN1045" s="103"/>
      <c r="ULZ1045" s="104"/>
      <c r="UMA1045" s="103"/>
      <c r="UMM1045" s="104"/>
      <c r="UMN1045" s="103"/>
      <c r="UMZ1045" s="104"/>
      <c r="UNA1045" s="103"/>
      <c r="UNM1045" s="104"/>
      <c r="UNN1045" s="103"/>
      <c r="UNZ1045" s="104"/>
      <c r="UOA1045" s="103"/>
      <c r="UOM1045" s="104"/>
      <c r="UON1045" s="103"/>
      <c r="UOZ1045" s="104"/>
      <c r="UPA1045" s="103"/>
      <c r="UPM1045" s="104"/>
      <c r="UPN1045" s="103"/>
      <c r="UPZ1045" s="104"/>
      <c r="UQA1045" s="103"/>
      <c r="UQM1045" s="104"/>
      <c r="UQN1045" s="103"/>
      <c r="UQZ1045" s="104"/>
      <c r="URA1045" s="103"/>
      <c r="URM1045" s="104"/>
      <c r="URN1045" s="103"/>
      <c r="URZ1045" s="104"/>
      <c r="USA1045" s="103"/>
      <c r="USM1045" s="104"/>
      <c r="USN1045" s="103"/>
      <c r="USZ1045" s="104"/>
      <c r="UTA1045" s="103"/>
      <c r="UTM1045" s="104"/>
      <c r="UTN1045" s="103"/>
      <c r="UTZ1045" s="104"/>
      <c r="UUA1045" s="103"/>
      <c r="UUM1045" s="104"/>
      <c r="UUN1045" s="103"/>
      <c r="UUZ1045" s="104"/>
      <c r="UVA1045" s="103"/>
      <c r="UVM1045" s="104"/>
      <c r="UVN1045" s="103"/>
      <c r="UVZ1045" s="104"/>
      <c r="UWA1045" s="103"/>
      <c r="UWM1045" s="104"/>
      <c r="UWN1045" s="103"/>
      <c r="UWZ1045" s="104"/>
      <c r="UXA1045" s="103"/>
      <c r="UXM1045" s="104"/>
      <c r="UXN1045" s="103"/>
      <c r="UXZ1045" s="104"/>
      <c r="UYA1045" s="103"/>
      <c r="UYM1045" s="104"/>
      <c r="UYN1045" s="103"/>
      <c r="UYZ1045" s="104"/>
      <c r="UZA1045" s="103"/>
      <c r="UZM1045" s="104"/>
      <c r="UZN1045" s="103"/>
      <c r="UZZ1045" s="104"/>
      <c r="VAA1045" s="103"/>
      <c r="VAM1045" s="104"/>
      <c r="VAN1045" s="103"/>
      <c r="VAZ1045" s="104"/>
      <c r="VBA1045" s="103"/>
      <c r="VBM1045" s="104"/>
      <c r="VBN1045" s="103"/>
      <c r="VBZ1045" s="104"/>
      <c r="VCA1045" s="103"/>
      <c r="VCM1045" s="104"/>
      <c r="VCN1045" s="103"/>
      <c r="VCZ1045" s="104"/>
      <c r="VDA1045" s="103"/>
      <c r="VDM1045" s="104"/>
      <c r="VDN1045" s="103"/>
      <c r="VDZ1045" s="104"/>
      <c r="VEA1045" s="103"/>
      <c r="VEM1045" s="104"/>
      <c r="VEN1045" s="103"/>
      <c r="VEZ1045" s="104"/>
      <c r="VFA1045" s="103"/>
      <c r="VFM1045" s="104"/>
      <c r="VFN1045" s="103"/>
      <c r="VFZ1045" s="104"/>
      <c r="VGA1045" s="103"/>
      <c r="VGM1045" s="104"/>
      <c r="VGN1045" s="103"/>
      <c r="VGZ1045" s="104"/>
      <c r="VHA1045" s="103"/>
      <c r="VHM1045" s="104"/>
      <c r="VHN1045" s="103"/>
      <c r="VHZ1045" s="104"/>
      <c r="VIA1045" s="103"/>
      <c r="VIM1045" s="104"/>
      <c r="VIN1045" s="103"/>
      <c r="VIZ1045" s="104"/>
      <c r="VJA1045" s="103"/>
      <c r="VJM1045" s="104"/>
      <c r="VJN1045" s="103"/>
      <c r="VJZ1045" s="104"/>
      <c r="VKA1045" s="103"/>
      <c r="VKM1045" s="104"/>
      <c r="VKN1045" s="103"/>
      <c r="VKZ1045" s="104"/>
      <c r="VLA1045" s="103"/>
      <c r="VLM1045" s="104"/>
      <c r="VLN1045" s="103"/>
      <c r="VLZ1045" s="104"/>
      <c r="VMA1045" s="103"/>
      <c r="VMM1045" s="104"/>
      <c r="VMN1045" s="103"/>
      <c r="VMZ1045" s="104"/>
      <c r="VNA1045" s="103"/>
      <c r="VNM1045" s="104"/>
      <c r="VNN1045" s="103"/>
      <c r="VNZ1045" s="104"/>
      <c r="VOA1045" s="103"/>
      <c r="VOM1045" s="104"/>
      <c r="VON1045" s="103"/>
      <c r="VOZ1045" s="104"/>
      <c r="VPA1045" s="103"/>
      <c r="VPM1045" s="104"/>
      <c r="VPN1045" s="103"/>
      <c r="VPZ1045" s="104"/>
      <c r="VQA1045" s="103"/>
      <c r="VQM1045" s="104"/>
      <c r="VQN1045" s="103"/>
      <c r="VQZ1045" s="104"/>
      <c r="VRA1045" s="103"/>
      <c r="VRM1045" s="104"/>
      <c r="VRN1045" s="103"/>
      <c r="VRZ1045" s="104"/>
      <c r="VSA1045" s="103"/>
      <c r="VSM1045" s="104"/>
      <c r="VSN1045" s="103"/>
      <c r="VSZ1045" s="104"/>
      <c r="VTA1045" s="103"/>
      <c r="VTM1045" s="104"/>
      <c r="VTN1045" s="103"/>
      <c r="VTZ1045" s="104"/>
      <c r="VUA1045" s="103"/>
      <c r="VUM1045" s="104"/>
      <c r="VUN1045" s="103"/>
      <c r="VUZ1045" s="104"/>
      <c r="VVA1045" s="103"/>
      <c r="VVM1045" s="104"/>
      <c r="VVN1045" s="103"/>
      <c r="VVZ1045" s="104"/>
      <c r="VWA1045" s="103"/>
      <c r="VWM1045" s="104"/>
      <c r="VWN1045" s="103"/>
      <c r="VWZ1045" s="104"/>
      <c r="VXA1045" s="103"/>
      <c r="VXM1045" s="104"/>
      <c r="VXN1045" s="103"/>
      <c r="VXZ1045" s="104"/>
      <c r="VYA1045" s="103"/>
      <c r="VYM1045" s="104"/>
      <c r="VYN1045" s="103"/>
      <c r="VYZ1045" s="104"/>
      <c r="VZA1045" s="103"/>
      <c r="VZM1045" s="104"/>
      <c r="VZN1045" s="103"/>
      <c r="VZZ1045" s="104"/>
      <c r="WAA1045" s="103"/>
      <c r="WAM1045" s="104"/>
      <c r="WAN1045" s="103"/>
      <c r="WAZ1045" s="104"/>
      <c r="WBA1045" s="103"/>
      <c r="WBM1045" s="104"/>
      <c r="WBN1045" s="103"/>
      <c r="WBZ1045" s="104"/>
      <c r="WCA1045" s="103"/>
      <c r="WCM1045" s="104"/>
      <c r="WCN1045" s="103"/>
      <c r="WCZ1045" s="104"/>
      <c r="WDA1045" s="103"/>
      <c r="WDM1045" s="104"/>
      <c r="WDN1045" s="103"/>
      <c r="WDZ1045" s="104"/>
      <c r="WEA1045" s="103"/>
      <c r="WEM1045" s="104"/>
      <c r="WEN1045" s="103"/>
      <c r="WEZ1045" s="104"/>
      <c r="WFA1045" s="103"/>
      <c r="WFM1045" s="104"/>
      <c r="WFN1045" s="103"/>
      <c r="WFZ1045" s="104"/>
      <c r="WGA1045" s="103"/>
      <c r="WGM1045" s="104"/>
      <c r="WGN1045" s="103"/>
      <c r="WGZ1045" s="104"/>
      <c r="WHA1045" s="103"/>
      <c r="WHM1045" s="104"/>
      <c r="WHN1045" s="103"/>
      <c r="WHZ1045" s="104"/>
      <c r="WIA1045" s="103"/>
      <c r="WIM1045" s="104"/>
      <c r="WIN1045" s="103"/>
      <c r="WIZ1045" s="104"/>
      <c r="WJA1045" s="103"/>
      <c r="WJM1045" s="104"/>
      <c r="WJN1045" s="103"/>
      <c r="WJZ1045" s="104"/>
      <c r="WKA1045" s="103"/>
      <c r="WKM1045" s="104"/>
      <c r="WKN1045" s="103"/>
      <c r="WKZ1045" s="104"/>
      <c r="WLA1045" s="103"/>
      <c r="WLM1045" s="104"/>
      <c r="WLN1045" s="103"/>
      <c r="WLZ1045" s="104"/>
      <c r="WMA1045" s="103"/>
      <c r="WMM1045" s="104"/>
      <c r="WMN1045" s="103"/>
      <c r="WMZ1045" s="104"/>
      <c r="WNA1045" s="103"/>
      <c r="WNM1045" s="104"/>
      <c r="WNN1045" s="103"/>
      <c r="WNZ1045" s="104"/>
      <c r="WOA1045" s="103"/>
      <c r="WOM1045" s="104"/>
      <c r="WON1045" s="103"/>
      <c r="WOZ1045" s="104"/>
      <c r="WPA1045" s="103"/>
      <c r="WPM1045" s="104"/>
      <c r="WPN1045" s="103"/>
      <c r="WPZ1045" s="104"/>
      <c r="WQA1045" s="103"/>
      <c r="WQM1045" s="104"/>
      <c r="WQN1045" s="103"/>
      <c r="WQZ1045" s="104"/>
      <c r="WRA1045" s="103"/>
      <c r="WRM1045" s="104"/>
      <c r="WRN1045" s="103"/>
      <c r="WRZ1045" s="104"/>
      <c r="WSA1045" s="103"/>
      <c r="WSM1045" s="104"/>
      <c r="WSN1045" s="103"/>
      <c r="WSZ1045" s="104"/>
      <c r="WTA1045" s="103"/>
      <c r="WTM1045" s="104"/>
      <c r="WTN1045" s="103"/>
      <c r="WTZ1045" s="104"/>
      <c r="WUA1045" s="103"/>
      <c r="WUM1045" s="104"/>
      <c r="WUN1045" s="103"/>
      <c r="WUZ1045" s="104"/>
      <c r="WVA1045" s="103"/>
      <c r="WVM1045" s="104"/>
      <c r="WVN1045" s="103"/>
      <c r="WVZ1045" s="104"/>
      <c r="WWA1045" s="103"/>
      <c r="WWM1045" s="104"/>
      <c r="WWN1045" s="103"/>
      <c r="WWZ1045" s="104"/>
      <c r="WXA1045" s="103"/>
      <c r="WXM1045" s="104"/>
      <c r="WXN1045" s="103"/>
      <c r="WXZ1045" s="104"/>
      <c r="WYA1045" s="103"/>
      <c r="WYM1045" s="104"/>
      <c r="WYN1045" s="103"/>
      <c r="WYZ1045" s="104"/>
      <c r="WZA1045" s="103"/>
      <c r="WZM1045" s="104"/>
      <c r="WZN1045" s="103"/>
      <c r="WZZ1045" s="104"/>
      <c r="XAA1045" s="103"/>
      <c r="XAM1045" s="104"/>
      <c r="XAN1045" s="103"/>
      <c r="XAZ1045" s="104"/>
      <c r="XBA1045" s="103"/>
      <c r="XBM1045" s="104"/>
      <c r="XBN1045" s="103"/>
      <c r="XBZ1045" s="104"/>
      <c r="XCA1045" s="103"/>
      <c r="XCM1045" s="104"/>
      <c r="XCN1045" s="103"/>
      <c r="XCZ1045" s="104"/>
      <c r="XDA1045" s="103"/>
      <c r="XDM1045" s="104"/>
      <c r="XDN1045" s="103"/>
      <c r="XDZ1045" s="104"/>
      <c r="XEA1045" s="103"/>
      <c r="XEM1045" s="104"/>
      <c r="XEN1045" s="103"/>
      <c r="XEZ1045" s="104"/>
      <c r="XFA1045" s="103"/>
    </row>
    <row r="1046" spans="1:1015 1027:2042 2054:3069 3081:4096 4108:5110 5122:6137 6149:7164 7176:8191 8203:9205 9217:10232 10244:11259 11271:12286 12298:14327 14339:15354 15366:16381">
      <c r="B1046" s="134">
        <v>2025</v>
      </c>
      <c r="C1046" s="135">
        <v>22020</v>
      </c>
      <c r="D1046" s="136">
        <f t="shared" si="46"/>
        <v>400.58213571038749</v>
      </c>
      <c r="E1046" s="135">
        <v>770</v>
      </c>
      <c r="F1046" s="136">
        <f t="shared" si="47"/>
        <v>14.007640531198836</v>
      </c>
      <c r="G1046" s="136">
        <f t="shared" si="44"/>
        <v>22790</v>
      </c>
      <c r="H1046" s="136">
        <f t="shared" si="45"/>
        <v>414.58977624158632</v>
      </c>
      <c r="Z1046" s="104"/>
      <c r="AA1046" s="103"/>
      <c r="AM1046" s="104"/>
      <c r="AN1046" s="103"/>
      <c r="AZ1046" s="104"/>
      <c r="BA1046" s="103"/>
      <c r="BM1046" s="104"/>
      <c r="BN1046" s="103"/>
      <c r="BZ1046" s="104"/>
      <c r="CA1046" s="103"/>
      <c r="CM1046" s="104"/>
      <c r="CN1046" s="103"/>
      <c r="CZ1046" s="104"/>
      <c r="DA1046" s="103"/>
      <c r="DM1046" s="104"/>
      <c r="DN1046" s="103"/>
      <c r="DZ1046" s="104"/>
      <c r="EA1046" s="103"/>
      <c r="EM1046" s="104"/>
      <c r="EN1046" s="103"/>
      <c r="EZ1046" s="104"/>
      <c r="FA1046" s="103"/>
      <c r="FM1046" s="104"/>
      <c r="FN1046" s="103"/>
      <c r="FZ1046" s="104"/>
      <c r="GA1046" s="103"/>
      <c r="GM1046" s="104"/>
      <c r="GN1046" s="103"/>
      <c r="GZ1046" s="104"/>
      <c r="HA1046" s="103"/>
      <c r="HM1046" s="104"/>
      <c r="HN1046" s="103"/>
      <c r="HZ1046" s="104"/>
      <c r="IA1046" s="103"/>
      <c r="IM1046" s="104"/>
      <c r="IN1046" s="103"/>
      <c r="IZ1046" s="104"/>
      <c r="JA1046" s="103"/>
      <c r="JM1046" s="104"/>
      <c r="JN1046" s="103"/>
      <c r="JZ1046" s="104"/>
      <c r="KA1046" s="103"/>
      <c r="KM1046" s="104"/>
      <c r="KN1046" s="103"/>
      <c r="KZ1046" s="104"/>
      <c r="LA1046" s="103"/>
      <c r="LM1046" s="104"/>
      <c r="LN1046" s="103"/>
      <c r="LZ1046" s="104"/>
      <c r="MA1046" s="103"/>
      <c r="MM1046" s="104"/>
      <c r="MN1046" s="103"/>
      <c r="MZ1046" s="104"/>
      <c r="NA1046" s="103"/>
      <c r="NM1046" s="104"/>
      <c r="NN1046" s="103"/>
      <c r="NZ1046" s="104"/>
      <c r="OA1046" s="103"/>
      <c r="OM1046" s="104"/>
      <c r="ON1046" s="103"/>
      <c r="OZ1046" s="104"/>
      <c r="PA1046" s="103"/>
      <c r="PM1046" s="104"/>
      <c r="PN1046" s="103"/>
      <c r="PZ1046" s="104"/>
      <c r="QA1046" s="103"/>
      <c r="QM1046" s="104"/>
      <c r="QN1046" s="103"/>
      <c r="QZ1046" s="104"/>
      <c r="RA1046" s="103"/>
      <c r="RM1046" s="104"/>
      <c r="RN1046" s="103"/>
      <c r="RZ1046" s="104"/>
      <c r="SA1046" s="103"/>
      <c r="SM1046" s="104"/>
      <c r="SN1046" s="103"/>
      <c r="SZ1046" s="104"/>
      <c r="TA1046" s="103"/>
      <c r="TM1046" s="104"/>
      <c r="TN1046" s="103"/>
      <c r="TZ1046" s="104"/>
      <c r="UA1046" s="103"/>
      <c r="UM1046" s="104"/>
      <c r="UN1046" s="103"/>
      <c r="UZ1046" s="104"/>
      <c r="VA1046" s="103"/>
      <c r="VM1046" s="104"/>
      <c r="VN1046" s="103"/>
      <c r="VZ1046" s="104"/>
      <c r="WA1046" s="103"/>
      <c r="WM1046" s="104"/>
      <c r="WN1046" s="103"/>
      <c r="WZ1046" s="104"/>
      <c r="XA1046" s="103"/>
      <c r="XM1046" s="104"/>
      <c r="XN1046" s="103"/>
      <c r="XZ1046" s="104"/>
      <c r="YA1046" s="103"/>
      <c r="YM1046" s="104"/>
      <c r="YN1046" s="103"/>
      <c r="YZ1046" s="104"/>
      <c r="ZA1046" s="103"/>
      <c r="ZM1046" s="104"/>
      <c r="ZN1046" s="103"/>
      <c r="ZZ1046" s="104"/>
      <c r="AAA1046" s="103"/>
      <c r="AAM1046" s="104"/>
      <c r="AAN1046" s="103"/>
      <c r="AAZ1046" s="104"/>
      <c r="ABA1046" s="103"/>
      <c r="ABM1046" s="104"/>
      <c r="ABN1046" s="103"/>
      <c r="ABZ1046" s="104"/>
      <c r="ACA1046" s="103"/>
      <c r="ACM1046" s="104"/>
      <c r="ACN1046" s="103"/>
      <c r="ACZ1046" s="104"/>
      <c r="ADA1046" s="103"/>
      <c r="ADM1046" s="104"/>
      <c r="ADN1046" s="103"/>
      <c r="ADZ1046" s="104"/>
      <c r="AEA1046" s="103"/>
      <c r="AEM1046" s="104"/>
      <c r="AEN1046" s="103"/>
      <c r="AEZ1046" s="104"/>
      <c r="AFA1046" s="103"/>
      <c r="AFM1046" s="104"/>
      <c r="AFN1046" s="103"/>
      <c r="AFZ1046" s="104"/>
      <c r="AGA1046" s="103"/>
      <c r="AGM1046" s="104"/>
      <c r="AGN1046" s="103"/>
      <c r="AGZ1046" s="104"/>
      <c r="AHA1046" s="103"/>
      <c r="AHM1046" s="104"/>
      <c r="AHN1046" s="103"/>
      <c r="AHZ1046" s="104"/>
      <c r="AIA1046" s="103"/>
      <c r="AIM1046" s="104"/>
      <c r="AIN1046" s="103"/>
      <c r="AIZ1046" s="104"/>
      <c r="AJA1046" s="103"/>
      <c r="AJM1046" s="104"/>
      <c r="AJN1046" s="103"/>
      <c r="AJZ1046" s="104"/>
      <c r="AKA1046" s="103"/>
      <c r="AKM1046" s="104"/>
      <c r="AKN1046" s="103"/>
      <c r="AKZ1046" s="104"/>
      <c r="ALA1046" s="103"/>
      <c r="ALM1046" s="104"/>
      <c r="ALN1046" s="103"/>
      <c r="ALZ1046" s="104"/>
      <c r="AMA1046" s="103"/>
      <c r="AMM1046" s="104"/>
      <c r="AMN1046" s="103"/>
      <c r="AMZ1046" s="104"/>
      <c r="ANA1046" s="103"/>
      <c r="ANM1046" s="104"/>
      <c r="ANN1046" s="103"/>
      <c r="ANZ1046" s="104"/>
      <c r="AOA1046" s="103"/>
      <c r="AOM1046" s="104"/>
      <c r="AON1046" s="103"/>
      <c r="AOZ1046" s="104"/>
      <c r="APA1046" s="103"/>
      <c r="APM1046" s="104"/>
      <c r="APN1046" s="103"/>
      <c r="APZ1046" s="104"/>
      <c r="AQA1046" s="103"/>
      <c r="AQM1046" s="104"/>
      <c r="AQN1046" s="103"/>
      <c r="AQZ1046" s="104"/>
      <c r="ARA1046" s="103"/>
      <c r="ARM1046" s="104"/>
      <c r="ARN1046" s="103"/>
      <c r="ARZ1046" s="104"/>
      <c r="ASA1046" s="103"/>
      <c r="ASM1046" s="104"/>
      <c r="ASN1046" s="103"/>
      <c r="ASZ1046" s="104"/>
      <c r="ATA1046" s="103"/>
      <c r="ATM1046" s="104"/>
      <c r="ATN1046" s="103"/>
      <c r="ATZ1046" s="104"/>
      <c r="AUA1046" s="103"/>
      <c r="AUM1046" s="104"/>
      <c r="AUN1046" s="103"/>
      <c r="AUZ1046" s="104"/>
      <c r="AVA1046" s="103"/>
      <c r="AVM1046" s="104"/>
      <c r="AVN1046" s="103"/>
      <c r="AVZ1046" s="104"/>
      <c r="AWA1046" s="103"/>
      <c r="AWM1046" s="104"/>
      <c r="AWN1046" s="103"/>
      <c r="AWZ1046" s="104"/>
      <c r="AXA1046" s="103"/>
      <c r="AXM1046" s="104"/>
      <c r="AXN1046" s="103"/>
      <c r="AXZ1046" s="104"/>
      <c r="AYA1046" s="103"/>
      <c r="AYM1046" s="104"/>
      <c r="AYN1046" s="103"/>
      <c r="AYZ1046" s="104"/>
      <c r="AZA1046" s="103"/>
      <c r="AZM1046" s="104"/>
      <c r="AZN1046" s="103"/>
      <c r="AZZ1046" s="104"/>
      <c r="BAA1046" s="103"/>
      <c r="BAM1046" s="104"/>
      <c r="BAN1046" s="103"/>
      <c r="BAZ1046" s="104"/>
      <c r="BBA1046" s="103"/>
      <c r="BBM1046" s="104"/>
      <c r="BBN1046" s="103"/>
      <c r="BBZ1046" s="104"/>
      <c r="BCA1046" s="103"/>
      <c r="BCM1046" s="104"/>
      <c r="BCN1046" s="103"/>
      <c r="BCZ1046" s="104"/>
      <c r="BDA1046" s="103"/>
      <c r="BDM1046" s="104"/>
      <c r="BDN1046" s="103"/>
      <c r="BDZ1046" s="104"/>
      <c r="BEA1046" s="103"/>
      <c r="BEM1046" s="104"/>
      <c r="BEN1046" s="103"/>
      <c r="BEZ1046" s="104"/>
      <c r="BFA1046" s="103"/>
      <c r="BFM1046" s="104"/>
      <c r="BFN1046" s="103"/>
      <c r="BFZ1046" s="104"/>
      <c r="BGA1046" s="103"/>
      <c r="BGM1046" s="104"/>
      <c r="BGN1046" s="103"/>
      <c r="BGZ1046" s="104"/>
      <c r="BHA1046" s="103"/>
      <c r="BHM1046" s="104"/>
      <c r="BHN1046" s="103"/>
      <c r="BHZ1046" s="104"/>
      <c r="BIA1046" s="103"/>
      <c r="BIM1046" s="104"/>
      <c r="BIN1046" s="103"/>
      <c r="BIZ1046" s="104"/>
      <c r="BJA1046" s="103"/>
      <c r="BJM1046" s="104"/>
      <c r="BJN1046" s="103"/>
      <c r="BJZ1046" s="104"/>
      <c r="BKA1046" s="103"/>
      <c r="BKM1046" s="104"/>
      <c r="BKN1046" s="103"/>
      <c r="BKZ1046" s="104"/>
      <c r="BLA1046" s="103"/>
      <c r="BLM1046" s="104"/>
      <c r="BLN1046" s="103"/>
      <c r="BLZ1046" s="104"/>
      <c r="BMA1046" s="103"/>
      <c r="BMM1046" s="104"/>
      <c r="BMN1046" s="103"/>
      <c r="BMZ1046" s="104"/>
      <c r="BNA1046" s="103"/>
      <c r="BNM1046" s="104"/>
      <c r="BNN1046" s="103"/>
      <c r="BNZ1046" s="104"/>
      <c r="BOA1046" s="103"/>
      <c r="BOM1046" s="104"/>
      <c r="BON1046" s="103"/>
      <c r="BOZ1046" s="104"/>
      <c r="BPA1046" s="103"/>
      <c r="BPM1046" s="104"/>
      <c r="BPN1046" s="103"/>
      <c r="BPZ1046" s="104"/>
      <c r="BQA1046" s="103"/>
      <c r="BQM1046" s="104"/>
      <c r="BQN1046" s="103"/>
      <c r="BQZ1046" s="104"/>
      <c r="BRA1046" s="103"/>
      <c r="BRM1046" s="104"/>
      <c r="BRN1046" s="103"/>
      <c r="BRZ1046" s="104"/>
      <c r="BSA1046" s="103"/>
      <c r="BSM1046" s="104"/>
      <c r="BSN1046" s="103"/>
      <c r="BSZ1046" s="104"/>
      <c r="BTA1046" s="103"/>
      <c r="BTM1046" s="104"/>
      <c r="BTN1046" s="103"/>
      <c r="BTZ1046" s="104"/>
      <c r="BUA1046" s="103"/>
      <c r="BUM1046" s="104"/>
      <c r="BUN1046" s="103"/>
      <c r="BUZ1046" s="104"/>
      <c r="BVA1046" s="103"/>
      <c r="BVM1046" s="104"/>
      <c r="BVN1046" s="103"/>
      <c r="BVZ1046" s="104"/>
      <c r="BWA1046" s="103"/>
      <c r="BWM1046" s="104"/>
      <c r="BWN1046" s="103"/>
      <c r="BWZ1046" s="104"/>
      <c r="BXA1046" s="103"/>
      <c r="BXM1046" s="104"/>
      <c r="BXN1046" s="103"/>
      <c r="BXZ1046" s="104"/>
      <c r="BYA1046" s="103"/>
      <c r="BYM1046" s="104"/>
      <c r="BYN1046" s="103"/>
      <c r="BYZ1046" s="104"/>
      <c r="BZA1046" s="103"/>
      <c r="BZM1046" s="104"/>
      <c r="BZN1046" s="103"/>
      <c r="BZZ1046" s="104"/>
      <c r="CAA1046" s="103"/>
      <c r="CAM1046" s="104"/>
      <c r="CAN1046" s="103"/>
      <c r="CAZ1046" s="104"/>
      <c r="CBA1046" s="103"/>
      <c r="CBM1046" s="104"/>
      <c r="CBN1046" s="103"/>
      <c r="CBZ1046" s="104"/>
      <c r="CCA1046" s="103"/>
      <c r="CCM1046" s="104"/>
      <c r="CCN1046" s="103"/>
      <c r="CCZ1046" s="104"/>
      <c r="CDA1046" s="103"/>
      <c r="CDM1046" s="104"/>
      <c r="CDN1046" s="103"/>
      <c r="CDZ1046" s="104"/>
      <c r="CEA1046" s="103"/>
      <c r="CEM1046" s="104"/>
      <c r="CEN1046" s="103"/>
      <c r="CEZ1046" s="104"/>
      <c r="CFA1046" s="103"/>
      <c r="CFM1046" s="104"/>
      <c r="CFN1046" s="103"/>
      <c r="CFZ1046" s="104"/>
      <c r="CGA1046" s="103"/>
      <c r="CGM1046" s="104"/>
      <c r="CGN1046" s="103"/>
      <c r="CGZ1046" s="104"/>
      <c r="CHA1046" s="103"/>
      <c r="CHM1046" s="104"/>
      <c r="CHN1046" s="103"/>
      <c r="CHZ1046" s="104"/>
      <c r="CIA1046" s="103"/>
      <c r="CIM1046" s="104"/>
      <c r="CIN1046" s="103"/>
      <c r="CIZ1046" s="104"/>
      <c r="CJA1046" s="103"/>
      <c r="CJM1046" s="104"/>
      <c r="CJN1046" s="103"/>
      <c r="CJZ1046" s="104"/>
      <c r="CKA1046" s="103"/>
      <c r="CKM1046" s="104"/>
      <c r="CKN1046" s="103"/>
      <c r="CKZ1046" s="104"/>
      <c r="CLA1046" s="103"/>
      <c r="CLM1046" s="104"/>
      <c r="CLN1046" s="103"/>
      <c r="CLZ1046" s="104"/>
      <c r="CMA1046" s="103"/>
      <c r="CMM1046" s="104"/>
      <c r="CMN1046" s="103"/>
      <c r="CMZ1046" s="104"/>
      <c r="CNA1046" s="103"/>
      <c r="CNM1046" s="104"/>
      <c r="CNN1046" s="103"/>
      <c r="CNZ1046" s="104"/>
      <c r="COA1046" s="103"/>
      <c r="COM1046" s="104"/>
      <c r="CON1046" s="103"/>
      <c r="COZ1046" s="104"/>
      <c r="CPA1046" s="103"/>
      <c r="CPM1046" s="104"/>
      <c r="CPN1046" s="103"/>
      <c r="CPZ1046" s="104"/>
      <c r="CQA1046" s="103"/>
      <c r="CQM1046" s="104"/>
      <c r="CQN1046" s="103"/>
      <c r="CQZ1046" s="104"/>
      <c r="CRA1046" s="103"/>
      <c r="CRM1046" s="104"/>
      <c r="CRN1046" s="103"/>
      <c r="CRZ1046" s="104"/>
      <c r="CSA1046" s="103"/>
      <c r="CSM1046" s="104"/>
      <c r="CSN1046" s="103"/>
      <c r="CSZ1046" s="104"/>
      <c r="CTA1046" s="103"/>
      <c r="CTM1046" s="104"/>
      <c r="CTN1046" s="103"/>
      <c r="CTZ1046" s="104"/>
      <c r="CUA1046" s="103"/>
      <c r="CUM1046" s="104"/>
      <c r="CUN1046" s="103"/>
      <c r="CUZ1046" s="104"/>
      <c r="CVA1046" s="103"/>
      <c r="CVM1046" s="104"/>
      <c r="CVN1046" s="103"/>
      <c r="CVZ1046" s="104"/>
      <c r="CWA1046" s="103"/>
      <c r="CWM1046" s="104"/>
      <c r="CWN1046" s="103"/>
      <c r="CWZ1046" s="104"/>
      <c r="CXA1046" s="103"/>
      <c r="CXM1046" s="104"/>
      <c r="CXN1046" s="103"/>
      <c r="CXZ1046" s="104"/>
      <c r="CYA1046" s="103"/>
      <c r="CYM1046" s="104"/>
      <c r="CYN1046" s="103"/>
      <c r="CYZ1046" s="104"/>
      <c r="CZA1046" s="103"/>
      <c r="CZM1046" s="104"/>
      <c r="CZN1046" s="103"/>
      <c r="CZZ1046" s="104"/>
      <c r="DAA1046" s="103"/>
      <c r="DAM1046" s="104"/>
      <c r="DAN1046" s="103"/>
      <c r="DAZ1046" s="104"/>
      <c r="DBA1046" s="103"/>
      <c r="DBM1046" s="104"/>
      <c r="DBN1046" s="103"/>
      <c r="DBZ1046" s="104"/>
      <c r="DCA1046" s="103"/>
      <c r="DCM1046" s="104"/>
      <c r="DCN1046" s="103"/>
      <c r="DCZ1046" s="104"/>
      <c r="DDA1046" s="103"/>
      <c r="DDM1046" s="104"/>
      <c r="DDN1046" s="103"/>
      <c r="DDZ1046" s="104"/>
      <c r="DEA1046" s="103"/>
      <c r="DEM1046" s="104"/>
      <c r="DEN1046" s="103"/>
      <c r="DEZ1046" s="104"/>
      <c r="DFA1046" s="103"/>
      <c r="DFM1046" s="104"/>
      <c r="DFN1046" s="103"/>
      <c r="DFZ1046" s="104"/>
      <c r="DGA1046" s="103"/>
      <c r="DGM1046" s="104"/>
      <c r="DGN1046" s="103"/>
      <c r="DGZ1046" s="104"/>
      <c r="DHA1046" s="103"/>
      <c r="DHM1046" s="104"/>
      <c r="DHN1046" s="103"/>
      <c r="DHZ1046" s="104"/>
      <c r="DIA1046" s="103"/>
      <c r="DIM1046" s="104"/>
      <c r="DIN1046" s="103"/>
      <c r="DIZ1046" s="104"/>
      <c r="DJA1046" s="103"/>
      <c r="DJM1046" s="104"/>
      <c r="DJN1046" s="103"/>
      <c r="DJZ1046" s="104"/>
      <c r="DKA1046" s="103"/>
      <c r="DKM1046" s="104"/>
      <c r="DKN1046" s="103"/>
      <c r="DKZ1046" s="104"/>
      <c r="DLA1046" s="103"/>
      <c r="DLM1046" s="104"/>
      <c r="DLN1046" s="103"/>
      <c r="DLZ1046" s="104"/>
      <c r="DMA1046" s="103"/>
      <c r="DMM1046" s="104"/>
      <c r="DMN1046" s="103"/>
      <c r="DMZ1046" s="104"/>
      <c r="DNA1046" s="103"/>
      <c r="DNM1046" s="104"/>
      <c r="DNN1046" s="103"/>
      <c r="DNZ1046" s="104"/>
      <c r="DOA1046" s="103"/>
      <c r="DOM1046" s="104"/>
      <c r="DON1046" s="103"/>
      <c r="DOZ1046" s="104"/>
      <c r="DPA1046" s="103"/>
      <c r="DPM1046" s="104"/>
      <c r="DPN1046" s="103"/>
      <c r="DPZ1046" s="104"/>
      <c r="DQA1046" s="103"/>
      <c r="DQM1046" s="104"/>
      <c r="DQN1046" s="103"/>
      <c r="DQZ1046" s="104"/>
      <c r="DRA1046" s="103"/>
      <c r="DRM1046" s="104"/>
      <c r="DRN1046" s="103"/>
      <c r="DRZ1046" s="104"/>
      <c r="DSA1046" s="103"/>
      <c r="DSM1046" s="104"/>
      <c r="DSN1046" s="103"/>
      <c r="DSZ1046" s="104"/>
      <c r="DTA1046" s="103"/>
      <c r="DTM1046" s="104"/>
      <c r="DTN1046" s="103"/>
      <c r="DTZ1046" s="104"/>
      <c r="DUA1046" s="103"/>
      <c r="DUM1046" s="104"/>
      <c r="DUN1046" s="103"/>
      <c r="DUZ1046" s="104"/>
      <c r="DVA1046" s="103"/>
      <c r="DVM1046" s="104"/>
      <c r="DVN1046" s="103"/>
      <c r="DVZ1046" s="104"/>
      <c r="DWA1046" s="103"/>
      <c r="DWM1046" s="104"/>
      <c r="DWN1046" s="103"/>
      <c r="DWZ1046" s="104"/>
      <c r="DXA1046" s="103"/>
      <c r="DXM1046" s="104"/>
      <c r="DXN1046" s="103"/>
      <c r="DXZ1046" s="104"/>
      <c r="DYA1046" s="103"/>
      <c r="DYM1046" s="104"/>
      <c r="DYN1046" s="103"/>
      <c r="DYZ1046" s="104"/>
      <c r="DZA1046" s="103"/>
      <c r="DZM1046" s="104"/>
      <c r="DZN1046" s="103"/>
      <c r="DZZ1046" s="104"/>
      <c r="EAA1046" s="103"/>
      <c r="EAM1046" s="104"/>
      <c r="EAN1046" s="103"/>
      <c r="EAZ1046" s="104"/>
      <c r="EBA1046" s="103"/>
      <c r="EBM1046" s="104"/>
      <c r="EBN1046" s="103"/>
      <c r="EBZ1046" s="104"/>
      <c r="ECA1046" s="103"/>
      <c r="ECM1046" s="104"/>
      <c r="ECN1046" s="103"/>
      <c r="ECZ1046" s="104"/>
      <c r="EDA1046" s="103"/>
      <c r="EDM1046" s="104"/>
      <c r="EDN1046" s="103"/>
      <c r="EDZ1046" s="104"/>
      <c r="EEA1046" s="103"/>
      <c r="EEM1046" s="104"/>
      <c r="EEN1046" s="103"/>
      <c r="EEZ1046" s="104"/>
      <c r="EFA1046" s="103"/>
      <c r="EFM1046" s="104"/>
      <c r="EFN1046" s="103"/>
      <c r="EFZ1046" s="104"/>
      <c r="EGA1046" s="103"/>
      <c r="EGM1046" s="104"/>
      <c r="EGN1046" s="103"/>
      <c r="EGZ1046" s="104"/>
      <c r="EHA1046" s="103"/>
      <c r="EHM1046" s="104"/>
      <c r="EHN1046" s="103"/>
      <c r="EHZ1046" s="104"/>
      <c r="EIA1046" s="103"/>
      <c r="EIM1046" s="104"/>
      <c r="EIN1046" s="103"/>
      <c r="EIZ1046" s="104"/>
      <c r="EJA1046" s="103"/>
      <c r="EJM1046" s="104"/>
      <c r="EJN1046" s="103"/>
      <c r="EJZ1046" s="104"/>
      <c r="EKA1046" s="103"/>
      <c r="EKM1046" s="104"/>
      <c r="EKN1046" s="103"/>
      <c r="EKZ1046" s="104"/>
      <c r="ELA1046" s="103"/>
      <c r="ELM1046" s="104"/>
      <c r="ELN1046" s="103"/>
      <c r="ELZ1046" s="104"/>
      <c r="EMA1046" s="103"/>
      <c r="EMM1046" s="104"/>
      <c r="EMN1046" s="103"/>
      <c r="EMZ1046" s="104"/>
      <c r="ENA1046" s="103"/>
      <c r="ENM1046" s="104"/>
      <c r="ENN1046" s="103"/>
      <c r="ENZ1046" s="104"/>
      <c r="EOA1046" s="103"/>
      <c r="EOM1046" s="104"/>
      <c r="EON1046" s="103"/>
      <c r="EOZ1046" s="104"/>
      <c r="EPA1046" s="103"/>
      <c r="EPM1046" s="104"/>
      <c r="EPN1046" s="103"/>
      <c r="EPZ1046" s="104"/>
      <c r="EQA1046" s="103"/>
      <c r="EQM1046" s="104"/>
      <c r="EQN1046" s="103"/>
      <c r="EQZ1046" s="104"/>
      <c r="ERA1046" s="103"/>
      <c r="ERM1046" s="104"/>
      <c r="ERN1046" s="103"/>
      <c r="ERZ1046" s="104"/>
      <c r="ESA1046" s="103"/>
      <c r="ESM1046" s="104"/>
      <c r="ESN1046" s="103"/>
      <c r="ESZ1046" s="104"/>
      <c r="ETA1046" s="103"/>
      <c r="ETM1046" s="104"/>
      <c r="ETN1046" s="103"/>
      <c r="ETZ1046" s="104"/>
      <c r="EUA1046" s="103"/>
      <c r="EUM1046" s="104"/>
      <c r="EUN1046" s="103"/>
      <c r="EUZ1046" s="104"/>
      <c r="EVA1046" s="103"/>
      <c r="EVM1046" s="104"/>
      <c r="EVN1046" s="103"/>
      <c r="EVZ1046" s="104"/>
      <c r="EWA1046" s="103"/>
      <c r="EWM1046" s="104"/>
      <c r="EWN1046" s="103"/>
      <c r="EWZ1046" s="104"/>
      <c r="EXA1046" s="103"/>
      <c r="EXM1046" s="104"/>
      <c r="EXN1046" s="103"/>
      <c r="EXZ1046" s="104"/>
      <c r="EYA1046" s="103"/>
      <c r="EYM1046" s="104"/>
      <c r="EYN1046" s="103"/>
      <c r="EYZ1046" s="104"/>
      <c r="EZA1046" s="103"/>
      <c r="EZM1046" s="104"/>
      <c r="EZN1046" s="103"/>
      <c r="EZZ1046" s="104"/>
      <c r="FAA1046" s="103"/>
      <c r="FAM1046" s="104"/>
      <c r="FAN1046" s="103"/>
      <c r="FAZ1046" s="104"/>
      <c r="FBA1046" s="103"/>
      <c r="FBM1046" s="104"/>
      <c r="FBN1046" s="103"/>
      <c r="FBZ1046" s="104"/>
      <c r="FCA1046" s="103"/>
      <c r="FCM1046" s="104"/>
      <c r="FCN1046" s="103"/>
      <c r="FCZ1046" s="104"/>
      <c r="FDA1046" s="103"/>
      <c r="FDM1046" s="104"/>
      <c r="FDN1046" s="103"/>
      <c r="FDZ1046" s="104"/>
      <c r="FEA1046" s="103"/>
      <c r="FEM1046" s="104"/>
      <c r="FEN1046" s="103"/>
      <c r="FEZ1046" s="104"/>
      <c r="FFA1046" s="103"/>
      <c r="FFM1046" s="104"/>
      <c r="FFN1046" s="103"/>
      <c r="FFZ1046" s="104"/>
      <c r="FGA1046" s="103"/>
      <c r="FGM1046" s="104"/>
      <c r="FGN1046" s="103"/>
      <c r="FGZ1046" s="104"/>
      <c r="FHA1046" s="103"/>
      <c r="FHM1046" s="104"/>
      <c r="FHN1046" s="103"/>
      <c r="FHZ1046" s="104"/>
      <c r="FIA1046" s="103"/>
      <c r="FIM1046" s="104"/>
      <c r="FIN1046" s="103"/>
      <c r="FIZ1046" s="104"/>
      <c r="FJA1046" s="103"/>
      <c r="FJM1046" s="104"/>
      <c r="FJN1046" s="103"/>
      <c r="FJZ1046" s="104"/>
      <c r="FKA1046" s="103"/>
      <c r="FKM1046" s="104"/>
      <c r="FKN1046" s="103"/>
      <c r="FKZ1046" s="104"/>
      <c r="FLA1046" s="103"/>
      <c r="FLM1046" s="104"/>
      <c r="FLN1046" s="103"/>
      <c r="FLZ1046" s="104"/>
      <c r="FMA1046" s="103"/>
      <c r="FMM1046" s="104"/>
      <c r="FMN1046" s="103"/>
      <c r="FMZ1046" s="104"/>
      <c r="FNA1046" s="103"/>
      <c r="FNM1046" s="104"/>
      <c r="FNN1046" s="103"/>
      <c r="FNZ1046" s="104"/>
      <c r="FOA1046" s="103"/>
      <c r="FOM1046" s="104"/>
      <c r="FON1046" s="103"/>
      <c r="FOZ1046" s="104"/>
      <c r="FPA1046" s="103"/>
      <c r="FPM1046" s="104"/>
      <c r="FPN1046" s="103"/>
      <c r="FPZ1046" s="104"/>
      <c r="FQA1046" s="103"/>
      <c r="FQM1046" s="104"/>
      <c r="FQN1046" s="103"/>
      <c r="FQZ1046" s="104"/>
      <c r="FRA1046" s="103"/>
      <c r="FRM1046" s="104"/>
      <c r="FRN1046" s="103"/>
      <c r="FRZ1046" s="104"/>
      <c r="FSA1046" s="103"/>
      <c r="FSM1046" s="104"/>
      <c r="FSN1046" s="103"/>
      <c r="FSZ1046" s="104"/>
      <c r="FTA1046" s="103"/>
      <c r="FTM1046" s="104"/>
      <c r="FTN1046" s="103"/>
      <c r="FTZ1046" s="104"/>
      <c r="FUA1046" s="103"/>
      <c r="FUM1046" s="104"/>
      <c r="FUN1046" s="103"/>
      <c r="FUZ1046" s="104"/>
      <c r="FVA1046" s="103"/>
      <c r="FVM1046" s="104"/>
      <c r="FVN1046" s="103"/>
      <c r="FVZ1046" s="104"/>
      <c r="FWA1046" s="103"/>
      <c r="FWM1046" s="104"/>
      <c r="FWN1046" s="103"/>
      <c r="FWZ1046" s="104"/>
      <c r="FXA1046" s="103"/>
      <c r="FXM1046" s="104"/>
      <c r="FXN1046" s="103"/>
      <c r="FXZ1046" s="104"/>
      <c r="FYA1046" s="103"/>
      <c r="FYM1046" s="104"/>
      <c r="FYN1046" s="103"/>
      <c r="FYZ1046" s="104"/>
      <c r="FZA1046" s="103"/>
      <c r="FZM1046" s="104"/>
      <c r="FZN1046" s="103"/>
      <c r="FZZ1046" s="104"/>
      <c r="GAA1046" s="103"/>
      <c r="GAM1046" s="104"/>
      <c r="GAN1046" s="103"/>
      <c r="GAZ1046" s="104"/>
      <c r="GBA1046" s="103"/>
      <c r="GBM1046" s="104"/>
      <c r="GBN1046" s="103"/>
      <c r="GBZ1046" s="104"/>
      <c r="GCA1046" s="103"/>
      <c r="GCM1046" s="104"/>
      <c r="GCN1046" s="103"/>
      <c r="GCZ1046" s="104"/>
      <c r="GDA1046" s="103"/>
      <c r="GDM1046" s="104"/>
      <c r="GDN1046" s="103"/>
      <c r="GDZ1046" s="104"/>
      <c r="GEA1046" s="103"/>
      <c r="GEM1046" s="104"/>
      <c r="GEN1046" s="103"/>
      <c r="GEZ1046" s="104"/>
      <c r="GFA1046" s="103"/>
      <c r="GFM1046" s="104"/>
      <c r="GFN1046" s="103"/>
      <c r="GFZ1046" s="104"/>
      <c r="GGA1046" s="103"/>
      <c r="GGM1046" s="104"/>
      <c r="GGN1046" s="103"/>
      <c r="GGZ1046" s="104"/>
      <c r="GHA1046" s="103"/>
      <c r="GHM1046" s="104"/>
      <c r="GHN1046" s="103"/>
      <c r="GHZ1046" s="104"/>
      <c r="GIA1046" s="103"/>
      <c r="GIM1046" s="104"/>
      <c r="GIN1046" s="103"/>
      <c r="GIZ1046" s="104"/>
      <c r="GJA1046" s="103"/>
      <c r="GJM1046" s="104"/>
      <c r="GJN1046" s="103"/>
      <c r="GJZ1046" s="104"/>
      <c r="GKA1046" s="103"/>
      <c r="GKM1046" s="104"/>
      <c r="GKN1046" s="103"/>
      <c r="GKZ1046" s="104"/>
      <c r="GLA1046" s="103"/>
      <c r="GLM1046" s="104"/>
      <c r="GLN1046" s="103"/>
      <c r="GLZ1046" s="104"/>
      <c r="GMA1046" s="103"/>
      <c r="GMM1046" s="104"/>
      <c r="GMN1046" s="103"/>
      <c r="GMZ1046" s="104"/>
      <c r="GNA1046" s="103"/>
      <c r="GNM1046" s="104"/>
      <c r="GNN1046" s="103"/>
      <c r="GNZ1046" s="104"/>
      <c r="GOA1046" s="103"/>
      <c r="GOM1046" s="104"/>
      <c r="GON1046" s="103"/>
      <c r="GOZ1046" s="104"/>
      <c r="GPA1046" s="103"/>
      <c r="GPM1046" s="104"/>
      <c r="GPN1046" s="103"/>
      <c r="GPZ1046" s="104"/>
      <c r="GQA1046" s="103"/>
      <c r="GQM1046" s="104"/>
      <c r="GQN1046" s="103"/>
      <c r="GQZ1046" s="104"/>
      <c r="GRA1046" s="103"/>
      <c r="GRM1046" s="104"/>
      <c r="GRN1046" s="103"/>
      <c r="GRZ1046" s="104"/>
      <c r="GSA1046" s="103"/>
      <c r="GSM1046" s="104"/>
      <c r="GSN1046" s="103"/>
      <c r="GSZ1046" s="104"/>
      <c r="GTA1046" s="103"/>
      <c r="GTM1046" s="104"/>
      <c r="GTN1046" s="103"/>
      <c r="GTZ1046" s="104"/>
      <c r="GUA1046" s="103"/>
      <c r="GUM1046" s="104"/>
      <c r="GUN1046" s="103"/>
      <c r="GUZ1046" s="104"/>
      <c r="GVA1046" s="103"/>
      <c r="GVM1046" s="104"/>
      <c r="GVN1046" s="103"/>
      <c r="GVZ1046" s="104"/>
      <c r="GWA1046" s="103"/>
      <c r="GWM1046" s="104"/>
      <c r="GWN1046" s="103"/>
      <c r="GWZ1046" s="104"/>
      <c r="GXA1046" s="103"/>
      <c r="GXM1046" s="104"/>
      <c r="GXN1046" s="103"/>
      <c r="GXZ1046" s="104"/>
      <c r="GYA1046" s="103"/>
      <c r="GYM1046" s="104"/>
      <c r="GYN1046" s="103"/>
      <c r="GYZ1046" s="104"/>
      <c r="GZA1046" s="103"/>
      <c r="GZM1046" s="104"/>
      <c r="GZN1046" s="103"/>
      <c r="GZZ1046" s="104"/>
      <c r="HAA1046" s="103"/>
      <c r="HAM1046" s="104"/>
      <c r="HAN1046" s="103"/>
      <c r="HAZ1046" s="104"/>
      <c r="HBA1046" s="103"/>
      <c r="HBM1046" s="104"/>
      <c r="HBN1046" s="103"/>
      <c r="HBZ1046" s="104"/>
      <c r="HCA1046" s="103"/>
      <c r="HCM1046" s="104"/>
      <c r="HCN1046" s="103"/>
      <c r="HCZ1046" s="104"/>
      <c r="HDA1046" s="103"/>
      <c r="HDM1046" s="104"/>
      <c r="HDN1046" s="103"/>
      <c r="HDZ1046" s="104"/>
      <c r="HEA1046" s="103"/>
      <c r="HEM1046" s="104"/>
      <c r="HEN1046" s="103"/>
      <c r="HEZ1046" s="104"/>
      <c r="HFA1046" s="103"/>
      <c r="HFM1046" s="104"/>
      <c r="HFN1046" s="103"/>
      <c r="HFZ1046" s="104"/>
      <c r="HGA1046" s="103"/>
      <c r="HGM1046" s="104"/>
      <c r="HGN1046" s="103"/>
      <c r="HGZ1046" s="104"/>
      <c r="HHA1046" s="103"/>
      <c r="HHM1046" s="104"/>
      <c r="HHN1046" s="103"/>
      <c r="HHZ1046" s="104"/>
      <c r="HIA1046" s="103"/>
      <c r="HIM1046" s="104"/>
      <c r="HIN1046" s="103"/>
      <c r="HIZ1046" s="104"/>
      <c r="HJA1046" s="103"/>
      <c r="HJM1046" s="104"/>
      <c r="HJN1046" s="103"/>
      <c r="HJZ1046" s="104"/>
      <c r="HKA1046" s="103"/>
      <c r="HKM1046" s="104"/>
      <c r="HKN1046" s="103"/>
      <c r="HKZ1046" s="104"/>
      <c r="HLA1046" s="103"/>
      <c r="HLM1046" s="104"/>
      <c r="HLN1046" s="103"/>
      <c r="HLZ1046" s="104"/>
      <c r="HMA1046" s="103"/>
      <c r="HMM1046" s="104"/>
      <c r="HMN1046" s="103"/>
      <c r="HMZ1046" s="104"/>
      <c r="HNA1046" s="103"/>
      <c r="HNM1046" s="104"/>
      <c r="HNN1046" s="103"/>
      <c r="HNZ1046" s="104"/>
      <c r="HOA1046" s="103"/>
      <c r="HOM1046" s="104"/>
      <c r="HON1046" s="103"/>
      <c r="HOZ1046" s="104"/>
      <c r="HPA1046" s="103"/>
      <c r="HPM1046" s="104"/>
      <c r="HPN1046" s="103"/>
      <c r="HPZ1046" s="104"/>
      <c r="HQA1046" s="103"/>
      <c r="HQM1046" s="104"/>
      <c r="HQN1046" s="103"/>
      <c r="HQZ1046" s="104"/>
      <c r="HRA1046" s="103"/>
      <c r="HRM1046" s="104"/>
      <c r="HRN1046" s="103"/>
      <c r="HRZ1046" s="104"/>
      <c r="HSA1046" s="103"/>
      <c r="HSM1046" s="104"/>
      <c r="HSN1046" s="103"/>
      <c r="HSZ1046" s="104"/>
      <c r="HTA1046" s="103"/>
      <c r="HTM1046" s="104"/>
      <c r="HTN1046" s="103"/>
      <c r="HTZ1046" s="104"/>
      <c r="HUA1046" s="103"/>
      <c r="HUM1046" s="104"/>
      <c r="HUN1046" s="103"/>
      <c r="HUZ1046" s="104"/>
      <c r="HVA1046" s="103"/>
      <c r="HVM1046" s="104"/>
      <c r="HVN1046" s="103"/>
      <c r="HVZ1046" s="104"/>
      <c r="HWA1046" s="103"/>
      <c r="HWM1046" s="104"/>
      <c r="HWN1046" s="103"/>
      <c r="HWZ1046" s="104"/>
      <c r="HXA1046" s="103"/>
      <c r="HXM1046" s="104"/>
      <c r="HXN1046" s="103"/>
      <c r="HXZ1046" s="104"/>
      <c r="HYA1046" s="103"/>
      <c r="HYM1046" s="104"/>
      <c r="HYN1046" s="103"/>
      <c r="HYZ1046" s="104"/>
      <c r="HZA1046" s="103"/>
      <c r="HZM1046" s="104"/>
      <c r="HZN1046" s="103"/>
      <c r="HZZ1046" s="104"/>
      <c r="IAA1046" s="103"/>
      <c r="IAM1046" s="104"/>
      <c r="IAN1046" s="103"/>
      <c r="IAZ1046" s="104"/>
      <c r="IBA1046" s="103"/>
      <c r="IBM1046" s="104"/>
      <c r="IBN1046" s="103"/>
      <c r="IBZ1046" s="104"/>
      <c r="ICA1046" s="103"/>
      <c r="ICM1046" s="104"/>
      <c r="ICN1046" s="103"/>
      <c r="ICZ1046" s="104"/>
      <c r="IDA1046" s="103"/>
      <c r="IDM1046" s="104"/>
      <c r="IDN1046" s="103"/>
      <c r="IDZ1046" s="104"/>
      <c r="IEA1046" s="103"/>
      <c r="IEM1046" s="104"/>
      <c r="IEN1046" s="103"/>
      <c r="IEZ1046" s="104"/>
      <c r="IFA1046" s="103"/>
      <c r="IFM1046" s="104"/>
      <c r="IFN1046" s="103"/>
      <c r="IFZ1046" s="104"/>
      <c r="IGA1046" s="103"/>
      <c r="IGM1046" s="104"/>
      <c r="IGN1046" s="103"/>
      <c r="IGZ1046" s="104"/>
      <c r="IHA1046" s="103"/>
      <c r="IHM1046" s="104"/>
      <c r="IHN1046" s="103"/>
      <c r="IHZ1046" s="104"/>
      <c r="IIA1046" s="103"/>
      <c r="IIM1046" s="104"/>
      <c r="IIN1046" s="103"/>
      <c r="IIZ1046" s="104"/>
      <c r="IJA1046" s="103"/>
      <c r="IJM1046" s="104"/>
      <c r="IJN1046" s="103"/>
      <c r="IJZ1046" s="104"/>
      <c r="IKA1046" s="103"/>
      <c r="IKM1046" s="104"/>
      <c r="IKN1046" s="103"/>
      <c r="IKZ1046" s="104"/>
      <c r="ILA1046" s="103"/>
      <c r="ILM1046" s="104"/>
      <c r="ILN1046" s="103"/>
      <c r="ILZ1046" s="104"/>
      <c r="IMA1046" s="103"/>
      <c r="IMM1046" s="104"/>
      <c r="IMN1046" s="103"/>
      <c r="IMZ1046" s="104"/>
      <c r="INA1046" s="103"/>
      <c r="INM1046" s="104"/>
      <c r="INN1046" s="103"/>
      <c r="INZ1046" s="104"/>
      <c r="IOA1046" s="103"/>
      <c r="IOM1046" s="104"/>
      <c r="ION1046" s="103"/>
      <c r="IOZ1046" s="104"/>
      <c r="IPA1046" s="103"/>
      <c r="IPM1046" s="104"/>
      <c r="IPN1046" s="103"/>
      <c r="IPZ1046" s="104"/>
      <c r="IQA1046" s="103"/>
      <c r="IQM1046" s="104"/>
      <c r="IQN1046" s="103"/>
      <c r="IQZ1046" s="104"/>
      <c r="IRA1046" s="103"/>
      <c r="IRM1046" s="104"/>
      <c r="IRN1046" s="103"/>
      <c r="IRZ1046" s="104"/>
      <c r="ISA1046" s="103"/>
      <c r="ISM1046" s="104"/>
      <c r="ISN1046" s="103"/>
      <c r="ISZ1046" s="104"/>
      <c r="ITA1046" s="103"/>
      <c r="ITM1046" s="104"/>
      <c r="ITN1046" s="103"/>
      <c r="ITZ1046" s="104"/>
      <c r="IUA1046" s="103"/>
      <c r="IUM1046" s="104"/>
      <c r="IUN1046" s="103"/>
      <c r="IUZ1046" s="104"/>
      <c r="IVA1046" s="103"/>
      <c r="IVM1046" s="104"/>
      <c r="IVN1046" s="103"/>
      <c r="IVZ1046" s="104"/>
      <c r="IWA1046" s="103"/>
      <c r="IWM1046" s="104"/>
      <c r="IWN1046" s="103"/>
      <c r="IWZ1046" s="104"/>
      <c r="IXA1046" s="103"/>
      <c r="IXM1046" s="104"/>
      <c r="IXN1046" s="103"/>
      <c r="IXZ1046" s="104"/>
      <c r="IYA1046" s="103"/>
      <c r="IYM1046" s="104"/>
      <c r="IYN1046" s="103"/>
      <c r="IYZ1046" s="104"/>
      <c r="IZA1046" s="103"/>
      <c r="IZM1046" s="104"/>
      <c r="IZN1046" s="103"/>
      <c r="IZZ1046" s="104"/>
      <c r="JAA1046" s="103"/>
      <c r="JAM1046" s="104"/>
      <c r="JAN1046" s="103"/>
      <c r="JAZ1046" s="104"/>
      <c r="JBA1046" s="103"/>
      <c r="JBM1046" s="104"/>
      <c r="JBN1046" s="103"/>
      <c r="JBZ1046" s="104"/>
      <c r="JCA1046" s="103"/>
      <c r="JCM1046" s="104"/>
      <c r="JCN1046" s="103"/>
      <c r="JCZ1046" s="104"/>
      <c r="JDA1046" s="103"/>
      <c r="JDM1046" s="104"/>
      <c r="JDN1046" s="103"/>
      <c r="JDZ1046" s="104"/>
      <c r="JEA1046" s="103"/>
      <c r="JEM1046" s="104"/>
      <c r="JEN1046" s="103"/>
      <c r="JEZ1046" s="104"/>
      <c r="JFA1046" s="103"/>
      <c r="JFM1046" s="104"/>
      <c r="JFN1046" s="103"/>
      <c r="JFZ1046" s="104"/>
      <c r="JGA1046" s="103"/>
      <c r="JGM1046" s="104"/>
      <c r="JGN1046" s="103"/>
      <c r="JGZ1046" s="104"/>
      <c r="JHA1046" s="103"/>
      <c r="JHM1046" s="104"/>
      <c r="JHN1046" s="103"/>
      <c r="JHZ1046" s="104"/>
      <c r="JIA1046" s="103"/>
      <c r="JIM1046" s="104"/>
      <c r="JIN1046" s="103"/>
      <c r="JIZ1046" s="104"/>
      <c r="JJA1046" s="103"/>
      <c r="JJM1046" s="104"/>
      <c r="JJN1046" s="103"/>
      <c r="JJZ1046" s="104"/>
      <c r="JKA1046" s="103"/>
      <c r="JKM1046" s="104"/>
      <c r="JKN1046" s="103"/>
      <c r="JKZ1046" s="104"/>
      <c r="JLA1046" s="103"/>
      <c r="JLM1046" s="104"/>
      <c r="JLN1046" s="103"/>
      <c r="JLZ1046" s="104"/>
      <c r="JMA1046" s="103"/>
      <c r="JMM1046" s="104"/>
      <c r="JMN1046" s="103"/>
      <c r="JMZ1046" s="104"/>
      <c r="JNA1046" s="103"/>
      <c r="JNM1046" s="104"/>
      <c r="JNN1046" s="103"/>
      <c r="JNZ1046" s="104"/>
      <c r="JOA1046" s="103"/>
      <c r="JOM1046" s="104"/>
      <c r="JON1046" s="103"/>
      <c r="JOZ1046" s="104"/>
      <c r="JPA1046" s="103"/>
      <c r="JPM1046" s="104"/>
      <c r="JPN1046" s="103"/>
      <c r="JPZ1046" s="104"/>
      <c r="JQA1046" s="103"/>
      <c r="JQM1046" s="104"/>
      <c r="JQN1046" s="103"/>
      <c r="JQZ1046" s="104"/>
      <c r="JRA1046" s="103"/>
      <c r="JRM1046" s="104"/>
      <c r="JRN1046" s="103"/>
      <c r="JRZ1046" s="104"/>
      <c r="JSA1046" s="103"/>
      <c r="JSM1046" s="104"/>
      <c r="JSN1046" s="103"/>
      <c r="JSZ1046" s="104"/>
      <c r="JTA1046" s="103"/>
      <c r="JTM1046" s="104"/>
      <c r="JTN1046" s="103"/>
      <c r="JTZ1046" s="104"/>
      <c r="JUA1046" s="103"/>
      <c r="JUM1046" s="104"/>
      <c r="JUN1046" s="103"/>
      <c r="JUZ1046" s="104"/>
      <c r="JVA1046" s="103"/>
      <c r="JVM1046" s="104"/>
      <c r="JVN1046" s="103"/>
      <c r="JVZ1046" s="104"/>
      <c r="JWA1046" s="103"/>
      <c r="JWM1046" s="104"/>
      <c r="JWN1046" s="103"/>
      <c r="JWZ1046" s="104"/>
      <c r="JXA1046" s="103"/>
      <c r="JXM1046" s="104"/>
      <c r="JXN1046" s="103"/>
      <c r="JXZ1046" s="104"/>
      <c r="JYA1046" s="103"/>
      <c r="JYM1046" s="104"/>
      <c r="JYN1046" s="103"/>
      <c r="JYZ1046" s="104"/>
      <c r="JZA1046" s="103"/>
      <c r="JZM1046" s="104"/>
      <c r="JZN1046" s="103"/>
      <c r="JZZ1046" s="104"/>
      <c r="KAA1046" s="103"/>
      <c r="KAM1046" s="104"/>
      <c r="KAN1046" s="103"/>
      <c r="KAZ1046" s="104"/>
      <c r="KBA1046" s="103"/>
      <c r="KBM1046" s="104"/>
      <c r="KBN1046" s="103"/>
      <c r="KBZ1046" s="104"/>
      <c r="KCA1046" s="103"/>
      <c r="KCM1046" s="104"/>
      <c r="KCN1046" s="103"/>
      <c r="KCZ1046" s="104"/>
      <c r="KDA1046" s="103"/>
      <c r="KDM1046" s="104"/>
      <c r="KDN1046" s="103"/>
      <c r="KDZ1046" s="104"/>
      <c r="KEA1046" s="103"/>
      <c r="KEM1046" s="104"/>
      <c r="KEN1046" s="103"/>
      <c r="KEZ1046" s="104"/>
      <c r="KFA1046" s="103"/>
      <c r="KFM1046" s="104"/>
      <c r="KFN1046" s="103"/>
      <c r="KFZ1046" s="104"/>
      <c r="KGA1046" s="103"/>
      <c r="KGM1046" s="104"/>
      <c r="KGN1046" s="103"/>
      <c r="KGZ1046" s="104"/>
      <c r="KHA1046" s="103"/>
      <c r="KHM1046" s="104"/>
      <c r="KHN1046" s="103"/>
      <c r="KHZ1046" s="104"/>
      <c r="KIA1046" s="103"/>
      <c r="KIM1046" s="104"/>
      <c r="KIN1046" s="103"/>
      <c r="KIZ1046" s="104"/>
      <c r="KJA1046" s="103"/>
      <c r="KJM1046" s="104"/>
      <c r="KJN1046" s="103"/>
      <c r="KJZ1046" s="104"/>
      <c r="KKA1046" s="103"/>
      <c r="KKM1046" s="104"/>
      <c r="KKN1046" s="103"/>
      <c r="KKZ1046" s="104"/>
      <c r="KLA1046" s="103"/>
      <c r="KLM1046" s="104"/>
      <c r="KLN1046" s="103"/>
      <c r="KLZ1046" s="104"/>
      <c r="KMA1046" s="103"/>
      <c r="KMM1046" s="104"/>
      <c r="KMN1046" s="103"/>
      <c r="KMZ1046" s="104"/>
      <c r="KNA1046" s="103"/>
      <c r="KNM1046" s="104"/>
      <c r="KNN1046" s="103"/>
      <c r="KNZ1046" s="104"/>
      <c r="KOA1046" s="103"/>
      <c r="KOM1046" s="104"/>
      <c r="KON1046" s="103"/>
      <c r="KOZ1046" s="104"/>
      <c r="KPA1046" s="103"/>
      <c r="KPM1046" s="104"/>
      <c r="KPN1046" s="103"/>
      <c r="KPZ1046" s="104"/>
      <c r="KQA1046" s="103"/>
      <c r="KQM1046" s="104"/>
      <c r="KQN1046" s="103"/>
      <c r="KQZ1046" s="104"/>
      <c r="KRA1046" s="103"/>
      <c r="KRM1046" s="104"/>
      <c r="KRN1046" s="103"/>
      <c r="KRZ1046" s="104"/>
      <c r="KSA1046" s="103"/>
      <c r="KSM1046" s="104"/>
      <c r="KSN1046" s="103"/>
      <c r="KSZ1046" s="104"/>
      <c r="KTA1046" s="103"/>
      <c r="KTM1046" s="104"/>
      <c r="KTN1046" s="103"/>
      <c r="KTZ1046" s="104"/>
      <c r="KUA1046" s="103"/>
      <c r="KUM1046" s="104"/>
      <c r="KUN1046" s="103"/>
      <c r="KUZ1046" s="104"/>
      <c r="KVA1046" s="103"/>
      <c r="KVM1046" s="104"/>
      <c r="KVN1046" s="103"/>
      <c r="KVZ1046" s="104"/>
      <c r="KWA1046" s="103"/>
      <c r="KWM1046" s="104"/>
      <c r="KWN1046" s="103"/>
      <c r="KWZ1046" s="104"/>
      <c r="KXA1046" s="103"/>
      <c r="KXM1046" s="104"/>
      <c r="KXN1046" s="103"/>
      <c r="KXZ1046" s="104"/>
      <c r="KYA1046" s="103"/>
      <c r="KYM1046" s="104"/>
      <c r="KYN1046" s="103"/>
      <c r="KYZ1046" s="104"/>
      <c r="KZA1046" s="103"/>
      <c r="KZM1046" s="104"/>
      <c r="KZN1046" s="103"/>
      <c r="KZZ1046" s="104"/>
      <c r="LAA1046" s="103"/>
      <c r="LAM1046" s="104"/>
      <c r="LAN1046" s="103"/>
      <c r="LAZ1046" s="104"/>
      <c r="LBA1046" s="103"/>
      <c r="LBM1046" s="104"/>
      <c r="LBN1046" s="103"/>
      <c r="LBZ1046" s="104"/>
      <c r="LCA1046" s="103"/>
      <c r="LCM1046" s="104"/>
      <c r="LCN1046" s="103"/>
      <c r="LCZ1046" s="104"/>
      <c r="LDA1046" s="103"/>
      <c r="LDM1046" s="104"/>
      <c r="LDN1046" s="103"/>
      <c r="LDZ1046" s="104"/>
      <c r="LEA1046" s="103"/>
      <c r="LEM1046" s="104"/>
      <c r="LEN1046" s="103"/>
      <c r="LEZ1046" s="104"/>
      <c r="LFA1046" s="103"/>
      <c r="LFM1046" s="104"/>
      <c r="LFN1046" s="103"/>
      <c r="LFZ1046" s="104"/>
      <c r="LGA1046" s="103"/>
      <c r="LGM1046" s="104"/>
      <c r="LGN1046" s="103"/>
      <c r="LGZ1046" s="104"/>
      <c r="LHA1046" s="103"/>
      <c r="LHM1046" s="104"/>
      <c r="LHN1046" s="103"/>
      <c r="LHZ1046" s="104"/>
      <c r="LIA1046" s="103"/>
      <c r="LIM1046" s="104"/>
      <c r="LIN1046" s="103"/>
      <c r="LIZ1046" s="104"/>
      <c r="LJA1046" s="103"/>
      <c r="LJM1046" s="104"/>
      <c r="LJN1046" s="103"/>
      <c r="LJZ1046" s="104"/>
      <c r="LKA1046" s="103"/>
      <c r="LKM1046" s="104"/>
      <c r="LKN1046" s="103"/>
      <c r="LKZ1046" s="104"/>
      <c r="LLA1046" s="103"/>
      <c r="LLM1046" s="104"/>
      <c r="LLN1046" s="103"/>
      <c r="LLZ1046" s="104"/>
      <c r="LMA1046" s="103"/>
      <c r="LMM1046" s="104"/>
      <c r="LMN1046" s="103"/>
      <c r="LMZ1046" s="104"/>
      <c r="LNA1046" s="103"/>
      <c r="LNM1046" s="104"/>
      <c r="LNN1046" s="103"/>
      <c r="LNZ1046" s="104"/>
      <c r="LOA1046" s="103"/>
      <c r="LOM1046" s="104"/>
      <c r="LON1046" s="103"/>
      <c r="LOZ1046" s="104"/>
      <c r="LPA1046" s="103"/>
      <c r="LPM1046" s="104"/>
      <c r="LPN1046" s="103"/>
      <c r="LPZ1046" s="104"/>
      <c r="LQA1046" s="103"/>
      <c r="LQM1046" s="104"/>
      <c r="LQN1046" s="103"/>
      <c r="LQZ1046" s="104"/>
      <c r="LRA1046" s="103"/>
      <c r="LRM1046" s="104"/>
      <c r="LRN1046" s="103"/>
      <c r="LRZ1046" s="104"/>
      <c r="LSA1046" s="103"/>
      <c r="LSM1046" s="104"/>
      <c r="LSN1046" s="103"/>
      <c r="LSZ1046" s="104"/>
      <c r="LTA1046" s="103"/>
      <c r="LTM1046" s="104"/>
      <c r="LTN1046" s="103"/>
      <c r="LTZ1046" s="104"/>
      <c r="LUA1046" s="103"/>
      <c r="LUM1046" s="104"/>
      <c r="LUN1046" s="103"/>
      <c r="LUZ1046" s="104"/>
      <c r="LVA1046" s="103"/>
      <c r="LVM1046" s="104"/>
      <c r="LVN1046" s="103"/>
      <c r="LVZ1046" s="104"/>
      <c r="LWA1046" s="103"/>
      <c r="LWM1046" s="104"/>
      <c r="LWN1046" s="103"/>
      <c r="LWZ1046" s="104"/>
      <c r="LXA1046" s="103"/>
      <c r="LXM1046" s="104"/>
      <c r="LXN1046" s="103"/>
      <c r="LXZ1046" s="104"/>
      <c r="LYA1046" s="103"/>
      <c r="LYM1046" s="104"/>
      <c r="LYN1046" s="103"/>
      <c r="LYZ1046" s="104"/>
      <c r="LZA1046" s="103"/>
      <c r="LZM1046" s="104"/>
      <c r="LZN1046" s="103"/>
      <c r="LZZ1046" s="104"/>
      <c r="MAA1046" s="103"/>
      <c r="MAM1046" s="104"/>
      <c r="MAN1046" s="103"/>
      <c r="MAZ1046" s="104"/>
      <c r="MBA1046" s="103"/>
      <c r="MBM1046" s="104"/>
      <c r="MBN1046" s="103"/>
      <c r="MBZ1046" s="104"/>
      <c r="MCA1046" s="103"/>
      <c r="MCM1046" s="104"/>
      <c r="MCN1046" s="103"/>
      <c r="MCZ1046" s="104"/>
      <c r="MDA1046" s="103"/>
      <c r="MDM1046" s="104"/>
      <c r="MDN1046" s="103"/>
      <c r="MDZ1046" s="104"/>
      <c r="MEA1046" s="103"/>
      <c r="MEM1046" s="104"/>
      <c r="MEN1046" s="103"/>
      <c r="MEZ1046" s="104"/>
      <c r="MFA1046" s="103"/>
      <c r="MFM1046" s="104"/>
      <c r="MFN1046" s="103"/>
      <c r="MFZ1046" s="104"/>
      <c r="MGA1046" s="103"/>
      <c r="MGM1046" s="104"/>
      <c r="MGN1046" s="103"/>
      <c r="MGZ1046" s="104"/>
      <c r="MHA1046" s="103"/>
      <c r="MHM1046" s="104"/>
      <c r="MHN1046" s="103"/>
      <c r="MHZ1046" s="104"/>
      <c r="MIA1046" s="103"/>
      <c r="MIM1046" s="104"/>
      <c r="MIN1046" s="103"/>
      <c r="MIZ1046" s="104"/>
      <c r="MJA1046" s="103"/>
      <c r="MJM1046" s="104"/>
      <c r="MJN1046" s="103"/>
      <c r="MJZ1046" s="104"/>
      <c r="MKA1046" s="103"/>
      <c r="MKM1046" s="104"/>
      <c r="MKN1046" s="103"/>
      <c r="MKZ1046" s="104"/>
      <c r="MLA1046" s="103"/>
      <c r="MLM1046" s="104"/>
      <c r="MLN1046" s="103"/>
      <c r="MLZ1046" s="104"/>
      <c r="MMA1046" s="103"/>
      <c r="MMM1046" s="104"/>
      <c r="MMN1046" s="103"/>
      <c r="MMZ1046" s="104"/>
      <c r="MNA1046" s="103"/>
      <c r="MNM1046" s="104"/>
      <c r="MNN1046" s="103"/>
      <c r="MNZ1046" s="104"/>
      <c r="MOA1046" s="103"/>
      <c r="MOM1046" s="104"/>
      <c r="MON1046" s="103"/>
      <c r="MOZ1046" s="104"/>
      <c r="MPA1046" s="103"/>
      <c r="MPM1046" s="104"/>
      <c r="MPN1046" s="103"/>
      <c r="MPZ1046" s="104"/>
      <c r="MQA1046" s="103"/>
      <c r="MQM1046" s="104"/>
      <c r="MQN1046" s="103"/>
      <c r="MQZ1046" s="104"/>
      <c r="MRA1046" s="103"/>
      <c r="MRM1046" s="104"/>
      <c r="MRN1046" s="103"/>
      <c r="MRZ1046" s="104"/>
      <c r="MSA1046" s="103"/>
      <c r="MSM1046" s="104"/>
      <c r="MSN1046" s="103"/>
      <c r="MSZ1046" s="104"/>
      <c r="MTA1046" s="103"/>
      <c r="MTM1046" s="104"/>
      <c r="MTN1046" s="103"/>
      <c r="MTZ1046" s="104"/>
      <c r="MUA1046" s="103"/>
      <c r="MUM1046" s="104"/>
      <c r="MUN1046" s="103"/>
      <c r="MUZ1046" s="104"/>
      <c r="MVA1046" s="103"/>
      <c r="MVM1046" s="104"/>
      <c r="MVN1046" s="103"/>
      <c r="MVZ1046" s="104"/>
      <c r="MWA1046" s="103"/>
      <c r="MWM1046" s="104"/>
      <c r="MWN1046" s="103"/>
      <c r="MWZ1046" s="104"/>
      <c r="MXA1046" s="103"/>
      <c r="MXM1046" s="104"/>
      <c r="MXN1046" s="103"/>
      <c r="MXZ1046" s="104"/>
      <c r="MYA1046" s="103"/>
      <c r="MYM1046" s="104"/>
      <c r="MYN1046" s="103"/>
      <c r="MYZ1046" s="104"/>
      <c r="MZA1046" s="103"/>
      <c r="MZM1046" s="104"/>
      <c r="MZN1046" s="103"/>
      <c r="MZZ1046" s="104"/>
      <c r="NAA1046" s="103"/>
      <c r="NAM1046" s="104"/>
      <c r="NAN1046" s="103"/>
      <c r="NAZ1046" s="104"/>
      <c r="NBA1046" s="103"/>
      <c r="NBM1046" s="104"/>
      <c r="NBN1046" s="103"/>
      <c r="NBZ1046" s="104"/>
      <c r="NCA1046" s="103"/>
      <c r="NCM1046" s="104"/>
      <c r="NCN1046" s="103"/>
      <c r="NCZ1046" s="104"/>
      <c r="NDA1046" s="103"/>
      <c r="NDM1046" s="104"/>
      <c r="NDN1046" s="103"/>
      <c r="NDZ1046" s="104"/>
      <c r="NEA1046" s="103"/>
      <c r="NEM1046" s="104"/>
      <c r="NEN1046" s="103"/>
      <c r="NEZ1046" s="104"/>
      <c r="NFA1046" s="103"/>
      <c r="NFM1046" s="104"/>
      <c r="NFN1046" s="103"/>
      <c r="NFZ1046" s="104"/>
      <c r="NGA1046" s="103"/>
      <c r="NGM1046" s="104"/>
      <c r="NGN1046" s="103"/>
      <c r="NGZ1046" s="104"/>
      <c r="NHA1046" s="103"/>
      <c r="NHM1046" s="104"/>
      <c r="NHN1046" s="103"/>
      <c r="NHZ1046" s="104"/>
      <c r="NIA1046" s="103"/>
      <c r="NIM1046" s="104"/>
      <c r="NIN1046" s="103"/>
      <c r="NIZ1046" s="104"/>
      <c r="NJA1046" s="103"/>
      <c r="NJM1046" s="104"/>
      <c r="NJN1046" s="103"/>
      <c r="NJZ1046" s="104"/>
      <c r="NKA1046" s="103"/>
      <c r="NKM1046" s="104"/>
      <c r="NKN1046" s="103"/>
      <c r="NKZ1046" s="104"/>
      <c r="NLA1046" s="103"/>
      <c r="NLM1046" s="104"/>
      <c r="NLN1046" s="103"/>
      <c r="NLZ1046" s="104"/>
      <c r="NMA1046" s="103"/>
      <c r="NMM1046" s="104"/>
      <c r="NMN1046" s="103"/>
      <c r="NMZ1046" s="104"/>
      <c r="NNA1046" s="103"/>
      <c r="NNM1046" s="104"/>
      <c r="NNN1046" s="103"/>
      <c r="NNZ1046" s="104"/>
      <c r="NOA1046" s="103"/>
      <c r="NOM1046" s="104"/>
      <c r="NON1046" s="103"/>
      <c r="NOZ1046" s="104"/>
      <c r="NPA1046" s="103"/>
      <c r="NPM1046" s="104"/>
      <c r="NPN1046" s="103"/>
      <c r="NPZ1046" s="104"/>
      <c r="NQA1046" s="103"/>
      <c r="NQM1046" s="104"/>
      <c r="NQN1046" s="103"/>
      <c r="NQZ1046" s="104"/>
      <c r="NRA1046" s="103"/>
      <c r="NRM1046" s="104"/>
      <c r="NRN1046" s="103"/>
      <c r="NRZ1046" s="104"/>
      <c r="NSA1046" s="103"/>
      <c r="NSM1046" s="104"/>
      <c r="NSN1046" s="103"/>
      <c r="NSZ1046" s="104"/>
      <c r="NTA1046" s="103"/>
      <c r="NTM1046" s="104"/>
      <c r="NTN1046" s="103"/>
      <c r="NTZ1046" s="104"/>
      <c r="NUA1046" s="103"/>
      <c r="NUM1046" s="104"/>
      <c r="NUN1046" s="103"/>
      <c r="NUZ1046" s="104"/>
      <c r="NVA1046" s="103"/>
      <c r="NVM1046" s="104"/>
      <c r="NVN1046" s="103"/>
      <c r="NVZ1046" s="104"/>
      <c r="NWA1046" s="103"/>
      <c r="NWM1046" s="104"/>
      <c r="NWN1046" s="103"/>
      <c r="NWZ1046" s="104"/>
      <c r="NXA1046" s="103"/>
      <c r="NXM1046" s="104"/>
      <c r="NXN1046" s="103"/>
      <c r="NXZ1046" s="104"/>
      <c r="NYA1046" s="103"/>
      <c r="NYM1046" s="104"/>
      <c r="NYN1046" s="103"/>
      <c r="NYZ1046" s="104"/>
      <c r="NZA1046" s="103"/>
      <c r="NZM1046" s="104"/>
      <c r="NZN1046" s="103"/>
      <c r="NZZ1046" s="104"/>
      <c r="OAA1046" s="103"/>
      <c r="OAM1046" s="104"/>
      <c r="OAN1046" s="103"/>
      <c r="OAZ1046" s="104"/>
      <c r="OBA1046" s="103"/>
      <c r="OBM1046" s="104"/>
      <c r="OBN1046" s="103"/>
      <c r="OBZ1046" s="104"/>
      <c r="OCA1046" s="103"/>
      <c r="OCM1046" s="104"/>
      <c r="OCN1046" s="103"/>
      <c r="OCZ1046" s="104"/>
      <c r="ODA1046" s="103"/>
      <c r="ODM1046" s="104"/>
      <c r="ODN1046" s="103"/>
      <c r="ODZ1046" s="104"/>
      <c r="OEA1046" s="103"/>
      <c r="OEM1046" s="104"/>
      <c r="OEN1046" s="103"/>
      <c r="OEZ1046" s="104"/>
      <c r="OFA1046" s="103"/>
      <c r="OFM1046" s="104"/>
      <c r="OFN1046" s="103"/>
      <c r="OFZ1046" s="104"/>
      <c r="OGA1046" s="103"/>
      <c r="OGM1046" s="104"/>
      <c r="OGN1046" s="103"/>
      <c r="OGZ1046" s="104"/>
      <c r="OHA1046" s="103"/>
      <c r="OHM1046" s="104"/>
      <c r="OHN1046" s="103"/>
      <c r="OHZ1046" s="104"/>
      <c r="OIA1046" s="103"/>
      <c r="OIM1046" s="104"/>
      <c r="OIN1046" s="103"/>
      <c r="OIZ1046" s="104"/>
      <c r="OJA1046" s="103"/>
      <c r="OJM1046" s="104"/>
      <c r="OJN1046" s="103"/>
      <c r="OJZ1046" s="104"/>
      <c r="OKA1046" s="103"/>
      <c r="OKM1046" s="104"/>
      <c r="OKN1046" s="103"/>
      <c r="OKZ1046" s="104"/>
      <c r="OLA1046" s="103"/>
      <c r="OLM1046" s="104"/>
      <c r="OLN1046" s="103"/>
      <c r="OLZ1046" s="104"/>
      <c r="OMA1046" s="103"/>
      <c r="OMM1046" s="104"/>
      <c r="OMN1046" s="103"/>
      <c r="OMZ1046" s="104"/>
      <c r="ONA1046" s="103"/>
      <c r="ONM1046" s="104"/>
      <c r="ONN1046" s="103"/>
      <c r="ONZ1046" s="104"/>
      <c r="OOA1046" s="103"/>
      <c r="OOM1046" s="104"/>
      <c r="OON1046" s="103"/>
      <c r="OOZ1046" s="104"/>
      <c r="OPA1046" s="103"/>
      <c r="OPM1046" s="104"/>
      <c r="OPN1046" s="103"/>
      <c r="OPZ1046" s="104"/>
      <c r="OQA1046" s="103"/>
      <c r="OQM1046" s="104"/>
      <c r="OQN1046" s="103"/>
      <c r="OQZ1046" s="104"/>
      <c r="ORA1046" s="103"/>
      <c r="ORM1046" s="104"/>
      <c r="ORN1046" s="103"/>
      <c r="ORZ1046" s="104"/>
      <c r="OSA1046" s="103"/>
      <c r="OSM1046" s="104"/>
      <c r="OSN1046" s="103"/>
      <c r="OSZ1046" s="104"/>
      <c r="OTA1046" s="103"/>
      <c r="OTM1046" s="104"/>
      <c r="OTN1046" s="103"/>
      <c r="OTZ1046" s="104"/>
      <c r="OUA1046" s="103"/>
      <c r="OUM1046" s="104"/>
      <c r="OUN1046" s="103"/>
      <c r="OUZ1046" s="104"/>
      <c r="OVA1046" s="103"/>
      <c r="OVM1046" s="104"/>
      <c r="OVN1046" s="103"/>
      <c r="OVZ1046" s="104"/>
      <c r="OWA1046" s="103"/>
      <c r="OWM1046" s="104"/>
      <c r="OWN1046" s="103"/>
      <c r="OWZ1046" s="104"/>
      <c r="OXA1046" s="103"/>
      <c r="OXM1046" s="104"/>
      <c r="OXN1046" s="103"/>
      <c r="OXZ1046" s="104"/>
      <c r="OYA1046" s="103"/>
      <c r="OYM1046" s="104"/>
      <c r="OYN1046" s="103"/>
      <c r="OYZ1046" s="104"/>
      <c r="OZA1046" s="103"/>
      <c r="OZM1046" s="104"/>
      <c r="OZN1046" s="103"/>
      <c r="OZZ1046" s="104"/>
      <c r="PAA1046" s="103"/>
      <c r="PAM1046" s="104"/>
      <c r="PAN1046" s="103"/>
      <c r="PAZ1046" s="104"/>
      <c r="PBA1046" s="103"/>
      <c r="PBM1046" s="104"/>
      <c r="PBN1046" s="103"/>
      <c r="PBZ1046" s="104"/>
      <c r="PCA1046" s="103"/>
      <c r="PCM1046" s="104"/>
      <c r="PCN1046" s="103"/>
      <c r="PCZ1046" s="104"/>
      <c r="PDA1046" s="103"/>
      <c r="PDM1046" s="104"/>
      <c r="PDN1046" s="103"/>
      <c r="PDZ1046" s="104"/>
      <c r="PEA1046" s="103"/>
      <c r="PEM1046" s="104"/>
      <c r="PEN1046" s="103"/>
      <c r="PEZ1046" s="104"/>
      <c r="PFA1046" s="103"/>
      <c r="PFM1046" s="104"/>
      <c r="PFN1046" s="103"/>
      <c r="PFZ1046" s="104"/>
      <c r="PGA1046" s="103"/>
      <c r="PGM1046" s="104"/>
      <c r="PGN1046" s="103"/>
      <c r="PGZ1046" s="104"/>
      <c r="PHA1046" s="103"/>
      <c r="PHM1046" s="104"/>
      <c r="PHN1046" s="103"/>
      <c r="PHZ1046" s="104"/>
      <c r="PIA1046" s="103"/>
      <c r="PIM1046" s="104"/>
      <c r="PIN1046" s="103"/>
      <c r="PIZ1046" s="104"/>
      <c r="PJA1046" s="103"/>
      <c r="PJM1046" s="104"/>
      <c r="PJN1046" s="103"/>
      <c r="PJZ1046" s="104"/>
      <c r="PKA1046" s="103"/>
      <c r="PKM1046" s="104"/>
      <c r="PKN1046" s="103"/>
      <c r="PKZ1046" s="104"/>
      <c r="PLA1046" s="103"/>
      <c r="PLM1046" s="104"/>
      <c r="PLN1046" s="103"/>
      <c r="PLZ1046" s="104"/>
      <c r="PMA1046" s="103"/>
      <c r="PMM1046" s="104"/>
      <c r="PMN1046" s="103"/>
      <c r="PMZ1046" s="104"/>
      <c r="PNA1046" s="103"/>
      <c r="PNM1046" s="104"/>
      <c r="PNN1046" s="103"/>
      <c r="PNZ1046" s="104"/>
      <c r="POA1046" s="103"/>
      <c r="POM1046" s="104"/>
      <c r="PON1046" s="103"/>
      <c r="POZ1046" s="104"/>
      <c r="PPA1046" s="103"/>
      <c r="PPM1046" s="104"/>
      <c r="PPN1046" s="103"/>
      <c r="PPZ1046" s="104"/>
      <c r="PQA1046" s="103"/>
      <c r="PQM1046" s="104"/>
      <c r="PQN1046" s="103"/>
      <c r="PQZ1046" s="104"/>
      <c r="PRA1046" s="103"/>
      <c r="PRM1046" s="104"/>
      <c r="PRN1046" s="103"/>
      <c r="PRZ1046" s="104"/>
      <c r="PSA1046" s="103"/>
      <c r="PSM1046" s="104"/>
      <c r="PSN1046" s="103"/>
      <c r="PSZ1046" s="104"/>
      <c r="PTA1046" s="103"/>
      <c r="PTM1046" s="104"/>
      <c r="PTN1046" s="103"/>
      <c r="PTZ1046" s="104"/>
      <c r="PUA1046" s="103"/>
      <c r="PUM1046" s="104"/>
      <c r="PUN1046" s="103"/>
      <c r="PUZ1046" s="104"/>
      <c r="PVA1046" s="103"/>
      <c r="PVM1046" s="104"/>
      <c r="PVN1046" s="103"/>
      <c r="PVZ1046" s="104"/>
      <c r="PWA1046" s="103"/>
      <c r="PWM1046" s="104"/>
      <c r="PWN1046" s="103"/>
      <c r="PWZ1046" s="104"/>
      <c r="PXA1046" s="103"/>
      <c r="PXM1046" s="104"/>
      <c r="PXN1046" s="103"/>
      <c r="PXZ1046" s="104"/>
      <c r="PYA1046" s="103"/>
      <c r="PYM1046" s="104"/>
      <c r="PYN1046" s="103"/>
      <c r="PYZ1046" s="104"/>
      <c r="PZA1046" s="103"/>
      <c r="PZM1046" s="104"/>
      <c r="PZN1046" s="103"/>
      <c r="PZZ1046" s="104"/>
      <c r="QAA1046" s="103"/>
      <c r="QAM1046" s="104"/>
      <c r="QAN1046" s="103"/>
      <c r="QAZ1046" s="104"/>
      <c r="QBA1046" s="103"/>
      <c r="QBM1046" s="104"/>
      <c r="QBN1046" s="103"/>
      <c r="QBZ1046" s="104"/>
      <c r="QCA1046" s="103"/>
      <c r="QCM1046" s="104"/>
      <c r="QCN1046" s="103"/>
      <c r="QCZ1046" s="104"/>
      <c r="QDA1046" s="103"/>
      <c r="QDM1046" s="104"/>
      <c r="QDN1046" s="103"/>
      <c r="QDZ1046" s="104"/>
      <c r="QEA1046" s="103"/>
      <c r="QEM1046" s="104"/>
      <c r="QEN1046" s="103"/>
      <c r="QEZ1046" s="104"/>
      <c r="QFA1046" s="103"/>
      <c r="QFM1046" s="104"/>
      <c r="QFN1046" s="103"/>
      <c r="QFZ1046" s="104"/>
      <c r="QGA1046" s="103"/>
      <c r="QGM1046" s="104"/>
      <c r="QGN1046" s="103"/>
      <c r="QGZ1046" s="104"/>
      <c r="QHA1046" s="103"/>
      <c r="QHM1046" s="104"/>
      <c r="QHN1046" s="103"/>
      <c r="QHZ1046" s="104"/>
      <c r="QIA1046" s="103"/>
      <c r="QIM1046" s="104"/>
      <c r="QIN1046" s="103"/>
      <c r="QIZ1046" s="104"/>
      <c r="QJA1046" s="103"/>
      <c r="QJM1046" s="104"/>
      <c r="QJN1046" s="103"/>
      <c r="QJZ1046" s="104"/>
      <c r="QKA1046" s="103"/>
      <c r="QKM1046" s="104"/>
      <c r="QKN1046" s="103"/>
      <c r="QKZ1046" s="104"/>
      <c r="QLA1046" s="103"/>
      <c r="QLM1046" s="104"/>
      <c r="QLN1046" s="103"/>
      <c r="QLZ1046" s="104"/>
      <c r="QMA1046" s="103"/>
      <c r="QMM1046" s="104"/>
      <c r="QMN1046" s="103"/>
      <c r="QMZ1046" s="104"/>
      <c r="QNA1046" s="103"/>
      <c r="QNM1046" s="104"/>
      <c r="QNN1046" s="103"/>
      <c r="QNZ1046" s="104"/>
      <c r="QOA1046" s="103"/>
      <c r="QOM1046" s="104"/>
      <c r="QON1046" s="103"/>
      <c r="QOZ1046" s="104"/>
      <c r="QPA1046" s="103"/>
      <c r="QPM1046" s="104"/>
      <c r="QPN1046" s="103"/>
      <c r="QPZ1046" s="104"/>
      <c r="QQA1046" s="103"/>
      <c r="QQM1046" s="104"/>
      <c r="QQN1046" s="103"/>
      <c r="QQZ1046" s="104"/>
      <c r="QRA1046" s="103"/>
      <c r="QRM1046" s="104"/>
      <c r="QRN1046" s="103"/>
      <c r="QRZ1046" s="104"/>
      <c r="QSA1046" s="103"/>
      <c r="QSM1046" s="104"/>
      <c r="QSN1046" s="103"/>
      <c r="QSZ1046" s="104"/>
      <c r="QTA1046" s="103"/>
      <c r="QTM1046" s="104"/>
      <c r="QTN1046" s="103"/>
      <c r="QTZ1046" s="104"/>
      <c r="QUA1046" s="103"/>
      <c r="QUM1046" s="104"/>
      <c r="QUN1046" s="103"/>
      <c r="QUZ1046" s="104"/>
      <c r="QVA1046" s="103"/>
      <c r="QVM1046" s="104"/>
      <c r="QVN1046" s="103"/>
      <c r="QVZ1046" s="104"/>
      <c r="QWA1046" s="103"/>
      <c r="QWM1046" s="104"/>
      <c r="QWN1046" s="103"/>
      <c r="QWZ1046" s="104"/>
      <c r="QXA1046" s="103"/>
      <c r="QXM1046" s="104"/>
      <c r="QXN1046" s="103"/>
      <c r="QXZ1046" s="104"/>
      <c r="QYA1046" s="103"/>
      <c r="QYM1046" s="104"/>
      <c r="QYN1046" s="103"/>
      <c r="QYZ1046" s="104"/>
      <c r="QZA1046" s="103"/>
      <c r="QZM1046" s="104"/>
      <c r="QZN1046" s="103"/>
      <c r="QZZ1046" s="104"/>
      <c r="RAA1046" s="103"/>
      <c r="RAM1046" s="104"/>
      <c r="RAN1046" s="103"/>
      <c r="RAZ1046" s="104"/>
      <c r="RBA1046" s="103"/>
      <c r="RBM1046" s="104"/>
      <c r="RBN1046" s="103"/>
      <c r="RBZ1046" s="104"/>
      <c r="RCA1046" s="103"/>
      <c r="RCM1046" s="104"/>
      <c r="RCN1046" s="103"/>
      <c r="RCZ1046" s="104"/>
      <c r="RDA1046" s="103"/>
      <c r="RDM1046" s="104"/>
      <c r="RDN1046" s="103"/>
      <c r="RDZ1046" s="104"/>
      <c r="REA1046" s="103"/>
      <c r="REM1046" s="104"/>
      <c r="REN1046" s="103"/>
      <c r="REZ1046" s="104"/>
      <c r="RFA1046" s="103"/>
      <c r="RFM1046" s="104"/>
      <c r="RFN1046" s="103"/>
      <c r="RFZ1046" s="104"/>
      <c r="RGA1046" s="103"/>
      <c r="RGM1046" s="104"/>
      <c r="RGN1046" s="103"/>
      <c r="RGZ1046" s="104"/>
      <c r="RHA1046" s="103"/>
      <c r="RHM1046" s="104"/>
      <c r="RHN1046" s="103"/>
      <c r="RHZ1046" s="104"/>
      <c r="RIA1046" s="103"/>
      <c r="RIM1046" s="104"/>
      <c r="RIN1046" s="103"/>
      <c r="RIZ1046" s="104"/>
      <c r="RJA1046" s="103"/>
      <c r="RJM1046" s="104"/>
      <c r="RJN1046" s="103"/>
      <c r="RJZ1046" s="104"/>
      <c r="RKA1046" s="103"/>
      <c r="RKM1046" s="104"/>
      <c r="RKN1046" s="103"/>
      <c r="RKZ1046" s="104"/>
      <c r="RLA1046" s="103"/>
      <c r="RLM1046" s="104"/>
      <c r="RLN1046" s="103"/>
      <c r="RLZ1046" s="104"/>
      <c r="RMA1046" s="103"/>
      <c r="RMM1046" s="104"/>
      <c r="RMN1046" s="103"/>
      <c r="RMZ1046" s="104"/>
      <c r="RNA1046" s="103"/>
      <c r="RNM1046" s="104"/>
      <c r="RNN1046" s="103"/>
      <c r="RNZ1046" s="104"/>
      <c r="ROA1046" s="103"/>
      <c r="ROM1046" s="104"/>
      <c r="RON1046" s="103"/>
      <c r="ROZ1046" s="104"/>
      <c r="RPA1046" s="103"/>
      <c r="RPM1046" s="104"/>
      <c r="RPN1046" s="103"/>
      <c r="RPZ1046" s="104"/>
      <c r="RQA1046" s="103"/>
      <c r="RQM1046" s="104"/>
      <c r="RQN1046" s="103"/>
      <c r="RQZ1046" s="104"/>
      <c r="RRA1046" s="103"/>
      <c r="RRM1046" s="104"/>
      <c r="RRN1046" s="103"/>
      <c r="RRZ1046" s="104"/>
      <c r="RSA1046" s="103"/>
      <c r="RSM1046" s="104"/>
      <c r="RSN1046" s="103"/>
      <c r="RSZ1046" s="104"/>
      <c r="RTA1046" s="103"/>
      <c r="RTM1046" s="104"/>
      <c r="RTN1046" s="103"/>
      <c r="RTZ1046" s="104"/>
      <c r="RUA1046" s="103"/>
      <c r="RUM1046" s="104"/>
      <c r="RUN1046" s="103"/>
      <c r="RUZ1046" s="104"/>
      <c r="RVA1046" s="103"/>
      <c r="RVM1046" s="104"/>
      <c r="RVN1046" s="103"/>
      <c r="RVZ1046" s="104"/>
      <c r="RWA1046" s="103"/>
      <c r="RWM1046" s="104"/>
      <c r="RWN1046" s="103"/>
      <c r="RWZ1046" s="104"/>
      <c r="RXA1046" s="103"/>
      <c r="RXM1046" s="104"/>
      <c r="RXN1046" s="103"/>
      <c r="RXZ1046" s="104"/>
      <c r="RYA1046" s="103"/>
      <c r="RYM1046" s="104"/>
      <c r="RYN1046" s="103"/>
      <c r="RYZ1046" s="104"/>
      <c r="RZA1046" s="103"/>
      <c r="RZM1046" s="104"/>
      <c r="RZN1046" s="103"/>
      <c r="RZZ1046" s="104"/>
      <c r="SAA1046" s="103"/>
      <c r="SAM1046" s="104"/>
      <c r="SAN1046" s="103"/>
      <c r="SAZ1046" s="104"/>
      <c r="SBA1046" s="103"/>
      <c r="SBM1046" s="104"/>
      <c r="SBN1046" s="103"/>
      <c r="SBZ1046" s="104"/>
      <c r="SCA1046" s="103"/>
      <c r="SCM1046" s="104"/>
      <c r="SCN1046" s="103"/>
      <c r="SCZ1046" s="104"/>
      <c r="SDA1046" s="103"/>
      <c r="SDM1046" s="104"/>
      <c r="SDN1046" s="103"/>
      <c r="SDZ1046" s="104"/>
      <c r="SEA1046" s="103"/>
      <c r="SEM1046" s="104"/>
      <c r="SEN1046" s="103"/>
      <c r="SEZ1046" s="104"/>
      <c r="SFA1046" s="103"/>
      <c r="SFM1046" s="104"/>
      <c r="SFN1046" s="103"/>
      <c r="SFZ1046" s="104"/>
      <c r="SGA1046" s="103"/>
      <c r="SGM1046" s="104"/>
      <c r="SGN1046" s="103"/>
      <c r="SGZ1046" s="104"/>
      <c r="SHA1046" s="103"/>
      <c r="SHM1046" s="104"/>
      <c r="SHN1046" s="103"/>
      <c r="SHZ1046" s="104"/>
      <c r="SIA1046" s="103"/>
      <c r="SIM1046" s="104"/>
      <c r="SIN1046" s="103"/>
      <c r="SIZ1046" s="104"/>
      <c r="SJA1046" s="103"/>
      <c r="SJM1046" s="104"/>
      <c r="SJN1046" s="103"/>
      <c r="SJZ1046" s="104"/>
      <c r="SKA1046" s="103"/>
      <c r="SKM1046" s="104"/>
      <c r="SKN1046" s="103"/>
      <c r="SKZ1046" s="104"/>
      <c r="SLA1046" s="103"/>
      <c r="SLM1046" s="104"/>
      <c r="SLN1046" s="103"/>
      <c r="SLZ1046" s="104"/>
      <c r="SMA1046" s="103"/>
      <c r="SMM1046" s="104"/>
      <c r="SMN1046" s="103"/>
      <c r="SMZ1046" s="104"/>
      <c r="SNA1046" s="103"/>
      <c r="SNM1046" s="104"/>
      <c r="SNN1046" s="103"/>
      <c r="SNZ1046" s="104"/>
      <c r="SOA1046" s="103"/>
      <c r="SOM1046" s="104"/>
      <c r="SON1046" s="103"/>
      <c r="SOZ1046" s="104"/>
      <c r="SPA1046" s="103"/>
      <c r="SPM1046" s="104"/>
      <c r="SPN1046" s="103"/>
      <c r="SPZ1046" s="104"/>
      <c r="SQA1046" s="103"/>
      <c r="SQM1046" s="104"/>
      <c r="SQN1046" s="103"/>
      <c r="SQZ1046" s="104"/>
      <c r="SRA1046" s="103"/>
      <c r="SRM1046" s="104"/>
      <c r="SRN1046" s="103"/>
      <c r="SRZ1046" s="104"/>
      <c r="SSA1046" s="103"/>
      <c r="SSM1046" s="104"/>
      <c r="SSN1046" s="103"/>
      <c r="SSZ1046" s="104"/>
      <c r="STA1046" s="103"/>
      <c r="STM1046" s="104"/>
      <c r="STN1046" s="103"/>
      <c r="STZ1046" s="104"/>
      <c r="SUA1046" s="103"/>
      <c r="SUM1046" s="104"/>
      <c r="SUN1046" s="103"/>
      <c r="SUZ1046" s="104"/>
      <c r="SVA1046" s="103"/>
      <c r="SVM1046" s="104"/>
      <c r="SVN1046" s="103"/>
      <c r="SVZ1046" s="104"/>
      <c r="SWA1046" s="103"/>
      <c r="SWM1046" s="104"/>
      <c r="SWN1046" s="103"/>
      <c r="SWZ1046" s="104"/>
      <c r="SXA1046" s="103"/>
      <c r="SXM1046" s="104"/>
      <c r="SXN1046" s="103"/>
      <c r="SXZ1046" s="104"/>
      <c r="SYA1046" s="103"/>
      <c r="SYM1046" s="104"/>
      <c r="SYN1046" s="103"/>
      <c r="SYZ1046" s="104"/>
      <c r="SZA1046" s="103"/>
      <c r="SZM1046" s="104"/>
      <c r="SZN1046" s="103"/>
      <c r="SZZ1046" s="104"/>
      <c r="TAA1046" s="103"/>
      <c r="TAM1046" s="104"/>
      <c r="TAN1046" s="103"/>
      <c r="TAZ1046" s="104"/>
      <c r="TBA1046" s="103"/>
      <c r="TBM1046" s="104"/>
      <c r="TBN1046" s="103"/>
      <c r="TBZ1046" s="104"/>
      <c r="TCA1046" s="103"/>
      <c r="TCM1046" s="104"/>
      <c r="TCN1046" s="103"/>
      <c r="TCZ1046" s="104"/>
      <c r="TDA1046" s="103"/>
      <c r="TDM1046" s="104"/>
      <c r="TDN1046" s="103"/>
      <c r="TDZ1046" s="104"/>
      <c r="TEA1046" s="103"/>
      <c r="TEM1046" s="104"/>
      <c r="TEN1046" s="103"/>
      <c r="TEZ1046" s="104"/>
      <c r="TFA1046" s="103"/>
      <c r="TFM1046" s="104"/>
      <c r="TFN1046" s="103"/>
      <c r="TFZ1046" s="104"/>
      <c r="TGA1046" s="103"/>
      <c r="TGM1046" s="104"/>
      <c r="TGN1046" s="103"/>
      <c r="TGZ1046" s="104"/>
      <c r="THA1046" s="103"/>
      <c r="THM1046" s="104"/>
      <c r="THN1046" s="103"/>
      <c r="THZ1046" s="104"/>
      <c r="TIA1046" s="103"/>
      <c r="TIM1046" s="104"/>
      <c r="TIN1046" s="103"/>
      <c r="TIZ1046" s="104"/>
      <c r="TJA1046" s="103"/>
      <c r="TJM1046" s="104"/>
      <c r="TJN1046" s="103"/>
      <c r="TJZ1046" s="104"/>
      <c r="TKA1046" s="103"/>
      <c r="TKM1046" s="104"/>
      <c r="TKN1046" s="103"/>
      <c r="TKZ1046" s="104"/>
      <c r="TLA1046" s="103"/>
      <c r="TLM1046" s="104"/>
      <c r="TLN1046" s="103"/>
      <c r="TLZ1046" s="104"/>
      <c r="TMA1046" s="103"/>
      <c r="TMM1046" s="104"/>
      <c r="TMN1046" s="103"/>
      <c r="TMZ1046" s="104"/>
      <c r="TNA1046" s="103"/>
      <c r="TNM1046" s="104"/>
      <c r="TNN1046" s="103"/>
      <c r="TNZ1046" s="104"/>
      <c r="TOA1046" s="103"/>
      <c r="TOM1046" s="104"/>
      <c r="TON1046" s="103"/>
      <c r="TOZ1046" s="104"/>
      <c r="TPA1046" s="103"/>
      <c r="TPM1046" s="104"/>
      <c r="TPN1046" s="103"/>
      <c r="TPZ1046" s="104"/>
      <c r="TQA1046" s="103"/>
      <c r="TQM1046" s="104"/>
      <c r="TQN1046" s="103"/>
      <c r="TQZ1046" s="104"/>
      <c r="TRA1046" s="103"/>
      <c r="TRM1046" s="104"/>
      <c r="TRN1046" s="103"/>
      <c r="TRZ1046" s="104"/>
      <c r="TSA1046" s="103"/>
      <c r="TSM1046" s="104"/>
      <c r="TSN1046" s="103"/>
      <c r="TSZ1046" s="104"/>
      <c r="TTA1046" s="103"/>
      <c r="TTM1046" s="104"/>
      <c r="TTN1046" s="103"/>
      <c r="TTZ1046" s="104"/>
      <c r="TUA1046" s="103"/>
      <c r="TUM1046" s="104"/>
      <c r="TUN1046" s="103"/>
      <c r="TUZ1046" s="104"/>
      <c r="TVA1046" s="103"/>
      <c r="TVM1046" s="104"/>
      <c r="TVN1046" s="103"/>
      <c r="TVZ1046" s="104"/>
      <c r="TWA1046" s="103"/>
      <c r="TWM1046" s="104"/>
      <c r="TWN1046" s="103"/>
      <c r="TWZ1046" s="104"/>
      <c r="TXA1046" s="103"/>
      <c r="TXM1046" s="104"/>
      <c r="TXN1046" s="103"/>
      <c r="TXZ1046" s="104"/>
      <c r="TYA1046" s="103"/>
      <c r="TYM1046" s="104"/>
      <c r="TYN1046" s="103"/>
      <c r="TYZ1046" s="104"/>
      <c r="TZA1046" s="103"/>
      <c r="TZM1046" s="104"/>
      <c r="TZN1046" s="103"/>
      <c r="TZZ1046" s="104"/>
      <c r="UAA1046" s="103"/>
      <c r="UAM1046" s="104"/>
      <c r="UAN1046" s="103"/>
      <c r="UAZ1046" s="104"/>
      <c r="UBA1046" s="103"/>
      <c r="UBM1046" s="104"/>
      <c r="UBN1046" s="103"/>
      <c r="UBZ1046" s="104"/>
      <c r="UCA1046" s="103"/>
      <c r="UCM1046" s="104"/>
      <c r="UCN1046" s="103"/>
      <c r="UCZ1046" s="104"/>
      <c r="UDA1046" s="103"/>
      <c r="UDM1046" s="104"/>
      <c r="UDN1046" s="103"/>
      <c r="UDZ1046" s="104"/>
      <c r="UEA1046" s="103"/>
      <c r="UEM1046" s="104"/>
      <c r="UEN1046" s="103"/>
      <c r="UEZ1046" s="104"/>
      <c r="UFA1046" s="103"/>
      <c r="UFM1046" s="104"/>
      <c r="UFN1046" s="103"/>
      <c r="UFZ1046" s="104"/>
      <c r="UGA1046" s="103"/>
      <c r="UGM1046" s="104"/>
      <c r="UGN1046" s="103"/>
      <c r="UGZ1046" s="104"/>
      <c r="UHA1046" s="103"/>
      <c r="UHM1046" s="104"/>
      <c r="UHN1046" s="103"/>
      <c r="UHZ1046" s="104"/>
      <c r="UIA1046" s="103"/>
      <c r="UIM1046" s="104"/>
      <c r="UIN1046" s="103"/>
      <c r="UIZ1046" s="104"/>
      <c r="UJA1046" s="103"/>
      <c r="UJM1046" s="104"/>
      <c r="UJN1046" s="103"/>
      <c r="UJZ1046" s="104"/>
      <c r="UKA1046" s="103"/>
      <c r="UKM1046" s="104"/>
      <c r="UKN1046" s="103"/>
      <c r="UKZ1046" s="104"/>
      <c r="ULA1046" s="103"/>
      <c r="ULM1046" s="104"/>
      <c r="ULN1046" s="103"/>
      <c r="ULZ1046" s="104"/>
      <c r="UMA1046" s="103"/>
      <c r="UMM1046" s="104"/>
      <c r="UMN1046" s="103"/>
      <c r="UMZ1046" s="104"/>
      <c r="UNA1046" s="103"/>
      <c r="UNM1046" s="104"/>
      <c r="UNN1046" s="103"/>
      <c r="UNZ1046" s="104"/>
      <c r="UOA1046" s="103"/>
      <c r="UOM1046" s="104"/>
      <c r="UON1046" s="103"/>
      <c r="UOZ1046" s="104"/>
      <c r="UPA1046" s="103"/>
      <c r="UPM1046" s="104"/>
      <c r="UPN1046" s="103"/>
      <c r="UPZ1046" s="104"/>
      <c r="UQA1046" s="103"/>
      <c r="UQM1046" s="104"/>
      <c r="UQN1046" s="103"/>
      <c r="UQZ1046" s="104"/>
      <c r="URA1046" s="103"/>
      <c r="URM1046" s="104"/>
      <c r="URN1046" s="103"/>
      <c r="URZ1046" s="104"/>
      <c r="USA1046" s="103"/>
      <c r="USM1046" s="104"/>
      <c r="USN1046" s="103"/>
      <c r="USZ1046" s="104"/>
      <c r="UTA1046" s="103"/>
      <c r="UTM1046" s="104"/>
      <c r="UTN1046" s="103"/>
      <c r="UTZ1046" s="104"/>
      <c r="UUA1046" s="103"/>
      <c r="UUM1046" s="104"/>
      <c r="UUN1046" s="103"/>
      <c r="UUZ1046" s="104"/>
      <c r="UVA1046" s="103"/>
      <c r="UVM1046" s="104"/>
      <c r="UVN1046" s="103"/>
      <c r="UVZ1046" s="104"/>
      <c r="UWA1046" s="103"/>
      <c r="UWM1046" s="104"/>
      <c r="UWN1046" s="103"/>
      <c r="UWZ1046" s="104"/>
      <c r="UXA1046" s="103"/>
      <c r="UXM1046" s="104"/>
      <c r="UXN1046" s="103"/>
      <c r="UXZ1046" s="104"/>
      <c r="UYA1046" s="103"/>
      <c r="UYM1046" s="104"/>
      <c r="UYN1046" s="103"/>
      <c r="UYZ1046" s="104"/>
      <c r="UZA1046" s="103"/>
      <c r="UZM1046" s="104"/>
      <c r="UZN1046" s="103"/>
      <c r="UZZ1046" s="104"/>
      <c r="VAA1046" s="103"/>
      <c r="VAM1046" s="104"/>
      <c r="VAN1046" s="103"/>
      <c r="VAZ1046" s="104"/>
      <c r="VBA1046" s="103"/>
      <c r="VBM1046" s="104"/>
      <c r="VBN1046" s="103"/>
      <c r="VBZ1046" s="104"/>
      <c r="VCA1046" s="103"/>
      <c r="VCM1046" s="104"/>
      <c r="VCN1046" s="103"/>
      <c r="VCZ1046" s="104"/>
      <c r="VDA1046" s="103"/>
      <c r="VDM1046" s="104"/>
      <c r="VDN1046" s="103"/>
      <c r="VDZ1046" s="104"/>
      <c r="VEA1046" s="103"/>
      <c r="VEM1046" s="104"/>
      <c r="VEN1046" s="103"/>
      <c r="VEZ1046" s="104"/>
      <c r="VFA1046" s="103"/>
      <c r="VFM1046" s="104"/>
      <c r="VFN1046" s="103"/>
      <c r="VFZ1046" s="104"/>
      <c r="VGA1046" s="103"/>
      <c r="VGM1046" s="104"/>
      <c r="VGN1046" s="103"/>
      <c r="VGZ1046" s="104"/>
      <c r="VHA1046" s="103"/>
      <c r="VHM1046" s="104"/>
      <c r="VHN1046" s="103"/>
      <c r="VHZ1046" s="104"/>
      <c r="VIA1046" s="103"/>
      <c r="VIM1046" s="104"/>
      <c r="VIN1046" s="103"/>
      <c r="VIZ1046" s="104"/>
      <c r="VJA1046" s="103"/>
      <c r="VJM1046" s="104"/>
      <c r="VJN1046" s="103"/>
      <c r="VJZ1046" s="104"/>
      <c r="VKA1046" s="103"/>
      <c r="VKM1046" s="104"/>
      <c r="VKN1046" s="103"/>
      <c r="VKZ1046" s="104"/>
      <c r="VLA1046" s="103"/>
      <c r="VLM1046" s="104"/>
      <c r="VLN1046" s="103"/>
      <c r="VLZ1046" s="104"/>
      <c r="VMA1046" s="103"/>
      <c r="VMM1046" s="104"/>
      <c r="VMN1046" s="103"/>
      <c r="VMZ1046" s="104"/>
      <c r="VNA1046" s="103"/>
      <c r="VNM1046" s="104"/>
      <c r="VNN1046" s="103"/>
      <c r="VNZ1046" s="104"/>
      <c r="VOA1046" s="103"/>
      <c r="VOM1046" s="104"/>
      <c r="VON1046" s="103"/>
      <c r="VOZ1046" s="104"/>
      <c r="VPA1046" s="103"/>
      <c r="VPM1046" s="104"/>
      <c r="VPN1046" s="103"/>
      <c r="VPZ1046" s="104"/>
      <c r="VQA1046" s="103"/>
      <c r="VQM1046" s="104"/>
      <c r="VQN1046" s="103"/>
      <c r="VQZ1046" s="104"/>
      <c r="VRA1046" s="103"/>
      <c r="VRM1046" s="104"/>
      <c r="VRN1046" s="103"/>
      <c r="VRZ1046" s="104"/>
      <c r="VSA1046" s="103"/>
      <c r="VSM1046" s="104"/>
      <c r="VSN1046" s="103"/>
      <c r="VSZ1046" s="104"/>
      <c r="VTA1046" s="103"/>
      <c r="VTM1046" s="104"/>
      <c r="VTN1046" s="103"/>
      <c r="VTZ1046" s="104"/>
      <c r="VUA1046" s="103"/>
      <c r="VUM1046" s="104"/>
      <c r="VUN1046" s="103"/>
      <c r="VUZ1046" s="104"/>
      <c r="VVA1046" s="103"/>
      <c r="VVM1046" s="104"/>
      <c r="VVN1046" s="103"/>
      <c r="VVZ1046" s="104"/>
      <c r="VWA1046" s="103"/>
      <c r="VWM1046" s="104"/>
      <c r="VWN1046" s="103"/>
      <c r="VWZ1046" s="104"/>
      <c r="VXA1046" s="103"/>
      <c r="VXM1046" s="104"/>
      <c r="VXN1046" s="103"/>
      <c r="VXZ1046" s="104"/>
      <c r="VYA1046" s="103"/>
      <c r="VYM1046" s="104"/>
      <c r="VYN1046" s="103"/>
      <c r="VYZ1046" s="104"/>
      <c r="VZA1046" s="103"/>
      <c r="VZM1046" s="104"/>
      <c r="VZN1046" s="103"/>
      <c r="VZZ1046" s="104"/>
      <c r="WAA1046" s="103"/>
      <c r="WAM1046" s="104"/>
      <c r="WAN1046" s="103"/>
      <c r="WAZ1046" s="104"/>
      <c r="WBA1046" s="103"/>
      <c r="WBM1046" s="104"/>
      <c r="WBN1046" s="103"/>
      <c r="WBZ1046" s="104"/>
      <c r="WCA1046" s="103"/>
      <c r="WCM1046" s="104"/>
      <c r="WCN1046" s="103"/>
      <c r="WCZ1046" s="104"/>
      <c r="WDA1046" s="103"/>
      <c r="WDM1046" s="104"/>
      <c r="WDN1046" s="103"/>
      <c r="WDZ1046" s="104"/>
      <c r="WEA1046" s="103"/>
      <c r="WEM1046" s="104"/>
      <c r="WEN1046" s="103"/>
      <c r="WEZ1046" s="104"/>
      <c r="WFA1046" s="103"/>
      <c r="WFM1046" s="104"/>
      <c r="WFN1046" s="103"/>
      <c r="WFZ1046" s="104"/>
      <c r="WGA1046" s="103"/>
      <c r="WGM1046" s="104"/>
      <c r="WGN1046" s="103"/>
      <c r="WGZ1046" s="104"/>
      <c r="WHA1046" s="103"/>
      <c r="WHM1046" s="104"/>
      <c r="WHN1046" s="103"/>
      <c r="WHZ1046" s="104"/>
      <c r="WIA1046" s="103"/>
      <c r="WIM1046" s="104"/>
      <c r="WIN1046" s="103"/>
      <c r="WIZ1046" s="104"/>
      <c r="WJA1046" s="103"/>
      <c r="WJM1046" s="104"/>
      <c r="WJN1046" s="103"/>
      <c r="WJZ1046" s="104"/>
      <c r="WKA1046" s="103"/>
      <c r="WKM1046" s="104"/>
      <c r="WKN1046" s="103"/>
      <c r="WKZ1046" s="104"/>
      <c r="WLA1046" s="103"/>
      <c r="WLM1046" s="104"/>
      <c r="WLN1046" s="103"/>
      <c r="WLZ1046" s="104"/>
      <c r="WMA1046" s="103"/>
      <c r="WMM1046" s="104"/>
      <c r="WMN1046" s="103"/>
      <c r="WMZ1046" s="104"/>
      <c r="WNA1046" s="103"/>
      <c r="WNM1046" s="104"/>
      <c r="WNN1046" s="103"/>
      <c r="WNZ1046" s="104"/>
      <c r="WOA1046" s="103"/>
      <c r="WOM1046" s="104"/>
      <c r="WON1046" s="103"/>
      <c r="WOZ1046" s="104"/>
      <c r="WPA1046" s="103"/>
      <c r="WPM1046" s="104"/>
      <c r="WPN1046" s="103"/>
      <c r="WPZ1046" s="104"/>
      <c r="WQA1046" s="103"/>
      <c r="WQM1046" s="104"/>
      <c r="WQN1046" s="103"/>
      <c r="WQZ1046" s="104"/>
      <c r="WRA1046" s="103"/>
      <c r="WRM1046" s="104"/>
      <c r="WRN1046" s="103"/>
      <c r="WRZ1046" s="104"/>
      <c r="WSA1046" s="103"/>
      <c r="WSM1046" s="104"/>
      <c r="WSN1046" s="103"/>
      <c r="WSZ1046" s="104"/>
      <c r="WTA1046" s="103"/>
      <c r="WTM1046" s="104"/>
      <c r="WTN1046" s="103"/>
      <c r="WTZ1046" s="104"/>
      <c r="WUA1046" s="103"/>
      <c r="WUM1046" s="104"/>
      <c r="WUN1046" s="103"/>
      <c r="WUZ1046" s="104"/>
      <c r="WVA1046" s="103"/>
      <c r="WVM1046" s="104"/>
      <c r="WVN1046" s="103"/>
      <c r="WVZ1046" s="104"/>
      <c r="WWA1046" s="103"/>
      <c r="WWM1046" s="104"/>
      <c r="WWN1046" s="103"/>
      <c r="WWZ1046" s="104"/>
      <c r="WXA1046" s="103"/>
      <c r="WXM1046" s="104"/>
      <c r="WXN1046" s="103"/>
      <c r="WXZ1046" s="104"/>
      <c r="WYA1046" s="103"/>
      <c r="WYM1046" s="104"/>
      <c r="WYN1046" s="103"/>
      <c r="WYZ1046" s="104"/>
      <c r="WZA1046" s="103"/>
      <c r="WZM1046" s="104"/>
      <c r="WZN1046" s="103"/>
      <c r="WZZ1046" s="104"/>
      <c r="XAA1046" s="103"/>
      <c r="XAM1046" s="104"/>
      <c r="XAN1046" s="103"/>
      <c r="XAZ1046" s="104"/>
      <c r="XBA1046" s="103"/>
      <c r="XBM1046" s="104"/>
      <c r="XBN1046" s="103"/>
      <c r="XBZ1046" s="104"/>
      <c r="XCA1046" s="103"/>
      <c r="XCM1046" s="104"/>
      <c r="XCN1046" s="103"/>
      <c r="XCZ1046" s="104"/>
      <c r="XDA1046" s="103"/>
      <c r="XDM1046" s="104"/>
      <c r="XDN1046" s="103"/>
      <c r="XDZ1046" s="104"/>
      <c r="XEA1046" s="103"/>
      <c r="XEM1046" s="104"/>
      <c r="XEN1046" s="103"/>
      <c r="XEZ1046" s="104"/>
      <c r="XFA1046" s="103"/>
    </row>
    <row r="1047" spans="1:1015 1027:2042 2054:3069 3081:4096 4108:5110 5122:6137 6149:7164 7176:8191 8203:9205 9217:10232 10244:11259 11271:12286 12298:14327 14339:15354 15366:16381">
      <c r="B1047" s="134">
        <v>2026</v>
      </c>
      <c r="C1047" s="135">
        <v>14205</v>
      </c>
      <c r="D1047" s="136">
        <f t="shared" si="46"/>
        <v>258.41368018919411</v>
      </c>
      <c r="E1047" s="135">
        <v>769</v>
      </c>
      <c r="F1047" s="136">
        <f t="shared" si="47"/>
        <v>13.989448790249227</v>
      </c>
      <c r="G1047" s="136">
        <f t="shared" si="44"/>
        <v>14974</v>
      </c>
      <c r="H1047" s="136">
        <f t="shared" si="45"/>
        <v>272.40312897944335</v>
      </c>
      <c r="Z1047" s="104"/>
      <c r="AA1047" s="103"/>
      <c r="AM1047" s="104"/>
      <c r="AN1047" s="103"/>
      <c r="AZ1047" s="104"/>
      <c r="BA1047" s="103"/>
      <c r="BM1047" s="104"/>
      <c r="BN1047" s="103"/>
      <c r="BZ1047" s="104"/>
      <c r="CA1047" s="103"/>
      <c r="CM1047" s="104"/>
      <c r="CN1047" s="103"/>
      <c r="CZ1047" s="104"/>
      <c r="DA1047" s="103"/>
      <c r="DM1047" s="104"/>
      <c r="DN1047" s="103"/>
      <c r="DZ1047" s="104"/>
      <c r="EA1047" s="103"/>
      <c r="EM1047" s="104"/>
      <c r="EN1047" s="103"/>
      <c r="EZ1047" s="104"/>
      <c r="FA1047" s="103"/>
      <c r="FM1047" s="104"/>
      <c r="FN1047" s="103"/>
      <c r="FZ1047" s="104"/>
      <c r="GA1047" s="103"/>
      <c r="GM1047" s="104"/>
      <c r="GN1047" s="103"/>
      <c r="GZ1047" s="104"/>
      <c r="HA1047" s="103"/>
      <c r="HM1047" s="104"/>
      <c r="HN1047" s="103"/>
      <c r="HZ1047" s="104"/>
      <c r="IA1047" s="103"/>
      <c r="IM1047" s="104"/>
      <c r="IN1047" s="103"/>
      <c r="IZ1047" s="104"/>
      <c r="JA1047" s="103"/>
      <c r="JM1047" s="104"/>
      <c r="JN1047" s="103"/>
      <c r="JZ1047" s="104"/>
      <c r="KA1047" s="103"/>
      <c r="KM1047" s="104"/>
      <c r="KN1047" s="103"/>
      <c r="KZ1047" s="104"/>
      <c r="LA1047" s="103"/>
      <c r="LM1047" s="104"/>
      <c r="LN1047" s="103"/>
      <c r="LZ1047" s="104"/>
      <c r="MA1047" s="103"/>
      <c r="MM1047" s="104"/>
      <c r="MN1047" s="103"/>
      <c r="MZ1047" s="104"/>
      <c r="NA1047" s="103"/>
      <c r="NM1047" s="104"/>
      <c r="NN1047" s="103"/>
      <c r="NZ1047" s="104"/>
      <c r="OA1047" s="103"/>
      <c r="OM1047" s="104"/>
      <c r="ON1047" s="103"/>
      <c r="OZ1047" s="104"/>
      <c r="PA1047" s="103"/>
      <c r="PM1047" s="104"/>
      <c r="PN1047" s="103"/>
      <c r="PZ1047" s="104"/>
      <c r="QA1047" s="103"/>
      <c r="QM1047" s="104"/>
      <c r="QN1047" s="103"/>
      <c r="QZ1047" s="104"/>
      <c r="RA1047" s="103"/>
      <c r="RM1047" s="104"/>
      <c r="RN1047" s="103"/>
      <c r="RZ1047" s="104"/>
      <c r="SA1047" s="103"/>
      <c r="SM1047" s="104"/>
      <c r="SN1047" s="103"/>
      <c r="SZ1047" s="104"/>
      <c r="TA1047" s="103"/>
      <c r="TM1047" s="104"/>
      <c r="TN1047" s="103"/>
      <c r="TZ1047" s="104"/>
      <c r="UA1047" s="103"/>
      <c r="UM1047" s="104"/>
      <c r="UN1047" s="103"/>
      <c r="UZ1047" s="104"/>
      <c r="VA1047" s="103"/>
      <c r="VM1047" s="104"/>
      <c r="VN1047" s="103"/>
      <c r="VZ1047" s="104"/>
      <c r="WA1047" s="103"/>
      <c r="WM1047" s="104"/>
      <c r="WN1047" s="103"/>
      <c r="WZ1047" s="104"/>
      <c r="XA1047" s="103"/>
      <c r="XM1047" s="104"/>
      <c r="XN1047" s="103"/>
      <c r="XZ1047" s="104"/>
      <c r="YA1047" s="103"/>
      <c r="YM1047" s="104"/>
      <c r="YN1047" s="103"/>
      <c r="YZ1047" s="104"/>
      <c r="ZA1047" s="103"/>
      <c r="ZM1047" s="104"/>
      <c r="ZN1047" s="103"/>
      <c r="ZZ1047" s="104"/>
      <c r="AAA1047" s="103"/>
      <c r="AAM1047" s="104"/>
      <c r="AAN1047" s="103"/>
      <c r="AAZ1047" s="104"/>
      <c r="ABA1047" s="103"/>
      <c r="ABM1047" s="104"/>
      <c r="ABN1047" s="103"/>
      <c r="ABZ1047" s="104"/>
      <c r="ACA1047" s="103"/>
      <c r="ACM1047" s="104"/>
      <c r="ACN1047" s="103"/>
      <c r="ACZ1047" s="104"/>
      <c r="ADA1047" s="103"/>
      <c r="ADM1047" s="104"/>
      <c r="ADN1047" s="103"/>
      <c r="ADZ1047" s="104"/>
      <c r="AEA1047" s="103"/>
      <c r="AEM1047" s="104"/>
      <c r="AEN1047" s="103"/>
      <c r="AEZ1047" s="104"/>
      <c r="AFA1047" s="103"/>
      <c r="AFM1047" s="104"/>
      <c r="AFN1047" s="103"/>
      <c r="AFZ1047" s="104"/>
      <c r="AGA1047" s="103"/>
      <c r="AGM1047" s="104"/>
      <c r="AGN1047" s="103"/>
      <c r="AGZ1047" s="104"/>
      <c r="AHA1047" s="103"/>
      <c r="AHM1047" s="104"/>
      <c r="AHN1047" s="103"/>
      <c r="AHZ1047" s="104"/>
      <c r="AIA1047" s="103"/>
      <c r="AIM1047" s="104"/>
      <c r="AIN1047" s="103"/>
      <c r="AIZ1047" s="104"/>
      <c r="AJA1047" s="103"/>
      <c r="AJM1047" s="104"/>
      <c r="AJN1047" s="103"/>
      <c r="AJZ1047" s="104"/>
      <c r="AKA1047" s="103"/>
      <c r="AKM1047" s="104"/>
      <c r="AKN1047" s="103"/>
      <c r="AKZ1047" s="104"/>
      <c r="ALA1047" s="103"/>
      <c r="ALM1047" s="104"/>
      <c r="ALN1047" s="103"/>
      <c r="ALZ1047" s="104"/>
      <c r="AMA1047" s="103"/>
      <c r="AMM1047" s="104"/>
      <c r="AMN1047" s="103"/>
      <c r="AMZ1047" s="104"/>
      <c r="ANA1047" s="103"/>
      <c r="ANM1047" s="104"/>
      <c r="ANN1047" s="103"/>
      <c r="ANZ1047" s="104"/>
      <c r="AOA1047" s="103"/>
      <c r="AOM1047" s="104"/>
      <c r="AON1047" s="103"/>
      <c r="AOZ1047" s="104"/>
      <c r="APA1047" s="103"/>
      <c r="APM1047" s="104"/>
      <c r="APN1047" s="103"/>
      <c r="APZ1047" s="104"/>
      <c r="AQA1047" s="103"/>
      <c r="AQM1047" s="104"/>
      <c r="AQN1047" s="103"/>
      <c r="AQZ1047" s="104"/>
      <c r="ARA1047" s="103"/>
      <c r="ARM1047" s="104"/>
      <c r="ARN1047" s="103"/>
      <c r="ARZ1047" s="104"/>
      <c r="ASA1047" s="103"/>
      <c r="ASM1047" s="104"/>
      <c r="ASN1047" s="103"/>
      <c r="ASZ1047" s="104"/>
      <c r="ATA1047" s="103"/>
      <c r="ATM1047" s="104"/>
      <c r="ATN1047" s="103"/>
      <c r="ATZ1047" s="104"/>
      <c r="AUA1047" s="103"/>
      <c r="AUM1047" s="104"/>
      <c r="AUN1047" s="103"/>
      <c r="AUZ1047" s="104"/>
      <c r="AVA1047" s="103"/>
      <c r="AVM1047" s="104"/>
      <c r="AVN1047" s="103"/>
      <c r="AVZ1047" s="104"/>
      <c r="AWA1047" s="103"/>
      <c r="AWM1047" s="104"/>
      <c r="AWN1047" s="103"/>
      <c r="AWZ1047" s="104"/>
      <c r="AXA1047" s="103"/>
      <c r="AXM1047" s="104"/>
      <c r="AXN1047" s="103"/>
      <c r="AXZ1047" s="104"/>
      <c r="AYA1047" s="103"/>
      <c r="AYM1047" s="104"/>
      <c r="AYN1047" s="103"/>
      <c r="AYZ1047" s="104"/>
      <c r="AZA1047" s="103"/>
      <c r="AZM1047" s="104"/>
      <c r="AZN1047" s="103"/>
      <c r="AZZ1047" s="104"/>
      <c r="BAA1047" s="103"/>
      <c r="BAM1047" s="104"/>
      <c r="BAN1047" s="103"/>
      <c r="BAZ1047" s="104"/>
      <c r="BBA1047" s="103"/>
      <c r="BBM1047" s="104"/>
      <c r="BBN1047" s="103"/>
      <c r="BBZ1047" s="104"/>
      <c r="BCA1047" s="103"/>
      <c r="BCM1047" s="104"/>
      <c r="BCN1047" s="103"/>
      <c r="BCZ1047" s="104"/>
      <c r="BDA1047" s="103"/>
      <c r="BDM1047" s="104"/>
      <c r="BDN1047" s="103"/>
      <c r="BDZ1047" s="104"/>
      <c r="BEA1047" s="103"/>
      <c r="BEM1047" s="104"/>
      <c r="BEN1047" s="103"/>
      <c r="BEZ1047" s="104"/>
      <c r="BFA1047" s="103"/>
      <c r="BFM1047" s="104"/>
      <c r="BFN1047" s="103"/>
      <c r="BFZ1047" s="104"/>
      <c r="BGA1047" s="103"/>
      <c r="BGM1047" s="104"/>
      <c r="BGN1047" s="103"/>
      <c r="BGZ1047" s="104"/>
      <c r="BHA1047" s="103"/>
      <c r="BHM1047" s="104"/>
      <c r="BHN1047" s="103"/>
      <c r="BHZ1047" s="104"/>
      <c r="BIA1047" s="103"/>
      <c r="BIM1047" s="104"/>
      <c r="BIN1047" s="103"/>
      <c r="BIZ1047" s="104"/>
      <c r="BJA1047" s="103"/>
      <c r="BJM1047" s="104"/>
      <c r="BJN1047" s="103"/>
      <c r="BJZ1047" s="104"/>
      <c r="BKA1047" s="103"/>
      <c r="BKM1047" s="104"/>
      <c r="BKN1047" s="103"/>
      <c r="BKZ1047" s="104"/>
      <c r="BLA1047" s="103"/>
      <c r="BLM1047" s="104"/>
      <c r="BLN1047" s="103"/>
      <c r="BLZ1047" s="104"/>
      <c r="BMA1047" s="103"/>
      <c r="BMM1047" s="104"/>
      <c r="BMN1047" s="103"/>
      <c r="BMZ1047" s="104"/>
      <c r="BNA1047" s="103"/>
      <c r="BNM1047" s="104"/>
      <c r="BNN1047" s="103"/>
      <c r="BNZ1047" s="104"/>
      <c r="BOA1047" s="103"/>
      <c r="BOM1047" s="104"/>
      <c r="BON1047" s="103"/>
      <c r="BOZ1047" s="104"/>
      <c r="BPA1047" s="103"/>
      <c r="BPM1047" s="104"/>
      <c r="BPN1047" s="103"/>
      <c r="BPZ1047" s="104"/>
      <c r="BQA1047" s="103"/>
      <c r="BQM1047" s="104"/>
      <c r="BQN1047" s="103"/>
      <c r="BQZ1047" s="104"/>
      <c r="BRA1047" s="103"/>
      <c r="BRM1047" s="104"/>
      <c r="BRN1047" s="103"/>
      <c r="BRZ1047" s="104"/>
      <c r="BSA1047" s="103"/>
      <c r="BSM1047" s="104"/>
      <c r="BSN1047" s="103"/>
      <c r="BSZ1047" s="104"/>
      <c r="BTA1047" s="103"/>
      <c r="BTM1047" s="104"/>
      <c r="BTN1047" s="103"/>
      <c r="BTZ1047" s="104"/>
      <c r="BUA1047" s="103"/>
      <c r="BUM1047" s="104"/>
      <c r="BUN1047" s="103"/>
      <c r="BUZ1047" s="104"/>
      <c r="BVA1047" s="103"/>
      <c r="BVM1047" s="104"/>
      <c r="BVN1047" s="103"/>
      <c r="BVZ1047" s="104"/>
      <c r="BWA1047" s="103"/>
      <c r="BWM1047" s="104"/>
      <c r="BWN1047" s="103"/>
      <c r="BWZ1047" s="104"/>
      <c r="BXA1047" s="103"/>
      <c r="BXM1047" s="104"/>
      <c r="BXN1047" s="103"/>
      <c r="BXZ1047" s="104"/>
      <c r="BYA1047" s="103"/>
      <c r="BYM1047" s="104"/>
      <c r="BYN1047" s="103"/>
      <c r="BYZ1047" s="104"/>
      <c r="BZA1047" s="103"/>
      <c r="BZM1047" s="104"/>
      <c r="BZN1047" s="103"/>
      <c r="BZZ1047" s="104"/>
      <c r="CAA1047" s="103"/>
      <c r="CAM1047" s="104"/>
      <c r="CAN1047" s="103"/>
      <c r="CAZ1047" s="104"/>
      <c r="CBA1047" s="103"/>
      <c r="CBM1047" s="104"/>
      <c r="CBN1047" s="103"/>
      <c r="CBZ1047" s="104"/>
      <c r="CCA1047" s="103"/>
      <c r="CCM1047" s="104"/>
      <c r="CCN1047" s="103"/>
      <c r="CCZ1047" s="104"/>
      <c r="CDA1047" s="103"/>
      <c r="CDM1047" s="104"/>
      <c r="CDN1047" s="103"/>
      <c r="CDZ1047" s="104"/>
      <c r="CEA1047" s="103"/>
      <c r="CEM1047" s="104"/>
      <c r="CEN1047" s="103"/>
      <c r="CEZ1047" s="104"/>
      <c r="CFA1047" s="103"/>
      <c r="CFM1047" s="104"/>
      <c r="CFN1047" s="103"/>
      <c r="CFZ1047" s="104"/>
      <c r="CGA1047" s="103"/>
      <c r="CGM1047" s="104"/>
      <c r="CGN1047" s="103"/>
      <c r="CGZ1047" s="104"/>
      <c r="CHA1047" s="103"/>
      <c r="CHM1047" s="104"/>
      <c r="CHN1047" s="103"/>
      <c r="CHZ1047" s="104"/>
      <c r="CIA1047" s="103"/>
      <c r="CIM1047" s="104"/>
      <c r="CIN1047" s="103"/>
      <c r="CIZ1047" s="104"/>
      <c r="CJA1047" s="103"/>
      <c r="CJM1047" s="104"/>
      <c r="CJN1047" s="103"/>
      <c r="CJZ1047" s="104"/>
      <c r="CKA1047" s="103"/>
      <c r="CKM1047" s="104"/>
      <c r="CKN1047" s="103"/>
      <c r="CKZ1047" s="104"/>
      <c r="CLA1047" s="103"/>
      <c r="CLM1047" s="104"/>
      <c r="CLN1047" s="103"/>
      <c r="CLZ1047" s="104"/>
      <c r="CMA1047" s="103"/>
      <c r="CMM1047" s="104"/>
      <c r="CMN1047" s="103"/>
      <c r="CMZ1047" s="104"/>
      <c r="CNA1047" s="103"/>
      <c r="CNM1047" s="104"/>
      <c r="CNN1047" s="103"/>
      <c r="CNZ1047" s="104"/>
      <c r="COA1047" s="103"/>
      <c r="COM1047" s="104"/>
      <c r="CON1047" s="103"/>
      <c r="COZ1047" s="104"/>
      <c r="CPA1047" s="103"/>
      <c r="CPM1047" s="104"/>
      <c r="CPN1047" s="103"/>
      <c r="CPZ1047" s="104"/>
      <c r="CQA1047" s="103"/>
      <c r="CQM1047" s="104"/>
      <c r="CQN1047" s="103"/>
      <c r="CQZ1047" s="104"/>
      <c r="CRA1047" s="103"/>
      <c r="CRM1047" s="104"/>
      <c r="CRN1047" s="103"/>
      <c r="CRZ1047" s="104"/>
      <c r="CSA1047" s="103"/>
      <c r="CSM1047" s="104"/>
      <c r="CSN1047" s="103"/>
      <c r="CSZ1047" s="104"/>
      <c r="CTA1047" s="103"/>
      <c r="CTM1047" s="104"/>
      <c r="CTN1047" s="103"/>
      <c r="CTZ1047" s="104"/>
      <c r="CUA1047" s="103"/>
      <c r="CUM1047" s="104"/>
      <c r="CUN1047" s="103"/>
      <c r="CUZ1047" s="104"/>
      <c r="CVA1047" s="103"/>
      <c r="CVM1047" s="104"/>
      <c r="CVN1047" s="103"/>
      <c r="CVZ1047" s="104"/>
      <c r="CWA1047" s="103"/>
      <c r="CWM1047" s="104"/>
      <c r="CWN1047" s="103"/>
      <c r="CWZ1047" s="104"/>
      <c r="CXA1047" s="103"/>
      <c r="CXM1047" s="104"/>
      <c r="CXN1047" s="103"/>
      <c r="CXZ1047" s="104"/>
      <c r="CYA1047" s="103"/>
      <c r="CYM1047" s="104"/>
      <c r="CYN1047" s="103"/>
      <c r="CYZ1047" s="104"/>
      <c r="CZA1047" s="103"/>
      <c r="CZM1047" s="104"/>
      <c r="CZN1047" s="103"/>
      <c r="CZZ1047" s="104"/>
      <c r="DAA1047" s="103"/>
      <c r="DAM1047" s="104"/>
      <c r="DAN1047" s="103"/>
      <c r="DAZ1047" s="104"/>
      <c r="DBA1047" s="103"/>
      <c r="DBM1047" s="104"/>
      <c r="DBN1047" s="103"/>
      <c r="DBZ1047" s="104"/>
      <c r="DCA1047" s="103"/>
      <c r="DCM1047" s="104"/>
      <c r="DCN1047" s="103"/>
      <c r="DCZ1047" s="104"/>
      <c r="DDA1047" s="103"/>
      <c r="DDM1047" s="104"/>
      <c r="DDN1047" s="103"/>
      <c r="DDZ1047" s="104"/>
      <c r="DEA1047" s="103"/>
      <c r="DEM1047" s="104"/>
      <c r="DEN1047" s="103"/>
      <c r="DEZ1047" s="104"/>
      <c r="DFA1047" s="103"/>
      <c r="DFM1047" s="104"/>
      <c r="DFN1047" s="103"/>
      <c r="DFZ1047" s="104"/>
      <c r="DGA1047" s="103"/>
      <c r="DGM1047" s="104"/>
      <c r="DGN1047" s="103"/>
      <c r="DGZ1047" s="104"/>
      <c r="DHA1047" s="103"/>
      <c r="DHM1047" s="104"/>
      <c r="DHN1047" s="103"/>
      <c r="DHZ1047" s="104"/>
      <c r="DIA1047" s="103"/>
      <c r="DIM1047" s="104"/>
      <c r="DIN1047" s="103"/>
      <c r="DIZ1047" s="104"/>
      <c r="DJA1047" s="103"/>
      <c r="DJM1047" s="104"/>
      <c r="DJN1047" s="103"/>
      <c r="DJZ1047" s="104"/>
      <c r="DKA1047" s="103"/>
      <c r="DKM1047" s="104"/>
      <c r="DKN1047" s="103"/>
      <c r="DKZ1047" s="104"/>
      <c r="DLA1047" s="103"/>
      <c r="DLM1047" s="104"/>
      <c r="DLN1047" s="103"/>
      <c r="DLZ1047" s="104"/>
      <c r="DMA1047" s="103"/>
      <c r="DMM1047" s="104"/>
      <c r="DMN1047" s="103"/>
      <c r="DMZ1047" s="104"/>
      <c r="DNA1047" s="103"/>
      <c r="DNM1047" s="104"/>
      <c r="DNN1047" s="103"/>
      <c r="DNZ1047" s="104"/>
      <c r="DOA1047" s="103"/>
      <c r="DOM1047" s="104"/>
      <c r="DON1047" s="103"/>
      <c r="DOZ1047" s="104"/>
      <c r="DPA1047" s="103"/>
      <c r="DPM1047" s="104"/>
      <c r="DPN1047" s="103"/>
      <c r="DPZ1047" s="104"/>
      <c r="DQA1047" s="103"/>
      <c r="DQM1047" s="104"/>
      <c r="DQN1047" s="103"/>
      <c r="DQZ1047" s="104"/>
      <c r="DRA1047" s="103"/>
      <c r="DRM1047" s="104"/>
      <c r="DRN1047" s="103"/>
      <c r="DRZ1047" s="104"/>
      <c r="DSA1047" s="103"/>
      <c r="DSM1047" s="104"/>
      <c r="DSN1047" s="103"/>
      <c r="DSZ1047" s="104"/>
      <c r="DTA1047" s="103"/>
      <c r="DTM1047" s="104"/>
      <c r="DTN1047" s="103"/>
      <c r="DTZ1047" s="104"/>
      <c r="DUA1047" s="103"/>
      <c r="DUM1047" s="104"/>
      <c r="DUN1047" s="103"/>
      <c r="DUZ1047" s="104"/>
      <c r="DVA1047" s="103"/>
      <c r="DVM1047" s="104"/>
      <c r="DVN1047" s="103"/>
      <c r="DVZ1047" s="104"/>
      <c r="DWA1047" s="103"/>
      <c r="DWM1047" s="104"/>
      <c r="DWN1047" s="103"/>
      <c r="DWZ1047" s="104"/>
      <c r="DXA1047" s="103"/>
      <c r="DXM1047" s="104"/>
      <c r="DXN1047" s="103"/>
      <c r="DXZ1047" s="104"/>
      <c r="DYA1047" s="103"/>
      <c r="DYM1047" s="104"/>
      <c r="DYN1047" s="103"/>
      <c r="DYZ1047" s="104"/>
      <c r="DZA1047" s="103"/>
      <c r="DZM1047" s="104"/>
      <c r="DZN1047" s="103"/>
      <c r="DZZ1047" s="104"/>
      <c r="EAA1047" s="103"/>
      <c r="EAM1047" s="104"/>
      <c r="EAN1047" s="103"/>
      <c r="EAZ1047" s="104"/>
      <c r="EBA1047" s="103"/>
      <c r="EBM1047" s="104"/>
      <c r="EBN1047" s="103"/>
      <c r="EBZ1047" s="104"/>
      <c r="ECA1047" s="103"/>
      <c r="ECM1047" s="104"/>
      <c r="ECN1047" s="103"/>
      <c r="ECZ1047" s="104"/>
      <c r="EDA1047" s="103"/>
      <c r="EDM1047" s="104"/>
      <c r="EDN1047" s="103"/>
      <c r="EDZ1047" s="104"/>
      <c r="EEA1047" s="103"/>
      <c r="EEM1047" s="104"/>
      <c r="EEN1047" s="103"/>
      <c r="EEZ1047" s="104"/>
      <c r="EFA1047" s="103"/>
      <c r="EFM1047" s="104"/>
      <c r="EFN1047" s="103"/>
      <c r="EFZ1047" s="104"/>
      <c r="EGA1047" s="103"/>
      <c r="EGM1047" s="104"/>
      <c r="EGN1047" s="103"/>
      <c r="EGZ1047" s="104"/>
      <c r="EHA1047" s="103"/>
      <c r="EHM1047" s="104"/>
      <c r="EHN1047" s="103"/>
      <c r="EHZ1047" s="104"/>
      <c r="EIA1047" s="103"/>
      <c r="EIM1047" s="104"/>
      <c r="EIN1047" s="103"/>
      <c r="EIZ1047" s="104"/>
      <c r="EJA1047" s="103"/>
      <c r="EJM1047" s="104"/>
      <c r="EJN1047" s="103"/>
      <c r="EJZ1047" s="104"/>
      <c r="EKA1047" s="103"/>
      <c r="EKM1047" s="104"/>
      <c r="EKN1047" s="103"/>
      <c r="EKZ1047" s="104"/>
      <c r="ELA1047" s="103"/>
      <c r="ELM1047" s="104"/>
      <c r="ELN1047" s="103"/>
      <c r="ELZ1047" s="104"/>
      <c r="EMA1047" s="103"/>
      <c r="EMM1047" s="104"/>
      <c r="EMN1047" s="103"/>
      <c r="EMZ1047" s="104"/>
      <c r="ENA1047" s="103"/>
      <c r="ENM1047" s="104"/>
      <c r="ENN1047" s="103"/>
      <c r="ENZ1047" s="104"/>
      <c r="EOA1047" s="103"/>
      <c r="EOM1047" s="104"/>
      <c r="EON1047" s="103"/>
      <c r="EOZ1047" s="104"/>
      <c r="EPA1047" s="103"/>
      <c r="EPM1047" s="104"/>
      <c r="EPN1047" s="103"/>
      <c r="EPZ1047" s="104"/>
      <c r="EQA1047" s="103"/>
      <c r="EQM1047" s="104"/>
      <c r="EQN1047" s="103"/>
      <c r="EQZ1047" s="104"/>
      <c r="ERA1047" s="103"/>
      <c r="ERM1047" s="104"/>
      <c r="ERN1047" s="103"/>
      <c r="ERZ1047" s="104"/>
      <c r="ESA1047" s="103"/>
      <c r="ESM1047" s="104"/>
      <c r="ESN1047" s="103"/>
      <c r="ESZ1047" s="104"/>
      <c r="ETA1047" s="103"/>
      <c r="ETM1047" s="104"/>
      <c r="ETN1047" s="103"/>
      <c r="ETZ1047" s="104"/>
      <c r="EUA1047" s="103"/>
      <c r="EUM1047" s="104"/>
      <c r="EUN1047" s="103"/>
      <c r="EUZ1047" s="104"/>
      <c r="EVA1047" s="103"/>
      <c r="EVM1047" s="104"/>
      <c r="EVN1047" s="103"/>
      <c r="EVZ1047" s="104"/>
      <c r="EWA1047" s="103"/>
      <c r="EWM1047" s="104"/>
      <c r="EWN1047" s="103"/>
      <c r="EWZ1047" s="104"/>
      <c r="EXA1047" s="103"/>
      <c r="EXM1047" s="104"/>
      <c r="EXN1047" s="103"/>
      <c r="EXZ1047" s="104"/>
      <c r="EYA1047" s="103"/>
      <c r="EYM1047" s="104"/>
      <c r="EYN1047" s="103"/>
      <c r="EYZ1047" s="104"/>
      <c r="EZA1047" s="103"/>
      <c r="EZM1047" s="104"/>
      <c r="EZN1047" s="103"/>
      <c r="EZZ1047" s="104"/>
      <c r="FAA1047" s="103"/>
      <c r="FAM1047" s="104"/>
      <c r="FAN1047" s="103"/>
      <c r="FAZ1047" s="104"/>
      <c r="FBA1047" s="103"/>
      <c r="FBM1047" s="104"/>
      <c r="FBN1047" s="103"/>
      <c r="FBZ1047" s="104"/>
      <c r="FCA1047" s="103"/>
      <c r="FCM1047" s="104"/>
      <c r="FCN1047" s="103"/>
      <c r="FCZ1047" s="104"/>
      <c r="FDA1047" s="103"/>
      <c r="FDM1047" s="104"/>
      <c r="FDN1047" s="103"/>
      <c r="FDZ1047" s="104"/>
      <c r="FEA1047" s="103"/>
      <c r="FEM1047" s="104"/>
      <c r="FEN1047" s="103"/>
      <c r="FEZ1047" s="104"/>
      <c r="FFA1047" s="103"/>
      <c r="FFM1047" s="104"/>
      <c r="FFN1047" s="103"/>
      <c r="FFZ1047" s="104"/>
      <c r="FGA1047" s="103"/>
      <c r="FGM1047" s="104"/>
      <c r="FGN1047" s="103"/>
      <c r="FGZ1047" s="104"/>
      <c r="FHA1047" s="103"/>
      <c r="FHM1047" s="104"/>
      <c r="FHN1047" s="103"/>
      <c r="FHZ1047" s="104"/>
      <c r="FIA1047" s="103"/>
      <c r="FIM1047" s="104"/>
      <c r="FIN1047" s="103"/>
      <c r="FIZ1047" s="104"/>
      <c r="FJA1047" s="103"/>
      <c r="FJM1047" s="104"/>
      <c r="FJN1047" s="103"/>
      <c r="FJZ1047" s="104"/>
      <c r="FKA1047" s="103"/>
      <c r="FKM1047" s="104"/>
      <c r="FKN1047" s="103"/>
      <c r="FKZ1047" s="104"/>
      <c r="FLA1047" s="103"/>
      <c r="FLM1047" s="104"/>
      <c r="FLN1047" s="103"/>
      <c r="FLZ1047" s="104"/>
      <c r="FMA1047" s="103"/>
      <c r="FMM1047" s="104"/>
      <c r="FMN1047" s="103"/>
      <c r="FMZ1047" s="104"/>
      <c r="FNA1047" s="103"/>
      <c r="FNM1047" s="104"/>
      <c r="FNN1047" s="103"/>
      <c r="FNZ1047" s="104"/>
      <c r="FOA1047" s="103"/>
      <c r="FOM1047" s="104"/>
      <c r="FON1047" s="103"/>
      <c r="FOZ1047" s="104"/>
      <c r="FPA1047" s="103"/>
      <c r="FPM1047" s="104"/>
      <c r="FPN1047" s="103"/>
      <c r="FPZ1047" s="104"/>
      <c r="FQA1047" s="103"/>
      <c r="FQM1047" s="104"/>
      <c r="FQN1047" s="103"/>
      <c r="FQZ1047" s="104"/>
      <c r="FRA1047" s="103"/>
      <c r="FRM1047" s="104"/>
      <c r="FRN1047" s="103"/>
      <c r="FRZ1047" s="104"/>
      <c r="FSA1047" s="103"/>
      <c r="FSM1047" s="104"/>
      <c r="FSN1047" s="103"/>
      <c r="FSZ1047" s="104"/>
      <c r="FTA1047" s="103"/>
      <c r="FTM1047" s="104"/>
      <c r="FTN1047" s="103"/>
      <c r="FTZ1047" s="104"/>
      <c r="FUA1047" s="103"/>
      <c r="FUM1047" s="104"/>
      <c r="FUN1047" s="103"/>
      <c r="FUZ1047" s="104"/>
      <c r="FVA1047" s="103"/>
      <c r="FVM1047" s="104"/>
      <c r="FVN1047" s="103"/>
      <c r="FVZ1047" s="104"/>
      <c r="FWA1047" s="103"/>
      <c r="FWM1047" s="104"/>
      <c r="FWN1047" s="103"/>
      <c r="FWZ1047" s="104"/>
      <c r="FXA1047" s="103"/>
      <c r="FXM1047" s="104"/>
      <c r="FXN1047" s="103"/>
      <c r="FXZ1047" s="104"/>
      <c r="FYA1047" s="103"/>
      <c r="FYM1047" s="104"/>
      <c r="FYN1047" s="103"/>
      <c r="FYZ1047" s="104"/>
      <c r="FZA1047" s="103"/>
      <c r="FZM1047" s="104"/>
      <c r="FZN1047" s="103"/>
      <c r="FZZ1047" s="104"/>
      <c r="GAA1047" s="103"/>
      <c r="GAM1047" s="104"/>
      <c r="GAN1047" s="103"/>
      <c r="GAZ1047" s="104"/>
      <c r="GBA1047" s="103"/>
      <c r="GBM1047" s="104"/>
      <c r="GBN1047" s="103"/>
      <c r="GBZ1047" s="104"/>
      <c r="GCA1047" s="103"/>
      <c r="GCM1047" s="104"/>
      <c r="GCN1047" s="103"/>
      <c r="GCZ1047" s="104"/>
      <c r="GDA1047" s="103"/>
      <c r="GDM1047" s="104"/>
      <c r="GDN1047" s="103"/>
      <c r="GDZ1047" s="104"/>
      <c r="GEA1047" s="103"/>
      <c r="GEM1047" s="104"/>
      <c r="GEN1047" s="103"/>
      <c r="GEZ1047" s="104"/>
      <c r="GFA1047" s="103"/>
      <c r="GFM1047" s="104"/>
      <c r="GFN1047" s="103"/>
      <c r="GFZ1047" s="104"/>
      <c r="GGA1047" s="103"/>
      <c r="GGM1047" s="104"/>
      <c r="GGN1047" s="103"/>
      <c r="GGZ1047" s="104"/>
      <c r="GHA1047" s="103"/>
      <c r="GHM1047" s="104"/>
      <c r="GHN1047" s="103"/>
      <c r="GHZ1047" s="104"/>
      <c r="GIA1047" s="103"/>
      <c r="GIM1047" s="104"/>
      <c r="GIN1047" s="103"/>
      <c r="GIZ1047" s="104"/>
      <c r="GJA1047" s="103"/>
      <c r="GJM1047" s="104"/>
      <c r="GJN1047" s="103"/>
      <c r="GJZ1047" s="104"/>
      <c r="GKA1047" s="103"/>
      <c r="GKM1047" s="104"/>
      <c r="GKN1047" s="103"/>
      <c r="GKZ1047" s="104"/>
      <c r="GLA1047" s="103"/>
      <c r="GLM1047" s="104"/>
      <c r="GLN1047" s="103"/>
      <c r="GLZ1047" s="104"/>
      <c r="GMA1047" s="103"/>
      <c r="GMM1047" s="104"/>
      <c r="GMN1047" s="103"/>
      <c r="GMZ1047" s="104"/>
      <c r="GNA1047" s="103"/>
      <c r="GNM1047" s="104"/>
      <c r="GNN1047" s="103"/>
      <c r="GNZ1047" s="104"/>
      <c r="GOA1047" s="103"/>
      <c r="GOM1047" s="104"/>
      <c r="GON1047" s="103"/>
      <c r="GOZ1047" s="104"/>
      <c r="GPA1047" s="103"/>
      <c r="GPM1047" s="104"/>
      <c r="GPN1047" s="103"/>
      <c r="GPZ1047" s="104"/>
      <c r="GQA1047" s="103"/>
      <c r="GQM1047" s="104"/>
      <c r="GQN1047" s="103"/>
      <c r="GQZ1047" s="104"/>
      <c r="GRA1047" s="103"/>
      <c r="GRM1047" s="104"/>
      <c r="GRN1047" s="103"/>
      <c r="GRZ1047" s="104"/>
      <c r="GSA1047" s="103"/>
      <c r="GSM1047" s="104"/>
      <c r="GSN1047" s="103"/>
      <c r="GSZ1047" s="104"/>
      <c r="GTA1047" s="103"/>
      <c r="GTM1047" s="104"/>
      <c r="GTN1047" s="103"/>
      <c r="GTZ1047" s="104"/>
      <c r="GUA1047" s="103"/>
      <c r="GUM1047" s="104"/>
      <c r="GUN1047" s="103"/>
      <c r="GUZ1047" s="104"/>
      <c r="GVA1047" s="103"/>
      <c r="GVM1047" s="104"/>
      <c r="GVN1047" s="103"/>
      <c r="GVZ1047" s="104"/>
      <c r="GWA1047" s="103"/>
      <c r="GWM1047" s="104"/>
      <c r="GWN1047" s="103"/>
      <c r="GWZ1047" s="104"/>
      <c r="GXA1047" s="103"/>
      <c r="GXM1047" s="104"/>
      <c r="GXN1047" s="103"/>
      <c r="GXZ1047" s="104"/>
      <c r="GYA1047" s="103"/>
      <c r="GYM1047" s="104"/>
      <c r="GYN1047" s="103"/>
      <c r="GYZ1047" s="104"/>
      <c r="GZA1047" s="103"/>
      <c r="GZM1047" s="104"/>
      <c r="GZN1047" s="103"/>
      <c r="GZZ1047" s="104"/>
      <c r="HAA1047" s="103"/>
      <c r="HAM1047" s="104"/>
      <c r="HAN1047" s="103"/>
      <c r="HAZ1047" s="104"/>
      <c r="HBA1047" s="103"/>
      <c r="HBM1047" s="104"/>
      <c r="HBN1047" s="103"/>
      <c r="HBZ1047" s="104"/>
      <c r="HCA1047" s="103"/>
      <c r="HCM1047" s="104"/>
      <c r="HCN1047" s="103"/>
      <c r="HCZ1047" s="104"/>
      <c r="HDA1047" s="103"/>
      <c r="HDM1047" s="104"/>
      <c r="HDN1047" s="103"/>
      <c r="HDZ1047" s="104"/>
      <c r="HEA1047" s="103"/>
      <c r="HEM1047" s="104"/>
      <c r="HEN1047" s="103"/>
      <c r="HEZ1047" s="104"/>
      <c r="HFA1047" s="103"/>
      <c r="HFM1047" s="104"/>
      <c r="HFN1047" s="103"/>
      <c r="HFZ1047" s="104"/>
      <c r="HGA1047" s="103"/>
      <c r="HGM1047" s="104"/>
      <c r="HGN1047" s="103"/>
      <c r="HGZ1047" s="104"/>
      <c r="HHA1047" s="103"/>
      <c r="HHM1047" s="104"/>
      <c r="HHN1047" s="103"/>
      <c r="HHZ1047" s="104"/>
      <c r="HIA1047" s="103"/>
      <c r="HIM1047" s="104"/>
      <c r="HIN1047" s="103"/>
      <c r="HIZ1047" s="104"/>
      <c r="HJA1047" s="103"/>
      <c r="HJM1047" s="104"/>
      <c r="HJN1047" s="103"/>
      <c r="HJZ1047" s="104"/>
      <c r="HKA1047" s="103"/>
      <c r="HKM1047" s="104"/>
      <c r="HKN1047" s="103"/>
      <c r="HKZ1047" s="104"/>
      <c r="HLA1047" s="103"/>
      <c r="HLM1047" s="104"/>
      <c r="HLN1047" s="103"/>
      <c r="HLZ1047" s="104"/>
      <c r="HMA1047" s="103"/>
      <c r="HMM1047" s="104"/>
      <c r="HMN1047" s="103"/>
      <c r="HMZ1047" s="104"/>
      <c r="HNA1047" s="103"/>
      <c r="HNM1047" s="104"/>
      <c r="HNN1047" s="103"/>
      <c r="HNZ1047" s="104"/>
      <c r="HOA1047" s="103"/>
      <c r="HOM1047" s="104"/>
      <c r="HON1047" s="103"/>
      <c r="HOZ1047" s="104"/>
      <c r="HPA1047" s="103"/>
      <c r="HPM1047" s="104"/>
      <c r="HPN1047" s="103"/>
      <c r="HPZ1047" s="104"/>
      <c r="HQA1047" s="103"/>
      <c r="HQM1047" s="104"/>
      <c r="HQN1047" s="103"/>
      <c r="HQZ1047" s="104"/>
      <c r="HRA1047" s="103"/>
      <c r="HRM1047" s="104"/>
      <c r="HRN1047" s="103"/>
      <c r="HRZ1047" s="104"/>
      <c r="HSA1047" s="103"/>
      <c r="HSM1047" s="104"/>
      <c r="HSN1047" s="103"/>
      <c r="HSZ1047" s="104"/>
      <c r="HTA1047" s="103"/>
      <c r="HTM1047" s="104"/>
      <c r="HTN1047" s="103"/>
      <c r="HTZ1047" s="104"/>
      <c r="HUA1047" s="103"/>
      <c r="HUM1047" s="104"/>
      <c r="HUN1047" s="103"/>
      <c r="HUZ1047" s="104"/>
      <c r="HVA1047" s="103"/>
      <c r="HVM1047" s="104"/>
      <c r="HVN1047" s="103"/>
      <c r="HVZ1047" s="104"/>
      <c r="HWA1047" s="103"/>
      <c r="HWM1047" s="104"/>
      <c r="HWN1047" s="103"/>
      <c r="HWZ1047" s="104"/>
      <c r="HXA1047" s="103"/>
      <c r="HXM1047" s="104"/>
      <c r="HXN1047" s="103"/>
      <c r="HXZ1047" s="104"/>
      <c r="HYA1047" s="103"/>
      <c r="HYM1047" s="104"/>
      <c r="HYN1047" s="103"/>
      <c r="HYZ1047" s="104"/>
      <c r="HZA1047" s="103"/>
      <c r="HZM1047" s="104"/>
      <c r="HZN1047" s="103"/>
      <c r="HZZ1047" s="104"/>
      <c r="IAA1047" s="103"/>
      <c r="IAM1047" s="104"/>
      <c r="IAN1047" s="103"/>
      <c r="IAZ1047" s="104"/>
      <c r="IBA1047" s="103"/>
      <c r="IBM1047" s="104"/>
      <c r="IBN1047" s="103"/>
      <c r="IBZ1047" s="104"/>
      <c r="ICA1047" s="103"/>
      <c r="ICM1047" s="104"/>
      <c r="ICN1047" s="103"/>
      <c r="ICZ1047" s="104"/>
      <c r="IDA1047" s="103"/>
      <c r="IDM1047" s="104"/>
      <c r="IDN1047" s="103"/>
      <c r="IDZ1047" s="104"/>
      <c r="IEA1047" s="103"/>
      <c r="IEM1047" s="104"/>
      <c r="IEN1047" s="103"/>
      <c r="IEZ1047" s="104"/>
      <c r="IFA1047" s="103"/>
      <c r="IFM1047" s="104"/>
      <c r="IFN1047" s="103"/>
      <c r="IFZ1047" s="104"/>
      <c r="IGA1047" s="103"/>
      <c r="IGM1047" s="104"/>
      <c r="IGN1047" s="103"/>
      <c r="IGZ1047" s="104"/>
      <c r="IHA1047" s="103"/>
      <c r="IHM1047" s="104"/>
      <c r="IHN1047" s="103"/>
      <c r="IHZ1047" s="104"/>
      <c r="IIA1047" s="103"/>
      <c r="IIM1047" s="104"/>
      <c r="IIN1047" s="103"/>
      <c r="IIZ1047" s="104"/>
      <c r="IJA1047" s="103"/>
      <c r="IJM1047" s="104"/>
      <c r="IJN1047" s="103"/>
      <c r="IJZ1047" s="104"/>
      <c r="IKA1047" s="103"/>
      <c r="IKM1047" s="104"/>
      <c r="IKN1047" s="103"/>
      <c r="IKZ1047" s="104"/>
      <c r="ILA1047" s="103"/>
      <c r="ILM1047" s="104"/>
      <c r="ILN1047" s="103"/>
      <c r="ILZ1047" s="104"/>
      <c r="IMA1047" s="103"/>
      <c r="IMM1047" s="104"/>
      <c r="IMN1047" s="103"/>
      <c r="IMZ1047" s="104"/>
      <c r="INA1047" s="103"/>
      <c r="INM1047" s="104"/>
      <c r="INN1047" s="103"/>
      <c r="INZ1047" s="104"/>
      <c r="IOA1047" s="103"/>
      <c r="IOM1047" s="104"/>
      <c r="ION1047" s="103"/>
      <c r="IOZ1047" s="104"/>
      <c r="IPA1047" s="103"/>
      <c r="IPM1047" s="104"/>
      <c r="IPN1047" s="103"/>
      <c r="IPZ1047" s="104"/>
      <c r="IQA1047" s="103"/>
      <c r="IQM1047" s="104"/>
      <c r="IQN1047" s="103"/>
      <c r="IQZ1047" s="104"/>
      <c r="IRA1047" s="103"/>
      <c r="IRM1047" s="104"/>
      <c r="IRN1047" s="103"/>
      <c r="IRZ1047" s="104"/>
      <c r="ISA1047" s="103"/>
      <c r="ISM1047" s="104"/>
      <c r="ISN1047" s="103"/>
      <c r="ISZ1047" s="104"/>
      <c r="ITA1047" s="103"/>
      <c r="ITM1047" s="104"/>
      <c r="ITN1047" s="103"/>
      <c r="ITZ1047" s="104"/>
      <c r="IUA1047" s="103"/>
      <c r="IUM1047" s="104"/>
      <c r="IUN1047" s="103"/>
      <c r="IUZ1047" s="104"/>
      <c r="IVA1047" s="103"/>
      <c r="IVM1047" s="104"/>
      <c r="IVN1047" s="103"/>
      <c r="IVZ1047" s="104"/>
      <c r="IWA1047" s="103"/>
      <c r="IWM1047" s="104"/>
      <c r="IWN1047" s="103"/>
      <c r="IWZ1047" s="104"/>
      <c r="IXA1047" s="103"/>
      <c r="IXM1047" s="104"/>
      <c r="IXN1047" s="103"/>
      <c r="IXZ1047" s="104"/>
      <c r="IYA1047" s="103"/>
      <c r="IYM1047" s="104"/>
      <c r="IYN1047" s="103"/>
      <c r="IYZ1047" s="104"/>
      <c r="IZA1047" s="103"/>
      <c r="IZM1047" s="104"/>
      <c r="IZN1047" s="103"/>
      <c r="IZZ1047" s="104"/>
      <c r="JAA1047" s="103"/>
      <c r="JAM1047" s="104"/>
      <c r="JAN1047" s="103"/>
      <c r="JAZ1047" s="104"/>
      <c r="JBA1047" s="103"/>
      <c r="JBM1047" s="104"/>
      <c r="JBN1047" s="103"/>
      <c r="JBZ1047" s="104"/>
      <c r="JCA1047" s="103"/>
      <c r="JCM1047" s="104"/>
      <c r="JCN1047" s="103"/>
      <c r="JCZ1047" s="104"/>
      <c r="JDA1047" s="103"/>
      <c r="JDM1047" s="104"/>
      <c r="JDN1047" s="103"/>
      <c r="JDZ1047" s="104"/>
      <c r="JEA1047" s="103"/>
      <c r="JEM1047" s="104"/>
      <c r="JEN1047" s="103"/>
      <c r="JEZ1047" s="104"/>
      <c r="JFA1047" s="103"/>
      <c r="JFM1047" s="104"/>
      <c r="JFN1047" s="103"/>
      <c r="JFZ1047" s="104"/>
      <c r="JGA1047" s="103"/>
      <c r="JGM1047" s="104"/>
      <c r="JGN1047" s="103"/>
      <c r="JGZ1047" s="104"/>
      <c r="JHA1047" s="103"/>
      <c r="JHM1047" s="104"/>
      <c r="JHN1047" s="103"/>
      <c r="JHZ1047" s="104"/>
      <c r="JIA1047" s="103"/>
      <c r="JIM1047" s="104"/>
      <c r="JIN1047" s="103"/>
      <c r="JIZ1047" s="104"/>
      <c r="JJA1047" s="103"/>
      <c r="JJM1047" s="104"/>
      <c r="JJN1047" s="103"/>
      <c r="JJZ1047" s="104"/>
      <c r="JKA1047" s="103"/>
      <c r="JKM1047" s="104"/>
      <c r="JKN1047" s="103"/>
      <c r="JKZ1047" s="104"/>
      <c r="JLA1047" s="103"/>
      <c r="JLM1047" s="104"/>
      <c r="JLN1047" s="103"/>
      <c r="JLZ1047" s="104"/>
      <c r="JMA1047" s="103"/>
      <c r="JMM1047" s="104"/>
      <c r="JMN1047" s="103"/>
      <c r="JMZ1047" s="104"/>
      <c r="JNA1047" s="103"/>
      <c r="JNM1047" s="104"/>
      <c r="JNN1047" s="103"/>
      <c r="JNZ1047" s="104"/>
      <c r="JOA1047" s="103"/>
      <c r="JOM1047" s="104"/>
      <c r="JON1047" s="103"/>
      <c r="JOZ1047" s="104"/>
      <c r="JPA1047" s="103"/>
      <c r="JPM1047" s="104"/>
      <c r="JPN1047" s="103"/>
      <c r="JPZ1047" s="104"/>
      <c r="JQA1047" s="103"/>
      <c r="JQM1047" s="104"/>
      <c r="JQN1047" s="103"/>
      <c r="JQZ1047" s="104"/>
      <c r="JRA1047" s="103"/>
      <c r="JRM1047" s="104"/>
      <c r="JRN1047" s="103"/>
      <c r="JRZ1047" s="104"/>
      <c r="JSA1047" s="103"/>
      <c r="JSM1047" s="104"/>
      <c r="JSN1047" s="103"/>
      <c r="JSZ1047" s="104"/>
      <c r="JTA1047" s="103"/>
      <c r="JTM1047" s="104"/>
      <c r="JTN1047" s="103"/>
      <c r="JTZ1047" s="104"/>
      <c r="JUA1047" s="103"/>
      <c r="JUM1047" s="104"/>
      <c r="JUN1047" s="103"/>
      <c r="JUZ1047" s="104"/>
      <c r="JVA1047" s="103"/>
      <c r="JVM1047" s="104"/>
      <c r="JVN1047" s="103"/>
      <c r="JVZ1047" s="104"/>
      <c r="JWA1047" s="103"/>
      <c r="JWM1047" s="104"/>
      <c r="JWN1047" s="103"/>
      <c r="JWZ1047" s="104"/>
      <c r="JXA1047" s="103"/>
      <c r="JXM1047" s="104"/>
      <c r="JXN1047" s="103"/>
      <c r="JXZ1047" s="104"/>
      <c r="JYA1047" s="103"/>
      <c r="JYM1047" s="104"/>
      <c r="JYN1047" s="103"/>
      <c r="JYZ1047" s="104"/>
      <c r="JZA1047" s="103"/>
      <c r="JZM1047" s="104"/>
      <c r="JZN1047" s="103"/>
      <c r="JZZ1047" s="104"/>
      <c r="KAA1047" s="103"/>
      <c r="KAM1047" s="104"/>
      <c r="KAN1047" s="103"/>
      <c r="KAZ1047" s="104"/>
      <c r="KBA1047" s="103"/>
      <c r="KBM1047" s="104"/>
      <c r="KBN1047" s="103"/>
      <c r="KBZ1047" s="104"/>
      <c r="KCA1047" s="103"/>
      <c r="KCM1047" s="104"/>
      <c r="KCN1047" s="103"/>
      <c r="KCZ1047" s="104"/>
      <c r="KDA1047" s="103"/>
      <c r="KDM1047" s="104"/>
      <c r="KDN1047" s="103"/>
      <c r="KDZ1047" s="104"/>
      <c r="KEA1047" s="103"/>
      <c r="KEM1047" s="104"/>
      <c r="KEN1047" s="103"/>
      <c r="KEZ1047" s="104"/>
      <c r="KFA1047" s="103"/>
      <c r="KFM1047" s="104"/>
      <c r="KFN1047" s="103"/>
      <c r="KFZ1047" s="104"/>
      <c r="KGA1047" s="103"/>
      <c r="KGM1047" s="104"/>
      <c r="KGN1047" s="103"/>
      <c r="KGZ1047" s="104"/>
      <c r="KHA1047" s="103"/>
      <c r="KHM1047" s="104"/>
      <c r="KHN1047" s="103"/>
      <c r="KHZ1047" s="104"/>
      <c r="KIA1047" s="103"/>
      <c r="KIM1047" s="104"/>
      <c r="KIN1047" s="103"/>
      <c r="KIZ1047" s="104"/>
      <c r="KJA1047" s="103"/>
      <c r="KJM1047" s="104"/>
      <c r="KJN1047" s="103"/>
      <c r="KJZ1047" s="104"/>
      <c r="KKA1047" s="103"/>
      <c r="KKM1047" s="104"/>
      <c r="KKN1047" s="103"/>
      <c r="KKZ1047" s="104"/>
      <c r="KLA1047" s="103"/>
      <c r="KLM1047" s="104"/>
      <c r="KLN1047" s="103"/>
      <c r="KLZ1047" s="104"/>
      <c r="KMA1047" s="103"/>
      <c r="KMM1047" s="104"/>
      <c r="KMN1047" s="103"/>
      <c r="KMZ1047" s="104"/>
      <c r="KNA1047" s="103"/>
      <c r="KNM1047" s="104"/>
      <c r="KNN1047" s="103"/>
      <c r="KNZ1047" s="104"/>
      <c r="KOA1047" s="103"/>
      <c r="KOM1047" s="104"/>
      <c r="KON1047" s="103"/>
      <c r="KOZ1047" s="104"/>
      <c r="KPA1047" s="103"/>
      <c r="KPM1047" s="104"/>
      <c r="KPN1047" s="103"/>
      <c r="KPZ1047" s="104"/>
      <c r="KQA1047" s="103"/>
      <c r="KQM1047" s="104"/>
      <c r="KQN1047" s="103"/>
      <c r="KQZ1047" s="104"/>
      <c r="KRA1047" s="103"/>
      <c r="KRM1047" s="104"/>
      <c r="KRN1047" s="103"/>
      <c r="KRZ1047" s="104"/>
      <c r="KSA1047" s="103"/>
      <c r="KSM1047" s="104"/>
      <c r="KSN1047" s="103"/>
      <c r="KSZ1047" s="104"/>
      <c r="KTA1047" s="103"/>
      <c r="KTM1047" s="104"/>
      <c r="KTN1047" s="103"/>
      <c r="KTZ1047" s="104"/>
      <c r="KUA1047" s="103"/>
      <c r="KUM1047" s="104"/>
      <c r="KUN1047" s="103"/>
      <c r="KUZ1047" s="104"/>
      <c r="KVA1047" s="103"/>
      <c r="KVM1047" s="104"/>
      <c r="KVN1047" s="103"/>
      <c r="KVZ1047" s="104"/>
      <c r="KWA1047" s="103"/>
      <c r="KWM1047" s="104"/>
      <c r="KWN1047" s="103"/>
      <c r="KWZ1047" s="104"/>
      <c r="KXA1047" s="103"/>
      <c r="KXM1047" s="104"/>
      <c r="KXN1047" s="103"/>
      <c r="KXZ1047" s="104"/>
      <c r="KYA1047" s="103"/>
      <c r="KYM1047" s="104"/>
      <c r="KYN1047" s="103"/>
      <c r="KYZ1047" s="104"/>
      <c r="KZA1047" s="103"/>
      <c r="KZM1047" s="104"/>
      <c r="KZN1047" s="103"/>
      <c r="KZZ1047" s="104"/>
      <c r="LAA1047" s="103"/>
      <c r="LAM1047" s="104"/>
      <c r="LAN1047" s="103"/>
      <c r="LAZ1047" s="104"/>
      <c r="LBA1047" s="103"/>
      <c r="LBM1047" s="104"/>
      <c r="LBN1047" s="103"/>
      <c r="LBZ1047" s="104"/>
      <c r="LCA1047" s="103"/>
      <c r="LCM1047" s="104"/>
      <c r="LCN1047" s="103"/>
      <c r="LCZ1047" s="104"/>
      <c r="LDA1047" s="103"/>
      <c r="LDM1047" s="104"/>
      <c r="LDN1047" s="103"/>
      <c r="LDZ1047" s="104"/>
      <c r="LEA1047" s="103"/>
      <c r="LEM1047" s="104"/>
      <c r="LEN1047" s="103"/>
      <c r="LEZ1047" s="104"/>
      <c r="LFA1047" s="103"/>
      <c r="LFM1047" s="104"/>
      <c r="LFN1047" s="103"/>
      <c r="LFZ1047" s="104"/>
      <c r="LGA1047" s="103"/>
      <c r="LGM1047" s="104"/>
      <c r="LGN1047" s="103"/>
      <c r="LGZ1047" s="104"/>
      <c r="LHA1047" s="103"/>
      <c r="LHM1047" s="104"/>
      <c r="LHN1047" s="103"/>
      <c r="LHZ1047" s="104"/>
      <c r="LIA1047" s="103"/>
      <c r="LIM1047" s="104"/>
      <c r="LIN1047" s="103"/>
      <c r="LIZ1047" s="104"/>
      <c r="LJA1047" s="103"/>
      <c r="LJM1047" s="104"/>
      <c r="LJN1047" s="103"/>
      <c r="LJZ1047" s="104"/>
      <c r="LKA1047" s="103"/>
      <c r="LKM1047" s="104"/>
      <c r="LKN1047" s="103"/>
      <c r="LKZ1047" s="104"/>
      <c r="LLA1047" s="103"/>
      <c r="LLM1047" s="104"/>
      <c r="LLN1047" s="103"/>
      <c r="LLZ1047" s="104"/>
      <c r="LMA1047" s="103"/>
      <c r="LMM1047" s="104"/>
      <c r="LMN1047" s="103"/>
      <c r="LMZ1047" s="104"/>
      <c r="LNA1047" s="103"/>
      <c r="LNM1047" s="104"/>
      <c r="LNN1047" s="103"/>
      <c r="LNZ1047" s="104"/>
      <c r="LOA1047" s="103"/>
      <c r="LOM1047" s="104"/>
      <c r="LON1047" s="103"/>
      <c r="LOZ1047" s="104"/>
      <c r="LPA1047" s="103"/>
      <c r="LPM1047" s="104"/>
      <c r="LPN1047" s="103"/>
      <c r="LPZ1047" s="104"/>
      <c r="LQA1047" s="103"/>
      <c r="LQM1047" s="104"/>
      <c r="LQN1047" s="103"/>
      <c r="LQZ1047" s="104"/>
      <c r="LRA1047" s="103"/>
      <c r="LRM1047" s="104"/>
      <c r="LRN1047" s="103"/>
      <c r="LRZ1047" s="104"/>
      <c r="LSA1047" s="103"/>
      <c r="LSM1047" s="104"/>
      <c r="LSN1047" s="103"/>
      <c r="LSZ1047" s="104"/>
      <c r="LTA1047" s="103"/>
      <c r="LTM1047" s="104"/>
      <c r="LTN1047" s="103"/>
      <c r="LTZ1047" s="104"/>
      <c r="LUA1047" s="103"/>
      <c r="LUM1047" s="104"/>
      <c r="LUN1047" s="103"/>
      <c r="LUZ1047" s="104"/>
      <c r="LVA1047" s="103"/>
      <c r="LVM1047" s="104"/>
      <c r="LVN1047" s="103"/>
      <c r="LVZ1047" s="104"/>
      <c r="LWA1047" s="103"/>
      <c r="LWM1047" s="104"/>
      <c r="LWN1047" s="103"/>
      <c r="LWZ1047" s="104"/>
      <c r="LXA1047" s="103"/>
      <c r="LXM1047" s="104"/>
      <c r="LXN1047" s="103"/>
      <c r="LXZ1047" s="104"/>
      <c r="LYA1047" s="103"/>
      <c r="LYM1047" s="104"/>
      <c r="LYN1047" s="103"/>
      <c r="LYZ1047" s="104"/>
      <c r="LZA1047" s="103"/>
      <c r="LZM1047" s="104"/>
      <c r="LZN1047" s="103"/>
      <c r="LZZ1047" s="104"/>
      <c r="MAA1047" s="103"/>
      <c r="MAM1047" s="104"/>
      <c r="MAN1047" s="103"/>
      <c r="MAZ1047" s="104"/>
      <c r="MBA1047" s="103"/>
      <c r="MBM1047" s="104"/>
      <c r="MBN1047" s="103"/>
      <c r="MBZ1047" s="104"/>
      <c r="MCA1047" s="103"/>
      <c r="MCM1047" s="104"/>
      <c r="MCN1047" s="103"/>
      <c r="MCZ1047" s="104"/>
      <c r="MDA1047" s="103"/>
      <c r="MDM1047" s="104"/>
      <c r="MDN1047" s="103"/>
      <c r="MDZ1047" s="104"/>
      <c r="MEA1047" s="103"/>
      <c r="MEM1047" s="104"/>
      <c r="MEN1047" s="103"/>
      <c r="MEZ1047" s="104"/>
      <c r="MFA1047" s="103"/>
      <c r="MFM1047" s="104"/>
      <c r="MFN1047" s="103"/>
      <c r="MFZ1047" s="104"/>
      <c r="MGA1047" s="103"/>
      <c r="MGM1047" s="104"/>
      <c r="MGN1047" s="103"/>
      <c r="MGZ1047" s="104"/>
      <c r="MHA1047" s="103"/>
      <c r="MHM1047" s="104"/>
      <c r="MHN1047" s="103"/>
      <c r="MHZ1047" s="104"/>
      <c r="MIA1047" s="103"/>
      <c r="MIM1047" s="104"/>
      <c r="MIN1047" s="103"/>
      <c r="MIZ1047" s="104"/>
      <c r="MJA1047" s="103"/>
      <c r="MJM1047" s="104"/>
      <c r="MJN1047" s="103"/>
      <c r="MJZ1047" s="104"/>
      <c r="MKA1047" s="103"/>
      <c r="MKM1047" s="104"/>
      <c r="MKN1047" s="103"/>
      <c r="MKZ1047" s="104"/>
      <c r="MLA1047" s="103"/>
      <c r="MLM1047" s="104"/>
      <c r="MLN1047" s="103"/>
      <c r="MLZ1047" s="104"/>
      <c r="MMA1047" s="103"/>
      <c r="MMM1047" s="104"/>
      <c r="MMN1047" s="103"/>
      <c r="MMZ1047" s="104"/>
      <c r="MNA1047" s="103"/>
      <c r="MNM1047" s="104"/>
      <c r="MNN1047" s="103"/>
      <c r="MNZ1047" s="104"/>
      <c r="MOA1047" s="103"/>
      <c r="MOM1047" s="104"/>
      <c r="MON1047" s="103"/>
      <c r="MOZ1047" s="104"/>
      <c r="MPA1047" s="103"/>
      <c r="MPM1047" s="104"/>
      <c r="MPN1047" s="103"/>
      <c r="MPZ1047" s="104"/>
      <c r="MQA1047" s="103"/>
      <c r="MQM1047" s="104"/>
      <c r="MQN1047" s="103"/>
      <c r="MQZ1047" s="104"/>
      <c r="MRA1047" s="103"/>
      <c r="MRM1047" s="104"/>
      <c r="MRN1047" s="103"/>
      <c r="MRZ1047" s="104"/>
      <c r="MSA1047" s="103"/>
      <c r="MSM1047" s="104"/>
      <c r="MSN1047" s="103"/>
      <c r="MSZ1047" s="104"/>
      <c r="MTA1047" s="103"/>
      <c r="MTM1047" s="104"/>
      <c r="MTN1047" s="103"/>
      <c r="MTZ1047" s="104"/>
      <c r="MUA1047" s="103"/>
      <c r="MUM1047" s="104"/>
      <c r="MUN1047" s="103"/>
      <c r="MUZ1047" s="104"/>
      <c r="MVA1047" s="103"/>
      <c r="MVM1047" s="104"/>
      <c r="MVN1047" s="103"/>
      <c r="MVZ1047" s="104"/>
      <c r="MWA1047" s="103"/>
      <c r="MWM1047" s="104"/>
      <c r="MWN1047" s="103"/>
      <c r="MWZ1047" s="104"/>
      <c r="MXA1047" s="103"/>
      <c r="MXM1047" s="104"/>
      <c r="MXN1047" s="103"/>
      <c r="MXZ1047" s="104"/>
      <c r="MYA1047" s="103"/>
      <c r="MYM1047" s="104"/>
      <c r="MYN1047" s="103"/>
      <c r="MYZ1047" s="104"/>
      <c r="MZA1047" s="103"/>
      <c r="MZM1047" s="104"/>
      <c r="MZN1047" s="103"/>
      <c r="MZZ1047" s="104"/>
      <c r="NAA1047" s="103"/>
      <c r="NAM1047" s="104"/>
      <c r="NAN1047" s="103"/>
      <c r="NAZ1047" s="104"/>
      <c r="NBA1047" s="103"/>
      <c r="NBM1047" s="104"/>
      <c r="NBN1047" s="103"/>
      <c r="NBZ1047" s="104"/>
      <c r="NCA1047" s="103"/>
      <c r="NCM1047" s="104"/>
      <c r="NCN1047" s="103"/>
      <c r="NCZ1047" s="104"/>
      <c r="NDA1047" s="103"/>
      <c r="NDM1047" s="104"/>
      <c r="NDN1047" s="103"/>
      <c r="NDZ1047" s="104"/>
      <c r="NEA1047" s="103"/>
      <c r="NEM1047" s="104"/>
      <c r="NEN1047" s="103"/>
      <c r="NEZ1047" s="104"/>
      <c r="NFA1047" s="103"/>
      <c r="NFM1047" s="104"/>
      <c r="NFN1047" s="103"/>
      <c r="NFZ1047" s="104"/>
      <c r="NGA1047" s="103"/>
      <c r="NGM1047" s="104"/>
      <c r="NGN1047" s="103"/>
      <c r="NGZ1047" s="104"/>
      <c r="NHA1047" s="103"/>
      <c r="NHM1047" s="104"/>
      <c r="NHN1047" s="103"/>
      <c r="NHZ1047" s="104"/>
      <c r="NIA1047" s="103"/>
      <c r="NIM1047" s="104"/>
      <c r="NIN1047" s="103"/>
      <c r="NIZ1047" s="104"/>
      <c r="NJA1047" s="103"/>
      <c r="NJM1047" s="104"/>
      <c r="NJN1047" s="103"/>
      <c r="NJZ1047" s="104"/>
      <c r="NKA1047" s="103"/>
      <c r="NKM1047" s="104"/>
      <c r="NKN1047" s="103"/>
      <c r="NKZ1047" s="104"/>
      <c r="NLA1047" s="103"/>
      <c r="NLM1047" s="104"/>
      <c r="NLN1047" s="103"/>
      <c r="NLZ1047" s="104"/>
      <c r="NMA1047" s="103"/>
      <c r="NMM1047" s="104"/>
      <c r="NMN1047" s="103"/>
      <c r="NMZ1047" s="104"/>
      <c r="NNA1047" s="103"/>
      <c r="NNM1047" s="104"/>
      <c r="NNN1047" s="103"/>
      <c r="NNZ1047" s="104"/>
      <c r="NOA1047" s="103"/>
      <c r="NOM1047" s="104"/>
      <c r="NON1047" s="103"/>
      <c r="NOZ1047" s="104"/>
      <c r="NPA1047" s="103"/>
      <c r="NPM1047" s="104"/>
      <c r="NPN1047" s="103"/>
      <c r="NPZ1047" s="104"/>
      <c r="NQA1047" s="103"/>
      <c r="NQM1047" s="104"/>
      <c r="NQN1047" s="103"/>
      <c r="NQZ1047" s="104"/>
      <c r="NRA1047" s="103"/>
      <c r="NRM1047" s="104"/>
      <c r="NRN1047" s="103"/>
      <c r="NRZ1047" s="104"/>
      <c r="NSA1047" s="103"/>
      <c r="NSM1047" s="104"/>
      <c r="NSN1047" s="103"/>
      <c r="NSZ1047" s="104"/>
      <c r="NTA1047" s="103"/>
      <c r="NTM1047" s="104"/>
      <c r="NTN1047" s="103"/>
      <c r="NTZ1047" s="104"/>
      <c r="NUA1047" s="103"/>
      <c r="NUM1047" s="104"/>
      <c r="NUN1047" s="103"/>
      <c r="NUZ1047" s="104"/>
      <c r="NVA1047" s="103"/>
      <c r="NVM1047" s="104"/>
      <c r="NVN1047" s="103"/>
      <c r="NVZ1047" s="104"/>
      <c r="NWA1047" s="103"/>
      <c r="NWM1047" s="104"/>
      <c r="NWN1047" s="103"/>
      <c r="NWZ1047" s="104"/>
      <c r="NXA1047" s="103"/>
      <c r="NXM1047" s="104"/>
      <c r="NXN1047" s="103"/>
      <c r="NXZ1047" s="104"/>
      <c r="NYA1047" s="103"/>
      <c r="NYM1047" s="104"/>
      <c r="NYN1047" s="103"/>
      <c r="NYZ1047" s="104"/>
      <c r="NZA1047" s="103"/>
      <c r="NZM1047" s="104"/>
      <c r="NZN1047" s="103"/>
      <c r="NZZ1047" s="104"/>
      <c r="OAA1047" s="103"/>
      <c r="OAM1047" s="104"/>
      <c r="OAN1047" s="103"/>
      <c r="OAZ1047" s="104"/>
      <c r="OBA1047" s="103"/>
      <c r="OBM1047" s="104"/>
      <c r="OBN1047" s="103"/>
      <c r="OBZ1047" s="104"/>
      <c r="OCA1047" s="103"/>
      <c r="OCM1047" s="104"/>
      <c r="OCN1047" s="103"/>
      <c r="OCZ1047" s="104"/>
      <c r="ODA1047" s="103"/>
      <c r="ODM1047" s="104"/>
      <c r="ODN1047" s="103"/>
      <c r="ODZ1047" s="104"/>
      <c r="OEA1047" s="103"/>
      <c r="OEM1047" s="104"/>
      <c r="OEN1047" s="103"/>
      <c r="OEZ1047" s="104"/>
      <c r="OFA1047" s="103"/>
      <c r="OFM1047" s="104"/>
      <c r="OFN1047" s="103"/>
      <c r="OFZ1047" s="104"/>
      <c r="OGA1047" s="103"/>
      <c r="OGM1047" s="104"/>
      <c r="OGN1047" s="103"/>
      <c r="OGZ1047" s="104"/>
      <c r="OHA1047" s="103"/>
      <c r="OHM1047" s="104"/>
      <c r="OHN1047" s="103"/>
      <c r="OHZ1047" s="104"/>
      <c r="OIA1047" s="103"/>
      <c r="OIM1047" s="104"/>
      <c r="OIN1047" s="103"/>
      <c r="OIZ1047" s="104"/>
      <c r="OJA1047" s="103"/>
      <c r="OJM1047" s="104"/>
      <c r="OJN1047" s="103"/>
      <c r="OJZ1047" s="104"/>
      <c r="OKA1047" s="103"/>
      <c r="OKM1047" s="104"/>
      <c r="OKN1047" s="103"/>
      <c r="OKZ1047" s="104"/>
      <c r="OLA1047" s="103"/>
      <c r="OLM1047" s="104"/>
      <c r="OLN1047" s="103"/>
      <c r="OLZ1047" s="104"/>
      <c r="OMA1047" s="103"/>
      <c r="OMM1047" s="104"/>
      <c r="OMN1047" s="103"/>
      <c r="OMZ1047" s="104"/>
      <c r="ONA1047" s="103"/>
      <c r="ONM1047" s="104"/>
      <c r="ONN1047" s="103"/>
      <c r="ONZ1047" s="104"/>
      <c r="OOA1047" s="103"/>
      <c r="OOM1047" s="104"/>
      <c r="OON1047" s="103"/>
      <c r="OOZ1047" s="104"/>
      <c r="OPA1047" s="103"/>
      <c r="OPM1047" s="104"/>
      <c r="OPN1047" s="103"/>
      <c r="OPZ1047" s="104"/>
      <c r="OQA1047" s="103"/>
      <c r="OQM1047" s="104"/>
      <c r="OQN1047" s="103"/>
      <c r="OQZ1047" s="104"/>
      <c r="ORA1047" s="103"/>
      <c r="ORM1047" s="104"/>
      <c r="ORN1047" s="103"/>
      <c r="ORZ1047" s="104"/>
      <c r="OSA1047" s="103"/>
      <c r="OSM1047" s="104"/>
      <c r="OSN1047" s="103"/>
      <c r="OSZ1047" s="104"/>
      <c r="OTA1047" s="103"/>
      <c r="OTM1047" s="104"/>
      <c r="OTN1047" s="103"/>
      <c r="OTZ1047" s="104"/>
      <c r="OUA1047" s="103"/>
      <c r="OUM1047" s="104"/>
      <c r="OUN1047" s="103"/>
      <c r="OUZ1047" s="104"/>
      <c r="OVA1047" s="103"/>
      <c r="OVM1047" s="104"/>
      <c r="OVN1047" s="103"/>
      <c r="OVZ1047" s="104"/>
      <c r="OWA1047" s="103"/>
      <c r="OWM1047" s="104"/>
      <c r="OWN1047" s="103"/>
      <c r="OWZ1047" s="104"/>
      <c r="OXA1047" s="103"/>
      <c r="OXM1047" s="104"/>
      <c r="OXN1047" s="103"/>
      <c r="OXZ1047" s="104"/>
      <c r="OYA1047" s="103"/>
      <c r="OYM1047" s="104"/>
      <c r="OYN1047" s="103"/>
      <c r="OYZ1047" s="104"/>
      <c r="OZA1047" s="103"/>
      <c r="OZM1047" s="104"/>
      <c r="OZN1047" s="103"/>
      <c r="OZZ1047" s="104"/>
      <c r="PAA1047" s="103"/>
      <c r="PAM1047" s="104"/>
      <c r="PAN1047" s="103"/>
      <c r="PAZ1047" s="104"/>
      <c r="PBA1047" s="103"/>
      <c r="PBM1047" s="104"/>
      <c r="PBN1047" s="103"/>
      <c r="PBZ1047" s="104"/>
      <c r="PCA1047" s="103"/>
      <c r="PCM1047" s="104"/>
      <c r="PCN1047" s="103"/>
      <c r="PCZ1047" s="104"/>
      <c r="PDA1047" s="103"/>
      <c r="PDM1047" s="104"/>
      <c r="PDN1047" s="103"/>
      <c r="PDZ1047" s="104"/>
      <c r="PEA1047" s="103"/>
      <c r="PEM1047" s="104"/>
      <c r="PEN1047" s="103"/>
      <c r="PEZ1047" s="104"/>
      <c r="PFA1047" s="103"/>
      <c r="PFM1047" s="104"/>
      <c r="PFN1047" s="103"/>
      <c r="PFZ1047" s="104"/>
      <c r="PGA1047" s="103"/>
      <c r="PGM1047" s="104"/>
      <c r="PGN1047" s="103"/>
      <c r="PGZ1047" s="104"/>
      <c r="PHA1047" s="103"/>
      <c r="PHM1047" s="104"/>
      <c r="PHN1047" s="103"/>
      <c r="PHZ1047" s="104"/>
      <c r="PIA1047" s="103"/>
      <c r="PIM1047" s="104"/>
      <c r="PIN1047" s="103"/>
      <c r="PIZ1047" s="104"/>
      <c r="PJA1047" s="103"/>
      <c r="PJM1047" s="104"/>
      <c r="PJN1047" s="103"/>
      <c r="PJZ1047" s="104"/>
      <c r="PKA1047" s="103"/>
      <c r="PKM1047" s="104"/>
      <c r="PKN1047" s="103"/>
      <c r="PKZ1047" s="104"/>
      <c r="PLA1047" s="103"/>
      <c r="PLM1047" s="104"/>
      <c r="PLN1047" s="103"/>
      <c r="PLZ1047" s="104"/>
      <c r="PMA1047" s="103"/>
      <c r="PMM1047" s="104"/>
      <c r="PMN1047" s="103"/>
      <c r="PMZ1047" s="104"/>
      <c r="PNA1047" s="103"/>
      <c r="PNM1047" s="104"/>
      <c r="PNN1047" s="103"/>
      <c r="PNZ1047" s="104"/>
      <c r="POA1047" s="103"/>
      <c r="POM1047" s="104"/>
      <c r="PON1047" s="103"/>
      <c r="POZ1047" s="104"/>
      <c r="PPA1047" s="103"/>
      <c r="PPM1047" s="104"/>
      <c r="PPN1047" s="103"/>
      <c r="PPZ1047" s="104"/>
      <c r="PQA1047" s="103"/>
      <c r="PQM1047" s="104"/>
      <c r="PQN1047" s="103"/>
      <c r="PQZ1047" s="104"/>
      <c r="PRA1047" s="103"/>
      <c r="PRM1047" s="104"/>
      <c r="PRN1047" s="103"/>
      <c r="PRZ1047" s="104"/>
      <c r="PSA1047" s="103"/>
      <c r="PSM1047" s="104"/>
      <c r="PSN1047" s="103"/>
      <c r="PSZ1047" s="104"/>
      <c r="PTA1047" s="103"/>
      <c r="PTM1047" s="104"/>
      <c r="PTN1047" s="103"/>
      <c r="PTZ1047" s="104"/>
      <c r="PUA1047" s="103"/>
      <c r="PUM1047" s="104"/>
      <c r="PUN1047" s="103"/>
      <c r="PUZ1047" s="104"/>
      <c r="PVA1047" s="103"/>
      <c r="PVM1047" s="104"/>
      <c r="PVN1047" s="103"/>
      <c r="PVZ1047" s="104"/>
      <c r="PWA1047" s="103"/>
      <c r="PWM1047" s="104"/>
      <c r="PWN1047" s="103"/>
      <c r="PWZ1047" s="104"/>
      <c r="PXA1047" s="103"/>
      <c r="PXM1047" s="104"/>
      <c r="PXN1047" s="103"/>
      <c r="PXZ1047" s="104"/>
      <c r="PYA1047" s="103"/>
      <c r="PYM1047" s="104"/>
      <c r="PYN1047" s="103"/>
      <c r="PYZ1047" s="104"/>
      <c r="PZA1047" s="103"/>
      <c r="PZM1047" s="104"/>
      <c r="PZN1047" s="103"/>
      <c r="PZZ1047" s="104"/>
      <c r="QAA1047" s="103"/>
      <c r="QAM1047" s="104"/>
      <c r="QAN1047" s="103"/>
      <c r="QAZ1047" s="104"/>
      <c r="QBA1047" s="103"/>
      <c r="QBM1047" s="104"/>
      <c r="QBN1047" s="103"/>
      <c r="QBZ1047" s="104"/>
      <c r="QCA1047" s="103"/>
      <c r="QCM1047" s="104"/>
      <c r="QCN1047" s="103"/>
      <c r="QCZ1047" s="104"/>
      <c r="QDA1047" s="103"/>
      <c r="QDM1047" s="104"/>
      <c r="QDN1047" s="103"/>
      <c r="QDZ1047" s="104"/>
      <c r="QEA1047" s="103"/>
      <c r="QEM1047" s="104"/>
      <c r="QEN1047" s="103"/>
      <c r="QEZ1047" s="104"/>
      <c r="QFA1047" s="103"/>
      <c r="QFM1047" s="104"/>
      <c r="QFN1047" s="103"/>
      <c r="QFZ1047" s="104"/>
      <c r="QGA1047" s="103"/>
      <c r="QGM1047" s="104"/>
      <c r="QGN1047" s="103"/>
      <c r="QGZ1047" s="104"/>
      <c r="QHA1047" s="103"/>
      <c r="QHM1047" s="104"/>
      <c r="QHN1047" s="103"/>
      <c r="QHZ1047" s="104"/>
      <c r="QIA1047" s="103"/>
      <c r="QIM1047" s="104"/>
      <c r="QIN1047" s="103"/>
      <c r="QIZ1047" s="104"/>
      <c r="QJA1047" s="103"/>
      <c r="QJM1047" s="104"/>
      <c r="QJN1047" s="103"/>
      <c r="QJZ1047" s="104"/>
      <c r="QKA1047" s="103"/>
      <c r="QKM1047" s="104"/>
      <c r="QKN1047" s="103"/>
      <c r="QKZ1047" s="104"/>
      <c r="QLA1047" s="103"/>
      <c r="QLM1047" s="104"/>
      <c r="QLN1047" s="103"/>
      <c r="QLZ1047" s="104"/>
      <c r="QMA1047" s="103"/>
      <c r="QMM1047" s="104"/>
      <c r="QMN1047" s="103"/>
      <c r="QMZ1047" s="104"/>
      <c r="QNA1047" s="103"/>
      <c r="QNM1047" s="104"/>
      <c r="QNN1047" s="103"/>
      <c r="QNZ1047" s="104"/>
      <c r="QOA1047" s="103"/>
      <c r="QOM1047" s="104"/>
      <c r="QON1047" s="103"/>
      <c r="QOZ1047" s="104"/>
      <c r="QPA1047" s="103"/>
      <c r="QPM1047" s="104"/>
      <c r="QPN1047" s="103"/>
      <c r="QPZ1047" s="104"/>
      <c r="QQA1047" s="103"/>
      <c r="QQM1047" s="104"/>
      <c r="QQN1047" s="103"/>
      <c r="QQZ1047" s="104"/>
      <c r="QRA1047" s="103"/>
      <c r="QRM1047" s="104"/>
      <c r="QRN1047" s="103"/>
      <c r="QRZ1047" s="104"/>
      <c r="QSA1047" s="103"/>
      <c r="QSM1047" s="104"/>
      <c r="QSN1047" s="103"/>
      <c r="QSZ1047" s="104"/>
      <c r="QTA1047" s="103"/>
      <c r="QTM1047" s="104"/>
      <c r="QTN1047" s="103"/>
      <c r="QTZ1047" s="104"/>
      <c r="QUA1047" s="103"/>
      <c r="QUM1047" s="104"/>
      <c r="QUN1047" s="103"/>
      <c r="QUZ1047" s="104"/>
      <c r="QVA1047" s="103"/>
      <c r="QVM1047" s="104"/>
      <c r="QVN1047" s="103"/>
      <c r="QVZ1047" s="104"/>
      <c r="QWA1047" s="103"/>
      <c r="QWM1047" s="104"/>
      <c r="QWN1047" s="103"/>
      <c r="QWZ1047" s="104"/>
      <c r="QXA1047" s="103"/>
      <c r="QXM1047" s="104"/>
      <c r="QXN1047" s="103"/>
      <c r="QXZ1047" s="104"/>
      <c r="QYA1047" s="103"/>
      <c r="QYM1047" s="104"/>
      <c r="QYN1047" s="103"/>
      <c r="QYZ1047" s="104"/>
      <c r="QZA1047" s="103"/>
      <c r="QZM1047" s="104"/>
      <c r="QZN1047" s="103"/>
      <c r="QZZ1047" s="104"/>
      <c r="RAA1047" s="103"/>
      <c r="RAM1047" s="104"/>
      <c r="RAN1047" s="103"/>
      <c r="RAZ1047" s="104"/>
      <c r="RBA1047" s="103"/>
      <c r="RBM1047" s="104"/>
      <c r="RBN1047" s="103"/>
      <c r="RBZ1047" s="104"/>
      <c r="RCA1047" s="103"/>
      <c r="RCM1047" s="104"/>
      <c r="RCN1047" s="103"/>
      <c r="RCZ1047" s="104"/>
      <c r="RDA1047" s="103"/>
      <c r="RDM1047" s="104"/>
      <c r="RDN1047" s="103"/>
      <c r="RDZ1047" s="104"/>
      <c r="REA1047" s="103"/>
      <c r="REM1047" s="104"/>
      <c r="REN1047" s="103"/>
      <c r="REZ1047" s="104"/>
      <c r="RFA1047" s="103"/>
      <c r="RFM1047" s="104"/>
      <c r="RFN1047" s="103"/>
      <c r="RFZ1047" s="104"/>
      <c r="RGA1047" s="103"/>
      <c r="RGM1047" s="104"/>
      <c r="RGN1047" s="103"/>
      <c r="RGZ1047" s="104"/>
      <c r="RHA1047" s="103"/>
      <c r="RHM1047" s="104"/>
      <c r="RHN1047" s="103"/>
      <c r="RHZ1047" s="104"/>
      <c r="RIA1047" s="103"/>
      <c r="RIM1047" s="104"/>
      <c r="RIN1047" s="103"/>
      <c r="RIZ1047" s="104"/>
      <c r="RJA1047" s="103"/>
      <c r="RJM1047" s="104"/>
      <c r="RJN1047" s="103"/>
      <c r="RJZ1047" s="104"/>
      <c r="RKA1047" s="103"/>
      <c r="RKM1047" s="104"/>
      <c r="RKN1047" s="103"/>
      <c r="RKZ1047" s="104"/>
      <c r="RLA1047" s="103"/>
      <c r="RLM1047" s="104"/>
      <c r="RLN1047" s="103"/>
      <c r="RLZ1047" s="104"/>
      <c r="RMA1047" s="103"/>
      <c r="RMM1047" s="104"/>
      <c r="RMN1047" s="103"/>
      <c r="RMZ1047" s="104"/>
      <c r="RNA1047" s="103"/>
      <c r="RNM1047" s="104"/>
      <c r="RNN1047" s="103"/>
      <c r="RNZ1047" s="104"/>
      <c r="ROA1047" s="103"/>
      <c r="ROM1047" s="104"/>
      <c r="RON1047" s="103"/>
      <c r="ROZ1047" s="104"/>
      <c r="RPA1047" s="103"/>
      <c r="RPM1047" s="104"/>
      <c r="RPN1047" s="103"/>
      <c r="RPZ1047" s="104"/>
      <c r="RQA1047" s="103"/>
      <c r="RQM1047" s="104"/>
      <c r="RQN1047" s="103"/>
      <c r="RQZ1047" s="104"/>
      <c r="RRA1047" s="103"/>
      <c r="RRM1047" s="104"/>
      <c r="RRN1047" s="103"/>
      <c r="RRZ1047" s="104"/>
      <c r="RSA1047" s="103"/>
      <c r="RSM1047" s="104"/>
      <c r="RSN1047" s="103"/>
      <c r="RSZ1047" s="104"/>
      <c r="RTA1047" s="103"/>
      <c r="RTM1047" s="104"/>
      <c r="RTN1047" s="103"/>
      <c r="RTZ1047" s="104"/>
      <c r="RUA1047" s="103"/>
      <c r="RUM1047" s="104"/>
      <c r="RUN1047" s="103"/>
      <c r="RUZ1047" s="104"/>
      <c r="RVA1047" s="103"/>
      <c r="RVM1047" s="104"/>
      <c r="RVN1047" s="103"/>
      <c r="RVZ1047" s="104"/>
      <c r="RWA1047" s="103"/>
      <c r="RWM1047" s="104"/>
      <c r="RWN1047" s="103"/>
      <c r="RWZ1047" s="104"/>
      <c r="RXA1047" s="103"/>
      <c r="RXM1047" s="104"/>
      <c r="RXN1047" s="103"/>
      <c r="RXZ1047" s="104"/>
      <c r="RYA1047" s="103"/>
      <c r="RYM1047" s="104"/>
      <c r="RYN1047" s="103"/>
      <c r="RYZ1047" s="104"/>
      <c r="RZA1047" s="103"/>
      <c r="RZM1047" s="104"/>
      <c r="RZN1047" s="103"/>
      <c r="RZZ1047" s="104"/>
      <c r="SAA1047" s="103"/>
      <c r="SAM1047" s="104"/>
      <c r="SAN1047" s="103"/>
      <c r="SAZ1047" s="104"/>
      <c r="SBA1047" s="103"/>
      <c r="SBM1047" s="104"/>
      <c r="SBN1047" s="103"/>
      <c r="SBZ1047" s="104"/>
      <c r="SCA1047" s="103"/>
      <c r="SCM1047" s="104"/>
      <c r="SCN1047" s="103"/>
      <c r="SCZ1047" s="104"/>
      <c r="SDA1047" s="103"/>
      <c r="SDM1047" s="104"/>
      <c r="SDN1047" s="103"/>
      <c r="SDZ1047" s="104"/>
      <c r="SEA1047" s="103"/>
      <c r="SEM1047" s="104"/>
      <c r="SEN1047" s="103"/>
      <c r="SEZ1047" s="104"/>
      <c r="SFA1047" s="103"/>
      <c r="SFM1047" s="104"/>
      <c r="SFN1047" s="103"/>
      <c r="SFZ1047" s="104"/>
      <c r="SGA1047" s="103"/>
      <c r="SGM1047" s="104"/>
      <c r="SGN1047" s="103"/>
      <c r="SGZ1047" s="104"/>
      <c r="SHA1047" s="103"/>
      <c r="SHM1047" s="104"/>
      <c r="SHN1047" s="103"/>
      <c r="SHZ1047" s="104"/>
      <c r="SIA1047" s="103"/>
      <c r="SIM1047" s="104"/>
      <c r="SIN1047" s="103"/>
      <c r="SIZ1047" s="104"/>
      <c r="SJA1047" s="103"/>
      <c r="SJM1047" s="104"/>
      <c r="SJN1047" s="103"/>
      <c r="SJZ1047" s="104"/>
      <c r="SKA1047" s="103"/>
      <c r="SKM1047" s="104"/>
      <c r="SKN1047" s="103"/>
      <c r="SKZ1047" s="104"/>
      <c r="SLA1047" s="103"/>
      <c r="SLM1047" s="104"/>
      <c r="SLN1047" s="103"/>
      <c r="SLZ1047" s="104"/>
      <c r="SMA1047" s="103"/>
      <c r="SMM1047" s="104"/>
      <c r="SMN1047" s="103"/>
      <c r="SMZ1047" s="104"/>
      <c r="SNA1047" s="103"/>
      <c r="SNM1047" s="104"/>
      <c r="SNN1047" s="103"/>
      <c r="SNZ1047" s="104"/>
      <c r="SOA1047" s="103"/>
      <c r="SOM1047" s="104"/>
      <c r="SON1047" s="103"/>
      <c r="SOZ1047" s="104"/>
      <c r="SPA1047" s="103"/>
      <c r="SPM1047" s="104"/>
      <c r="SPN1047" s="103"/>
      <c r="SPZ1047" s="104"/>
      <c r="SQA1047" s="103"/>
      <c r="SQM1047" s="104"/>
      <c r="SQN1047" s="103"/>
      <c r="SQZ1047" s="104"/>
      <c r="SRA1047" s="103"/>
      <c r="SRM1047" s="104"/>
      <c r="SRN1047" s="103"/>
      <c r="SRZ1047" s="104"/>
      <c r="SSA1047" s="103"/>
      <c r="SSM1047" s="104"/>
      <c r="SSN1047" s="103"/>
      <c r="SSZ1047" s="104"/>
      <c r="STA1047" s="103"/>
      <c r="STM1047" s="104"/>
      <c r="STN1047" s="103"/>
      <c r="STZ1047" s="104"/>
      <c r="SUA1047" s="103"/>
      <c r="SUM1047" s="104"/>
      <c r="SUN1047" s="103"/>
      <c r="SUZ1047" s="104"/>
      <c r="SVA1047" s="103"/>
      <c r="SVM1047" s="104"/>
      <c r="SVN1047" s="103"/>
      <c r="SVZ1047" s="104"/>
      <c r="SWA1047" s="103"/>
      <c r="SWM1047" s="104"/>
      <c r="SWN1047" s="103"/>
      <c r="SWZ1047" s="104"/>
      <c r="SXA1047" s="103"/>
      <c r="SXM1047" s="104"/>
      <c r="SXN1047" s="103"/>
      <c r="SXZ1047" s="104"/>
      <c r="SYA1047" s="103"/>
      <c r="SYM1047" s="104"/>
      <c r="SYN1047" s="103"/>
      <c r="SYZ1047" s="104"/>
      <c r="SZA1047" s="103"/>
      <c r="SZM1047" s="104"/>
      <c r="SZN1047" s="103"/>
      <c r="SZZ1047" s="104"/>
      <c r="TAA1047" s="103"/>
      <c r="TAM1047" s="104"/>
      <c r="TAN1047" s="103"/>
      <c r="TAZ1047" s="104"/>
      <c r="TBA1047" s="103"/>
      <c r="TBM1047" s="104"/>
      <c r="TBN1047" s="103"/>
      <c r="TBZ1047" s="104"/>
      <c r="TCA1047" s="103"/>
      <c r="TCM1047" s="104"/>
      <c r="TCN1047" s="103"/>
      <c r="TCZ1047" s="104"/>
      <c r="TDA1047" s="103"/>
      <c r="TDM1047" s="104"/>
      <c r="TDN1047" s="103"/>
      <c r="TDZ1047" s="104"/>
      <c r="TEA1047" s="103"/>
      <c r="TEM1047" s="104"/>
      <c r="TEN1047" s="103"/>
      <c r="TEZ1047" s="104"/>
      <c r="TFA1047" s="103"/>
      <c r="TFM1047" s="104"/>
      <c r="TFN1047" s="103"/>
      <c r="TFZ1047" s="104"/>
      <c r="TGA1047" s="103"/>
      <c r="TGM1047" s="104"/>
      <c r="TGN1047" s="103"/>
      <c r="TGZ1047" s="104"/>
      <c r="THA1047" s="103"/>
      <c r="THM1047" s="104"/>
      <c r="THN1047" s="103"/>
      <c r="THZ1047" s="104"/>
      <c r="TIA1047" s="103"/>
      <c r="TIM1047" s="104"/>
      <c r="TIN1047" s="103"/>
      <c r="TIZ1047" s="104"/>
      <c r="TJA1047" s="103"/>
      <c r="TJM1047" s="104"/>
      <c r="TJN1047" s="103"/>
      <c r="TJZ1047" s="104"/>
      <c r="TKA1047" s="103"/>
      <c r="TKM1047" s="104"/>
      <c r="TKN1047" s="103"/>
      <c r="TKZ1047" s="104"/>
      <c r="TLA1047" s="103"/>
      <c r="TLM1047" s="104"/>
      <c r="TLN1047" s="103"/>
      <c r="TLZ1047" s="104"/>
      <c r="TMA1047" s="103"/>
      <c r="TMM1047" s="104"/>
      <c r="TMN1047" s="103"/>
      <c r="TMZ1047" s="104"/>
      <c r="TNA1047" s="103"/>
      <c r="TNM1047" s="104"/>
      <c r="TNN1047" s="103"/>
      <c r="TNZ1047" s="104"/>
      <c r="TOA1047" s="103"/>
      <c r="TOM1047" s="104"/>
      <c r="TON1047" s="103"/>
      <c r="TOZ1047" s="104"/>
      <c r="TPA1047" s="103"/>
      <c r="TPM1047" s="104"/>
      <c r="TPN1047" s="103"/>
      <c r="TPZ1047" s="104"/>
      <c r="TQA1047" s="103"/>
      <c r="TQM1047" s="104"/>
      <c r="TQN1047" s="103"/>
      <c r="TQZ1047" s="104"/>
      <c r="TRA1047" s="103"/>
      <c r="TRM1047" s="104"/>
      <c r="TRN1047" s="103"/>
      <c r="TRZ1047" s="104"/>
      <c r="TSA1047" s="103"/>
      <c r="TSM1047" s="104"/>
      <c r="TSN1047" s="103"/>
      <c r="TSZ1047" s="104"/>
      <c r="TTA1047" s="103"/>
      <c r="TTM1047" s="104"/>
      <c r="TTN1047" s="103"/>
      <c r="TTZ1047" s="104"/>
      <c r="TUA1047" s="103"/>
      <c r="TUM1047" s="104"/>
      <c r="TUN1047" s="103"/>
      <c r="TUZ1047" s="104"/>
      <c r="TVA1047" s="103"/>
      <c r="TVM1047" s="104"/>
      <c r="TVN1047" s="103"/>
      <c r="TVZ1047" s="104"/>
      <c r="TWA1047" s="103"/>
      <c r="TWM1047" s="104"/>
      <c r="TWN1047" s="103"/>
      <c r="TWZ1047" s="104"/>
      <c r="TXA1047" s="103"/>
      <c r="TXM1047" s="104"/>
      <c r="TXN1047" s="103"/>
      <c r="TXZ1047" s="104"/>
      <c r="TYA1047" s="103"/>
      <c r="TYM1047" s="104"/>
      <c r="TYN1047" s="103"/>
      <c r="TYZ1047" s="104"/>
      <c r="TZA1047" s="103"/>
      <c r="TZM1047" s="104"/>
      <c r="TZN1047" s="103"/>
      <c r="TZZ1047" s="104"/>
      <c r="UAA1047" s="103"/>
      <c r="UAM1047" s="104"/>
      <c r="UAN1047" s="103"/>
      <c r="UAZ1047" s="104"/>
      <c r="UBA1047" s="103"/>
      <c r="UBM1047" s="104"/>
      <c r="UBN1047" s="103"/>
      <c r="UBZ1047" s="104"/>
      <c r="UCA1047" s="103"/>
      <c r="UCM1047" s="104"/>
      <c r="UCN1047" s="103"/>
      <c r="UCZ1047" s="104"/>
      <c r="UDA1047" s="103"/>
      <c r="UDM1047" s="104"/>
      <c r="UDN1047" s="103"/>
      <c r="UDZ1047" s="104"/>
      <c r="UEA1047" s="103"/>
      <c r="UEM1047" s="104"/>
      <c r="UEN1047" s="103"/>
      <c r="UEZ1047" s="104"/>
      <c r="UFA1047" s="103"/>
      <c r="UFM1047" s="104"/>
      <c r="UFN1047" s="103"/>
      <c r="UFZ1047" s="104"/>
      <c r="UGA1047" s="103"/>
      <c r="UGM1047" s="104"/>
      <c r="UGN1047" s="103"/>
      <c r="UGZ1047" s="104"/>
      <c r="UHA1047" s="103"/>
      <c r="UHM1047" s="104"/>
      <c r="UHN1047" s="103"/>
      <c r="UHZ1047" s="104"/>
      <c r="UIA1047" s="103"/>
      <c r="UIM1047" s="104"/>
      <c r="UIN1047" s="103"/>
      <c r="UIZ1047" s="104"/>
      <c r="UJA1047" s="103"/>
      <c r="UJM1047" s="104"/>
      <c r="UJN1047" s="103"/>
      <c r="UJZ1047" s="104"/>
      <c r="UKA1047" s="103"/>
      <c r="UKM1047" s="104"/>
      <c r="UKN1047" s="103"/>
      <c r="UKZ1047" s="104"/>
      <c r="ULA1047" s="103"/>
      <c r="ULM1047" s="104"/>
      <c r="ULN1047" s="103"/>
      <c r="ULZ1047" s="104"/>
      <c r="UMA1047" s="103"/>
      <c r="UMM1047" s="104"/>
      <c r="UMN1047" s="103"/>
      <c r="UMZ1047" s="104"/>
      <c r="UNA1047" s="103"/>
      <c r="UNM1047" s="104"/>
      <c r="UNN1047" s="103"/>
      <c r="UNZ1047" s="104"/>
      <c r="UOA1047" s="103"/>
      <c r="UOM1047" s="104"/>
      <c r="UON1047" s="103"/>
      <c r="UOZ1047" s="104"/>
      <c r="UPA1047" s="103"/>
      <c r="UPM1047" s="104"/>
      <c r="UPN1047" s="103"/>
      <c r="UPZ1047" s="104"/>
      <c r="UQA1047" s="103"/>
      <c r="UQM1047" s="104"/>
      <c r="UQN1047" s="103"/>
      <c r="UQZ1047" s="104"/>
      <c r="URA1047" s="103"/>
      <c r="URM1047" s="104"/>
      <c r="URN1047" s="103"/>
      <c r="URZ1047" s="104"/>
      <c r="USA1047" s="103"/>
      <c r="USM1047" s="104"/>
      <c r="USN1047" s="103"/>
      <c r="USZ1047" s="104"/>
      <c r="UTA1047" s="103"/>
      <c r="UTM1047" s="104"/>
      <c r="UTN1047" s="103"/>
      <c r="UTZ1047" s="104"/>
      <c r="UUA1047" s="103"/>
      <c r="UUM1047" s="104"/>
      <c r="UUN1047" s="103"/>
      <c r="UUZ1047" s="104"/>
      <c r="UVA1047" s="103"/>
      <c r="UVM1047" s="104"/>
      <c r="UVN1047" s="103"/>
      <c r="UVZ1047" s="104"/>
      <c r="UWA1047" s="103"/>
      <c r="UWM1047" s="104"/>
      <c r="UWN1047" s="103"/>
      <c r="UWZ1047" s="104"/>
      <c r="UXA1047" s="103"/>
      <c r="UXM1047" s="104"/>
      <c r="UXN1047" s="103"/>
      <c r="UXZ1047" s="104"/>
      <c r="UYA1047" s="103"/>
      <c r="UYM1047" s="104"/>
      <c r="UYN1047" s="103"/>
      <c r="UYZ1047" s="104"/>
      <c r="UZA1047" s="103"/>
      <c r="UZM1047" s="104"/>
      <c r="UZN1047" s="103"/>
      <c r="UZZ1047" s="104"/>
      <c r="VAA1047" s="103"/>
      <c r="VAM1047" s="104"/>
      <c r="VAN1047" s="103"/>
      <c r="VAZ1047" s="104"/>
      <c r="VBA1047" s="103"/>
      <c r="VBM1047" s="104"/>
      <c r="VBN1047" s="103"/>
      <c r="VBZ1047" s="104"/>
      <c r="VCA1047" s="103"/>
      <c r="VCM1047" s="104"/>
      <c r="VCN1047" s="103"/>
      <c r="VCZ1047" s="104"/>
      <c r="VDA1047" s="103"/>
      <c r="VDM1047" s="104"/>
      <c r="VDN1047" s="103"/>
      <c r="VDZ1047" s="104"/>
      <c r="VEA1047" s="103"/>
      <c r="VEM1047" s="104"/>
      <c r="VEN1047" s="103"/>
      <c r="VEZ1047" s="104"/>
      <c r="VFA1047" s="103"/>
      <c r="VFM1047" s="104"/>
      <c r="VFN1047" s="103"/>
      <c r="VFZ1047" s="104"/>
      <c r="VGA1047" s="103"/>
      <c r="VGM1047" s="104"/>
      <c r="VGN1047" s="103"/>
      <c r="VGZ1047" s="104"/>
      <c r="VHA1047" s="103"/>
      <c r="VHM1047" s="104"/>
      <c r="VHN1047" s="103"/>
      <c r="VHZ1047" s="104"/>
      <c r="VIA1047" s="103"/>
      <c r="VIM1047" s="104"/>
      <c r="VIN1047" s="103"/>
      <c r="VIZ1047" s="104"/>
      <c r="VJA1047" s="103"/>
      <c r="VJM1047" s="104"/>
      <c r="VJN1047" s="103"/>
      <c r="VJZ1047" s="104"/>
      <c r="VKA1047" s="103"/>
      <c r="VKM1047" s="104"/>
      <c r="VKN1047" s="103"/>
      <c r="VKZ1047" s="104"/>
      <c r="VLA1047" s="103"/>
      <c r="VLM1047" s="104"/>
      <c r="VLN1047" s="103"/>
      <c r="VLZ1047" s="104"/>
      <c r="VMA1047" s="103"/>
      <c r="VMM1047" s="104"/>
      <c r="VMN1047" s="103"/>
      <c r="VMZ1047" s="104"/>
      <c r="VNA1047" s="103"/>
      <c r="VNM1047" s="104"/>
      <c r="VNN1047" s="103"/>
      <c r="VNZ1047" s="104"/>
      <c r="VOA1047" s="103"/>
      <c r="VOM1047" s="104"/>
      <c r="VON1047" s="103"/>
      <c r="VOZ1047" s="104"/>
      <c r="VPA1047" s="103"/>
      <c r="VPM1047" s="104"/>
      <c r="VPN1047" s="103"/>
      <c r="VPZ1047" s="104"/>
      <c r="VQA1047" s="103"/>
      <c r="VQM1047" s="104"/>
      <c r="VQN1047" s="103"/>
      <c r="VQZ1047" s="104"/>
      <c r="VRA1047" s="103"/>
      <c r="VRM1047" s="104"/>
      <c r="VRN1047" s="103"/>
      <c r="VRZ1047" s="104"/>
      <c r="VSA1047" s="103"/>
      <c r="VSM1047" s="104"/>
      <c r="VSN1047" s="103"/>
      <c r="VSZ1047" s="104"/>
      <c r="VTA1047" s="103"/>
      <c r="VTM1047" s="104"/>
      <c r="VTN1047" s="103"/>
      <c r="VTZ1047" s="104"/>
      <c r="VUA1047" s="103"/>
      <c r="VUM1047" s="104"/>
      <c r="VUN1047" s="103"/>
      <c r="VUZ1047" s="104"/>
      <c r="VVA1047" s="103"/>
      <c r="VVM1047" s="104"/>
      <c r="VVN1047" s="103"/>
      <c r="VVZ1047" s="104"/>
      <c r="VWA1047" s="103"/>
      <c r="VWM1047" s="104"/>
      <c r="VWN1047" s="103"/>
      <c r="VWZ1047" s="104"/>
      <c r="VXA1047" s="103"/>
      <c r="VXM1047" s="104"/>
      <c r="VXN1047" s="103"/>
      <c r="VXZ1047" s="104"/>
      <c r="VYA1047" s="103"/>
      <c r="VYM1047" s="104"/>
      <c r="VYN1047" s="103"/>
      <c r="VYZ1047" s="104"/>
      <c r="VZA1047" s="103"/>
      <c r="VZM1047" s="104"/>
      <c r="VZN1047" s="103"/>
      <c r="VZZ1047" s="104"/>
      <c r="WAA1047" s="103"/>
      <c r="WAM1047" s="104"/>
      <c r="WAN1047" s="103"/>
      <c r="WAZ1047" s="104"/>
      <c r="WBA1047" s="103"/>
      <c r="WBM1047" s="104"/>
      <c r="WBN1047" s="103"/>
      <c r="WBZ1047" s="104"/>
      <c r="WCA1047" s="103"/>
      <c r="WCM1047" s="104"/>
      <c r="WCN1047" s="103"/>
      <c r="WCZ1047" s="104"/>
      <c r="WDA1047" s="103"/>
      <c r="WDM1047" s="104"/>
      <c r="WDN1047" s="103"/>
      <c r="WDZ1047" s="104"/>
      <c r="WEA1047" s="103"/>
      <c r="WEM1047" s="104"/>
      <c r="WEN1047" s="103"/>
      <c r="WEZ1047" s="104"/>
      <c r="WFA1047" s="103"/>
      <c r="WFM1047" s="104"/>
      <c r="WFN1047" s="103"/>
      <c r="WFZ1047" s="104"/>
      <c r="WGA1047" s="103"/>
      <c r="WGM1047" s="104"/>
      <c r="WGN1047" s="103"/>
      <c r="WGZ1047" s="104"/>
      <c r="WHA1047" s="103"/>
      <c r="WHM1047" s="104"/>
      <c r="WHN1047" s="103"/>
      <c r="WHZ1047" s="104"/>
      <c r="WIA1047" s="103"/>
      <c r="WIM1047" s="104"/>
      <c r="WIN1047" s="103"/>
      <c r="WIZ1047" s="104"/>
      <c r="WJA1047" s="103"/>
      <c r="WJM1047" s="104"/>
      <c r="WJN1047" s="103"/>
      <c r="WJZ1047" s="104"/>
      <c r="WKA1047" s="103"/>
      <c r="WKM1047" s="104"/>
      <c r="WKN1047" s="103"/>
      <c r="WKZ1047" s="104"/>
      <c r="WLA1047" s="103"/>
      <c r="WLM1047" s="104"/>
      <c r="WLN1047" s="103"/>
      <c r="WLZ1047" s="104"/>
      <c r="WMA1047" s="103"/>
      <c r="WMM1047" s="104"/>
      <c r="WMN1047" s="103"/>
      <c r="WMZ1047" s="104"/>
      <c r="WNA1047" s="103"/>
      <c r="WNM1047" s="104"/>
      <c r="WNN1047" s="103"/>
      <c r="WNZ1047" s="104"/>
      <c r="WOA1047" s="103"/>
      <c r="WOM1047" s="104"/>
      <c r="WON1047" s="103"/>
      <c r="WOZ1047" s="104"/>
      <c r="WPA1047" s="103"/>
      <c r="WPM1047" s="104"/>
      <c r="WPN1047" s="103"/>
      <c r="WPZ1047" s="104"/>
      <c r="WQA1047" s="103"/>
      <c r="WQM1047" s="104"/>
      <c r="WQN1047" s="103"/>
      <c r="WQZ1047" s="104"/>
      <c r="WRA1047" s="103"/>
      <c r="WRM1047" s="104"/>
      <c r="WRN1047" s="103"/>
      <c r="WRZ1047" s="104"/>
      <c r="WSA1047" s="103"/>
      <c r="WSM1047" s="104"/>
      <c r="WSN1047" s="103"/>
      <c r="WSZ1047" s="104"/>
      <c r="WTA1047" s="103"/>
      <c r="WTM1047" s="104"/>
      <c r="WTN1047" s="103"/>
      <c r="WTZ1047" s="104"/>
      <c r="WUA1047" s="103"/>
      <c r="WUM1047" s="104"/>
      <c r="WUN1047" s="103"/>
      <c r="WUZ1047" s="104"/>
      <c r="WVA1047" s="103"/>
      <c r="WVM1047" s="104"/>
      <c r="WVN1047" s="103"/>
      <c r="WVZ1047" s="104"/>
      <c r="WWA1047" s="103"/>
      <c r="WWM1047" s="104"/>
      <c r="WWN1047" s="103"/>
      <c r="WWZ1047" s="104"/>
      <c r="WXA1047" s="103"/>
      <c r="WXM1047" s="104"/>
      <c r="WXN1047" s="103"/>
      <c r="WXZ1047" s="104"/>
      <c r="WYA1047" s="103"/>
      <c r="WYM1047" s="104"/>
      <c r="WYN1047" s="103"/>
      <c r="WYZ1047" s="104"/>
      <c r="WZA1047" s="103"/>
      <c r="WZM1047" s="104"/>
      <c r="WZN1047" s="103"/>
      <c r="WZZ1047" s="104"/>
      <c r="XAA1047" s="103"/>
      <c r="XAM1047" s="104"/>
      <c r="XAN1047" s="103"/>
      <c r="XAZ1047" s="104"/>
      <c r="XBA1047" s="103"/>
      <c r="XBM1047" s="104"/>
      <c r="XBN1047" s="103"/>
      <c r="XBZ1047" s="104"/>
      <c r="XCA1047" s="103"/>
      <c r="XCM1047" s="104"/>
      <c r="XCN1047" s="103"/>
      <c r="XCZ1047" s="104"/>
      <c r="XDA1047" s="103"/>
      <c r="XDM1047" s="104"/>
      <c r="XDN1047" s="103"/>
      <c r="XDZ1047" s="104"/>
      <c r="XEA1047" s="103"/>
      <c r="XEM1047" s="104"/>
      <c r="XEN1047" s="103"/>
      <c r="XEZ1047" s="104"/>
      <c r="XFA1047" s="103"/>
    </row>
    <row r="1048" spans="1:1015 1027:2042 2054:3069 3081:4096 4108:5110 5122:6137 6149:7164 7176:8191 8203:9205 9217:10232 10244:11259 11271:12286 12298:14327 14339:15354 15366:16381">
      <c r="B1048" s="134" t="s">
        <v>171</v>
      </c>
      <c r="C1048" s="135">
        <v>133170</v>
      </c>
      <c r="D1048" s="136">
        <f t="shared" si="46"/>
        <v>2422.5941422594146</v>
      </c>
      <c r="E1048" s="135">
        <v>36060</v>
      </c>
      <c r="F1048" s="136">
        <f t="shared" si="47"/>
        <v>655.99417864289614</v>
      </c>
      <c r="G1048" s="136">
        <f t="shared" si="44"/>
        <v>169230</v>
      </c>
      <c r="H1048" s="136">
        <f t="shared" si="45"/>
        <v>3078.5883209023109</v>
      </c>
      <c r="Z1048" s="104"/>
      <c r="AA1048" s="103"/>
      <c r="AM1048" s="104"/>
      <c r="AN1048" s="103"/>
      <c r="AZ1048" s="104"/>
      <c r="BA1048" s="103"/>
      <c r="BM1048" s="104"/>
      <c r="BN1048" s="103"/>
      <c r="BZ1048" s="104"/>
      <c r="CA1048" s="103"/>
      <c r="CM1048" s="104"/>
      <c r="CN1048" s="103"/>
      <c r="CZ1048" s="104"/>
      <c r="DA1048" s="103"/>
      <c r="DM1048" s="104"/>
      <c r="DN1048" s="103"/>
      <c r="DZ1048" s="104"/>
      <c r="EA1048" s="103"/>
      <c r="EM1048" s="104"/>
      <c r="EN1048" s="103"/>
      <c r="EZ1048" s="104"/>
      <c r="FA1048" s="103"/>
      <c r="FM1048" s="104"/>
      <c r="FN1048" s="103"/>
      <c r="FZ1048" s="104"/>
      <c r="GA1048" s="103"/>
      <c r="GM1048" s="104"/>
      <c r="GN1048" s="103"/>
      <c r="GZ1048" s="104"/>
      <c r="HA1048" s="103"/>
      <c r="HM1048" s="104"/>
      <c r="HN1048" s="103"/>
      <c r="HZ1048" s="104"/>
      <c r="IA1048" s="103"/>
      <c r="IM1048" s="104"/>
      <c r="IN1048" s="103"/>
      <c r="IZ1048" s="104"/>
      <c r="JA1048" s="103"/>
      <c r="JM1048" s="104"/>
      <c r="JN1048" s="103"/>
      <c r="JZ1048" s="104"/>
      <c r="KA1048" s="103"/>
      <c r="KM1048" s="104"/>
      <c r="KN1048" s="103"/>
      <c r="KZ1048" s="104"/>
      <c r="LA1048" s="103"/>
      <c r="LM1048" s="104"/>
      <c r="LN1048" s="103"/>
      <c r="LZ1048" s="104"/>
      <c r="MA1048" s="103"/>
      <c r="MM1048" s="104"/>
      <c r="MN1048" s="103"/>
      <c r="MZ1048" s="104"/>
      <c r="NA1048" s="103"/>
      <c r="NM1048" s="104"/>
      <c r="NN1048" s="103"/>
      <c r="NZ1048" s="104"/>
      <c r="OA1048" s="103"/>
      <c r="OM1048" s="104"/>
      <c r="ON1048" s="103"/>
      <c r="OZ1048" s="104"/>
      <c r="PA1048" s="103"/>
      <c r="PM1048" s="104"/>
      <c r="PN1048" s="103"/>
      <c r="PZ1048" s="104"/>
      <c r="QA1048" s="103"/>
      <c r="QM1048" s="104"/>
      <c r="QN1048" s="103"/>
      <c r="QZ1048" s="104"/>
      <c r="RA1048" s="103"/>
      <c r="RM1048" s="104"/>
      <c r="RN1048" s="103"/>
      <c r="RZ1048" s="104"/>
      <c r="SA1048" s="103"/>
      <c r="SM1048" s="104"/>
      <c r="SN1048" s="103"/>
      <c r="SZ1048" s="104"/>
      <c r="TA1048" s="103"/>
      <c r="TM1048" s="104"/>
      <c r="TN1048" s="103"/>
      <c r="TZ1048" s="104"/>
      <c r="UA1048" s="103"/>
      <c r="UM1048" s="104"/>
      <c r="UN1048" s="103"/>
      <c r="UZ1048" s="104"/>
      <c r="VA1048" s="103"/>
      <c r="VM1048" s="104"/>
      <c r="VN1048" s="103"/>
      <c r="VZ1048" s="104"/>
      <c r="WA1048" s="103"/>
      <c r="WM1048" s="104"/>
      <c r="WN1048" s="103"/>
      <c r="WZ1048" s="104"/>
      <c r="XA1048" s="103"/>
      <c r="XM1048" s="104"/>
      <c r="XN1048" s="103"/>
      <c r="XZ1048" s="104"/>
      <c r="YA1048" s="103"/>
      <c r="YM1048" s="104"/>
      <c r="YN1048" s="103"/>
      <c r="YZ1048" s="104"/>
      <c r="ZA1048" s="103"/>
      <c r="ZM1048" s="104"/>
      <c r="ZN1048" s="103"/>
      <c r="ZZ1048" s="104"/>
      <c r="AAA1048" s="103"/>
      <c r="AAM1048" s="104"/>
      <c r="AAN1048" s="103"/>
      <c r="AAZ1048" s="104"/>
      <c r="ABA1048" s="103"/>
      <c r="ABM1048" s="104"/>
      <c r="ABN1048" s="103"/>
      <c r="ABZ1048" s="104"/>
      <c r="ACA1048" s="103"/>
      <c r="ACM1048" s="104"/>
      <c r="ACN1048" s="103"/>
      <c r="ACZ1048" s="104"/>
      <c r="ADA1048" s="103"/>
      <c r="ADM1048" s="104"/>
      <c r="ADN1048" s="103"/>
      <c r="ADZ1048" s="104"/>
      <c r="AEA1048" s="103"/>
      <c r="AEM1048" s="104"/>
      <c r="AEN1048" s="103"/>
      <c r="AEZ1048" s="104"/>
      <c r="AFA1048" s="103"/>
      <c r="AFM1048" s="104"/>
      <c r="AFN1048" s="103"/>
      <c r="AFZ1048" s="104"/>
      <c r="AGA1048" s="103"/>
      <c r="AGM1048" s="104"/>
      <c r="AGN1048" s="103"/>
      <c r="AGZ1048" s="104"/>
      <c r="AHA1048" s="103"/>
      <c r="AHM1048" s="104"/>
      <c r="AHN1048" s="103"/>
      <c r="AHZ1048" s="104"/>
      <c r="AIA1048" s="103"/>
      <c r="AIM1048" s="104"/>
      <c r="AIN1048" s="103"/>
      <c r="AIZ1048" s="104"/>
      <c r="AJA1048" s="103"/>
      <c r="AJM1048" s="104"/>
      <c r="AJN1048" s="103"/>
      <c r="AJZ1048" s="104"/>
      <c r="AKA1048" s="103"/>
      <c r="AKM1048" s="104"/>
      <c r="AKN1048" s="103"/>
      <c r="AKZ1048" s="104"/>
      <c r="ALA1048" s="103"/>
      <c r="ALM1048" s="104"/>
      <c r="ALN1048" s="103"/>
      <c r="ALZ1048" s="104"/>
      <c r="AMA1048" s="103"/>
      <c r="AMM1048" s="104"/>
      <c r="AMN1048" s="103"/>
      <c r="AMZ1048" s="104"/>
      <c r="ANA1048" s="103"/>
      <c r="ANM1048" s="104"/>
      <c r="ANN1048" s="103"/>
      <c r="ANZ1048" s="104"/>
      <c r="AOA1048" s="103"/>
      <c r="AOM1048" s="104"/>
      <c r="AON1048" s="103"/>
      <c r="AOZ1048" s="104"/>
      <c r="APA1048" s="103"/>
      <c r="APM1048" s="104"/>
      <c r="APN1048" s="103"/>
      <c r="APZ1048" s="104"/>
      <c r="AQA1048" s="103"/>
      <c r="AQM1048" s="104"/>
      <c r="AQN1048" s="103"/>
      <c r="AQZ1048" s="104"/>
      <c r="ARA1048" s="103"/>
      <c r="ARM1048" s="104"/>
      <c r="ARN1048" s="103"/>
      <c r="ARZ1048" s="104"/>
      <c r="ASA1048" s="103"/>
      <c r="ASM1048" s="104"/>
      <c r="ASN1048" s="103"/>
      <c r="ASZ1048" s="104"/>
      <c r="ATA1048" s="103"/>
      <c r="ATM1048" s="104"/>
      <c r="ATN1048" s="103"/>
      <c r="ATZ1048" s="104"/>
      <c r="AUA1048" s="103"/>
      <c r="AUM1048" s="104"/>
      <c r="AUN1048" s="103"/>
      <c r="AUZ1048" s="104"/>
      <c r="AVA1048" s="103"/>
      <c r="AVM1048" s="104"/>
      <c r="AVN1048" s="103"/>
      <c r="AVZ1048" s="104"/>
      <c r="AWA1048" s="103"/>
      <c r="AWM1048" s="104"/>
      <c r="AWN1048" s="103"/>
      <c r="AWZ1048" s="104"/>
      <c r="AXA1048" s="103"/>
      <c r="AXM1048" s="104"/>
      <c r="AXN1048" s="103"/>
      <c r="AXZ1048" s="104"/>
      <c r="AYA1048" s="103"/>
      <c r="AYM1048" s="104"/>
      <c r="AYN1048" s="103"/>
      <c r="AYZ1048" s="104"/>
      <c r="AZA1048" s="103"/>
      <c r="AZM1048" s="104"/>
      <c r="AZN1048" s="103"/>
      <c r="AZZ1048" s="104"/>
      <c r="BAA1048" s="103"/>
      <c r="BAM1048" s="104"/>
      <c r="BAN1048" s="103"/>
      <c r="BAZ1048" s="104"/>
      <c r="BBA1048" s="103"/>
      <c r="BBM1048" s="104"/>
      <c r="BBN1048" s="103"/>
      <c r="BBZ1048" s="104"/>
      <c r="BCA1048" s="103"/>
      <c r="BCM1048" s="104"/>
      <c r="BCN1048" s="103"/>
      <c r="BCZ1048" s="104"/>
      <c r="BDA1048" s="103"/>
      <c r="BDM1048" s="104"/>
      <c r="BDN1048" s="103"/>
      <c r="BDZ1048" s="104"/>
      <c r="BEA1048" s="103"/>
      <c r="BEM1048" s="104"/>
      <c r="BEN1048" s="103"/>
      <c r="BEZ1048" s="104"/>
      <c r="BFA1048" s="103"/>
      <c r="BFM1048" s="104"/>
      <c r="BFN1048" s="103"/>
      <c r="BFZ1048" s="104"/>
      <c r="BGA1048" s="103"/>
      <c r="BGM1048" s="104"/>
      <c r="BGN1048" s="103"/>
      <c r="BGZ1048" s="104"/>
      <c r="BHA1048" s="103"/>
      <c r="BHM1048" s="104"/>
      <c r="BHN1048" s="103"/>
      <c r="BHZ1048" s="104"/>
      <c r="BIA1048" s="103"/>
      <c r="BIM1048" s="104"/>
      <c r="BIN1048" s="103"/>
      <c r="BIZ1048" s="104"/>
      <c r="BJA1048" s="103"/>
      <c r="BJM1048" s="104"/>
      <c r="BJN1048" s="103"/>
      <c r="BJZ1048" s="104"/>
      <c r="BKA1048" s="103"/>
      <c r="BKM1048" s="104"/>
      <c r="BKN1048" s="103"/>
      <c r="BKZ1048" s="104"/>
      <c r="BLA1048" s="103"/>
      <c r="BLM1048" s="104"/>
      <c r="BLN1048" s="103"/>
      <c r="BLZ1048" s="104"/>
      <c r="BMA1048" s="103"/>
      <c r="BMM1048" s="104"/>
      <c r="BMN1048" s="103"/>
      <c r="BMZ1048" s="104"/>
      <c r="BNA1048" s="103"/>
      <c r="BNM1048" s="104"/>
      <c r="BNN1048" s="103"/>
      <c r="BNZ1048" s="104"/>
      <c r="BOA1048" s="103"/>
      <c r="BOM1048" s="104"/>
      <c r="BON1048" s="103"/>
      <c r="BOZ1048" s="104"/>
      <c r="BPA1048" s="103"/>
      <c r="BPM1048" s="104"/>
      <c r="BPN1048" s="103"/>
      <c r="BPZ1048" s="104"/>
      <c r="BQA1048" s="103"/>
      <c r="BQM1048" s="104"/>
      <c r="BQN1048" s="103"/>
      <c r="BQZ1048" s="104"/>
      <c r="BRA1048" s="103"/>
      <c r="BRM1048" s="104"/>
      <c r="BRN1048" s="103"/>
      <c r="BRZ1048" s="104"/>
      <c r="BSA1048" s="103"/>
      <c r="BSM1048" s="104"/>
      <c r="BSN1048" s="103"/>
      <c r="BSZ1048" s="104"/>
      <c r="BTA1048" s="103"/>
      <c r="BTM1048" s="104"/>
      <c r="BTN1048" s="103"/>
      <c r="BTZ1048" s="104"/>
      <c r="BUA1048" s="103"/>
      <c r="BUM1048" s="104"/>
      <c r="BUN1048" s="103"/>
      <c r="BUZ1048" s="104"/>
      <c r="BVA1048" s="103"/>
      <c r="BVM1048" s="104"/>
      <c r="BVN1048" s="103"/>
      <c r="BVZ1048" s="104"/>
      <c r="BWA1048" s="103"/>
      <c r="BWM1048" s="104"/>
      <c r="BWN1048" s="103"/>
      <c r="BWZ1048" s="104"/>
      <c r="BXA1048" s="103"/>
      <c r="BXM1048" s="104"/>
      <c r="BXN1048" s="103"/>
      <c r="BXZ1048" s="104"/>
      <c r="BYA1048" s="103"/>
      <c r="BYM1048" s="104"/>
      <c r="BYN1048" s="103"/>
      <c r="BYZ1048" s="104"/>
      <c r="BZA1048" s="103"/>
      <c r="BZM1048" s="104"/>
      <c r="BZN1048" s="103"/>
      <c r="BZZ1048" s="104"/>
      <c r="CAA1048" s="103"/>
      <c r="CAM1048" s="104"/>
      <c r="CAN1048" s="103"/>
      <c r="CAZ1048" s="104"/>
      <c r="CBA1048" s="103"/>
      <c r="CBM1048" s="104"/>
      <c r="CBN1048" s="103"/>
      <c r="CBZ1048" s="104"/>
      <c r="CCA1048" s="103"/>
      <c r="CCM1048" s="104"/>
      <c r="CCN1048" s="103"/>
      <c r="CCZ1048" s="104"/>
      <c r="CDA1048" s="103"/>
      <c r="CDM1048" s="104"/>
      <c r="CDN1048" s="103"/>
      <c r="CDZ1048" s="104"/>
      <c r="CEA1048" s="103"/>
      <c r="CEM1048" s="104"/>
      <c r="CEN1048" s="103"/>
      <c r="CEZ1048" s="104"/>
      <c r="CFA1048" s="103"/>
      <c r="CFM1048" s="104"/>
      <c r="CFN1048" s="103"/>
      <c r="CFZ1048" s="104"/>
      <c r="CGA1048" s="103"/>
      <c r="CGM1048" s="104"/>
      <c r="CGN1048" s="103"/>
      <c r="CGZ1048" s="104"/>
      <c r="CHA1048" s="103"/>
      <c r="CHM1048" s="104"/>
      <c r="CHN1048" s="103"/>
      <c r="CHZ1048" s="104"/>
      <c r="CIA1048" s="103"/>
      <c r="CIM1048" s="104"/>
      <c r="CIN1048" s="103"/>
      <c r="CIZ1048" s="104"/>
      <c r="CJA1048" s="103"/>
      <c r="CJM1048" s="104"/>
      <c r="CJN1048" s="103"/>
      <c r="CJZ1048" s="104"/>
      <c r="CKA1048" s="103"/>
      <c r="CKM1048" s="104"/>
      <c r="CKN1048" s="103"/>
      <c r="CKZ1048" s="104"/>
      <c r="CLA1048" s="103"/>
      <c r="CLM1048" s="104"/>
      <c r="CLN1048" s="103"/>
      <c r="CLZ1048" s="104"/>
      <c r="CMA1048" s="103"/>
      <c r="CMM1048" s="104"/>
      <c r="CMN1048" s="103"/>
      <c r="CMZ1048" s="104"/>
      <c r="CNA1048" s="103"/>
      <c r="CNM1048" s="104"/>
      <c r="CNN1048" s="103"/>
      <c r="CNZ1048" s="104"/>
      <c r="COA1048" s="103"/>
      <c r="COM1048" s="104"/>
      <c r="CON1048" s="103"/>
      <c r="COZ1048" s="104"/>
      <c r="CPA1048" s="103"/>
      <c r="CPM1048" s="104"/>
      <c r="CPN1048" s="103"/>
      <c r="CPZ1048" s="104"/>
      <c r="CQA1048" s="103"/>
      <c r="CQM1048" s="104"/>
      <c r="CQN1048" s="103"/>
      <c r="CQZ1048" s="104"/>
      <c r="CRA1048" s="103"/>
      <c r="CRM1048" s="104"/>
      <c r="CRN1048" s="103"/>
      <c r="CRZ1048" s="104"/>
      <c r="CSA1048" s="103"/>
      <c r="CSM1048" s="104"/>
      <c r="CSN1048" s="103"/>
      <c r="CSZ1048" s="104"/>
      <c r="CTA1048" s="103"/>
      <c r="CTM1048" s="104"/>
      <c r="CTN1048" s="103"/>
      <c r="CTZ1048" s="104"/>
      <c r="CUA1048" s="103"/>
      <c r="CUM1048" s="104"/>
      <c r="CUN1048" s="103"/>
      <c r="CUZ1048" s="104"/>
      <c r="CVA1048" s="103"/>
      <c r="CVM1048" s="104"/>
      <c r="CVN1048" s="103"/>
      <c r="CVZ1048" s="104"/>
      <c r="CWA1048" s="103"/>
      <c r="CWM1048" s="104"/>
      <c r="CWN1048" s="103"/>
      <c r="CWZ1048" s="104"/>
      <c r="CXA1048" s="103"/>
      <c r="CXM1048" s="104"/>
      <c r="CXN1048" s="103"/>
      <c r="CXZ1048" s="104"/>
      <c r="CYA1048" s="103"/>
      <c r="CYM1048" s="104"/>
      <c r="CYN1048" s="103"/>
      <c r="CYZ1048" s="104"/>
      <c r="CZA1048" s="103"/>
      <c r="CZM1048" s="104"/>
      <c r="CZN1048" s="103"/>
      <c r="CZZ1048" s="104"/>
      <c r="DAA1048" s="103"/>
      <c r="DAM1048" s="104"/>
      <c r="DAN1048" s="103"/>
      <c r="DAZ1048" s="104"/>
      <c r="DBA1048" s="103"/>
      <c r="DBM1048" s="104"/>
      <c r="DBN1048" s="103"/>
      <c r="DBZ1048" s="104"/>
      <c r="DCA1048" s="103"/>
      <c r="DCM1048" s="104"/>
      <c r="DCN1048" s="103"/>
      <c r="DCZ1048" s="104"/>
      <c r="DDA1048" s="103"/>
      <c r="DDM1048" s="104"/>
      <c r="DDN1048" s="103"/>
      <c r="DDZ1048" s="104"/>
      <c r="DEA1048" s="103"/>
      <c r="DEM1048" s="104"/>
      <c r="DEN1048" s="103"/>
      <c r="DEZ1048" s="104"/>
      <c r="DFA1048" s="103"/>
      <c r="DFM1048" s="104"/>
      <c r="DFN1048" s="103"/>
      <c r="DFZ1048" s="104"/>
      <c r="DGA1048" s="103"/>
      <c r="DGM1048" s="104"/>
      <c r="DGN1048" s="103"/>
      <c r="DGZ1048" s="104"/>
      <c r="DHA1048" s="103"/>
      <c r="DHM1048" s="104"/>
      <c r="DHN1048" s="103"/>
      <c r="DHZ1048" s="104"/>
      <c r="DIA1048" s="103"/>
      <c r="DIM1048" s="104"/>
      <c r="DIN1048" s="103"/>
      <c r="DIZ1048" s="104"/>
      <c r="DJA1048" s="103"/>
      <c r="DJM1048" s="104"/>
      <c r="DJN1048" s="103"/>
      <c r="DJZ1048" s="104"/>
      <c r="DKA1048" s="103"/>
      <c r="DKM1048" s="104"/>
      <c r="DKN1048" s="103"/>
      <c r="DKZ1048" s="104"/>
      <c r="DLA1048" s="103"/>
      <c r="DLM1048" s="104"/>
      <c r="DLN1048" s="103"/>
      <c r="DLZ1048" s="104"/>
      <c r="DMA1048" s="103"/>
      <c r="DMM1048" s="104"/>
      <c r="DMN1048" s="103"/>
      <c r="DMZ1048" s="104"/>
      <c r="DNA1048" s="103"/>
      <c r="DNM1048" s="104"/>
      <c r="DNN1048" s="103"/>
      <c r="DNZ1048" s="104"/>
      <c r="DOA1048" s="103"/>
      <c r="DOM1048" s="104"/>
      <c r="DON1048" s="103"/>
      <c r="DOZ1048" s="104"/>
      <c r="DPA1048" s="103"/>
      <c r="DPM1048" s="104"/>
      <c r="DPN1048" s="103"/>
      <c r="DPZ1048" s="104"/>
      <c r="DQA1048" s="103"/>
      <c r="DQM1048" s="104"/>
      <c r="DQN1048" s="103"/>
      <c r="DQZ1048" s="104"/>
      <c r="DRA1048" s="103"/>
      <c r="DRM1048" s="104"/>
      <c r="DRN1048" s="103"/>
      <c r="DRZ1048" s="104"/>
      <c r="DSA1048" s="103"/>
      <c r="DSM1048" s="104"/>
      <c r="DSN1048" s="103"/>
      <c r="DSZ1048" s="104"/>
      <c r="DTA1048" s="103"/>
      <c r="DTM1048" s="104"/>
      <c r="DTN1048" s="103"/>
      <c r="DTZ1048" s="104"/>
      <c r="DUA1048" s="103"/>
      <c r="DUM1048" s="104"/>
      <c r="DUN1048" s="103"/>
      <c r="DUZ1048" s="104"/>
      <c r="DVA1048" s="103"/>
      <c r="DVM1048" s="104"/>
      <c r="DVN1048" s="103"/>
      <c r="DVZ1048" s="104"/>
      <c r="DWA1048" s="103"/>
      <c r="DWM1048" s="104"/>
      <c r="DWN1048" s="103"/>
      <c r="DWZ1048" s="104"/>
      <c r="DXA1048" s="103"/>
      <c r="DXM1048" s="104"/>
      <c r="DXN1048" s="103"/>
      <c r="DXZ1048" s="104"/>
      <c r="DYA1048" s="103"/>
      <c r="DYM1048" s="104"/>
      <c r="DYN1048" s="103"/>
      <c r="DYZ1048" s="104"/>
      <c r="DZA1048" s="103"/>
      <c r="DZM1048" s="104"/>
      <c r="DZN1048" s="103"/>
      <c r="DZZ1048" s="104"/>
      <c r="EAA1048" s="103"/>
      <c r="EAM1048" s="104"/>
      <c r="EAN1048" s="103"/>
      <c r="EAZ1048" s="104"/>
      <c r="EBA1048" s="103"/>
      <c r="EBM1048" s="104"/>
      <c r="EBN1048" s="103"/>
      <c r="EBZ1048" s="104"/>
      <c r="ECA1048" s="103"/>
      <c r="ECM1048" s="104"/>
      <c r="ECN1048" s="103"/>
      <c r="ECZ1048" s="104"/>
      <c r="EDA1048" s="103"/>
      <c r="EDM1048" s="104"/>
      <c r="EDN1048" s="103"/>
      <c r="EDZ1048" s="104"/>
      <c r="EEA1048" s="103"/>
      <c r="EEM1048" s="104"/>
      <c r="EEN1048" s="103"/>
      <c r="EEZ1048" s="104"/>
      <c r="EFA1048" s="103"/>
      <c r="EFM1048" s="104"/>
      <c r="EFN1048" s="103"/>
      <c r="EFZ1048" s="104"/>
      <c r="EGA1048" s="103"/>
      <c r="EGM1048" s="104"/>
      <c r="EGN1048" s="103"/>
      <c r="EGZ1048" s="104"/>
      <c r="EHA1048" s="103"/>
      <c r="EHM1048" s="104"/>
      <c r="EHN1048" s="103"/>
      <c r="EHZ1048" s="104"/>
      <c r="EIA1048" s="103"/>
      <c r="EIM1048" s="104"/>
      <c r="EIN1048" s="103"/>
      <c r="EIZ1048" s="104"/>
      <c r="EJA1048" s="103"/>
      <c r="EJM1048" s="104"/>
      <c r="EJN1048" s="103"/>
      <c r="EJZ1048" s="104"/>
      <c r="EKA1048" s="103"/>
      <c r="EKM1048" s="104"/>
      <c r="EKN1048" s="103"/>
      <c r="EKZ1048" s="104"/>
      <c r="ELA1048" s="103"/>
      <c r="ELM1048" s="104"/>
      <c r="ELN1048" s="103"/>
      <c r="ELZ1048" s="104"/>
      <c r="EMA1048" s="103"/>
      <c r="EMM1048" s="104"/>
      <c r="EMN1048" s="103"/>
      <c r="EMZ1048" s="104"/>
      <c r="ENA1048" s="103"/>
      <c r="ENM1048" s="104"/>
      <c r="ENN1048" s="103"/>
      <c r="ENZ1048" s="104"/>
      <c r="EOA1048" s="103"/>
      <c r="EOM1048" s="104"/>
      <c r="EON1048" s="103"/>
      <c r="EOZ1048" s="104"/>
      <c r="EPA1048" s="103"/>
      <c r="EPM1048" s="104"/>
      <c r="EPN1048" s="103"/>
      <c r="EPZ1048" s="104"/>
      <c r="EQA1048" s="103"/>
      <c r="EQM1048" s="104"/>
      <c r="EQN1048" s="103"/>
      <c r="EQZ1048" s="104"/>
      <c r="ERA1048" s="103"/>
      <c r="ERM1048" s="104"/>
      <c r="ERN1048" s="103"/>
      <c r="ERZ1048" s="104"/>
      <c r="ESA1048" s="103"/>
      <c r="ESM1048" s="104"/>
      <c r="ESN1048" s="103"/>
      <c r="ESZ1048" s="104"/>
      <c r="ETA1048" s="103"/>
      <c r="ETM1048" s="104"/>
      <c r="ETN1048" s="103"/>
      <c r="ETZ1048" s="104"/>
      <c r="EUA1048" s="103"/>
      <c r="EUM1048" s="104"/>
      <c r="EUN1048" s="103"/>
      <c r="EUZ1048" s="104"/>
      <c r="EVA1048" s="103"/>
      <c r="EVM1048" s="104"/>
      <c r="EVN1048" s="103"/>
      <c r="EVZ1048" s="104"/>
      <c r="EWA1048" s="103"/>
      <c r="EWM1048" s="104"/>
      <c r="EWN1048" s="103"/>
      <c r="EWZ1048" s="104"/>
      <c r="EXA1048" s="103"/>
      <c r="EXM1048" s="104"/>
      <c r="EXN1048" s="103"/>
      <c r="EXZ1048" s="104"/>
      <c r="EYA1048" s="103"/>
      <c r="EYM1048" s="104"/>
      <c r="EYN1048" s="103"/>
      <c r="EYZ1048" s="104"/>
      <c r="EZA1048" s="103"/>
      <c r="EZM1048" s="104"/>
      <c r="EZN1048" s="103"/>
      <c r="EZZ1048" s="104"/>
      <c r="FAA1048" s="103"/>
      <c r="FAM1048" s="104"/>
      <c r="FAN1048" s="103"/>
      <c r="FAZ1048" s="104"/>
      <c r="FBA1048" s="103"/>
      <c r="FBM1048" s="104"/>
      <c r="FBN1048" s="103"/>
      <c r="FBZ1048" s="104"/>
      <c r="FCA1048" s="103"/>
      <c r="FCM1048" s="104"/>
      <c r="FCN1048" s="103"/>
      <c r="FCZ1048" s="104"/>
      <c r="FDA1048" s="103"/>
      <c r="FDM1048" s="104"/>
      <c r="FDN1048" s="103"/>
      <c r="FDZ1048" s="104"/>
      <c r="FEA1048" s="103"/>
      <c r="FEM1048" s="104"/>
      <c r="FEN1048" s="103"/>
      <c r="FEZ1048" s="104"/>
      <c r="FFA1048" s="103"/>
      <c r="FFM1048" s="104"/>
      <c r="FFN1048" s="103"/>
      <c r="FFZ1048" s="104"/>
      <c r="FGA1048" s="103"/>
      <c r="FGM1048" s="104"/>
      <c r="FGN1048" s="103"/>
      <c r="FGZ1048" s="104"/>
      <c r="FHA1048" s="103"/>
      <c r="FHM1048" s="104"/>
      <c r="FHN1048" s="103"/>
      <c r="FHZ1048" s="104"/>
      <c r="FIA1048" s="103"/>
      <c r="FIM1048" s="104"/>
      <c r="FIN1048" s="103"/>
      <c r="FIZ1048" s="104"/>
      <c r="FJA1048" s="103"/>
      <c r="FJM1048" s="104"/>
      <c r="FJN1048" s="103"/>
      <c r="FJZ1048" s="104"/>
      <c r="FKA1048" s="103"/>
      <c r="FKM1048" s="104"/>
      <c r="FKN1048" s="103"/>
      <c r="FKZ1048" s="104"/>
      <c r="FLA1048" s="103"/>
      <c r="FLM1048" s="104"/>
      <c r="FLN1048" s="103"/>
      <c r="FLZ1048" s="104"/>
      <c r="FMA1048" s="103"/>
      <c r="FMM1048" s="104"/>
      <c r="FMN1048" s="103"/>
      <c r="FMZ1048" s="104"/>
      <c r="FNA1048" s="103"/>
      <c r="FNM1048" s="104"/>
      <c r="FNN1048" s="103"/>
      <c r="FNZ1048" s="104"/>
      <c r="FOA1048" s="103"/>
      <c r="FOM1048" s="104"/>
      <c r="FON1048" s="103"/>
      <c r="FOZ1048" s="104"/>
      <c r="FPA1048" s="103"/>
      <c r="FPM1048" s="104"/>
      <c r="FPN1048" s="103"/>
      <c r="FPZ1048" s="104"/>
      <c r="FQA1048" s="103"/>
      <c r="FQM1048" s="104"/>
      <c r="FQN1048" s="103"/>
      <c r="FQZ1048" s="104"/>
      <c r="FRA1048" s="103"/>
      <c r="FRM1048" s="104"/>
      <c r="FRN1048" s="103"/>
      <c r="FRZ1048" s="104"/>
      <c r="FSA1048" s="103"/>
      <c r="FSM1048" s="104"/>
      <c r="FSN1048" s="103"/>
      <c r="FSZ1048" s="104"/>
      <c r="FTA1048" s="103"/>
      <c r="FTM1048" s="104"/>
      <c r="FTN1048" s="103"/>
      <c r="FTZ1048" s="104"/>
      <c r="FUA1048" s="103"/>
      <c r="FUM1048" s="104"/>
      <c r="FUN1048" s="103"/>
      <c r="FUZ1048" s="104"/>
      <c r="FVA1048" s="103"/>
      <c r="FVM1048" s="104"/>
      <c r="FVN1048" s="103"/>
      <c r="FVZ1048" s="104"/>
      <c r="FWA1048" s="103"/>
      <c r="FWM1048" s="104"/>
      <c r="FWN1048" s="103"/>
      <c r="FWZ1048" s="104"/>
      <c r="FXA1048" s="103"/>
      <c r="FXM1048" s="104"/>
      <c r="FXN1048" s="103"/>
      <c r="FXZ1048" s="104"/>
      <c r="FYA1048" s="103"/>
      <c r="FYM1048" s="104"/>
      <c r="FYN1048" s="103"/>
      <c r="FYZ1048" s="104"/>
      <c r="FZA1048" s="103"/>
      <c r="FZM1048" s="104"/>
      <c r="FZN1048" s="103"/>
      <c r="FZZ1048" s="104"/>
      <c r="GAA1048" s="103"/>
      <c r="GAM1048" s="104"/>
      <c r="GAN1048" s="103"/>
      <c r="GAZ1048" s="104"/>
      <c r="GBA1048" s="103"/>
      <c r="GBM1048" s="104"/>
      <c r="GBN1048" s="103"/>
      <c r="GBZ1048" s="104"/>
      <c r="GCA1048" s="103"/>
      <c r="GCM1048" s="104"/>
      <c r="GCN1048" s="103"/>
      <c r="GCZ1048" s="104"/>
      <c r="GDA1048" s="103"/>
      <c r="GDM1048" s="104"/>
      <c r="GDN1048" s="103"/>
      <c r="GDZ1048" s="104"/>
      <c r="GEA1048" s="103"/>
      <c r="GEM1048" s="104"/>
      <c r="GEN1048" s="103"/>
      <c r="GEZ1048" s="104"/>
      <c r="GFA1048" s="103"/>
      <c r="GFM1048" s="104"/>
      <c r="GFN1048" s="103"/>
      <c r="GFZ1048" s="104"/>
      <c r="GGA1048" s="103"/>
      <c r="GGM1048" s="104"/>
      <c r="GGN1048" s="103"/>
      <c r="GGZ1048" s="104"/>
      <c r="GHA1048" s="103"/>
      <c r="GHM1048" s="104"/>
      <c r="GHN1048" s="103"/>
      <c r="GHZ1048" s="104"/>
      <c r="GIA1048" s="103"/>
      <c r="GIM1048" s="104"/>
      <c r="GIN1048" s="103"/>
      <c r="GIZ1048" s="104"/>
      <c r="GJA1048" s="103"/>
      <c r="GJM1048" s="104"/>
      <c r="GJN1048" s="103"/>
      <c r="GJZ1048" s="104"/>
      <c r="GKA1048" s="103"/>
      <c r="GKM1048" s="104"/>
      <c r="GKN1048" s="103"/>
      <c r="GKZ1048" s="104"/>
      <c r="GLA1048" s="103"/>
      <c r="GLM1048" s="104"/>
      <c r="GLN1048" s="103"/>
      <c r="GLZ1048" s="104"/>
      <c r="GMA1048" s="103"/>
      <c r="GMM1048" s="104"/>
      <c r="GMN1048" s="103"/>
      <c r="GMZ1048" s="104"/>
      <c r="GNA1048" s="103"/>
      <c r="GNM1048" s="104"/>
      <c r="GNN1048" s="103"/>
      <c r="GNZ1048" s="104"/>
      <c r="GOA1048" s="103"/>
      <c r="GOM1048" s="104"/>
      <c r="GON1048" s="103"/>
      <c r="GOZ1048" s="104"/>
      <c r="GPA1048" s="103"/>
      <c r="GPM1048" s="104"/>
      <c r="GPN1048" s="103"/>
      <c r="GPZ1048" s="104"/>
      <c r="GQA1048" s="103"/>
      <c r="GQM1048" s="104"/>
      <c r="GQN1048" s="103"/>
      <c r="GQZ1048" s="104"/>
      <c r="GRA1048" s="103"/>
      <c r="GRM1048" s="104"/>
      <c r="GRN1048" s="103"/>
      <c r="GRZ1048" s="104"/>
      <c r="GSA1048" s="103"/>
      <c r="GSM1048" s="104"/>
      <c r="GSN1048" s="103"/>
      <c r="GSZ1048" s="104"/>
      <c r="GTA1048" s="103"/>
      <c r="GTM1048" s="104"/>
      <c r="GTN1048" s="103"/>
      <c r="GTZ1048" s="104"/>
      <c r="GUA1048" s="103"/>
      <c r="GUM1048" s="104"/>
      <c r="GUN1048" s="103"/>
      <c r="GUZ1048" s="104"/>
      <c r="GVA1048" s="103"/>
      <c r="GVM1048" s="104"/>
      <c r="GVN1048" s="103"/>
      <c r="GVZ1048" s="104"/>
      <c r="GWA1048" s="103"/>
      <c r="GWM1048" s="104"/>
      <c r="GWN1048" s="103"/>
      <c r="GWZ1048" s="104"/>
      <c r="GXA1048" s="103"/>
      <c r="GXM1048" s="104"/>
      <c r="GXN1048" s="103"/>
      <c r="GXZ1048" s="104"/>
      <c r="GYA1048" s="103"/>
      <c r="GYM1048" s="104"/>
      <c r="GYN1048" s="103"/>
      <c r="GYZ1048" s="104"/>
      <c r="GZA1048" s="103"/>
      <c r="GZM1048" s="104"/>
      <c r="GZN1048" s="103"/>
      <c r="GZZ1048" s="104"/>
      <c r="HAA1048" s="103"/>
      <c r="HAM1048" s="104"/>
      <c r="HAN1048" s="103"/>
      <c r="HAZ1048" s="104"/>
      <c r="HBA1048" s="103"/>
      <c r="HBM1048" s="104"/>
      <c r="HBN1048" s="103"/>
      <c r="HBZ1048" s="104"/>
      <c r="HCA1048" s="103"/>
      <c r="HCM1048" s="104"/>
      <c r="HCN1048" s="103"/>
      <c r="HCZ1048" s="104"/>
      <c r="HDA1048" s="103"/>
      <c r="HDM1048" s="104"/>
      <c r="HDN1048" s="103"/>
      <c r="HDZ1048" s="104"/>
      <c r="HEA1048" s="103"/>
      <c r="HEM1048" s="104"/>
      <c r="HEN1048" s="103"/>
      <c r="HEZ1048" s="104"/>
      <c r="HFA1048" s="103"/>
      <c r="HFM1048" s="104"/>
      <c r="HFN1048" s="103"/>
      <c r="HFZ1048" s="104"/>
      <c r="HGA1048" s="103"/>
      <c r="HGM1048" s="104"/>
      <c r="HGN1048" s="103"/>
      <c r="HGZ1048" s="104"/>
      <c r="HHA1048" s="103"/>
      <c r="HHM1048" s="104"/>
      <c r="HHN1048" s="103"/>
      <c r="HHZ1048" s="104"/>
      <c r="HIA1048" s="103"/>
      <c r="HIM1048" s="104"/>
      <c r="HIN1048" s="103"/>
      <c r="HIZ1048" s="104"/>
      <c r="HJA1048" s="103"/>
      <c r="HJM1048" s="104"/>
      <c r="HJN1048" s="103"/>
      <c r="HJZ1048" s="104"/>
      <c r="HKA1048" s="103"/>
      <c r="HKM1048" s="104"/>
      <c r="HKN1048" s="103"/>
      <c r="HKZ1048" s="104"/>
      <c r="HLA1048" s="103"/>
      <c r="HLM1048" s="104"/>
      <c r="HLN1048" s="103"/>
      <c r="HLZ1048" s="104"/>
      <c r="HMA1048" s="103"/>
      <c r="HMM1048" s="104"/>
      <c r="HMN1048" s="103"/>
      <c r="HMZ1048" s="104"/>
      <c r="HNA1048" s="103"/>
      <c r="HNM1048" s="104"/>
      <c r="HNN1048" s="103"/>
      <c r="HNZ1048" s="104"/>
      <c r="HOA1048" s="103"/>
      <c r="HOM1048" s="104"/>
      <c r="HON1048" s="103"/>
      <c r="HOZ1048" s="104"/>
      <c r="HPA1048" s="103"/>
      <c r="HPM1048" s="104"/>
      <c r="HPN1048" s="103"/>
      <c r="HPZ1048" s="104"/>
      <c r="HQA1048" s="103"/>
      <c r="HQM1048" s="104"/>
      <c r="HQN1048" s="103"/>
      <c r="HQZ1048" s="104"/>
      <c r="HRA1048" s="103"/>
      <c r="HRM1048" s="104"/>
      <c r="HRN1048" s="103"/>
      <c r="HRZ1048" s="104"/>
      <c r="HSA1048" s="103"/>
      <c r="HSM1048" s="104"/>
      <c r="HSN1048" s="103"/>
      <c r="HSZ1048" s="104"/>
      <c r="HTA1048" s="103"/>
      <c r="HTM1048" s="104"/>
      <c r="HTN1048" s="103"/>
      <c r="HTZ1048" s="104"/>
      <c r="HUA1048" s="103"/>
      <c r="HUM1048" s="104"/>
      <c r="HUN1048" s="103"/>
      <c r="HUZ1048" s="104"/>
      <c r="HVA1048" s="103"/>
      <c r="HVM1048" s="104"/>
      <c r="HVN1048" s="103"/>
      <c r="HVZ1048" s="104"/>
      <c r="HWA1048" s="103"/>
      <c r="HWM1048" s="104"/>
      <c r="HWN1048" s="103"/>
      <c r="HWZ1048" s="104"/>
      <c r="HXA1048" s="103"/>
      <c r="HXM1048" s="104"/>
      <c r="HXN1048" s="103"/>
      <c r="HXZ1048" s="104"/>
      <c r="HYA1048" s="103"/>
      <c r="HYM1048" s="104"/>
      <c r="HYN1048" s="103"/>
      <c r="HYZ1048" s="104"/>
      <c r="HZA1048" s="103"/>
      <c r="HZM1048" s="104"/>
      <c r="HZN1048" s="103"/>
      <c r="HZZ1048" s="104"/>
      <c r="IAA1048" s="103"/>
      <c r="IAM1048" s="104"/>
      <c r="IAN1048" s="103"/>
      <c r="IAZ1048" s="104"/>
      <c r="IBA1048" s="103"/>
      <c r="IBM1048" s="104"/>
      <c r="IBN1048" s="103"/>
      <c r="IBZ1048" s="104"/>
      <c r="ICA1048" s="103"/>
      <c r="ICM1048" s="104"/>
      <c r="ICN1048" s="103"/>
      <c r="ICZ1048" s="104"/>
      <c r="IDA1048" s="103"/>
      <c r="IDM1048" s="104"/>
      <c r="IDN1048" s="103"/>
      <c r="IDZ1048" s="104"/>
      <c r="IEA1048" s="103"/>
      <c r="IEM1048" s="104"/>
      <c r="IEN1048" s="103"/>
      <c r="IEZ1048" s="104"/>
      <c r="IFA1048" s="103"/>
      <c r="IFM1048" s="104"/>
      <c r="IFN1048" s="103"/>
      <c r="IFZ1048" s="104"/>
      <c r="IGA1048" s="103"/>
      <c r="IGM1048" s="104"/>
      <c r="IGN1048" s="103"/>
      <c r="IGZ1048" s="104"/>
      <c r="IHA1048" s="103"/>
      <c r="IHM1048" s="104"/>
      <c r="IHN1048" s="103"/>
      <c r="IHZ1048" s="104"/>
      <c r="IIA1048" s="103"/>
      <c r="IIM1048" s="104"/>
      <c r="IIN1048" s="103"/>
      <c r="IIZ1048" s="104"/>
      <c r="IJA1048" s="103"/>
      <c r="IJM1048" s="104"/>
      <c r="IJN1048" s="103"/>
      <c r="IJZ1048" s="104"/>
      <c r="IKA1048" s="103"/>
      <c r="IKM1048" s="104"/>
      <c r="IKN1048" s="103"/>
      <c r="IKZ1048" s="104"/>
      <c r="ILA1048" s="103"/>
      <c r="ILM1048" s="104"/>
      <c r="ILN1048" s="103"/>
      <c r="ILZ1048" s="104"/>
      <c r="IMA1048" s="103"/>
      <c r="IMM1048" s="104"/>
      <c r="IMN1048" s="103"/>
      <c r="IMZ1048" s="104"/>
      <c r="INA1048" s="103"/>
      <c r="INM1048" s="104"/>
      <c r="INN1048" s="103"/>
      <c r="INZ1048" s="104"/>
      <c r="IOA1048" s="103"/>
      <c r="IOM1048" s="104"/>
      <c r="ION1048" s="103"/>
      <c r="IOZ1048" s="104"/>
      <c r="IPA1048" s="103"/>
      <c r="IPM1048" s="104"/>
      <c r="IPN1048" s="103"/>
      <c r="IPZ1048" s="104"/>
      <c r="IQA1048" s="103"/>
      <c r="IQM1048" s="104"/>
      <c r="IQN1048" s="103"/>
      <c r="IQZ1048" s="104"/>
      <c r="IRA1048" s="103"/>
      <c r="IRM1048" s="104"/>
      <c r="IRN1048" s="103"/>
      <c r="IRZ1048" s="104"/>
      <c r="ISA1048" s="103"/>
      <c r="ISM1048" s="104"/>
      <c r="ISN1048" s="103"/>
      <c r="ISZ1048" s="104"/>
      <c r="ITA1048" s="103"/>
      <c r="ITM1048" s="104"/>
      <c r="ITN1048" s="103"/>
      <c r="ITZ1048" s="104"/>
      <c r="IUA1048" s="103"/>
      <c r="IUM1048" s="104"/>
      <c r="IUN1048" s="103"/>
      <c r="IUZ1048" s="104"/>
      <c r="IVA1048" s="103"/>
      <c r="IVM1048" s="104"/>
      <c r="IVN1048" s="103"/>
      <c r="IVZ1048" s="104"/>
      <c r="IWA1048" s="103"/>
      <c r="IWM1048" s="104"/>
      <c r="IWN1048" s="103"/>
      <c r="IWZ1048" s="104"/>
      <c r="IXA1048" s="103"/>
      <c r="IXM1048" s="104"/>
      <c r="IXN1048" s="103"/>
      <c r="IXZ1048" s="104"/>
      <c r="IYA1048" s="103"/>
      <c r="IYM1048" s="104"/>
      <c r="IYN1048" s="103"/>
      <c r="IYZ1048" s="104"/>
      <c r="IZA1048" s="103"/>
      <c r="IZM1048" s="104"/>
      <c r="IZN1048" s="103"/>
      <c r="IZZ1048" s="104"/>
      <c r="JAA1048" s="103"/>
      <c r="JAM1048" s="104"/>
      <c r="JAN1048" s="103"/>
      <c r="JAZ1048" s="104"/>
      <c r="JBA1048" s="103"/>
      <c r="JBM1048" s="104"/>
      <c r="JBN1048" s="103"/>
      <c r="JBZ1048" s="104"/>
      <c r="JCA1048" s="103"/>
      <c r="JCM1048" s="104"/>
      <c r="JCN1048" s="103"/>
      <c r="JCZ1048" s="104"/>
      <c r="JDA1048" s="103"/>
      <c r="JDM1048" s="104"/>
      <c r="JDN1048" s="103"/>
      <c r="JDZ1048" s="104"/>
      <c r="JEA1048" s="103"/>
      <c r="JEM1048" s="104"/>
      <c r="JEN1048" s="103"/>
      <c r="JEZ1048" s="104"/>
      <c r="JFA1048" s="103"/>
      <c r="JFM1048" s="104"/>
      <c r="JFN1048" s="103"/>
      <c r="JFZ1048" s="104"/>
      <c r="JGA1048" s="103"/>
      <c r="JGM1048" s="104"/>
      <c r="JGN1048" s="103"/>
      <c r="JGZ1048" s="104"/>
      <c r="JHA1048" s="103"/>
      <c r="JHM1048" s="104"/>
      <c r="JHN1048" s="103"/>
      <c r="JHZ1048" s="104"/>
      <c r="JIA1048" s="103"/>
      <c r="JIM1048" s="104"/>
      <c r="JIN1048" s="103"/>
      <c r="JIZ1048" s="104"/>
      <c r="JJA1048" s="103"/>
      <c r="JJM1048" s="104"/>
      <c r="JJN1048" s="103"/>
      <c r="JJZ1048" s="104"/>
      <c r="JKA1048" s="103"/>
      <c r="JKM1048" s="104"/>
      <c r="JKN1048" s="103"/>
      <c r="JKZ1048" s="104"/>
      <c r="JLA1048" s="103"/>
      <c r="JLM1048" s="104"/>
      <c r="JLN1048" s="103"/>
      <c r="JLZ1048" s="104"/>
      <c r="JMA1048" s="103"/>
      <c r="JMM1048" s="104"/>
      <c r="JMN1048" s="103"/>
      <c r="JMZ1048" s="104"/>
      <c r="JNA1048" s="103"/>
      <c r="JNM1048" s="104"/>
      <c r="JNN1048" s="103"/>
      <c r="JNZ1048" s="104"/>
      <c r="JOA1048" s="103"/>
      <c r="JOM1048" s="104"/>
      <c r="JON1048" s="103"/>
      <c r="JOZ1048" s="104"/>
      <c r="JPA1048" s="103"/>
      <c r="JPM1048" s="104"/>
      <c r="JPN1048" s="103"/>
      <c r="JPZ1048" s="104"/>
      <c r="JQA1048" s="103"/>
      <c r="JQM1048" s="104"/>
      <c r="JQN1048" s="103"/>
      <c r="JQZ1048" s="104"/>
      <c r="JRA1048" s="103"/>
      <c r="JRM1048" s="104"/>
      <c r="JRN1048" s="103"/>
      <c r="JRZ1048" s="104"/>
      <c r="JSA1048" s="103"/>
      <c r="JSM1048" s="104"/>
      <c r="JSN1048" s="103"/>
      <c r="JSZ1048" s="104"/>
      <c r="JTA1048" s="103"/>
      <c r="JTM1048" s="104"/>
      <c r="JTN1048" s="103"/>
      <c r="JTZ1048" s="104"/>
      <c r="JUA1048" s="103"/>
      <c r="JUM1048" s="104"/>
      <c r="JUN1048" s="103"/>
      <c r="JUZ1048" s="104"/>
      <c r="JVA1048" s="103"/>
      <c r="JVM1048" s="104"/>
      <c r="JVN1048" s="103"/>
      <c r="JVZ1048" s="104"/>
      <c r="JWA1048" s="103"/>
      <c r="JWM1048" s="104"/>
      <c r="JWN1048" s="103"/>
      <c r="JWZ1048" s="104"/>
      <c r="JXA1048" s="103"/>
      <c r="JXM1048" s="104"/>
      <c r="JXN1048" s="103"/>
      <c r="JXZ1048" s="104"/>
      <c r="JYA1048" s="103"/>
      <c r="JYM1048" s="104"/>
      <c r="JYN1048" s="103"/>
      <c r="JYZ1048" s="104"/>
      <c r="JZA1048" s="103"/>
      <c r="JZM1048" s="104"/>
      <c r="JZN1048" s="103"/>
      <c r="JZZ1048" s="104"/>
      <c r="KAA1048" s="103"/>
      <c r="KAM1048" s="104"/>
      <c r="KAN1048" s="103"/>
      <c r="KAZ1048" s="104"/>
      <c r="KBA1048" s="103"/>
      <c r="KBM1048" s="104"/>
      <c r="KBN1048" s="103"/>
      <c r="KBZ1048" s="104"/>
      <c r="KCA1048" s="103"/>
      <c r="KCM1048" s="104"/>
      <c r="KCN1048" s="103"/>
      <c r="KCZ1048" s="104"/>
      <c r="KDA1048" s="103"/>
      <c r="KDM1048" s="104"/>
      <c r="KDN1048" s="103"/>
      <c r="KDZ1048" s="104"/>
      <c r="KEA1048" s="103"/>
      <c r="KEM1048" s="104"/>
      <c r="KEN1048" s="103"/>
      <c r="KEZ1048" s="104"/>
      <c r="KFA1048" s="103"/>
      <c r="KFM1048" s="104"/>
      <c r="KFN1048" s="103"/>
      <c r="KFZ1048" s="104"/>
      <c r="KGA1048" s="103"/>
      <c r="KGM1048" s="104"/>
      <c r="KGN1048" s="103"/>
      <c r="KGZ1048" s="104"/>
      <c r="KHA1048" s="103"/>
      <c r="KHM1048" s="104"/>
      <c r="KHN1048" s="103"/>
      <c r="KHZ1048" s="104"/>
      <c r="KIA1048" s="103"/>
      <c r="KIM1048" s="104"/>
      <c r="KIN1048" s="103"/>
      <c r="KIZ1048" s="104"/>
      <c r="KJA1048" s="103"/>
      <c r="KJM1048" s="104"/>
      <c r="KJN1048" s="103"/>
      <c r="KJZ1048" s="104"/>
      <c r="KKA1048" s="103"/>
      <c r="KKM1048" s="104"/>
      <c r="KKN1048" s="103"/>
      <c r="KKZ1048" s="104"/>
      <c r="KLA1048" s="103"/>
      <c r="KLM1048" s="104"/>
      <c r="KLN1048" s="103"/>
      <c r="KLZ1048" s="104"/>
      <c r="KMA1048" s="103"/>
      <c r="KMM1048" s="104"/>
      <c r="KMN1048" s="103"/>
      <c r="KMZ1048" s="104"/>
      <c r="KNA1048" s="103"/>
      <c r="KNM1048" s="104"/>
      <c r="KNN1048" s="103"/>
      <c r="KNZ1048" s="104"/>
      <c r="KOA1048" s="103"/>
      <c r="KOM1048" s="104"/>
      <c r="KON1048" s="103"/>
      <c r="KOZ1048" s="104"/>
      <c r="KPA1048" s="103"/>
      <c r="KPM1048" s="104"/>
      <c r="KPN1048" s="103"/>
      <c r="KPZ1048" s="104"/>
      <c r="KQA1048" s="103"/>
      <c r="KQM1048" s="104"/>
      <c r="KQN1048" s="103"/>
      <c r="KQZ1048" s="104"/>
      <c r="KRA1048" s="103"/>
      <c r="KRM1048" s="104"/>
      <c r="KRN1048" s="103"/>
      <c r="KRZ1048" s="104"/>
      <c r="KSA1048" s="103"/>
      <c r="KSM1048" s="104"/>
      <c r="KSN1048" s="103"/>
      <c r="KSZ1048" s="104"/>
      <c r="KTA1048" s="103"/>
      <c r="KTM1048" s="104"/>
      <c r="KTN1048" s="103"/>
      <c r="KTZ1048" s="104"/>
      <c r="KUA1048" s="103"/>
      <c r="KUM1048" s="104"/>
      <c r="KUN1048" s="103"/>
      <c r="KUZ1048" s="104"/>
      <c r="KVA1048" s="103"/>
      <c r="KVM1048" s="104"/>
      <c r="KVN1048" s="103"/>
      <c r="KVZ1048" s="104"/>
      <c r="KWA1048" s="103"/>
      <c r="KWM1048" s="104"/>
      <c r="KWN1048" s="103"/>
      <c r="KWZ1048" s="104"/>
      <c r="KXA1048" s="103"/>
      <c r="KXM1048" s="104"/>
      <c r="KXN1048" s="103"/>
      <c r="KXZ1048" s="104"/>
      <c r="KYA1048" s="103"/>
      <c r="KYM1048" s="104"/>
      <c r="KYN1048" s="103"/>
      <c r="KYZ1048" s="104"/>
      <c r="KZA1048" s="103"/>
      <c r="KZM1048" s="104"/>
      <c r="KZN1048" s="103"/>
      <c r="KZZ1048" s="104"/>
      <c r="LAA1048" s="103"/>
      <c r="LAM1048" s="104"/>
      <c r="LAN1048" s="103"/>
      <c r="LAZ1048" s="104"/>
      <c r="LBA1048" s="103"/>
      <c r="LBM1048" s="104"/>
      <c r="LBN1048" s="103"/>
      <c r="LBZ1048" s="104"/>
      <c r="LCA1048" s="103"/>
      <c r="LCM1048" s="104"/>
      <c r="LCN1048" s="103"/>
      <c r="LCZ1048" s="104"/>
      <c r="LDA1048" s="103"/>
      <c r="LDM1048" s="104"/>
      <c r="LDN1048" s="103"/>
      <c r="LDZ1048" s="104"/>
      <c r="LEA1048" s="103"/>
      <c r="LEM1048" s="104"/>
      <c r="LEN1048" s="103"/>
      <c r="LEZ1048" s="104"/>
      <c r="LFA1048" s="103"/>
      <c r="LFM1048" s="104"/>
      <c r="LFN1048" s="103"/>
      <c r="LFZ1048" s="104"/>
      <c r="LGA1048" s="103"/>
      <c r="LGM1048" s="104"/>
      <c r="LGN1048" s="103"/>
      <c r="LGZ1048" s="104"/>
      <c r="LHA1048" s="103"/>
      <c r="LHM1048" s="104"/>
      <c r="LHN1048" s="103"/>
      <c r="LHZ1048" s="104"/>
      <c r="LIA1048" s="103"/>
      <c r="LIM1048" s="104"/>
      <c r="LIN1048" s="103"/>
      <c r="LIZ1048" s="104"/>
      <c r="LJA1048" s="103"/>
      <c r="LJM1048" s="104"/>
      <c r="LJN1048" s="103"/>
      <c r="LJZ1048" s="104"/>
      <c r="LKA1048" s="103"/>
      <c r="LKM1048" s="104"/>
      <c r="LKN1048" s="103"/>
      <c r="LKZ1048" s="104"/>
      <c r="LLA1048" s="103"/>
      <c r="LLM1048" s="104"/>
      <c r="LLN1048" s="103"/>
      <c r="LLZ1048" s="104"/>
      <c r="LMA1048" s="103"/>
      <c r="LMM1048" s="104"/>
      <c r="LMN1048" s="103"/>
      <c r="LMZ1048" s="104"/>
      <c r="LNA1048" s="103"/>
      <c r="LNM1048" s="104"/>
      <c r="LNN1048" s="103"/>
      <c r="LNZ1048" s="104"/>
      <c r="LOA1048" s="103"/>
      <c r="LOM1048" s="104"/>
      <c r="LON1048" s="103"/>
      <c r="LOZ1048" s="104"/>
      <c r="LPA1048" s="103"/>
      <c r="LPM1048" s="104"/>
      <c r="LPN1048" s="103"/>
      <c r="LPZ1048" s="104"/>
      <c r="LQA1048" s="103"/>
      <c r="LQM1048" s="104"/>
      <c r="LQN1048" s="103"/>
      <c r="LQZ1048" s="104"/>
      <c r="LRA1048" s="103"/>
      <c r="LRM1048" s="104"/>
      <c r="LRN1048" s="103"/>
      <c r="LRZ1048" s="104"/>
      <c r="LSA1048" s="103"/>
      <c r="LSM1048" s="104"/>
      <c r="LSN1048" s="103"/>
      <c r="LSZ1048" s="104"/>
      <c r="LTA1048" s="103"/>
      <c r="LTM1048" s="104"/>
      <c r="LTN1048" s="103"/>
      <c r="LTZ1048" s="104"/>
      <c r="LUA1048" s="103"/>
      <c r="LUM1048" s="104"/>
      <c r="LUN1048" s="103"/>
      <c r="LUZ1048" s="104"/>
      <c r="LVA1048" s="103"/>
      <c r="LVM1048" s="104"/>
      <c r="LVN1048" s="103"/>
      <c r="LVZ1048" s="104"/>
      <c r="LWA1048" s="103"/>
      <c r="LWM1048" s="104"/>
      <c r="LWN1048" s="103"/>
      <c r="LWZ1048" s="104"/>
      <c r="LXA1048" s="103"/>
      <c r="LXM1048" s="104"/>
      <c r="LXN1048" s="103"/>
      <c r="LXZ1048" s="104"/>
      <c r="LYA1048" s="103"/>
      <c r="LYM1048" s="104"/>
      <c r="LYN1048" s="103"/>
      <c r="LYZ1048" s="104"/>
      <c r="LZA1048" s="103"/>
      <c r="LZM1048" s="104"/>
      <c r="LZN1048" s="103"/>
      <c r="LZZ1048" s="104"/>
      <c r="MAA1048" s="103"/>
      <c r="MAM1048" s="104"/>
      <c r="MAN1048" s="103"/>
      <c r="MAZ1048" s="104"/>
      <c r="MBA1048" s="103"/>
      <c r="MBM1048" s="104"/>
      <c r="MBN1048" s="103"/>
      <c r="MBZ1048" s="104"/>
      <c r="MCA1048" s="103"/>
      <c r="MCM1048" s="104"/>
      <c r="MCN1048" s="103"/>
      <c r="MCZ1048" s="104"/>
      <c r="MDA1048" s="103"/>
      <c r="MDM1048" s="104"/>
      <c r="MDN1048" s="103"/>
      <c r="MDZ1048" s="104"/>
      <c r="MEA1048" s="103"/>
      <c r="MEM1048" s="104"/>
      <c r="MEN1048" s="103"/>
      <c r="MEZ1048" s="104"/>
      <c r="MFA1048" s="103"/>
      <c r="MFM1048" s="104"/>
      <c r="MFN1048" s="103"/>
      <c r="MFZ1048" s="104"/>
      <c r="MGA1048" s="103"/>
      <c r="MGM1048" s="104"/>
      <c r="MGN1048" s="103"/>
      <c r="MGZ1048" s="104"/>
      <c r="MHA1048" s="103"/>
      <c r="MHM1048" s="104"/>
      <c r="MHN1048" s="103"/>
      <c r="MHZ1048" s="104"/>
      <c r="MIA1048" s="103"/>
      <c r="MIM1048" s="104"/>
      <c r="MIN1048" s="103"/>
      <c r="MIZ1048" s="104"/>
      <c r="MJA1048" s="103"/>
      <c r="MJM1048" s="104"/>
      <c r="MJN1048" s="103"/>
      <c r="MJZ1048" s="104"/>
      <c r="MKA1048" s="103"/>
      <c r="MKM1048" s="104"/>
      <c r="MKN1048" s="103"/>
      <c r="MKZ1048" s="104"/>
      <c r="MLA1048" s="103"/>
      <c r="MLM1048" s="104"/>
      <c r="MLN1048" s="103"/>
      <c r="MLZ1048" s="104"/>
      <c r="MMA1048" s="103"/>
      <c r="MMM1048" s="104"/>
      <c r="MMN1048" s="103"/>
      <c r="MMZ1048" s="104"/>
      <c r="MNA1048" s="103"/>
      <c r="MNM1048" s="104"/>
      <c r="MNN1048" s="103"/>
      <c r="MNZ1048" s="104"/>
      <c r="MOA1048" s="103"/>
      <c r="MOM1048" s="104"/>
      <c r="MON1048" s="103"/>
      <c r="MOZ1048" s="104"/>
      <c r="MPA1048" s="103"/>
      <c r="MPM1048" s="104"/>
      <c r="MPN1048" s="103"/>
      <c r="MPZ1048" s="104"/>
      <c r="MQA1048" s="103"/>
      <c r="MQM1048" s="104"/>
      <c r="MQN1048" s="103"/>
      <c r="MQZ1048" s="104"/>
      <c r="MRA1048" s="103"/>
      <c r="MRM1048" s="104"/>
      <c r="MRN1048" s="103"/>
      <c r="MRZ1048" s="104"/>
      <c r="MSA1048" s="103"/>
      <c r="MSM1048" s="104"/>
      <c r="MSN1048" s="103"/>
      <c r="MSZ1048" s="104"/>
      <c r="MTA1048" s="103"/>
      <c r="MTM1048" s="104"/>
      <c r="MTN1048" s="103"/>
      <c r="MTZ1048" s="104"/>
      <c r="MUA1048" s="103"/>
      <c r="MUM1048" s="104"/>
      <c r="MUN1048" s="103"/>
      <c r="MUZ1048" s="104"/>
      <c r="MVA1048" s="103"/>
      <c r="MVM1048" s="104"/>
      <c r="MVN1048" s="103"/>
      <c r="MVZ1048" s="104"/>
      <c r="MWA1048" s="103"/>
      <c r="MWM1048" s="104"/>
      <c r="MWN1048" s="103"/>
      <c r="MWZ1048" s="104"/>
      <c r="MXA1048" s="103"/>
      <c r="MXM1048" s="104"/>
      <c r="MXN1048" s="103"/>
      <c r="MXZ1048" s="104"/>
      <c r="MYA1048" s="103"/>
      <c r="MYM1048" s="104"/>
      <c r="MYN1048" s="103"/>
      <c r="MYZ1048" s="104"/>
      <c r="MZA1048" s="103"/>
      <c r="MZM1048" s="104"/>
      <c r="MZN1048" s="103"/>
      <c r="MZZ1048" s="104"/>
      <c r="NAA1048" s="103"/>
      <c r="NAM1048" s="104"/>
      <c r="NAN1048" s="103"/>
      <c r="NAZ1048" s="104"/>
      <c r="NBA1048" s="103"/>
      <c r="NBM1048" s="104"/>
      <c r="NBN1048" s="103"/>
      <c r="NBZ1048" s="104"/>
      <c r="NCA1048" s="103"/>
      <c r="NCM1048" s="104"/>
      <c r="NCN1048" s="103"/>
      <c r="NCZ1048" s="104"/>
      <c r="NDA1048" s="103"/>
      <c r="NDM1048" s="104"/>
      <c r="NDN1048" s="103"/>
      <c r="NDZ1048" s="104"/>
      <c r="NEA1048" s="103"/>
      <c r="NEM1048" s="104"/>
      <c r="NEN1048" s="103"/>
      <c r="NEZ1048" s="104"/>
      <c r="NFA1048" s="103"/>
      <c r="NFM1048" s="104"/>
      <c r="NFN1048" s="103"/>
      <c r="NFZ1048" s="104"/>
      <c r="NGA1048" s="103"/>
      <c r="NGM1048" s="104"/>
      <c r="NGN1048" s="103"/>
      <c r="NGZ1048" s="104"/>
      <c r="NHA1048" s="103"/>
      <c r="NHM1048" s="104"/>
      <c r="NHN1048" s="103"/>
      <c r="NHZ1048" s="104"/>
      <c r="NIA1048" s="103"/>
      <c r="NIM1048" s="104"/>
      <c r="NIN1048" s="103"/>
      <c r="NIZ1048" s="104"/>
      <c r="NJA1048" s="103"/>
      <c r="NJM1048" s="104"/>
      <c r="NJN1048" s="103"/>
      <c r="NJZ1048" s="104"/>
      <c r="NKA1048" s="103"/>
      <c r="NKM1048" s="104"/>
      <c r="NKN1048" s="103"/>
      <c r="NKZ1048" s="104"/>
      <c r="NLA1048" s="103"/>
      <c r="NLM1048" s="104"/>
      <c r="NLN1048" s="103"/>
      <c r="NLZ1048" s="104"/>
      <c r="NMA1048" s="103"/>
      <c r="NMM1048" s="104"/>
      <c r="NMN1048" s="103"/>
      <c r="NMZ1048" s="104"/>
      <c r="NNA1048" s="103"/>
      <c r="NNM1048" s="104"/>
      <c r="NNN1048" s="103"/>
      <c r="NNZ1048" s="104"/>
      <c r="NOA1048" s="103"/>
      <c r="NOM1048" s="104"/>
      <c r="NON1048" s="103"/>
      <c r="NOZ1048" s="104"/>
      <c r="NPA1048" s="103"/>
      <c r="NPM1048" s="104"/>
      <c r="NPN1048" s="103"/>
      <c r="NPZ1048" s="104"/>
      <c r="NQA1048" s="103"/>
      <c r="NQM1048" s="104"/>
      <c r="NQN1048" s="103"/>
      <c r="NQZ1048" s="104"/>
      <c r="NRA1048" s="103"/>
      <c r="NRM1048" s="104"/>
      <c r="NRN1048" s="103"/>
      <c r="NRZ1048" s="104"/>
      <c r="NSA1048" s="103"/>
      <c r="NSM1048" s="104"/>
      <c r="NSN1048" s="103"/>
      <c r="NSZ1048" s="104"/>
      <c r="NTA1048" s="103"/>
      <c r="NTM1048" s="104"/>
      <c r="NTN1048" s="103"/>
      <c r="NTZ1048" s="104"/>
      <c r="NUA1048" s="103"/>
      <c r="NUM1048" s="104"/>
      <c r="NUN1048" s="103"/>
      <c r="NUZ1048" s="104"/>
      <c r="NVA1048" s="103"/>
      <c r="NVM1048" s="104"/>
      <c r="NVN1048" s="103"/>
      <c r="NVZ1048" s="104"/>
      <c r="NWA1048" s="103"/>
      <c r="NWM1048" s="104"/>
      <c r="NWN1048" s="103"/>
      <c r="NWZ1048" s="104"/>
      <c r="NXA1048" s="103"/>
      <c r="NXM1048" s="104"/>
      <c r="NXN1048" s="103"/>
      <c r="NXZ1048" s="104"/>
      <c r="NYA1048" s="103"/>
      <c r="NYM1048" s="104"/>
      <c r="NYN1048" s="103"/>
      <c r="NYZ1048" s="104"/>
      <c r="NZA1048" s="103"/>
      <c r="NZM1048" s="104"/>
      <c r="NZN1048" s="103"/>
      <c r="NZZ1048" s="104"/>
      <c r="OAA1048" s="103"/>
      <c r="OAM1048" s="104"/>
      <c r="OAN1048" s="103"/>
      <c r="OAZ1048" s="104"/>
      <c r="OBA1048" s="103"/>
      <c r="OBM1048" s="104"/>
      <c r="OBN1048" s="103"/>
      <c r="OBZ1048" s="104"/>
      <c r="OCA1048" s="103"/>
      <c r="OCM1048" s="104"/>
      <c r="OCN1048" s="103"/>
      <c r="OCZ1048" s="104"/>
      <c r="ODA1048" s="103"/>
      <c r="ODM1048" s="104"/>
      <c r="ODN1048" s="103"/>
      <c r="ODZ1048" s="104"/>
      <c r="OEA1048" s="103"/>
      <c r="OEM1048" s="104"/>
      <c r="OEN1048" s="103"/>
      <c r="OEZ1048" s="104"/>
      <c r="OFA1048" s="103"/>
      <c r="OFM1048" s="104"/>
      <c r="OFN1048" s="103"/>
      <c r="OFZ1048" s="104"/>
      <c r="OGA1048" s="103"/>
      <c r="OGM1048" s="104"/>
      <c r="OGN1048" s="103"/>
      <c r="OGZ1048" s="104"/>
      <c r="OHA1048" s="103"/>
      <c r="OHM1048" s="104"/>
      <c r="OHN1048" s="103"/>
      <c r="OHZ1048" s="104"/>
      <c r="OIA1048" s="103"/>
      <c r="OIM1048" s="104"/>
      <c r="OIN1048" s="103"/>
      <c r="OIZ1048" s="104"/>
      <c r="OJA1048" s="103"/>
      <c r="OJM1048" s="104"/>
      <c r="OJN1048" s="103"/>
      <c r="OJZ1048" s="104"/>
      <c r="OKA1048" s="103"/>
      <c r="OKM1048" s="104"/>
      <c r="OKN1048" s="103"/>
      <c r="OKZ1048" s="104"/>
      <c r="OLA1048" s="103"/>
      <c r="OLM1048" s="104"/>
      <c r="OLN1048" s="103"/>
      <c r="OLZ1048" s="104"/>
      <c r="OMA1048" s="103"/>
      <c r="OMM1048" s="104"/>
      <c r="OMN1048" s="103"/>
      <c r="OMZ1048" s="104"/>
      <c r="ONA1048" s="103"/>
      <c r="ONM1048" s="104"/>
      <c r="ONN1048" s="103"/>
      <c r="ONZ1048" s="104"/>
      <c r="OOA1048" s="103"/>
      <c r="OOM1048" s="104"/>
      <c r="OON1048" s="103"/>
      <c r="OOZ1048" s="104"/>
      <c r="OPA1048" s="103"/>
      <c r="OPM1048" s="104"/>
      <c r="OPN1048" s="103"/>
      <c r="OPZ1048" s="104"/>
      <c r="OQA1048" s="103"/>
      <c r="OQM1048" s="104"/>
      <c r="OQN1048" s="103"/>
      <c r="OQZ1048" s="104"/>
      <c r="ORA1048" s="103"/>
      <c r="ORM1048" s="104"/>
      <c r="ORN1048" s="103"/>
      <c r="ORZ1048" s="104"/>
      <c r="OSA1048" s="103"/>
      <c r="OSM1048" s="104"/>
      <c r="OSN1048" s="103"/>
      <c r="OSZ1048" s="104"/>
      <c r="OTA1048" s="103"/>
      <c r="OTM1048" s="104"/>
      <c r="OTN1048" s="103"/>
      <c r="OTZ1048" s="104"/>
      <c r="OUA1048" s="103"/>
      <c r="OUM1048" s="104"/>
      <c r="OUN1048" s="103"/>
      <c r="OUZ1048" s="104"/>
      <c r="OVA1048" s="103"/>
      <c r="OVM1048" s="104"/>
      <c r="OVN1048" s="103"/>
      <c r="OVZ1048" s="104"/>
      <c r="OWA1048" s="103"/>
      <c r="OWM1048" s="104"/>
      <c r="OWN1048" s="103"/>
      <c r="OWZ1048" s="104"/>
      <c r="OXA1048" s="103"/>
      <c r="OXM1048" s="104"/>
      <c r="OXN1048" s="103"/>
      <c r="OXZ1048" s="104"/>
      <c r="OYA1048" s="103"/>
      <c r="OYM1048" s="104"/>
      <c r="OYN1048" s="103"/>
      <c r="OYZ1048" s="104"/>
      <c r="OZA1048" s="103"/>
      <c r="OZM1048" s="104"/>
      <c r="OZN1048" s="103"/>
      <c r="OZZ1048" s="104"/>
      <c r="PAA1048" s="103"/>
      <c r="PAM1048" s="104"/>
      <c r="PAN1048" s="103"/>
      <c r="PAZ1048" s="104"/>
      <c r="PBA1048" s="103"/>
      <c r="PBM1048" s="104"/>
      <c r="PBN1048" s="103"/>
      <c r="PBZ1048" s="104"/>
      <c r="PCA1048" s="103"/>
      <c r="PCM1048" s="104"/>
      <c r="PCN1048" s="103"/>
      <c r="PCZ1048" s="104"/>
      <c r="PDA1048" s="103"/>
      <c r="PDM1048" s="104"/>
      <c r="PDN1048" s="103"/>
      <c r="PDZ1048" s="104"/>
      <c r="PEA1048" s="103"/>
      <c r="PEM1048" s="104"/>
      <c r="PEN1048" s="103"/>
      <c r="PEZ1048" s="104"/>
      <c r="PFA1048" s="103"/>
      <c r="PFM1048" s="104"/>
      <c r="PFN1048" s="103"/>
      <c r="PFZ1048" s="104"/>
      <c r="PGA1048" s="103"/>
      <c r="PGM1048" s="104"/>
      <c r="PGN1048" s="103"/>
      <c r="PGZ1048" s="104"/>
      <c r="PHA1048" s="103"/>
      <c r="PHM1048" s="104"/>
      <c r="PHN1048" s="103"/>
      <c r="PHZ1048" s="104"/>
      <c r="PIA1048" s="103"/>
      <c r="PIM1048" s="104"/>
      <c r="PIN1048" s="103"/>
      <c r="PIZ1048" s="104"/>
      <c r="PJA1048" s="103"/>
      <c r="PJM1048" s="104"/>
      <c r="PJN1048" s="103"/>
      <c r="PJZ1048" s="104"/>
      <c r="PKA1048" s="103"/>
      <c r="PKM1048" s="104"/>
      <c r="PKN1048" s="103"/>
      <c r="PKZ1048" s="104"/>
      <c r="PLA1048" s="103"/>
      <c r="PLM1048" s="104"/>
      <c r="PLN1048" s="103"/>
      <c r="PLZ1048" s="104"/>
      <c r="PMA1048" s="103"/>
      <c r="PMM1048" s="104"/>
      <c r="PMN1048" s="103"/>
      <c r="PMZ1048" s="104"/>
      <c r="PNA1048" s="103"/>
      <c r="PNM1048" s="104"/>
      <c r="PNN1048" s="103"/>
      <c r="PNZ1048" s="104"/>
      <c r="POA1048" s="103"/>
      <c r="POM1048" s="104"/>
      <c r="PON1048" s="103"/>
      <c r="POZ1048" s="104"/>
      <c r="PPA1048" s="103"/>
      <c r="PPM1048" s="104"/>
      <c r="PPN1048" s="103"/>
      <c r="PPZ1048" s="104"/>
      <c r="PQA1048" s="103"/>
      <c r="PQM1048" s="104"/>
      <c r="PQN1048" s="103"/>
      <c r="PQZ1048" s="104"/>
      <c r="PRA1048" s="103"/>
      <c r="PRM1048" s="104"/>
      <c r="PRN1048" s="103"/>
      <c r="PRZ1048" s="104"/>
      <c r="PSA1048" s="103"/>
      <c r="PSM1048" s="104"/>
      <c r="PSN1048" s="103"/>
      <c r="PSZ1048" s="104"/>
      <c r="PTA1048" s="103"/>
      <c r="PTM1048" s="104"/>
      <c r="PTN1048" s="103"/>
      <c r="PTZ1048" s="104"/>
      <c r="PUA1048" s="103"/>
      <c r="PUM1048" s="104"/>
      <c r="PUN1048" s="103"/>
      <c r="PUZ1048" s="104"/>
      <c r="PVA1048" s="103"/>
      <c r="PVM1048" s="104"/>
      <c r="PVN1048" s="103"/>
      <c r="PVZ1048" s="104"/>
      <c r="PWA1048" s="103"/>
      <c r="PWM1048" s="104"/>
      <c r="PWN1048" s="103"/>
      <c r="PWZ1048" s="104"/>
      <c r="PXA1048" s="103"/>
      <c r="PXM1048" s="104"/>
      <c r="PXN1048" s="103"/>
      <c r="PXZ1048" s="104"/>
      <c r="PYA1048" s="103"/>
      <c r="PYM1048" s="104"/>
      <c r="PYN1048" s="103"/>
      <c r="PYZ1048" s="104"/>
      <c r="PZA1048" s="103"/>
      <c r="PZM1048" s="104"/>
      <c r="PZN1048" s="103"/>
      <c r="PZZ1048" s="104"/>
      <c r="QAA1048" s="103"/>
      <c r="QAM1048" s="104"/>
      <c r="QAN1048" s="103"/>
      <c r="QAZ1048" s="104"/>
      <c r="QBA1048" s="103"/>
      <c r="QBM1048" s="104"/>
      <c r="QBN1048" s="103"/>
      <c r="QBZ1048" s="104"/>
      <c r="QCA1048" s="103"/>
      <c r="QCM1048" s="104"/>
      <c r="QCN1048" s="103"/>
      <c r="QCZ1048" s="104"/>
      <c r="QDA1048" s="103"/>
      <c r="QDM1048" s="104"/>
      <c r="QDN1048" s="103"/>
      <c r="QDZ1048" s="104"/>
      <c r="QEA1048" s="103"/>
      <c r="QEM1048" s="104"/>
      <c r="QEN1048" s="103"/>
      <c r="QEZ1048" s="104"/>
      <c r="QFA1048" s="103"/>
      <c r="QFM1048" s="104"/>
      <c r="QFN1048" s="103"/>
      <c r="QFZ1048" s="104"/>
      <c r="QGA1048" s="103"/>
      <c r="QGM1048" s="104"/>
      <c r="QGN1048" s="103"/>
      <c r="QGZ1048" s="104"/>
      <c r="QHA1048" s="103"/>
      <c r="QHM1048" s="104"/>
      <c r="QHN1048" s="103"/>
      <c r="QHZ1048" s="104"/>
      <c r="QIA1048" s="103"/>
      <c r="QIM1048" s="104"/>
      <c r="QIN1048" s="103"/>
      <c r="QIZ1048" s="104"/>
      <c r="QJA1048" s="103"/>
      <c r="QJM1048" s="104"/>
      <c r="QJN1048" s="103"/>
      <c r="QJZ1048" s="104"/>
      <c r="QKA1048" s="103"/>
      <c r="QKM1048" s="104"/>
      <c r="QKN1048" s="103"/>
      <c r="QKZ1048" s="104"/>
      <c r="QLA1048" s="103"/>
      <c r="QLM1048" s="104"/>
      <c r="QLN1048" s="103"/>
      <c r="QLZ1048" s="104"/>
      <c r="QMA1048" s="103"/>
      <c r="QMM1048" s="104"/>
      <c r="QMN1048" s="103"/>
      <c r="QMZ1048" s="104"/>
      <c r="QNA1048" s="103"/>
      <c r="QNM1048" s="104"/>
      <c r="QNN1048" s="103"/>
      <c r="QNZ1048" s="104"/>
      <c r="QOA1048" s="103"/>
      <c r="QOM1048" s="104"/>
      <c r="QON1048" s="103"/>
      <c r="QOZ1048" s="104"/>
      <c r="QPA1048" s="103"/>
      <c r="QPM1048" s="104"/>
      <c r="QPN1048" s="103"/>
      <c r="QPZ1048" s="104"/>
      <c r="QQA1048" s="103"/>
      <c r="QQM1048" s="104"/>
      <c r="QQN1048" s="103"/>
      <c r="QQZ1048" s="104"/>
      <c r="QRA1048" s="103"/>
      <c r="QRM1048" s="104"/>
      <c r="QRN1048" s="103"/>
      <c r="QRZ1048" s="104"/>
      <c r="QSA1048" s="103"/>
      <c r="QSM1048" s="104"/>
      <c r="QSN1048" s="103"/>
      <c r="QSZ1048" s="104"/>
      <c r="QTA1048" s="103"/>
      <c r="QTM1048" s="104"/>
      <c r="QTN1048" s="103"/>
      <c r="QTZ1048" s="104"/>
      <c r="QUA1048" s="103"/>
      <c r="QUM1048" s="104"/>
      <c r="QUN1048" s="103"/>
      <c r="QUZ1048" s="104"/>
      <c r="QVA1048" s="103"/>
      <c r="QVM1048" s="104"/>
      <c r="QVN1048" s="103"/>
      <c r="QVZ1048" s="104"/>
      <c r="QWA1048" s="103"/>
      <c r="QWM1048" s="104"/>
      <c r="QWN1048" s="103"/>
      <c r="QWZ1048" s="104"/>
      <c r="QXA1048" s="103"/>
      <c r="QXM1048" s="104"/>
      <c r="QXN1048" s="103"/>
      <c r="QXZ1048" s="104"/>
      <c r="QYA1048" s="103"/>
      <c r="QYM1048" s="104"/>
      <c r="QYN1048" s="103"/>
      <c r="QYZ1048" s="104"/>
      <c r="QZA1048" s="103"/>
      <c r="QZM1048" s="104"/>
      <c r="QZN1048" s="103"/>
      <c r="QZZ1048" s="104"/>
      <c r="RAA1048" s="103"/>
      <c r="RAM1048" s="104"/>
      <c r="RAN1048" s="103"/>
      <c r="RAZ1048" s="104"/>
      <c r="RBA1048" s="103"/>
      <c r="RBM1048" s="104"/>
      <c r="RBN1048" s="103"/>
      <c r="RBZ1048" s="104"/>
      <c r="RCA1048" s="103"/>
      <c r="RCM1048" s="104"/>
      <c r="RCN1048" s="103"/>
      <c r="RCZ1048" s="104"/>
      <c r="RDA1048" s="103"/>
      <c r="RDM1048" s="104"/>
      <c r="RDN1048" s="103"/>
      <c r="RDZ1048" s="104"/>
      <c r="REA1048" s="103"/>
      <c r="REM1048" s="104"/>
      <c r="REN1048" s="103"/>
      <c r="REZ1048" s="104"/>
      <c r="RFA1048" s="103"/>
      <c r="RFM1048" s="104"/>
      <c r="RFN1048" s="103"/>
      <c r="RFZ1048" s="104"/>
      <c r="RGA1048" s="103"/>
      <c r="RGM1048" s="104"/>
      <c r="RGN1048" s="103"/>
      <c r="RGZ1048" s="104"/>
      <c r="RHA1048" s="103"/>
      <c r="RHM1048" s="104"/>
      <c r="RHN1048" s="103"/>
      <c r="RHZ1048" s="104"/>
      <c r="RIA1048" s="103"/>
      <c r="RIM1048" s="104"/>
      <c r="RIN1048" s="103"/>
      <c r="RIZ1048" s="104"/>
      <c r="RJA1048" s="103"/>
      <c r="RJM1048" s="104"/>
      <c r="RJN1048" s="103"/>
      <c r="RJZ1048" s="104"/>
      <c r="RKA1048" s="103"/>
      <c r="RKM1048" s="104"/>
      <c r="RKN1048" s="103"/>
      <c r="RKZ1048" s="104"/>
      <c r="RLA1048" s="103"/>
      <c r="RLM1048" s="104"/>
      <c r="RLN1048" s="103"/>
      <c r="RLZ1048" s="104"/>
      <c r="RMA1048" s="103"/>
      <c r="RMM1048" s="104"/>
      <c r="RMN1048" s="103"/>
      <c r="RMZ1048" s="104"/>
      <c r="RNA1048" s="103"/>
      <c r="RNM1048" s="104"/>
      <c r="RNN1048" s="103"/>
      <c r="RNZ1048" s="104"/>
      <c r="ROA1048" s="103"/>
      <c r="ROM1048" s="104"/>
      <c r="RON1048" s="103"/>
      <c r="ROZ1048" s="104"/>
      <c r="RPA1048" s="103"/>
      <c r="RPM1048" s="104"/>
      <c r="RPN1048" s="103"/>
      <c r="RPZ1048" s="104"/>
      <c r="RQA1048" s="103"/>
      <c r="RQM1048" s="104"/>
      <c r="RQN1048" s="103"/>
      <c r="RQZ1048" s="104"/>
      <c r="RRA1048" s="103"/>
      <c r="RRM1048" s="104"/>
      <c r="RRN1048" s="103"/>
      <c r="RRZ1048" s="104"/>
      <c r="RSA1048" s="103"/>
      <c r="RSM1048" s="104"/>
      <c r="RSN1048" s="103"/>
      <c r="RSZ1048" s="104"/>
      <c r="RTA1048" s="103"/>
      <c r="RTM1048" s="104"/>
      <c r="RTN1048" s="103"/>
      <c r="RTZ1048" s="104"/>
      <c r="RUA1048" s="103"/>
      <c r="RUM1048" s="104"/>
      <c r="RUN1048" s="103"/>
      <c r="RUZ1048" s="104"/>
      <c r="RVA1048" s="103"/>
      <c r="RVM1048" s="104"/>
      <c r="RVN1048" s="103"/>
      <c r="RVZ1048" s="104"/>
      <c r="RWA1048" s="103"/>
      <c r="RWM1048" s="104"/>
      <c r="RWN1048" s="103"/>
      <c r="RWZ1048" s="104"/>
      <c r="RXA1048" s="103"/>
      <c r="RXM1048" s="104"/>
      <c r="RXN1048" s="103"/>
      <c r="RXZ1048" s="104"/>
      <c r="RYA1048" s="103"/>
      <c r="RYM1048" s="104"/>
      <c r="RYN1048" s="103"/>
      <c r="RYZ1048" s="104"/>
      <c r="RZA1048" s="103"/>
      <c r="RZM1048" s="104"/>
      <c r="RZN1048" s="103"/>
      <c r="RZZ1048" s="104"/>
      <c r="SAA1048" s="103"/>
      <c r="SAM1048" s="104"/>
      <c r="SAN1048" s="103"/>
      <c r="SAZ1048" s="104"/>
      <c r="SBA1048" s="103"/>
      <c r="SBM1048" s="104"/>
      <c r="SBN1048" s="103"/>
      <c r="SBZ1048" s="104"/>
      <c r="SCA1048" s="103"/>
      <c r="SCM1048" s="104"/>
      <c r="SCN1048" s="103"/>
      <c r="SCZ1048" s="104"/>
      <c r="SDA1048" s="103"/>
      <c r="SDM1048" s="104"/>
      <c r="SDN1048" s="103"/>
      <c r="SDZ1048" s="104"/>
      <c r="SEA1048" s="103"/>
      <c r="SEM1048" s="104"/>
      <c r="SEN1048" s="103"/>
      <c r="SEZ1048" s="104"/>
      <c r="SFA1048" s="103"/>
      <c r="SFM1048" s="104"/>
      <c r="SFN1048" s="103"/>
      <c r="SFZ1048" s="104"/>
      <c r="SGA1048" s="103"/>
      <c r="SGM1048" s="104"/>
      <c r="SGN1048" s="103"/>
      <c r="SGZ1048" s="104"/>
      <c r="SHA1048" s="103"/>
      <c r="SHM1048" s="104"/>
      <c r="SHN1048" s="103"/>
      <c r="SHZ1048" s="104"/>
      <c r="SIA1048" s="103"/>
      <c r="SIM1048" s="104"/>
      <c r="SIN1048" s="103"/>
      <c r="SIZ1048" s="104"/>
      <c r="SJA1048" s="103"/>
      <c r="SJM1048" s="104"/>
      <c r="SJN1048" s="103"/>
      <c r="SJZ1048" s="104"/>
      <c r="SKA1048" s="103"/>
      <c r="SKM1048" s="104"/>
      <c r="SKN1048" s="103"/>
      <c r="SKZ1048" s="104"/>
      <c r="SLA1048" s="103"/>
      <c r="SLM1048" s="104"/>
      <c r="SLN1048" s="103"/>
      <c r="SLZ1048" s="104"/>
      <c r="SMA1048" s="103"/>
      <c r="SMM1048" s="104"/>
      <c r="SMN1048" s="103"/>
      <c r="SMZ1048" s="104"/>
      <c r="SNA1048" s="103"/>
      <c r="SNM1048" s="104"/>
      <c r="SNN1048" s="103"/>
      <c r="SNZ1048" s="104"/>
      <c r="SOA1048" s="103"/>
      <c r="SOM1048" s="104"/>
      <c r="SON1048" s="103"/>
      <c r="SOZ1048" s="104"/>
      <c r="SPA1048" s="103"/>
      <c r="SPM1048" s="104"/>
      <c r="SPN1048" s="103"/>
      <c r="SPZ1048" s="104"/>
      <c r="SQA1048" s="103"/>
      <c r="SQM1048" s="104"/>
      <c r="SQN1048" s="103"/>
      <c r="SQZ1048" s="104"/>
      <c r="SRA1048" s="103"/>
      <c r="SRM1048" s="104"/>
      <c r="SRN1048" s="103"/>
      <c r="SRZ1048" s="104"/>
      <c r="SSA1048" s="103"/>
      <c r="SSM1048" s="104"/>
      <c r="SSN1048" s="103"/>
      <c r="SSZ1048" s="104"/>
      <c r="STA1048" s="103"/>
      <c r="STM1048" s="104"/>
      <c r="STN1048" s="103"/>
      <c r="STZ1048" s="104"/>
      <c r="SUA1048" s="103"/>
      <c r="SUM1048" s="104"/>
      <c r="SUN1048" s="103"/>
      <c r="SUZ1048" s="104"/>
      <c r="SVA1048" s="103"/>
      <c r="SVM1048" s="104"/>
      <c r="SVN1048" s="103"/>
      <c r="SVZ1048" s="104"/>
      <c r="SWA1048" s="103"/>
      <c r="SWM1048" s="104"/>
      <c r="SWN1048" s="103"/>
      <c r="SWZ1048" s="104"/>
      <c r="SXA1048" s="103"/>
      <c r="SXM1048" s="104"/>
      <c r="SXN1048" s="103"/>
      <c r="SXZ1048" s="104"/>
      <c r="SYA1048" s="103"/>
      <c r="SYM1048" s="104"/>
      <c r="SYN1048" s="103"/>
      <c r="SYZ1048" s="104"/>
      <c r="SZA1048" s="103"/>
      <c r="SZM1048" s="104"/>
      <c r="SZN1048" s="103"/>
      <c r="SZZ1048" s="104"/>
      <c r="TAA1048" s="103"/>
      <c r="TAM1048" s="104"/>
      <c r="TAN1048" s="103"/>
      <c r="TAZ1048" s="104"/>
      <c r="TBA1048" s="103"/>
      <c r="TBM1048" s="104"/>
      <c r="TBN1048" s="103"/>
      <c r="TBZ1048" s="104"/>
      <c r="TCA1048" s="103"/>
      <c r="TCM1048" s="104"/>
      <c r="TCN1048" s="103"/>
      <c r="TCZ1048" s="104"/>
      <c r="TDA1048" s="103"/>
      <c r="TDM1048" s="104"/>
      <c r="TDN1048" s="103"/>
      <c r="TDZ1048" s="104"/>
      <c r="TEA1048" s="103"/>
      <c r="TEM1048" s="104"/>
      <c r="TEN1048" s="103"/>
      <c r="TEZ1048" s="104"/>
      <c r="TFA1048" s="103"/>
      <c r="TFM1048" s="104"/>
      <c r="TFN1048" s="103"/>
      <c r="TFZ1048" s="104"/>
      <c r="TGA1048" s="103"/>
      <c r="TGM1048" s="104"/>
      <c r="TGN1048" s="103"/>
      <c r="TGZ1048" s="104"/>
      <c r="THA1048" s="103"/>
      <c r="THM1048" s="104"/>
      <c r="THN1048" s="103"/>
      <c r="THZ1048" s="104"/>
      <c r="TIA1048" s="103"/>
      <c r="TIM1048" s="104"/>
      <c r="TIN1048" s="103"/>
      <c r="TIZ1048" s="104"/>
      <c r="TJA1048" s="103"/>
      <c r="TJM1048" s="104"/>
      <c r="TJN1048" s="103"/>
      <c r="TJZ1048" s="104"/>
      <c r="TKA1048" s="103"/>
      <c r="TKM1048" s="104"/>
      <c r="TKN1048" s="103"/>
      <c r="TKZ1048" s="104"/>
      <c r="TLA1048" s="103"/>
      <c r="TLM1048" s="104"/>
      <c r="TLN1048" s="103"/>
      <c r="TLZ1048" s="104"/>
      <c r="TMA1048" s="103"/>
      <c r="TMM1048" s="104"/>
      <c r="TMN1048" s="103"/>
      <c r="TMZ1048" s="104"/>
      <c r="TNA1048" s="103"/>
      <c r="TNM1048" s="104"/>
      <c r="TNN1048" s="103"/>
      <c r="TNZ1048" s="104"/>
      <c r="TOA1048" s="103"/>
      <c r="TOM1048" s="104"/>
      <c r="TON1048" s="103"/>
      <c r="TOZ1048" s="104"/>
      <c r="TPA1048" s="103"/>
      <c r="TPM1048" s="104"/>
      <c r="TPN1048" s="103"/>
      <c r="TPZ1048" s="104"/>
      <c r="TQA1048" s="103"/>
      <c r="TQM1048" s="104"/>
      <c r="TQN1048" s="103"/>
      <c r="TQZ1048" s="104"/>
      <c r="TRA1048" s="103"/>
      <c r="TRM1048" s="104"/>
      <c r="TRN1048" s="103"/>
      <c r="TRZ1048" s="104"/>
      <c r="TSA1048" s="103"/>
      <c r="TSM1048" s="104"/>
      <c r="TSN1048" s="103"/>
      <c r="TSZ1048" s="104"/>
      <c r="TTA1048" s="103"/>
      <c r="TTM1048" s="104"/>
      <c r="TTN1048" s="103"/>
      <c r="TTZ1048" s="104"/>
      <c r="TUA1048" s="103"/>
      <c r="TUM1048" s="104"/>
      <c r="TUN1048" s="103"/>
      <c r="TUZ1048" s="104"/>
      <c r="TVA1048" s="103"/>
      <c r="TVM1048" s="104"/>
      <c r="TVN1048" s="103"/>
      <c r="TVZ1048" s="104"/>
      <c r="TWA1048" s="103"/>
      <c r="TWM1048" s="104"/>
      <c r="TWN1048" s="103"/>
      <c r="TWZ1048" s="104"/>
      <c r="TXA1048" s="103"/>
      <c r="TXM1048" s="104"/>
      <c r="TXN1048" s="103"/>
      <c r="TXZ1048" s="104"/>
      <c r="TYA1048" s="103"/>
      <c r="TYM1048" s="104"/>
      <c r="TYN1048" s="103"/>
      <c r="TYZ1048" s="104"/>
      <c r="TZA1048" s="103"/>
      <c r="TZM1048" s="104"/>
      <c r="TZN1048" s="103"/>
      <c r="TZZ1048" s="104"/>
      <c r="UAA1048" s="103"/>
      <c r="UAM1048" s="104"/>
      <c r="UAN1048" s="103"/>
      <c r="UAZ1048" s="104"/>
      <c r="UBA1048" s="103"/>
      <c r="UBM1048" s="104"/>
      <c r="UBN1048" s="103"/>
      <c r="UBZ1048" s="104"/>
      <c r="UCA1048" s="103"/>
      <c r="UCM1048" s="104"/>
      <c r="UCN1048" s="103"/>
      <c r="UCZ1048" s="104"/>
      <c r="UDA1048" s="103"/>
      <c r="UDM1048" s="104"/>
      <c r="UDN1048" s="103"/>
      <c r="UDZ1048" s="104"/>
      <c r="UEA1048" s="103"/>
      <c r="UEM1048" s="104"/>
      <c r="UEN1048" s="103"/>
      <c r="UEZ1048" s="104"/>
      <c r="UFA1048" s="103"/>
      <c r="UFM1048" s="104"/>
      <c r="UFN1048" s="103"/>
      <c r="UFZ1048" s="104"/>
      <c r="UGA1048" s="103"/>
      <c r="UGM1048" s="104"/>
      <c r="UGN1048" s="103"/>
      <c r="UGZ1048" s="104"/>
      <c r="UHA1048" s="103"/>
      <c r="UHM1048" s="104"/>
      <c r="UHN1048" s="103"/>
      <c r="UHZ1048" s="104"/>
      <c r="UIA1048" s="103"/>
      <c r="UIM1048" s="104"/>
      <c r="UIN1048" s="103"/>
      <c r="UIZ1048" s="104"/>
      <c r="UJA1048" s="103"/>
      <c r="UJM1048" s="104"/>
      <c r="UJN1048" s="103"/>
      <c r="UJZ1048" s="104"/>
      <c r="UKA1048" s="103"/>
      <c r="UKM1048" s="104"/>
      <c r="UKN1048" s="103"/>
      <c r="UKZ1048" s="104"/>
      <c r="ULA1048" s="103"/>
      <c r="ULM1048" s="104"/>
      <c r="ULN1048" s="103"/>
      <c r="ULZ1048" s="104"/>
      <c r="UMA1048" s="103"/>
      <c r="UMM1048" s="104"/>
      <c r="UMN1048" s="103"/>
      <c r="UMZ1048" s="104"/>
      <c r="UNA1048" s="103"/>
      <c r="UNM1048" s="104"/>
      <c r="UNN1048" s="103"/>
      <c r="UNZ1048" s="104"/>
      <c r="UOA1048" s="103"/>
      <c r="UOM1048" s="104"/>
      <c r="UON1048" s="103"/>
      <c r="UOZ1048" s="104"/>
      <c r="UPA1048" s="103"/>
      <c r="UPM1048" s="104"/>
      <c r="UPN1048" s="103"/>
      <c r="UPZ1048" s="104"/>
      <c r="UQA1048" s="103"/>
      <c r="UQM1048" s="104"/>
      <c r="UQN1048" s="103"/>
      <c r="UQZ1048" s="104"/>
      <c r="URA1048" s="103"/>
      <c r="URM1048" s="104"/>
      <c r="URN1048" s="103"/>
      <c r="URZ1048" s="104"/>
      <c r="USA1048" s="103"/>
      <c r="USM1048" s="104"/>
      <c r="USN1048" s="103"/>
      <c r="USZ1048" s="104"/>
      <c r="UTA1048" s="103"/>
      <c r="UTM1048" s="104"/>
      <c r="UTN1048" s="103"/>
      <c r="UTZ1048" s="104"/>
      <c r="UUA1048" s="103"/>
      <c r="UUM1048" s="104"/>
      <c r="UUN1048" s="103"/>
      <c r="UUZ1048" s="104"/>
      <c r="UVA1048" s="103"/>
      <c r="UVM1048" s="104"/>
      <c r="UVN1048" s="103"/>
      <c r="UVZ1048" s="104"/>
      <c r="UWA1048" s="103"/>
      <c r="UWM1048" s="104"/>
      <c r="UWN1048" s="103"/>
      <c r="UWZ1048" s="104"/>
      <c r="UXA1048" s="103"/>
      <c r="UXM1048" s="104"/>
      <c r="UXN1048" s="103"/>
      <c r="UXZ1048" s="104"/>
      <c r="UYA1048" s="103"/>
      <c r="UYM1048" s="104"/>
      <c r="UYN1048" s="103"/>
      <c r="UYZ1048" s="104"/>
      <c r="UZA1048" s="103"/>
      <c r="UZM1048" s="104"/>
      <c r="UZN1048" s="103"/>
      <c r="UZZ1048" s="104"/>
      <c r="VAA1048" s="103"/>
      <c r="VAM1048" s="104"/>
      <c r="VAN1048" s="103"/>
      <c r="VAZ1048" s="104"/>
      <c r="VBA1048" s="103"/>
      <c r="VBM1048" s="104"/>
      <c r="VBN1048" s="103"/>
      <c r="VBZ1048" s="104"/>
      <c r="VCA1048" s="103"/>
      <c r="VCM1048" s="104"/>
      <c r="VCN1048" s="103"/>
      <c r="VCZ1048" s="104"/>
      <c r="VDA1048" s="103"/>
      <c r="VDM1048" s="104"/>
      <c r="VDN1048" s="103"/>
      <c r="VDZ1048" s="104"/>
      <c r="VEA1048" s="103"/>
      <c r="VEM1048" s="104"/>
      <c r="VEN1048" s="103"/>
      <c r="VEZ1048" s="104"/>
      <c r="VFA1048" s="103"/>
      <c r="VFM1048" s="104"/>
      <c r="VFN1048" s="103"/>
      <c r="VFZ1048" s="104"/>
      <c r="VGA1048" s="103"/>
      <c r="VGM1048" s="104"/>
      <c r="VGN1048" s="103"/>
      <c r="VGZ1048" s="104"/>
      <c r="VHA1048" s="103"/>
      <c r="VHM1048" s="104"/>
      <c r="VHN1048" s="103"/>
      <c r="VHZ1048" s="104"/>
      <c r="VIA1048" s="103"/>
      <c r="VIM1048" s="104"/>
      <c r="VIN1048" s="103"/>
      <c r="VIZ1048" s="104"/>
      <c r="VJA1048" s="103"/>
      <c r="VJM1048" s="104"/>
      <c r="VJN1048" s="103"/>
      <c r="VJZ1048" s="104"/>
      <c r="VKA1048" s="103"/>
      <c r="VKM1048" s="104"/>
      <c r="VKN1048" s="103"/>
      <c r="VKZ1048" s="104"/>
      <c r="VLA1048" s="103"/>
      <c r="VLM1048" s="104"/>
      <c r="VLN1048" s="103"/>
      <c r="VLZ1048" s="104"/>
      <c r="VMA1048" s="103"/>
      <c r="VMM1048" s="104"/>
      <c r="VMN1048" s="103"/>
      <c r="VMZ1048" s="104"/>
      <c r="VNA1048" s="103"/>
      <c r="VNM1048" s="104"/>
      <c r="VNN1048" s="103"/>
      <c r="VNZ1048" s="104"/>
      <c r="VOA1048" s="103"/>
      <c r="VOM1048" s="104"/>
      <c r="VON1048" s="103"/>
      <c r="VOZ1048" s="104"/>
      <c r="VPA1048" s="103"/>
      <c r="VPM1048" s="104"/>
      <c r="VPN1048" s="103"/>
      <c r="VPZ1048" s="104"/>
      <c r="VQA1048" s="103"/>
      <c r="VQM1048" s="104"/>
      <c r="VQN1048" s="103"/>
      <c r="VQZ1048" s="104"/>
      <c r="VRA1048" s="103"/>
      <c r="VRM1048" s="104"/>
      <c r="VRN1048" s="103"/>
      <c r="VRZ1048" s="104"/>
      <c r="VSA1048" s="103"/>
      <c r="VSM1048" s="104"/>
      <c r="VSN1048" s="103"/>
      <c r="VSZ1048" s="104"/>
      <c r="VTA1048" s="103"/>
      <c r="VTM1048" s="104"/>
      <c r="VTN1048" s="103"/>
      <c r="VTZ1048" s="104"/>
      <c r="VUA1048" s="103"/>
      <c r="VUM1048" s="104"/>
      <c r="VUN1048" s="103"/>
      <c r="VUZ1048" s="104"/>
      <c r="VVA1048" s="103"/>
      <c r="VVM1048" s="104"/>
      <c r="VVN1048" s="103"/>
      <c r="VVZ1048" s="104"/>
      <c r="VWA1048" s="103"/>
      <c r="VWM1048" s="104"/>
      <c r="VWN1048" s="103"/>
      <c r="VWZ1048" s="104"/>
      <c r="VXA1048" s="103"/>
      <c r="VXM1048" s="104"/>
      <c r="VXN1048" s="103"/>
      <c r="VXZ1048" s="104"/>
      <c r="VYA1048" s="103"/>
      <c r="VYM1048" s="104"/>
      <c r="VYN1048" s="103"/>
      <c r="VYZ1048" s="104"/>
      <c r="VZA1048" s="103"/>
      <c r="VZM1048" s="104"/>
      <c r="VZN1048" s="103"/>
      <c r="VZZ1048" s="104"/>
      <c r="WAA1048" s="103"/>
      <c r="WAM1048" s="104"/>
      <c r="WAN1048" s="103"/>
      <c r="WAZ1048" s="104"/>
      <c r="WBA1048" s="103"/>
      <c r="WBM1048" s="104"/>
      <c r="WBN1048" s="103"/>
      <c r="WBZ1048" s="104"/>
      <c r="WCA1048" s="103"/>
      <c r="WCM1048" s="104"/>
      <c r="WCN1048" s="103"/>
      <c r="WCZ1048" s="104"/>
      <c r="WDA1048" s="103"/>
      <c r="WDM1048" s="104"/>
      <c r="WDN1048" s="103"/>
      <c r="WDZ1048" s="104"/>
      <c r="WEA1048" s="103"/>
      <c r="WEM1048" s="104"/>
      <c r="WEN1048" s="103"/>
      <c r="WEZ1048" s="104"/>
      <c r="WFA1048" s="103"/>
      <c r="WFM1048" s="104"/>
      <c r="WFN1048" s="103"/>
      <c r="WFZ1048" s="104"/>
      <c r="WGA1048" s="103"/>
      <c r="WGM1048" s="104"/>
      <c r="WGN1048" s="103"/>
      <c r="WGZ1048" s="104"/>
      <c r="WHA1048" s="103"/>
      <c r="WHM1048" s="104"/>
      <c r="WHN1048" s="103"/>
      <c r="WHZ1048" s="104"/>
      <c r="WIA1048" s="103"/>
      <c r="WIM1048" s="104"/>
      <c r="WIN1048" s="103"/>
      <c r="WIZ1048" s="104"/>
      <c r="WJA1048" s="103"/>
      <c r="WJM1048" s="104"/>
      <c r="WJN1048" s="103"/>
      <c r="WJZ1048" s="104"/>
      <c r="WKA1048" s="103"/>
      <c r="WKM1048" s="104"/>
      <c r="WKN1048" s="103"/>
      <c r="WKZ1048" s="104"/>
      <c r="WLA1048" s="103"/>
      <c r="WLM1048" s="104"/>
      <c r="WLN1048" s="103"/>
      <c r="WLZ1048" s="104"/>
      <c r="WMA1048" s="103"/>
      <c r="WMM1048" s="104"/>
      <c r="WMN1048" s="103"/>
      <c r="WMZ1048" s="104"/>
      <c r="WNA1048" s="103"/>
      <c r="WNM1048" s="104"/>
      <c r="WNN1048" s="103"/>
      <c r="WNZ1048" s="104"/>
      <c r="WOA1048" s="103"/>
      <c r="WOM1048" s="104"/>
      <c r="WON1048" s="103"/>
      <c r="WOZ1048" s="104"/>
      <c r="WPA1048" s="103"/>
      <c r="WPM1048" s="104"/>
      <c r="WPN1048" s="103"/>
      <c r="WPZ1048" s="104"/>
      <c r="WQA1048" s="103"/>
      <c r="WQM1048" s="104"/>
      <c r="WQN1048" s="103"/>
      <c r="WQZ1048" s="104"/>
      <c r="WRA1048" s="103"/>
      <c r="WRM1048" s="104"/>
      <c r="WRN1048" s="103"/>
      <c r="WRZ1048" s="104"/>
      <c r="WSA1048" s="103"/>
      <c r="WSM1048" s="104"/>
      <c r="WSN1048" s="103"/>
      <c r="WSZ1048" s="104"/>
      <c r="WTA1048" s="103"/>
      <c r="WTM1048" s="104"/>
      <c r="WTN1048" s="103"/>
      <c r="WTZ1048" s="104"/>
      <c r="WUA1048" s="103"/>
      <c r="WUM1048" s="104"/>
      <c r="WUN1048" s="103"/>
      <c r="WUZ1048" s="104"/>
      <c r="WVA1048" s="103"/>
      <c r="WVM1048" s="104"/>
      <c r="WVN1048" s="103"/>
      <c r="WVZ1048" s="104"/>
      <c r="WWA1048" s="103"/>
      <c r="WWM1048" s="104"/>
      <c r="WWN1048" s="103"/>
      <c r="WWZ1048" s="104"/>
      <c r="WXA1048" s="103"/>
      <c r="WXM1048" s="104"/>
      <c r="WXN1048" s="103"/>
      <c r="WXZ1048" s="104"/>
      <c r="WYA1048" s="103"/>
      <c r="WYM1048" s="104"/>
      <c r="WYN1048" s="103"/>
      <c r="WYZ1048" s="104"/>
      <c r="WZA1048" s="103"/>
      <c r="WZM1048" s="104"/>
      <c r="WZN1048" s="103"/>
      <c r="WZZ1048" s="104"/>
      <c r="XAA1048" s="103"/>
      <c r="XAM1048" s="104"/>
      <c r="XAN1048" s="103"/>
      <c r="XAZ1048" s="104"/>
      <c r="XBA1048" s="103"/>
      <c r="XBM1048" s="104"/>
      <c r="XBN1048" s="103"/>
      <c r="XBZ1048" s="104"/>
      <c r="XCA1048" s="103"/>
      <c r="XCM1048" s="104"/>
      <c r="XCN1048" s="103"/>
      <c r="XCZ1048" s="104"/>
      <c r="XDA1048" s="103"/>
      <c r="XDM1048" s="104"/>
      <c r="XDN1048" s="103"/>
      <c r="XDZ1048" s="104"/>
      <c r="XEA1048" s="103"/>
      <c r="XEM1048" s="104"/>
      <c r="XEN1048" s="103"/>
      <c r="XEZ1048" s="104"/>
      <c r="XFA1048" s="103"/>
    </row>
    <row r="1049" spans="1:1015 1027:2042 2054:3069 3081:4096 4108:5110 5122:6137 6149:7164 7176:8191 8203:9205 9217:10232 10244:11259 11271:12286 12298:14327 14339:15354 15366:16381">
      <c r="B1049" s="137" t="s">
        <v>44</v>
      </c>
      <c r="C1049" s="138">
        <f t="shared" ref="C1049:D1049" si="48">+SUM(C1042:C1048)</f>
        <v>218960</v>
      </c>
      <c r="D1049" s="138">
        <f t="shared" si="48"/>
        <v>3983.2635983263604</v>
      </c>
      <c r="E1049" s="138">
        <f>+SUM(E1042:E1048)</f>
        <v>42695</v>
      </c>
      <c r="F1049" s="138">
        <f t="shared" ref="F1049:H1049" si="49">+SUM(F1042:F1048)</f>
        <v>776.69637984355109</v>
      </c>
      <c r="G1049" s="138">
        <f t="shared" si="49"/>
        <v>261655</v>
      </c>
      <c r="H1049" s="138">
        <f t="shared" si="49"/>
        <v>4759.9599781699117</v>
      </c>
      <c r="M1049" s="139"/>
      <c r="Z1049" s="104"/>
      <c r="AA1049" s="103"/>
      <c r="AM1049" s="104"/>
      <c r="AN1049" s="103"/>
      <c r="AZ1049" s="104"/>
      <c r="BA1049" s="103"/>
      <c r="BM1049" s="104"/>
      <c r="BN1049" s="103"/>
      <c r="BZ1049" s="104"/>
      <c r="CA1049" s="103"/>
      <c r="CM1049" s="104"/>
      <c r="CN1049" s="103"/>
      <c r="CZ1049" s="104"/>
      <c r="DA1049" s="103"/>
      <c r="DM1049" s="104"/>
      <c r="DN1049" s="103"/>
      <c r="DZ1049" s="104"/>
      <c r="EA1049" s="103"/>
      <c r="EM1049" s="104"/>
      <c r="EN1049" s="103"/>
      <c r="EZ1049" s="104"/>
      <c r="FA1049" s="103"/>
      <c r="FM1049" s="104"/>
      <c r="FN1049" s="103"/>
      <c r="FZ1049" s="104"/>
      <c r="GA1049" s="103"/>
      <c r="GM1049" s="104"/>
      <c r="GN1049" s="103"/>
      <c r="GZ1049" s="104"/>
      <c r="HA1049" s="103"/>
      <c r="HM1049" s="104"/>
      <c r="HN1049" s="103"/>
      <c r="HZ1049" s="104"/>
      <c r="IA1049" s="103"/>
      <c r="IM1049" s="104"/>
      <c r="IN1049" s="103"/>
      <c r="IZ1049" s="104"/>
      <c r="JA1049" s="103"/>
      <c r="JM1049" s="104"/>
      <c r="JN1049" s="103"/>
      <c r="JZ1049" s="104"/>
      <c r="KA1049" s="103"/>
      <c r="KM1049" s="104"/>
      <c r="KN1049" s="103"/>
      <c r="KZ1049" s="104"/>
      <c r="LA1049" s="103"/>
      <c r="LM1049" s="104"/>
      <c r="LN1049" s="103"/>
      <c r="LZ1049" s="104"/>
      <c r="MA1049" s="103"/>
      <c r="MM1049" s="104"/>
      <c r="MN1049" s="103"/>
      <c r="MZ1049" s="104"/>
      <c r="NA1049" s="103"/>
      <c r="NM1049" s="104"/>
      <c r="NN1049" s="103"/>
      <c r="NZ1049" s="104"/>
      <c r="OA1049" s="103"/>
      <c r="OM1049" s="104"/>
      <c r="ON1049" s="103"/>
      <c r="OZ1049" s="104"/>
      <c r="PA1049" s="103"/>
      <c r="PM1049" s="104"/>
      <c r="PN1049" s="103"/>
      <c r="PZ1049" s="104"/>
      <c r="QA1049" s="103"/>
      <c r="QM1049" s="104"/>
      <c r="QN1049" s="103"/>
      <c r="QZ1049" s="104"/>
      <c r="RA1049" s="103"/>
      <c r="RM1049" s="104"/>
      <c r="RN1049" s="103"/>
      <c r="RZ1049" s="104"/>
      <c r="SA1049" s="103"/>
      <c r="SM1049" s="104"/>
      <c r="SN1049" s="103"/>
      <c r="SZ1049" s="104"/>
      <c r="TA1049" s="103"/>
      <c r="TM1049" s="104"/>
      <c r="TN1049" s="103"/>
      <c r="TZ1049" s="104"/>
      <c r="UA1049" s="103"/>
      <c r="UM1049" s="104"/>
      <c r="UN1049" s="103"/>
      <c r="UZ1049" s="104"/>
      <c r="VA1049" s="103"/>
      <c r="VM1049" s="104"/>
      <c r="VN1049" s="103"/>
      <c r="VZ1049" s="104"/>
      <c r="WA1049" s="103"/>
      <c r="WM1049" s="104"/>
      <c r="WN1049" s="103"/>
      <c r="WZ1049" s="104"/>
      <c r="XA1049" s="103"/>
      <c r="XM1049" s="104"/>
      <c r="XN1049" s="103"/>
      <c r="XZ1049" s="104"/>
      <c r="YA1049" s="103"/>
      <c r="YM1049" s="104"/>
      <c r="YN1049" s="103"/>
      <c r="YZ1049" s="104"/>
      <c r="ZA1049" s="103"/>
      <c r="ZM1049" s="104"/>
      <c r="ZN1049" s="103"/>
      <c r="ZZ1049" s="104"/>
      <c r="AAA1049" s="103"/>
      <c r="AAM1049" s="104"/>
      <c r="AAN1049" s="103"/>
      <c r="AAZ1049" s="104"/>
      <c r="ABA1049" s="103"/>
      <c r="ABM1049" s="104"/>
      <c r="ABN1049" s="103"/>
      <c r="ABZ1049" s="104"/>
      <c r="ACA1049" s="103"/>
      <c r="ACM1049" s="104"/>
      <c r="ACN1049" s="103"/>
      <c r="ACZ1049" s="104"/>
      <c r="ADA1049" s="103"/>
      <c r="ADM1049" s="104"/>
      <c r="ADN1049" s="103"/>
      <c r="ADZ1049" s="104"/>
      <c r="AEA1049" s="103"/>
      <c r="AEM1049" s="104"/>
      <c r="AEN1049" s="103"/>
      <c r="AEZ1049" s="104"/>
      <c r="AFA1049" s="103"/>
      <c r="AFM1049" s="104"/>
      <c r="AFN1049" s="103"/>
      <c r="AFZ1049" s="104"/>
      <c r="AGA1049" s="103"/>
      <c r="AGM1049" s="104"/>
      <c r="AGN1049" s="103"/>
      <c r="AGZ1049" s="104"/>
      <c r="AHA1049" s="103"/>
      <c r="AHM1049" s="104"/>
      <c r="AHN1049" s="103"/>
      <c r="AHZ1049" s="104"/>
      <c r="AIA1049" s="103"/>
      <c r="AIM1049" s="104"/>
      <c r="AIN1049" s="103"/>
      <c r="AIZ1049" s="104"/>
      <c r="AJA1049" s="103"/>
      <c r="AJM1049" s="104"/>
      <c r="AJN1049" s="103"/>
      <c r="AJZ1049" s="104"/>
      <c r="AKA1049" s="103"/>
      <c r="AKM1049" s="104"/>
      <c r="AKN1049" s="103"/>
      <c r="AKZ1049" s="104"/>
      <c r="ALA1049" s="103"/>
      <c r="ALM1049" s="104"/>
      <c r="ALN1049" s="103"/>
      <c r="ALZ1049" s="104"/>
      <c r="AMA1049" s="103"/>
      <c r="AMM1049" s="104"/>
      <c r="AMN1049" s="103"/>
      <c r="AMZ1049" s="104"/>
      <c r="ANA1049" s="103"/>
      <c r="ANM1049" s="104"/>
      <c r="ANN1049" s="103"/>
      <c r="ANZ1049" s="104"/>
      <c r="AOA1049" s="103"/>
      <c r="AOM1049" s="104"/>
      <c r="AON1049" s="103"/>
      <c r="AOZ1049" s="104"/>
      <c r="APA1049" s="103"/>
      <c r="APM1049" s="104"/>
      <c r="APN1049" s="103"/>
      <c r="APZ1049" s="104"/>
      <c r="AQA1049" s="103"/>
      <c r="AQM1049" s="104"/>
      <c r="AQN1049" s="103"/>
      <c r="AQZ1049" s="104"/>
      <c r="ARA1049" s="103"/>
      <c r="ARM1049" s="104"/>
      <c r="ARN1049" s="103"/>
      <c r="ARZ1049" s="104"/>
      <c r="ASA1049" s="103"/>
      <c r="ASM1049" s="104"/>
      <c r="ASN1049" s="103"/>
      <c r="ASZ1049" s="104"/>
      <c r="ATA1049" s="103"/>
      <c r="ATM1049" s="104"/>
      <c r="ATN1049" s="103"/>
      <c r="ATZ1049" s="104"/>
      <c r="AUA1049" s="103"/>
      <c r="AUM1049" s="104"/>
      <c r="AUN1049" s="103"/>
      <c r="AUZ1049" s="104"/>
      <c r="AVA1049" s="103"/>
      <c r="AVM1049" s="104"/>
      <c r="AVN1049" s="103"/>
      <c r="AVZ1049" s="104"/>
      <c r="AWA1049" s="103"/>
      <c r="AWM1049" s="104"/>
      <c r="AWN1049" s="103"/>
      <c r="AWZ1049" s="104"/>
      <c r="AXA1049" s="103"/>
      <c r="AXM1049" s="104"/>
      <c r="AXN1049" s="103"/>
      <c r="AXZ1049" s="104"/>
      <c r="AYA1049" s="103"/>
      <c r="AYM1049" s="104"/>
      <c r="AYN1049" s="103"/>
      <c r="AYZ1049" s="104"/>
      <c r="AZA1049" s="103"/>
      <c r="AZM1049" s="104"/>
      <c r="AZN1049" s="103"/>
      <c r="AZZ1049" s="104"/>
      <c r="BAA1049" s="103"/>
      <c r="BAM1049" s="104"/>
      <c r="BAN1049" s="103"/>
      <c r="BAZ1049" s="104"/>
      <c r="BBA1049" s="103"/>
      <c r="BBM1049" s="104"/>
      <c r="BBN1049" s="103"/>
      <c r="BBZ1049" s="104"/>
      <c r="BCA1049" s="103"/>
      <c r="BCM1049" s="104"/>
      <c r="BCN1049" s="103"/>
      <c r="BCZ1049" s="104"/>
      <c r="BDA1049" s="103"/>
      <c r="BDM1049" s="104"/>
      <c r="BDN1049" s="103"/>
      <c r="BDZ1049" s="104"/>
      <c r="BEA1049" s="103"/>
      <c r="BEM1049" s="104"/>
      <c r="BEN1049" s="103"/>
      <c r="BEZ1049" s="104"/>
      <c r="BFA1049" s="103"/>
      <c r="BFM1049" s="104"/>
      <c r="BFN1049" s="103"/>
      <c r="BFZ1049" s="104"/>
      <c r="BGA1049" s="103"/>
      <c r="BGM1049" s="104"/>
      <c r="BGN1049" s="103"/>
      <c r="BGZ1049" s="104"/>
      <c r="BHA1049" s="103"/>
      <c r="BHM1049" s="104"/>
      <c r="BHN1049" s="103"/>
      <c r="BHZ1049" s="104"/>
      <c r="BIA1049" s="103"/>
      <c r="BIM1049" s="104"/>
      <c r="BIN1049" s="103"/>
      <c r="BIZ1049" s="104"/>
      <c r="BJA1049" s="103"/>
      <c r="BJM1049" s="104"/>
      <c r="BJN1049" s="103"/>
      <c r="BJZ1049" s="104"/>
      <c r="BKA1049" s="103"/>
      <c r="BKM1049" s="104"/>
      <c r="BKN1049" s="103"/>
      <c r="BKZ1049" s="104"/>
      <c r="BLA1049" s="103"/>
      <c r="BLM1049" s="104"/>
      <c r="BLN1049" s="103"/>
      <c r="BLZ1049" s="104"/>
      <c r="BMA1049" s="103"/>
      <c r="BMM1049" s="104"/>
      <c r="BMN1049" s="103"/>
      <c r="BMZ1049" s="104"/>
      <c r="BNA1049" s="103"/>
      <c r="BNM1049" s="104"/>
      <c r="BNN1049" s="103"/>
      <c r="BNZ1049" s="104"/>
      <c r="BOA1049" s="103"/>
      <c r="BOM1049" s="104"/>
      <c r="BON1049" s="103"/>
      <c r="BOZ1049" s="104"/>
      <c r="BPA1049" s="103"/>
      <c r="BPM1049" s="104"/>
      <c r="BPN1049" s="103"/>
      <c r="BPZ1049" s="104"/>
      <c r="BQA1049" s="103"/>
      <c r="BQM1049" s="104"/>
      <c r="BQN1049" s="103"/>
      <c r="BQZ1049" s="104"/>
      <c r="BRA1049" s="103"/>
      <c r="BRM1049" s="104"/>
      <c r="BRN1049" s="103"/>
      <c r="BRZ1049" s="104"/>
      <c r="BSA1049" s="103"/>
      <c r="BSM1049" s="104"/>
      <c r="BSN1049" s="103"/>
      <c r="BSZ1049" s="104"/>
      <c r="BTA1049" s="103"/>
      <c r="BTM1049" s="104"/>
      <c r="BTN1049" s="103"/>
      <c r="BTZ1049" s="104"/>
      <c r="BUA1049" s="103"/>
      <c r="BUM1049" s="104"/>
      <c r="BUN1049" s="103"/>
      <c r="BUZ1049" s="104"/>
      <c r="BVA1049" s="103"/>
      <c r="BVM1049" s="104"/>
      <c r="BVN1049" s="103"/>
      <c r="BVZ1049" s="104"/>
      <c r="BWA1049" s="103"/>
      <c r="BWM1049" s="104"/>
      <c r="BWN1049" s="103"/>
      <c r="BWZ1049" s="104"/>
      <c r="BXA1049" s="103"/>
      <c r="BXM1049" s="104"/>
      <c r="BXN1049" s="103"/>
      <c r="BXZ1049" s="104"/>
      <c r="BYA1049" s="103"/>
      <c r="BYM1049" s="104"/>
      <c r="BYN1049" s="103"/>
      <c r="BYZ1049" s="104"/>
      <c r="BZA1049" s="103"/>
      <c r="BZM1049" s="104"/>
      <c r="BZN1049" s="103"/>
      <c r="BZZ1049" s="104"/>
      <c r="CAA1049" s="103"/>
      <c r="CAM1049" s="104"/>
      <c r="CAN1049" s="103"/>
      <c r="CAZ1049" s="104"/>
      <c r="CBA1049" s="103"/>
      <c r="CBM1049" s="104"/>
      <c r="CBN1049" s="103"/>
      <c r="CBZ1049" s="104"/>
      <c r="CCA1049" s="103"/>
      <c r="CCM1049" s="104"/>
      <c r="CCN1049" s="103"/>
      <c r="CCZ1049" s="104"/>
      <c r="CDA1049" s="103"/>
      <c r="CDM1049" s="104"/>
      <c r="CDN1049" s="103"/>
      <c r="CDZ1049" s="104"/>
      <c r="CEA1049" s="103"/>
      <c r="CEM1049" s="104"/>
      <c r="CEN1049" s="103"/>
      <c r="CEZ1049" s="104"/>
      <c r="CFA1049" s="103"/>
      <c r="CFM1049" s="104"/>
      <c r="CFN1049" s="103"/>
      <c r="CFZ1049" s="104"/>
      <c r="CGA1049" s="103"/>
      <c r="CGM1049" s="104"/>
      <c r="CGN1049" s="103"/>
      <c r="CGZ1049" s="104"/>
      <c r="CHA1049" s="103"/>
      <c r="CHM1049" s="104"/>
      <c r="CHN1049" s="103"/>
      <c r="CHZ1049" s="104"/>
      <c r="CIA1049" s="103"/>
      <c r="CIM1049" s="104"/>
      <c r="CIN1049" s="103"/>
      <c r="CIZ1049" s="104"/>
      <c r="CJA1049" s="103"/>
      <c r="CJM1049" s="104"/>
      <c r="CJN1049" s="103"/>
      <c r="CJZ1049" s="104"/>
      <c r="CKA1049" s="103"/>
      <c r="CKM1049" s="104"/>
      <c r="CKN1049" s="103"/>
      <c r="CKZ1049" s="104"/>
      <c r="CLA1049" s="103"/>
      <c r="CLM1049" s="104"/>
      <c r="CLN1049" s="103"/>
      <c r="CLZ1049" s="104"/>
      <c r="CMA1049" s="103"/>
      <c r="CMM1049" s="104"/>
      <c r="CMN1049" s="103"/>
      <c r="CMZ1049" s="104"/>
      <c r="CNA1049" s="103"/>
      <c r="CNM1049" s="104"/>
      <c r="CNN1049" s="103"/>
      <c r="CNZ1049" s="104"/>
      <c r="COA1049" s="103"/>
      <c r="COM1049" s="104"/>
      <c r="CON1049" s="103"/>
      <c r="COZ1049" s="104"/>
      <c r="CPA1049" s="103"/>
      <c r="CPM1049" s="104"/>
      <c r="CPN1049" s="103"/>
      <c r="CPZ1049" s="104"/>
      <c r="CQA1049" s="103"/>
      <c r="CQM1049" s="104"/>
      <c r="CQN1049" s="103"/>
      <c r="CQZ1049" s="104"/>
      <c r="CRA1049" s="103"/>
      <c r="CRM1049" s="104"/>
      <c r="CRN1049" s="103"/>
      <c r="CRZ1049" s="104"/>
      <c r="CSA1049" s="103"/>
      <c r="CSM1049" s="104"/>
      <c r="CSN1049" s="103"/>
      <c r="CSZ1049" s="104"/>
      <c r="CTA1049" s="103"/>
      <c r="CTM1049" s="104"/>
      <c r="CTN1049" s="103"/>
      <c r="CTZ1049" s="104"/>
      <c r="CUA1049" s="103"/>
      <c r="CUM1049" s="104"/>
      <c r="CUN1049" s="103"/>
      <c r="CUZ1049" s="104"/>
      <c r="CVA1049" s="103"/>
      <c r="CVM1049" s="104"/>
      <c r="CVN1049" s="103"/>
      <c r="CVZ1049" s="104"/>
      <c r="CWA1049" s="103"/>
      <c r="CWM1049" s="104"/>
      <c r="CWN1049" s="103"/>
      <c r="CWZ1049" s="104"/>
      <c r="CXA1049" s="103"/>
      <c r="CXM1049" s="104"/>
      <c r="CXN1049" s="103"/>
      <c r="CXZ1049" s="104"/>
      <c r="CYA1049" s="103"/>
      <c r="CYM1049" s="104"/>
      <c r="CYN1049" s="103"/>
      <c r="CYZ1049" s="104"/>
      <c r="CZA1049" s="103"/>
      <c r="CZM1049" s="104"/>
      <c r="CZN1049" s="103"/>
      <c r="CZZ1049" s="104"/>
      <c r="DAA1049" s="103"/>
      <c r="DAM1049" s="104"/>
      <c r="DAN1049" s="103"/>
      <c r="DAZ1049" s="104"/>
      <c r="DBA1049" s="103"/>
      <c r="DBM1049" s="104"/>
      <c r="DBN1049" s="103"/>
      <c r="DBZ1049" s="104"/>
      <c r="DCA1049" s="103"/>
      <c r="DCM1049" s="104"/>
      <c r="DCN1049" s="103"/>
      <c r="DCZ1049" s="104"/>
      <c r="DDA1049" s="103"/>
      <c r="DDM1049" s="104"/>
      <c r="DDN1049" s="103"/>
      <c r="DDZ1049" s="104"/>
      <c r="DEA1049" s="103"/>
      <c r="DEM1049" s="104"/>
      <c r="DEN1049" s="103"/>
      <c r="DEZ1049" s="104"/>
      <c r="DFA1049" s="103"/>
      <c r="DFM1049" s="104"/>
      <c r="DFN1049" s="103"/>
      <c r="DFZ1049" s="104"/>
      <c r="DGA1049" s="103"/>
      <c r="DGM1049" s="104"/>
      <c r="DGN1049" s="103"/>
      <c r="DGZ1049" s="104"/>
      <c r="DHA1049" s="103"/>
      <c r="DHM1049" s="104"/>
      <c r="DHN1049" s="103"/>
      <c r="DHZ1049" s="104"/>
      <c r="DIA1049" s="103"/>
      <c r="DIM1049" s="104"/>
      <c r="DIN1049" s="103"/>
      <c r="DIZ1049" s="104"/>
      <c r="DJA1049" s="103"/>
      <c r="DJM1049" s="104"/>
      <c r="DJN1049" s="103"/>
      <c r="DJZ1049" s="104"/>
      <c r="DKA1049" s="103"/>
      <c r="DKM1049" s="104"/>
      <c r="DKN1049" s="103"/>
      <c r="DKZ1049" s="104"/>
      <c r="DLA1049" s="103"/>
      <c r="DLM1049" s="104"/>
      <c r="DLN1049" s="103"/>
      <c r="DLZ1049" s="104"/>
      <c r="DMA1049" s="103"/>
      <c r="DMM1049" s="104"/>
      <c r="DMN1049" s="103"/>
      <c r="DMZ1049" s="104"/>
      <c r="DNA1049" s="103"/>
      <c r="DNM1049" s="104"/>
      <c r="DNN1049" s="103"/>
      <c r="DNZ1049" s="104"/>
      <c r="DOA1049" s="103"/>
      <c r="DOM1049" s="104"/>
      <c r="DON1049" s="103"/>
      <c r="DOZ1049" s="104"/>
      <c r="DPA1049" s="103"/>
      <c r="DPM1049" s="104"/>
      <c r="DPN1049" s="103"/>
      <c r="DPZ1049" s="104"/>
      <c r="DQA1049" s="103"/>
      <c r="DQM1049" s="104"/>
      <c r="DQN1049" s="103"/>
      <c r="DQZ1049" s="104"/>
      <c r="DRA1049" s="103"/>
      <c r="DRM1049" s="104"/>
      <c r="DRN1049" s="103"/>
      <c r="DRZ1049" s="104"/>
      <c r="DSA1049" s="103"/>
      <c r="DSM1049" s="104"/>
      <c r="DSN1049" s="103"/>
      <c r="DSZ1049" s="104"/>
      <c r="DTA1049" s="103"/>
      <c r="DTM1049" s="104"/>
      <c r="DTN1049" s="103"/>
      <c r="DTZ1049" s="104"/>
      <c r="DUA1049" s="103"/>
      <c r="DUM1049" s="104"/>
      <c r="DUN1049" s="103"/>
      <c r="DUZ1049" s="104"/>
      <c r="DVA1049" s="103"/>
      <c r="DVM1049" s="104"/>
      <c r="DVN1049" s="103"/>
      <c r="DVZ1049" s="104"/>
      <c r="DWA1049" s="103"/>
      <c r="DWM1049" s="104"/>
      <c r="DWN1049" s="103"/>
      <c r="DWZ1049" s="104"/>
      <c r="DXA1049" s="103"/>
      <c r="DXM1049" s="104"/>
      <c r="DXN1049" s="103"/>
      <c r="DXZ1049" s="104"/>
      <c r="DYA1049" s="103"/>
      <c r="DYM1049" s="104"/>
      <c r="DYN1049" s="103"/>
      <c r="DYZ1049" s="104"/>
      <c r="DZA1049" s="103"/>
      <c r="DZM1049" s="104"/>
      <c r="DZN1049" s="103"/>
      <c r="DZZ1049" s="104"/>
      <c r="EAA1049" s="103"/>
      <c r="EAM1049" s="104"/>
      <c r="EAN1049" s="103"/>
      <c r="EAZ1049" s="104"/>
      <c r="EBA1049" s="103"/>
      <c r="EBM1049" s="104"/>
      <c r="EBN1049" s="103"/>
      <c r="EBZ1049" s="104"/>
      <c r="ECA1049" s="103"/>
      <c r="ECM1049" s="104"/>
      <c r="ECN1049" s="103"/>
      <c r="ECZ1049" s="104"/>
      <c r="EDA1049" s="103"/>
      <c r="EDM1049" s="104"/>
      <c r="EDN1049" s="103"/>
      <c r="EDZ1049" s="104"/>
      <c r="EEA1049" s="103"/>
      <c r="EEM1049" s="104"/>
      <c r="EEN1049" s="103"/>
      <c r="EEZ1049" s="104"/>
      <c r="EFA1049" s="103"/>
      <c r="EFM1049" s="104"/>
      <c r="EFN1049" s="103"/>
      <c r="EFZ1049" s="104"/>
      <c r="EGA1049" s="103"/>
      <c r="EGM1049" s="104"/>
      <c r="EGN1049" s="103"/>
      <c r="EGZ1049" s="104"/>
      <c r="EHA1049" s="103"/>
      <c r="EHM1049" s="104"/>
      <c r="EHN1049" s="103"/>
      <c r="EHZ1049" s="104"/>
      <c r="EIA1049" s="103"/>
      <c r="EIM1049" s="104"/>
      <c r="EIN1049" s="103"/>
      <c r="EIZ1049" s="104"/>
      <c r="EJA1049" s="103"/>
      <c r="EJM1049" s="104"/>
      <c r="EJN1049" s="103"/>
      <c r="EJZ1049" s="104"/>
      <c r="EKA1049" s="103"/>
      <c r="EKM1049" s="104"/>
      <c r="EKN1049" s="103"/>
      <c r="EKZ1049" s="104"/>
      <c r="ELA1049" s="103"/>
      <c r="ELM1049" s="104"/>
      <c r="ELN1049" s="103"/>
      <c r="ELZ1049" s="104"/>
      <c r="EMA1049" s="103"/>
      <c r="EMM1049" s="104"/>
      <c r="EMN1049" s="103"/>
      <c r="EMZ1049" s="104"/>
      <c r="ENA1049" s="103"/>
      <c r="ENM1049" s="104"/>
      <c r="ENN1049" s="103"/>
      <c r="ENZ1049" s="104"/>
      <c r="EOA1049" s="103"/>
      <c r="EOM1049" s="104"/>
      <c r="EON1049" s="103"/>
      <c r="EOZ1049" s="104"/>
      <c r="EPA1049" s="103"/>
      <c r="EPM1049" s="104"/>
      <c r="EPN1049" s="103"/>
      <c r="EPZ1049" s="104"/>
      <c r="EQA1049" s="103"/>
      <c r="EQM1049" s="104"/>
      <c r="EQN1049" s="103"/>
      <c r="EQZ1049" s="104"/>
      <c r="ERA1049" s="103"/>
      <c r="ERM1049" s="104"/>
      <c r="ERN1049" s="103"/>
      <c r="ERZ1049" s="104"/>
      <c r="ESA1049" s="103"/>
      <c r="ESM1049" s="104"/>
      <c r="ESN1049" s="103"/>
      <c r="ESZ1049" s="104"/>
      <c r="ETA1049" s="103"/>
      <c r="ETM1049" s="104"/>
      <c r="ETN1049" s="103"/>
      <c r="ETZ1049" s="104"/>
      <c r="EUA1049" s="103"/>
      <c r="EUM1049" s="104"/>
      <c r="EUN1049" s="103"/>
      <c r="EUZ1049" s="104"/>
      <c r="EVA1049" s="103"/>
      <c r="EVM1049" s="104"/>
      <c r="EVN1049" s="103"/>
      <c r="EVZ1049" s="104"/>
      <c r="EWA1049" s="103"/>
      <c r="EWM1049" s="104"/>
      <c r="EWN1049" s="103"/>
      <c r="EWZ1049" s="104"/>
      <c r="EXA1049" s="103"/>
      <c r="EXM1049" s="104"/>
      <c r="EXN1049" s="103"/>
      <c r="EXZ1049" s="104"/>
      <c r="EYA1049" s="103"/>
      <c r="EYM1049" s="104"/>
      <c r="EYN1049" s="103"/>
      <c r="EYZ1049" s="104"/>
      <c r="EZA1049" s="103"/>
      <c r="EZM1049" s="104"/>
      <c r="EZN1049" s="103"/>
      <c r="EZZ1049" s="104"/>
      <c r="FAA1049" s="103"/>
      <c r="FAM1049" s="104"/>
      <c r="FAN1049" s="103"/>
      <c r="FAZ1049" s="104"/>
      <c r="FBA1049" s="103"/>
      <c r="FBM1049" s="104"/>
      <c r="FBN1049" s="103"/>
      <c r="FBZ1049" s="104"/>
      <c r="FCA1049" s="103"/>
      <c r="FCM1049" s="104"/>
      <c r="FCN1049" s="103"/>
      <c r="FCZ1049" s="104"/>
      <c r="FDA1049" s="103"/>
      <c r="FDM1049" s="104"/>
      <c r="FDN1049" s="103"/>
      <c r="FDZ1049" s="104"/>
      <c r="FEA1049" s="103"/>
      <c r="FEM1049" s="104"/>
      <c r="FEN1049" s="103"/>
      <c r="FEZ1049" s="104"/>
      <c r="FFA1049" s="103"/>
      <c r="FFM1049" s="104"/>
      <c r="FFN1049" s="103"/>
      <c r="FFZ1049" s="104"/>
      <c r="FGA1049" s="103"/>
      <c r="FGM1049" s="104"/>
      <c r="FGN1049" s="103"/>
      <c r="FGZ1049" s="104"/>
      <c r="FHA1049" s="103"/>
      <c r="FHM1049" s="104"/>
      <c r="FHN1049" s="103"/>
      <c r="FHZ1049" s="104"/>
      <c r="FIA1049" s="103"/>
      <c r="FIM1049" s="104"/>
      <c r="FIN1049" s="103"/>
      <c r="FIZ1049" s="104"/>
      <c r="FJA1049" s="103"/>
      <c r="FJM1049" s="104"/>
      <c r="FJN1049" s="103"/>
      <c r="FJZ1049" s="104"/>
      <c r="FKA1049" s="103"/>
      <c r="FKM1049" s="104"/>
      <c r="FKN1049" s="103"/>
      <c r="FKZ1049" s="104"/>
      <c r="FLA1049" s="103"/>
      <c r="FLM1049" s="104"/>
      <c r="FLN1049" s="103"/>
      <c r="FLZ1049" s="104"/>
      <c r="FMA1049" s="103"/>
      <c r="FMM1049" s="104"/>
      <c r="FMN1049" s="103"/>
      <c r="FMZ1049" s="104"/>
      <c r="FNA1049" s="103"/>
      <c r="FNM1049" s="104"/>
      <c r="FNN1049" s="103"/>
      <c r="FNZ1049" s="104"/>
      <c r="FOA1049" s="103"/>
      <c r="FOM1049" s="104"/>
      <c r="FON1049" s="103"/>
      <c r="FOZ1049" s="104"/>
      <c r="FPA1049" s="103"/>
      <c r="FPM1049" s="104"/>
      <c r="FPN1049" s="103"/>
      <c r="FPZ1049" s="104"/>
      <c r="FQA1049" s="103"/>
      <c r="FQM1049" s="104"/>
      <c r="FQN1049" s="103"/>
      <c r="FQZ1049" s="104"/>
      <c r="FRA1049" s="103"/>
      <c r="FRM1049" s="104"/>
      <c r="FRN1049" s="103"/>
      <c r="FRZ1049" s="104"/>
      <c r="FSA1049" s="103"/>
      <c r="FSM1049" s="104"/>
      <c r="FSN1049" s="103"/>
      <c r="FSZ1049" s="104"/>
      <c r="FTA1049" s="103"/>
      <c r="FTM1049" s="104"/>
      <c r="FTN1049" s="103"/>
      <c r="FTZ1049" s="104"/>
      <c r="FUA1049" s="103"/>
      <c r="FUM1049" s="104"/>
      <c r="FUN1049" s="103"/>
      <c r="FUZ1049" s="104"/>
      <c r="FVA1049" s="103"/>
      <c r="FVM1049" s="104"/>
      <c r="FVN1049" s="103"/>
      <c r="FVZ1049" s="104"/>
      <c r="FWA1049" s="103"/>
      <c r="FWM1049" s="104"/>
      <c r="FWN1049" s="103"/>
      <c r="FWZ1049" s="104"/>
      <c r="FXA1049" s="103"/>
      <c r="FXM1049" s="104"/>
      <c r="FXN1049" s="103"/>
      <c r="FXZ1049" s="104"/>
      <c r="FYA1049" s="103"/>
      <c r="FYM1049" s="104"/>
      <c r="FYN1049" s="103"/>
      <c r="FYZ1049" s="104"/>
      <c r="FZA1049" s="103"/>
      <c r="FZM1049" s="104"/>
      <c r="FZN1049" s="103"/>
      <c r="FZZ1049" s="104"/>
      <c r="GAA1049" s="103"/>
      <c r="GAM1049" s="104"/>
      <c r="GAN1049" s="103"/>
      <c r="GAZ1049" s="104"/>
      <c r="GBA1049" s="103"/>
      <c r="GBM1049" s="104"/>
      <c r="GBN1049" s="103"/>
      <c r="GBZ1049" s="104"/>
      <c r="GCA1049" s="103"/>
      <c r="GCM1049" s="104"/>
      <c r="GCN1049" s="103"/>
      <c r="GCZ1049" s="104"/>
      <c r="GDA1049" s="103"/>
      <c r="GDM1049" s="104"/>
      <c r="GDN1049" s="103"/>
      <c r="GDZ1049" s="104"/>
      <c r="GEA1049" s="103"/>
      <c r="GEM1049" s="104"/>
      <c r="GEN1049" s="103"/>
      <c r="GEZ1049" s="104"/>
      <c r="GFA1049" s="103"/>
      <c r="GFM1049" s="104"/>
      <c r="GFN1049" s="103"/>
      <c r="GFZ1049" s="104"/>
      <c r="GGA1049" s="103"/>
      <c r="GGM1049" s="104"/>
      <c r="GGN1049" s="103"/>
      <c r="GGZ1049" s="104"/>
      <c r="GHA1049" s="103"/>
      <c r="GHM1049" s="104"/>
      <c r="GHN1049" s="103"/>
      <c r="GHZ1049" s="104"/>
      <c r="GIA1049" s="103"/>
      <c r="GIM1049" s="104"/>
      <c r="GIN1049" s="103"/>
      <c r="GIZ1049" s="104"/>
      <c r="GJA1049" s="103"/>
      <c r="GJM1049" s="104"/>
      <c r="GJN1049" s="103"/>
      <c r="GJZ1049" s="104"/>
      <c r="GKA1049" s="103"/>
      <c r="GKM1049" s="104"/>
      <c r="GKN1049" s="103"/>
      <c r="GKZ1049" s="104"/>
      <c r="GLA1049" s="103"/>
      <c r="GLM1049" s="104"/>
      <c r="GLN1049" s="103"/>
      <c r="GLZ1049" s="104"/>
      <c r="GMA1049" s="103"/>
      <c r="GMM1049" s="104"/>
      <c r="GMN1049" s="103"/>
      <c r="GMZ1049" s="104"/>
      <c r="GNA1049" s="103"/>
      <c r="GNM1049" s="104"/>
      <c r="GNN1049" s="103"/>
      <c r="GNZ1049" s="104"/>
      <c r="GOA1049" s="103"/>
      <c r="GOM1049" s="104"/>
      <c r="GON1049" s="103"/>
      <c r="GOZ1049" s="104"/>
      <c r="GPA1049" s="103"/>
      <c r="GPM1049" s="104"/>
      <c r="GPN1049" s="103"/>
      <c r="GPZ1049" s="104"/>
      <c r="GQA1049" s="103"/>
      <c r="GQM1049" s="104"/>
      <c r="GQN1049" s="103"/>
      <c r="GQZ1049" s="104"/>
      <c r="GRA1049" s="103"/>
      <c r="GRM1049" s="104"/>
      <c r="GRN1049" s="103"/>
      <c r="GRZ1049" s="104"/>
      <c r="GSA1049" s="103"/>
      <c r="GSM1049" s="104"/>
      <c r="GSN1049" s="103"/>
      <c r="GSZ1049" s="104"/>
      <c r="GTA1049" s="103"/>
      <c r="GTM1049" s="104"/>
      <c r="GTN1049" s="103"/>
      <c r="GTZ1049" s="104"/>
      <c r="GUA1049" s="103"/>
      <c r="GUM1049" s="104"/>
      <c r="GUN1049" s="103"/>
      <c r="GUZ1049" s="104"/>
      <c r="GVA1049" s="103"/>
      <c r="GVM1049" s="104"/>
      <c r="GVN1049" s="103"/>
      <c r="GVZ1049" s="104"/>
      <c r="GWA1049" s="103"/>
      <c r="GWM1049" s="104"/>
      <c r="GWN1049" s="103"/>
      <c r="GWZ1049" s="104"/>
      <c r="GXA1049" s="103"/>
      <c r="GXM1049" s="104"/>
      <c r="GXN1049" s="103"/>
      <c r="GXZ1049" s="104"/>
      <c r="GYA1049" s="103"/>
      <c r="GYM1049" s="104"/>
      <c r="GYN1049" s="103"/>
      <c r="GYZ1049" s="104"/>
      <c r="GZA1049" s="103"/>
      <c r="GZM1049" s="104"/>
      <c r="GZN1049" s="103"/>
      <c r="GZZ1049" s="104"/>
      <c r="HAA1049" s="103"/>
      <c r="HAM1049" s="104"/>
      <c r="HAN1049" s="103"/>
      <c r="HAZ1049" s="104"/>
      <c r="HBA1049" s="103"/>
      <c r="HBM1049" s="104"/>
      <c r="HBN1049" s="103"/>
      <c r="HBZ1049" s="104"/>
      <c r="HCA1049" s="103"/>
      <c r="HCM1049" s="104"/>
      <c r="HCN1049" s="103"/>
      <c r="HCZ1049" s="104"/>
      <c r="HDA1049" s="103"/>
      <c r="HDM1049" s="104"/>
      <c r="HDN1049" s="103"/>
      <c r="HDZ1049" s="104"/>
      <c r="HEA1049" s="103"/>
      <c r="HEM1049" s="104"/>
      <c r="HEN1049" s="103"/>
      <c r="HEZ1049" s="104"/>
      <c r="HFA1049" s="103"/>
      <c r="HFM1049" s="104"/>
      <c r="HFN1049" s="103"/>
      <c r="HFZ1049" s="104"/>
      <c r="HGA1049" s="103"/>
      <c r="HGM1049" s="104"/>
      <c r="HGN1049" s="103"/>
      <c r="HGZ1049" s="104"/>
      <c r="HHA1049" s="103"/>
      <c r="HHM1049" s="104"/>
      <c r="HHN1049" s="103"/>
      <c r="HHZ1049" s="104"/>
      <c r="HIA1049" s="103"/>
      <c r="HIM1049" s="104"/>
      <c r="HIN1049" s="103"/>
      <c r="HIZ1049" s="104"/>
      <c r="HJA1049" s="103"/>
      <c r="HJM1049" s="104"/>
      <c r="HJN1049" s="103"/>
      <c r="HJZ1049" s="104"/>
      <c r="HKA1049" s="103"/>
      <c r="HKM1049" s="104"/>
      <c r="HKN1049" s="103"/>
      <c r="HKZ1049" s="104"/>
      <c r="HLA1049" s="103"/>
      <c r="HLM1049" s="104"/>
      <c r="HLN1049" s="103"/>
      <c r="HLZ1049" s="104"/>
      <c r="HMA1049" s="103"/>
      <c r="HMM1049" s="104"/>
      <c r="HMN1049" s="103"/>
      <c r="HMZ1049" s="104"/>
      <c r="HNA1049" s="103"/>
      <c r="HNM1049" s="104"/>
      <c r="HNN1049" s="103"/>
      <c r="HNZ1049" s="104"/>
      <c r="HOA1049" s="103"/>
      <c r="HOM1049" s="104"/>
      <c r="HON1049" s="103"/>
      <c r="HOZ1049" s="104"/>
      <c r="HPA1049" s="103"/>
      <c r="HPM1049" s="104"/>
      <c r="HPN1049" s="103"/>
      <c r="HPZ1049" s="104"/>
      <c r="HQA1049" s="103"/>
      <c r="HQM1049" s="104"/>
      <c r="HQN1049" s="103"/>
      <c r="HQZ1049" s="104"/>
      <c r="HRA1049" s="103"/>
      <c r="HRM1049" s="104"/>
      <c r="HRN1049" s="103"/>
      <c r="HRZ1049" s="104"/>
      <c r="HSA1049" s="103"/>
      <c r="HSM1049" s="104"/>
      <c r="HSN1049" s="103"/>
      <c r="HSZ1049" s="104"/>
      <c r="HTA1049" s="103"/>
      <c r="HTM1049" s="104"/>
      <c r="HTN1049" s="103"/>
      <c r="HTZ1049" s="104"/>
      <c r="HUA1049" s="103"/>
      <c r="HUM1049" s="104"/>
      <c r="HUN1049" s="103"/>
      <c r="HUZ1049" s="104"/>
      <c r="HVA1049" s="103"/>
      <c r="HVM1049" s="104"/>
      <c r="HVN1049" s="103"/>
      <c r="HVZ1049" s="104"/>
      <c r="HWA1049" s="103"/>
      <c r="HWM1049" s="104"/>
      <c r="HWN1049" s="103"/>
      <c r="HWZ1049" s="104"/>
      <c r="HXA1049" s="103"/>
      <c r="HXM1049" s="104"/>
      <c r="HXN1049" s="103"/>
      <c r="HXZ1049" s="104"/>
      <c r="HYA1049" s="103"/>
      <c r="HYM1049" s="104"/>
      <c r="HYN1049" s="103"/>
      <c r="HYZ1049" s="104"/>
      <c r="HZA1049" s="103"/>
      <c r="HZM1049" s="104"/>
      <c r="HZN1049" s="103"/>
      <c r="HZZ1049" s="104"/>
      <c r="IAA1049" s="103"/>
      <c r="IAM1049" s="104"/>
      <c r="IAN1049" s="103"/>
      <c r="IAZ1049" s="104"/>
      <c r="IBA1049" s="103"/>
      <c r="IBM1049" s="104"/>
      <c r="IBN1049" s="103"/>
      <c r="IBZ1049" s="104"/>
      <c r="ICA1049" s="103"/>
      <c r="ICM1049" s="104"/>
      <c r="ICN1049" s="103"/>
      <c r="ICZ1049" s="104"/>
      <c r="IDA1049" s="103"/>
      <c r="IDM1049" s="104"/>
      <c r="IDN1049" s="103"/>
      <c r="IDZ1049" s="104"/>
      <c r="IEA1049" s="103"/>
      <c r="IEM1049" s="104"/>
      <c r="IEN1049" s="103"/>
      <c r="IEZ1049" s="104"/>
      <c r="IFA1049" s="103"/>
      <c r="IFM1049" s="104"/>
      <c r="IFN1049" s="103"/>
      <c r="IFZ1049" s="104"/>
      <c r="IGA1049" s="103"/>
      <c r="IGM1049" s="104"/>
      <c r="IGN1049" s="103"/>
      <c r="IGZ1049" s="104"/>
      <c r="IHA1049" s="103"/>
      <c r="IHM1049" s="104"/>
      <c r="IHN1049" s="103"/>
      <c r="IHZ1049" s="104"/>
      <c r="IIA1049" s="103"/>
      <c r="IIM1049" s="104"/>
      <c r="IIN1049" s="103"/>
      <c r="IIZ1049" s="104"/>
      <c r="IJA1049" s="103"/>
      <c r="IJM1049" s="104"/>
      <c r="IJN1049" s="103"/>
      <c r="IJZ1049" s="104"/>
      <c r="IKA1049" s="103"/>
      <c r="IKM1049" s="104"/>
      <c r="IKN1049" s="103"/>
      <c r="IKZ1049" s="104"/>
      <c r="ILA1049" s="103"/>
      <c r="ILM1049" s="104"/>
      <c r="ILN1049" s="103"/>
      <c r="ILZ1049" s="104"/>
      <c r="IMA1049" s="103"/>
      <c r="IMM1049" s="104"/>
      <c r="IMN1049" s="103"/>
      <c r="IMZ1049" s="104"/>
      <c r="INA1049" s="103"/>
      <c r="INM1049" s="104"/>
      <c r="INN1049" s="103"/>
      <c r="INZ1049" s="104"/>
      <c r="IOA1049" s="103"/>
      <c r="IOM1049" s="104"/>
      <c r="ION1049" s="103"/>
      <c r="IOZ1049" s="104"/>
      <c r="IPA1049" s="103"/>
      <c r="IPM1049" s="104"/>
      <c r="IPN1049" s="103"/>
      <c r="IPZ1049" s="104"/>
      <c r="IQA1049" s="103"/>
      <c r="IQM1049" s="104"/>
      <c r="IQN1049" s="103"/>
      <c r="IQZ1049" s="104"/>
      <c r="IRA1049" s="103"/>
      <c r="IRM1049" s="104"/>
      <c r="IRN1049" s="103"/>
      <c r="IRZ1049" s="104"/>
      <c r="ISA1049" s="103"/>
      <c r="ISM1049" s="104"/>
      <c r="ISN1049" s="103"/>
      <c r="ISZ1049" s="104"/>
      <c r="ITA1049" s="103"/>
      <c r="ITM1049" s="104"/>
      <c r="ITN1049" s="103"/>
      <c r="ITZ1049" s="104"/>
      <c r="IUA1049" s="103"/>
      <c r="IUM1049" s="104"/>
      <c r="IUN1049" s="103"/>
      <c r="IUZ1049" s="104"/>
      <c r="IVA1049" s="103"/>
      <c r="IVM1049" s="104"/>
      <c r="IVN1049" s="103"/>
      <c r="IVZ1049" s="104"/>
      <c r="IWA1049" s="103"/>
      <c r="IWM1049" s="104"/>
      <c r="IWN1049" s="103"/>
      <c r="IWZ1049" s="104"/>
      <c r="IXA1049" s="103"/>
      <c r="IXM1049" s="104"/>
      <c r="IXN1049" s="103"/>
      <c r="IXZ1049" s="104"/>
      <c r="IYA1049" s="103"/>
      <c r="IYM1049" s="104"/>
      <c r="IYN1049" s="103"/>
      <c r="IYZ1049" s="104"/>
      <c r="IZA1049" s="103"/>
      <c r="IZM1049" s="104"/>
      <c r="IZN1049" s="103"/>
      <c r="IZZ1049" s="104"/>
      <c r="JAA1049" s="103"/>
      <c r="JAM1049" s="104"/>
      <c r="JAN1049" s="103"/>
      <c r="JAZ1049" s="104"/>
      <c r="JBA1049" s="103"/>
      <c r="JBM1049" s="104"/>
      <c r="JBN1049" s="103"/>
      <c r="JBZ1049" s="104"/>
      <c r="JCA1049" s="103"/>
      <c r="JCM1049" s="104"/>
      <c r="JCN1049" s="103"/>
      <c r="JCZ1049" s="104"/>
      <c r="JDA1049" s="103"/>
      <c r="JDM1049" s="104"/>
      <c r="JDN1049" s="103"/>
      <c r="JDZ1049" s="104"/>
      <c r="JEA1049" s="103"/>
      <c r="JEM1049" s="104"/>
      <c r="JEN1049" s="103"/>
      <c r="JEZ1049" s="104"/>
      <c r="JFA1049" s="103"/>
      <c r="JFM1049" s="104"/>
      <c r="JFN1049" s="103"/>
      <c r="JFZ1049" s="104"/>
      <c r="JGA1049" s="103"/>
      <c r="JGM1049" s="104"/>
      <c r="JGN1049" s="103"/>
      <c r="JGZ1049" s="104"/>
      <c r="JHA1049" s="103"/>
      <c r="JHM1049" s="104"/>
      <c r="JHN1049" s="103"/>
      <c r="JHZ1049" s="104"/>
      <c r="JIA1049" s="103"/>
      <c r="JIM1049" s="104"/>
      <c r="JIN1049" s="103"/>
      <c r="JIZ1049" s="104"/>
      <c r="JJA1049" s="103"/>
      <c r="JJM1049" s="104"/>
      <c r="JJN1049" s="103"/>
      <c r="JJZ1049" s="104"/>
      <c r="JKA1049" s="103"/>
      <c r="JKM1049" s="104"/>
      <c r="JKN1049" s="103"/>
      <c r="JKZ1049" s="104"/>
      <c r="JLA1049" s="103"/>
      <c r="JLM1049" s="104"/>
      <c r="JLN1049" s="103"/>
      <c r="JLZ1049" s="104"/>
      <c r="JMA1049" s="103"/>
      <c r="JMM1049" s="104"/>
      <c r="JMN1049" s="103"/>
      <c r="JMZ1049" s="104"/>
      <c r="JNA1049" s="103"/>
      <c r="JNM1049" s="104"/>
      <c r="JNN1049" s="103"/>
      <c r="JNZ1049" s="104"/>
      <c r="JOA1049" s="103"/>
      <c r="JOM1049" s="104"/>
      <c r="JON1049" s="103"/>
      <c r="JOZ1049" s="104"/>
      <c r="JPA1049" s="103"/>
      <c r="JPM1049" s="104"/>
      <c r="JPN1049" s="103"/>
      <c r="JPZ1049" s="104"/>
      <c r="JQA1049" s="103"/>
      <c r="JQM1049" s="104"/>
      <c r="JQN1049" s="103"/>
      <c r="JQZ1049" s="104"/>
      <c r="JRA1049" s="103"/>
      <c r="JRM1049" s="104"/>
      <c r="JRN1049" s="103"/>
      <c r="JRZ1049" s="104"/>
      <c r="JSA1049" s="103"/>
      <c r="JSM1049" s="104"/>
      <c r="JSN1049" s="103"/>
      <c r="JSZ1049" s="104"/>
      <c r="JTA1049" s="103"/>
      <c r="JTM1049" s="104"/>
      <c r="JTN1049" s="103"/>
      <c r="JTZ1049" s="104"/>
      <c r="JUA1049" s="103"/>
      <c r="JUM1049" s="104"/>
      <c r="JUN1049" s="103"/>
      <c r="JUZ1049" s="104"/>
      <c r="JVA1049" s="103"/>
      <c r="JVM1049" s="104"/>
      <c r="JVN1049" s="103"/>
      <c r="JVZ1049" s="104"/>
      <c r="JWA1049" s="103"/>
      <c r="JWM1049" s="104"/>
      <c r="JWN1049" s="103"/>
      <c r="JWZ1049" s="104"/>
      <c r="JXA1049" s="103"/>
      <c r="JXM1049" s="104"/>
      <c r="JXN1049" s="103"/>
      <c r="JXZ1049" s="104"/>
      <c r="JYA1049" s="103"/>
      <c r="JYM1049" s="104"/>
      <c r="JYN1049" s="103"/>
      <c r="JYZ1049" s="104"/>
      <c r="JZA1049" s="103"/>
      <c r="JZM1049" s="104"/>
      <c r="JZN1049" s="103"/>
      <c r="JZZ1049" s="104"/>
      <c r="KAA1049" s="103"/>
      <c r="KAM1049" s="104"/>
      <c r="KAN1049" s="103"/>
      <c r="KAZ1049" s="104"/>
      <c r="KBA1049" s="103"/>
      <c r="KBM1049" s="104"/>
      <c r="KBN1049" s="103"/>
      <c r="KBZ1049" s="104"/>
      <c r="KCA1049" s="103"/>
      <c r="KCM1049" s="104"/>
      <c r="KCN1049" s="103"/>
      <c r="KCZ1049" s="104"/>
      <c r="KDA1049" s="103"/>
      <c r="KDM1049" s="104"/>
      <c r="KDN1049" s="103"/>
      <c r="KDZ1049" s="104"/>
      <c r="KEA1049" s="103"/>
      <c r="KEM1049" s="104"/>
      <c r="KEN1049" s="103"/>
      <c r="KEZ1049" s="104"/>
      <c r="KFA1049" s="103"/>
      <c r="KFM1049" s="104"/>
      <c r="KFN1049" s="103"/>
      <c r="KFZ1049" s="104"/>
      <c r="KGA1049" s="103"/>
      <c r="KGM1049" s="104"/>
      <c r="KGN1049" s="103"/>
      <c r="KGZ1049" s="104"/>
      <c r="KHA1049" s="103"/>
      <c r="KHM1049" s="104"/>
      <c r="KHN1049" s="103"/>
      <c r="KHZ1049" s="104"/>
      <c r="KIA1049" s="103"/>
      <c r="KIM1049" s="104"/>
      <c r="KIN1049" s="103"/>
      <c r="KIZ1049" s="104"/>
      <c r="KJA1049" s="103"/>
      <c r="KJM1049" s="104"/>
      <c r="KJN1049" s="103"/>
      <c r="KJZ1049" s="104"/>
      <c r="KKA1049" s="103"/>
      <c r="KKM1049" s="104"/>
      <c r="KKN1049" s="103"/>
      <c r="KKZ1049" s="104"/>
      <c r="KLA1049" s="103"/>
      <c r="KLM1049" s="104"/>
      <c r="KLN1049" s="103"/>
      <c r="KLZ1049" s="104"/>
      <c r="KMA1049" s="103"/>
      <c r="KMM1049" s="104"/>
      <c r="KMN1049" s="103"/>
      <c r="KMZ1049" s="104"/>
      <c r="KNA1049" s="103"/>
      <c r="KNM1049" s="104"/>
      <c r="KNN1049" s="103"/>
      <c r="KNZ1049" s="104"/>
      <c r="KOA1049" s="103"/>
      <c r="KOM1049" s="104"/>
      <c r="KON1049" s="103"/>
      <c r="KOZ1049" s="104"/>
      <c r="KPA1049" s="103"/>
      <c r="KPM1049" s="104"/>
      <c r="KPN1049" s="103"/>
      <c r="KPZ1049" s="104"/>
      <c r="KQA1049" s="103"/>
      <c r="KQM1049" s="104"/>
      <c r="KQN1049" s="103"/>
      <c r="KQZ1049" s="104"/>
      <c r="KRA1049" s="103"/>
      <c r="KRM1049" s="104"/>
      <c r="KRN1049" s="103"/>
      <c r="KRZ1049" s="104"/>
      <c r="KSA1049" s="103"/>
      <c r="KSM1049" s="104"/>
      <c r="KSN1049" s="103"/>
      <c r="KSZ1049" s="104"/>
      <c r="KTA1049" s="103"/>
      <c r="KTM1049" s="104"/>
      <c r="KTN1049" s="103"/>
      <c r="KTZ1049" s="104"/>
      <c r="KUA1049" s="103"/>
      <c r="KUM1049" s="104"/>
      <c r="KUN1049" s="103"/>
      <c r="KUZ1049" s="104"/>
      <c r="KVA1049" s="103"/>
      <c r="KVM1049" s="104"/>
      <c r="KVN1049" s="103"/>
      <c r="KVZ1049" s="104"/>
      <c r="KWA1049" s="103"/>
      <c r="KWM1049" s="104"/>
      <c r="KWN1049" s="103"/>
      <c r="KWZ1049" s="104"/>
      <c r="KXA1049" s="103"/>
      <c r="KXM1049" s="104"/>
      <c r="KXN1049" s="103"/>
      <c r="KXZ1049" s="104"/>
      <c r="KYA1049" s="103"/>
      <c r="KYM1049" s="104"/>
      <c r="KYN1049" s="103"/>
      <c r="KYZ1049" s="104"/>
      <c r="KZA1049" s="103"/>
      <c r="KZM1049" s="104"/>
      <c r="KZN1049" s="103"/>
      <c r="KZZ1049" s="104"/>
      <c r="LAA1049" s="103"/>
      <c r="LAM1049" s="104"/>
      <c r="LAN1049" s="103"/>
      <c r="LAZ1049" s="104"/>
      <c r="LBA1049" s="103"/>
      <c r="LBM1049" s="104"/>
      <c r="LBN1049" s="103"/>
      <c r="LBZ1049" s="104"/>
      <c r="LCA1049" s="103"/>
      <c r="LCM1049" s="104"/>
      <c r="LCN1049" s="103"/>
      <c r="LCZ1049" s="104"/>
      <c r="LDA1049" s="103"/>
      <c r="LDM1049" s="104"/>
      <c r="LDN1049" s="103"/>
      <c r="LDZ1049" s="104"/>
      <c r="LEA1049" s="103"/>
      <c r="LEM1049" s="104"/>
      <c r="LEN1049" s="103"/>
      <c r="LEZ1049" s="104"/>
      <c r="LFA1049" s="103"/>
      <c r="LFM1049" s="104"/>
      <c r="LFN1049" s="103"/>
      <c r="LFZ1049" s="104"/>
      <c r="LGA1049" s="103"/>
      <c r="LGM1049" s="104"/>
      <c r="LGN1049" s="103"/>
      <c r="LGZ1049" s="104"/>
      <c r="LHA1049" s="103"/>
      <c r="LHM1049" s="104"/>
      <c r="LHN1049" s="103"/>
      <c r="LHZ1049" s="104"/>
      <c r="LIA1049" s="103"/>
      <c r="LIM1049" s="104"/>
      <c r="LIN1049" s="103"/>
      <c r="LIZ1049" s="104"/>
      <c r="LJA1049" s="103"/>
      <c r="LJM1049" s="104"/>
      <c r="LJN1049" s="103"/>
      <c r="LJZ1049" s="104"/>
      <c r="LKA1049" s="103"/>
      <c r="LKM1049" s="104"/>
      <c r="LKN1049" s="103"/>
      <c r="LKZ1049" s="104"/>
      <c r="LLA1049" s="103"/>
      <c r="LLM1049" s="104"/>
      <c r="LLN1049" s="103"/>
      <c r="LLZ1049" s="104"/>
      <c r="LMA1049" s="103"/>
      <c r="LMM1049" s="104"/>
      <c r="LMN1049" s="103"/>
      <c r="LMZ1049" s="104"/>
      <c r="LNA1049" s="103"/>
      <c r="LNM1049" s="104"/>
      <c r="LNN1049" s="103"/>
      <c r="LNZ1049" s="104"/>
      <c r="LOA1049" s="103"/>
      <c r="LOM1049" s="104"/>
      <c r="LON1049" s="103"/>
      <c r="LOZ1049" s="104"/>
      <c r="LPA1049" s="103"/>
      <c r="LPM1049" s="104"/>
      <c r="LPN1049" s="103"/>
      <c r="LPZ1049" s="104"/>
      <c r="LQA1049" s="103"/>
      <c r="LQM1049" s="104"/>
      <c r="LQN1049" s="103"/>
      <c r="LQZ1049" s="104"/>
      <c r="LRA1049" s="103"/>
      <c r="LRM1049" s="104"/>
      <c r="LRN1049" s="103"/>
      <c r="LRZ1049" s="104"/>
      <c r="LSA1049" s="103"/>
      <c r="LSM1049" s="104"/>
      <c r="LSN1049" s="103"/>
      <c r="LSZ1049" s="104"/>
      <c r="LTA1049" s="103"/>
      <c r="LTM1049" s="104"/>
      <c r="LTN1049" s="103"/>
      <c r="LTZ1049" s="104"/>
      <c r="LUA1049" s="103"/>
      <c r="LUM1049" s="104"/>
      <c r="LUN1049" s="103"/>
      <c r="LUZ1049" s="104"/>
      <c r="LVA1049" s="103"/>
      <c r="LVM1049" s="104"/>
      <c r="LVN1049" s="103"/>
      <c r="LVZ1049" s="104"/>
      <c r="LWA1049" s="103"/>
      <c r="LWM1049" s="104"/>
      <c r="LWN1049" s="103"/>
      <c r="LWZ1049" s="104"/>
      <c r="LXA1049" s="103"/>
      <c r="LXM1049" s="104"/>
      <c r="LXN1049" s="103"/>
      <c r="LXZ1049" s="104"/>
      <c r="LYA1049" s="103"/>
      <c r="LYM1049" s="104"/>
      <c r="LYN1049" s="103"/>
      <c r="LYZ1049" s="104"/>
      <c r="LZA1049" s="103"/>
      <c r="LZM1049" s="104"/>
      <c r="LZN1049" s="103"/>
      <c r="LZZ1049" s="104"/>
      <c r="MAA1049" s="103"/>
      <c r="MAM1049" s="104"/>
      <c r="MAN1049" s="103"/>
      <c r="MAZ1049" s="104"/>
      <c r="MBA1049" s="103"/>
      <c r="MBM1049" s="104"/>
      <c r="MBN1049" s="103"/>
      <c r="MBZ1049" s="104"/>
      <c r="MCA1049" s="103"/>
      <c r="MCM1049" s="104"/>
      <c r="MCN1049" s="103"/>
      <c r="MCZ1049" s="104"/>
      <c r="MDA1049" s="103"/>
      <c r="MDM1049" s="104"/>
      <c r="MDN1049" s="103"/>
      <c r="MDZ1049" s="104"/>
      <c r="MEA1049" s="103"/>
      <c r="MEM1049" s="104"/>
      <c r="MEN1049" s="103"/>
      <c r="MEZ1049" s="104"/>
      <c r="MFA1049" s="103"/>
      <c r="MFM1049" s="104"/>
      <c r="MFN1049" s="103"/>
      <c r="MFZ1049" s="104"/>
      <c r="MGA1049" s="103"/>
      <c r="MGM1049" s="104"/>
      <c r="MGN1049" s="103"/>
      <c r="MGZ1049" s="104"/>
      <c r="MHA1049" s="103"/>
      <c r="MHM1049" s="104"/>
      <c r="MHN1049" s="103"/>
      <c r="MHZ1049" s="104"/>
      <c r="MIA1049" s="103"/>
      <c r="MIM1049" s="104"/>
      <c r="MIN1049" s="103"/>
      <c r="MIZ1049" s="104"/>
      <c r="MJA1049" s="103"/>
      <c r="MJM1049" s="104"/>
      <c r="MJN1049" s="103"/>
      <c r="MJZ1049" s="104"/>
      <c r="MKA1049" s="103"/>
      <c r="MKM1049" s="104"/>
      <c r="MKN1049" s="103"/>
      <c r="MKZ1049" s="104"/>
      <c r="MLA1049" s="103"/>
      <c r="MLM1049" s="104"/>
      <c r="MLN1049" s="103"/>
      <c r="MLZ1049" s="104"/>
      <c r="MMA1049" s="103"/>
      <c r="MMM1049" s="104"/>
      <c r="MMN1049" s="103"/>
      <c r="MMZ1049" s="104"/>
      <c r="MNA1049" s="103"/>
      <c r="MNM1049" s="104"/>
      <c r="MNN1049" s="103"/>
      <c r="MNZ1049" s="104"/>
      <c r="MOA1049" s="103"/>
      <c r="MOM1049" s="104"/>
      <c r="MON1049" s="103"/>
      <c r="MOZ1049" s="104"/>
      <c r="MPA1049" s="103"/>
      <c r="MPM1049" s="104"/>
      <c r="MPN1049" s="103"/>
      <c r="MPZ1049" s="104"/>
      <c r="MQA1049" s="103"/>
      <c r="MQM1049" s="104"/>
      <c r="MQN1049" s="103"/>
      <c r="MQZ1049" s="104"/>
      <c r="MRA1049" s="103"/>
      <c r="MRM1049" s="104"/>
      <c r="MRN1049" s="103"/>
      <c r="MRZ1049" s="104"/>
      <c r="MSA1049" s="103"/>
      <c r="MSM1049" s="104"/>
      <c r="MSN1049" s="103"/>
      <c r="MSZ1049" s="104"/>
      <c r="MTA1049" s="103"/>
      <c r="MTM1049" s="104"/>
      <c r="MTN1049" s="103"/>
      <c r="MTZ1049" s="104"/>
      <c r="MUA1049" s="103"/>
      <c r="MUM1049" s="104"/>
      <c r="MUN1049" s="103"/>
      <c r="MUZ1049" s="104"/>
      <c r="MVA1049" s="103"/>
      <c r="MVM1049" s="104"/>
      <c r="MVN1049" s="103"/>
      <c r="MVZ1049" s="104"/>
      <c r="MWA1049" s="103"/>
      <c r="MWM1049" s="104"/>
      <c r="MWN1049" s="103"/>
      <c r="MWZ1049" s="104"/>
      <c r="MXA1049" s="103"/>
      <c r="MXM1049" s="104"/>
      <c r="MXN1049" s="103"/>
      <c r="MXZ1049" s="104"/>
      <c r="MYA1049" s="103"/>
      <c r="MYM1049" s="104"/>
      <c r="MYN1049" s="103"/>
      <c r="MYZ1049" s="104"/>
      <c r="MZA1049" s="103"/>
      <c r="MZM1049" s="104"/>
      <c r="MZN1049" s="103"/>
      <c r="MZZ1049" s="104"/>
      <c r="NAA1049" s="103"/>
      <c r="NAM1049" s="104"/>
      <c r="NAN1049" s="103"/>
      <c r="NAZ1049" s="104"/>
      <c r="NBA1049" s="103"/>
      <c r="NBM1049" s="104"/>
      <c r="NBN1049" s="103"/>
      <c r="NBZ1049" s="104"/>
      <c r="NCA1049" s="103"/>
      <c r="NCM1049" s="104"/>
      <c r="NCN1049" s="103"/>
      <c r="NCZ1049" s="104"/>
      <c r="NDA1049" s="103"/>
      <c r="NDM1049" s="104"/>
      <c r="NDN1049" s="103"/>
      <c r="NDZ1049" s="104"/>
      <c r="NEA1049" s="103"/>
      <c r="NEM1049" s="104"/>
      <c r="NEN1049" s="103"/>
      <c r="NEZ1049" s="104"/>
      <c r="NFA1049" s="103"/>
      <c r="NFM1049" s="104"/>
      <c r="NFN1049" s="103"/>
      <c r="NFZ1049" s="104"/>
      <c r="NGA1049" s="103"/>
      <c r="NGM1049" s="104"/>
      <c r="NGN1049" s="103"/>
      <c r="NGZ1049" s="104"/>
      <c r="NHA1049" s="103"/>
      <c r="NHM1049" s="104"/>
      <c r="NHN1049" s="103"/>
      <c r="NHZ1049" s="104"/>
      <c r="NIA1049" s="103"/>
      <c r="NIM1049" s="104"/>
      <c r="NIN1049" s="103"/>
      <c r="NIZ1049" s="104"/>
      <c r="NJA1049" s="103"/>
      <c r="NJM1049" s="104"/>
      <c r="NJN1049" s="103"/>
      <c r="NJZ1049" s="104"/>
      <c r="NKA1049" s="103"/>
      <c r="NKM1049" s="104"/>
      <c r="NKN1049" s="103"/>
      <c r="NKZ1049" s="104"/>
      <c r="NLA1049" s="103"/>
      <c r="NLM1049" s="104"/>
      <c r="NLN1049" s="103"/>
      <c r="NLZ1049" s="104"/>
      <c r="NMA1049" s="103"/>
      <c r="NMM1049" s="104"/>
      <c r="NMN1049" s="103"/>
      <c r="NMZ1049" s="104"/>
      <c r="NNA1049" s="103"/>
      <c r="NNM1049" s="104"/>
      <c r="NNN1049" s="103"/>
      <c r="NNZ1049" s="104"/>
      <c r="NOA1049" s="103"/>
      <c r="NOM1049" s="104"/>
      <c r="NON1049" s="103"/>
      <c r="NOZ1049" s="104"/>
      <c r="NPA1049" s="103"/>
      <c r="NPM1049" s="104"/>
      <c r="NPN1049" s="103"/>
      <c r="NPZ1049" s="104"/>
      <c r="NQA1049" s="103"/>
      <c r="NQM1049" s="104"/>
      <c r="NQN1049" s="103"/>
      <c r="NQZ1049" s="104"/>
      <c r="NRA1049" s="103"/>
      <c r="NRM1049" s="104"/>
      <c r="NRN1049" s="103"/>
      <c r="NRZ1049" s="104"/>
      <c r="NSA1049" s="103"/>
      <c r="NSM1049" s="104"/>
      <c r="NSN1049" s="103"/>
      <c r="NSZ1049" s="104"/>
      <c r="NTA1049" s="103"/>
      <c r="NTM1049" s="104"/>
      <c r="NTN1049" s="103"/>
      <c r="NTZ1049" s="104"/>
      <c r="NUA1049" s="103"/>
      <c r="NUM1049" s="104"/>
      <c r="NUN1049" s="103"/>
      <c r="NUZ1049" s="104"/>
      <c r="NVA1049" s="103"/>
      <c r="NVM1049" s="104"/>
      <c r="NVN1049" s="103"/>
      <c r="NVZ1049" s="104"/>
      <c r="NWA1049" s="103"/>
      <c r="NWM1049" s="104"/>
      <c r="NWN1049" s="103"/>
      <c r="NWZ1049" s="104"/>
      <c r="NXA1049" s="103"/>
      <c r="NXM1049" s="104"/>
      <c r="NXN1049" s="103"/>
      <c r="NXZ1049" s="104"/>
      <c r="NYA1049" s="103"/>
      <c r="NYM1049" s="104"/>
      <c r="NYN1049" s="103"/>
      <c r="NYZ1049" s="104"/>
      <c r="NZA1049" s="103"/>
      <c r="NZM1049" s="104"/>
      <c r="NZN1049" s="103"/>
      <c r="NZZ1049" s="104"/>
      <c r="OAA1049" s="103"/>
      <c r="OAM1049" s="104"/>
      <c r="OAN1049" s="103"/>
      <c r="OAZ1049" s="104"/>
      <c r="OBA1049" s="103"/>
      <c r="OBM1049" s="104"/>
      <c r="OBN1049" s="103"/>
      <c r="OBZ1049" s="104"/>
      <c r="OCA1049" s="103"/>
      <c r="OCM1049" s="104"/>
      <c r="OCN1049" s="103"/>
      <c r="OCZ1049" s="104"/>
      <c r="ODA1049" s="103"/>
      <c r="ODM1049" s="104"/>
      <c r="ODN1049" s="103"/>
      <c r="ODZ1049" s="104"/>
      <c r="OEA1049" s="103"/>
      <c r="OEM1049" s="104"/>
      <c r="OEN1049" s="103"/>
      <c r="OEZ1049" s="104"/>
      <c r="OFA1049" s="103"/>
      <c r="OFM1049" s="104"/>
      <c r="OFN1049" s="103"/>
      <c r="OFZ1049" s="104"/>
      <c r="OGA1049" s="103"/>
      <c r="OGM1049" s="104"/>
      <c r="OGN1049" s="103"/>
      <c r="OGZ1049" s="104"/>
      <c r="OHA1049" s="103"/>
      <c r="OHM1049" s="104"/>
      <c r="OHN1049" s="103"/>
      <c r="OHZ1049" s="104"/>
      <c r="OIA1049" s="103"/>
      <c r="OIM1049" s="104"/>
      <c r="OIN1049" s="103"/>
      <c r="OIZ1049" s="104"/>
      <c r="OJA1049" s="103"/>
      <c r="OJM1049" s="104"/>
      <c r="OJN1049" s="103"/>
      <c r="OJZ1049" s="104"/>
      <c r="OKA1049" s="103"/>
      <c r="OKM1049" s="104"/>
      <c r="OKN1049" s="103"/>
      <c r="OKZ1049" s="104"/>
      <c r="OLA1049" s="103"/>
      <c r="OLM1049" s="104"/>
      <c r="OLN1049" s="103"/>
      <c r="OLZ1049" s="104"/>
      <c r="OMA1049" s="103"/>
      <c r="OMM1049" s="104"/>
      <c r="OMN1049" s="103"/>
      <c r="OMZ1049" s="104"/>
      <c r="ONA1049" s="103"/>
      <c r="ONM1049" s="104"/>
      <c r="ONN1049" s="103"/>
      <c r="ONZ1049" s="104"/>
      <c r="OOA1049" s="103"/>
      <c r="OOM1049" s="104"/>
      <c r="OON1049" s="103"/>
      <c r="OOZ1049" s="104"/>
      <c r="OPA1049" s="103"/>
      <c r="OPM1049" s="104"/>
      <c r="OPN1049" s="103"/>
      <c r="OPZ1049" s="104"/>
      <c r="OQA1049" s="103"/>
      <c r="OQM1049" s="104"/>
      <c r="OQN1049" s="103"/>
      <c r="OQZ1049" s="104"/>
      <c r="ORA1049" s="103"/>
      <c r="ORM1049" s="104"/>
      <c r="ORN1049" s="103"/>
      <c r="ORZ1049" s="104"/>
      <c r="OSA1049" s="103"/>
      <c r="OSM1049" s="104"/>
      <c r="OSN1049" s="103"/>
      <c r="OSZ1049" s="104"/>
      <c r="OTA1049" s="103"/>
      <c r="OTM1049" s="104"/>
      <c r="OTN1049" s="103"/>
      <c r="OTZ1049" s="104"/>
      <c r="OUA1049" s="103"/>
      <c r="OUM1049" s="104"/>
      <c r="OUN1049" s="103"/>
      <c r="OUZ1049" s="104"/>
      <c r="OVA1049" s="103"/>
      <c r="OVM1049" s="104"/>
      <c r="OVN1049" s="103"/>
      <c r="OVZ1049" s="104"/>
      <c r="OWA1049" s="103"/>
      <c r="OWM1049" s="104"/>
      <c r="OWN1049" s="103"/>
      <c r="OWZ1049" s="104"/>
      <c r="OXA1049" s="103"/>
      <c r="OXM1049" s="104"/>
      <c r="OXN1049" s="103"/>
      <c r="OXZ1049" s="104"/>
      <c r="OYA1049" s="103"/>
      <c r="OYM1049" s="104"/>
      <c r="OYN1049" s="103"/>
      <c r="OYZ1049" s="104"/>
      <c r="OZA1049" s="103"/>
      <c r="OZM1049" s="104"/>
      <c r="OZN1049" s="103"/>
      <c r="OZZ1049" s="104"/>
      <c r="PAA1049" s="103"/>
      <c r="PAM1049" s="104"/>
      <c r="PAN1049" s="103"/>
      <c r="PAZ1049" s="104"/>
      <c r="PBA1049" s="103"/>
      <c r="PBM1049" s="104"/>
      <c r="PBN1049" s="103"/>
      <c r="PBZ1049" s="104"/>
      <c r="PCA1049" s="103"/>
      <c r="PCM1049" s="104"/>
      <c r="PCN1049" s="103"/>
      <c r="PCZ1049" s="104"/>
      <c r="PDA1049" s="103"/>
      <c r="PDM1049" s="104"/>
      <c r="PDN1049" s="103"/>
      <c r="PDZ1049" s="104"/>
      <c r="PEA1049" s="103"/>
      <c r="PEM1049" s="104"/>
      <c r="PEN1049" s="103"/>
      <c r="PEZ1049" s="104"/>
      <c r="PFA1049" s="103"/>
      <c r="PFM1049" s="104"/>
      <c r="PFN1049" s="103"/>
      <c r="PFZ1049" s="104"/>
      <c r="PGA1049" s="103"/>
      <c r="PGM1049" s="104"/>
      <c r="PGN1049" s="103"/>
      <c r="PGZ1049" s="104"/>
      <c r="PHA1049" s="103"/>
      <c r="PHM1049" s="104"/>
      <c r="PHN1049" s="103"/>
      <c r="PHZ1049" s="104"/>
      <c r="PIA1049" s="103"/>
      <c r="PIM1049" s="104"/>
      <c r="PIN1049" s="103"/>
      <c r="PIZ1049" s="104"/>
      <c r="PJA1049" s="103"/>
      <c r="PJM1049" s="104"/>
      <c r="PJN1049" s="103"/>
      <c r="PJZ1049" s="104"/>
      <c r="PKA1049" s="103"/>
      <c r="PKM1049" s="104"/>
      <c r="PKN1049" s="103"/>
      <c r="PKZ1049" s="104"/>
      <c r="PLA1049" s="103"/>
      <c r="PLM1049" s="104"/>
      <c r="PLN1049" s="103"/>
      <c r="PLZ1049" s="104"/>
      <c r="PMA1049" s="103"/>
      <c r="PMM1049" s="104"/>
      <c r="PMN1049" s="103"/>
      <c r="PMZ1049" s="104"/>
      <c r="PNA1049" s="103"/>
      <c r="PNM1049" s="104"/>
      <c r="PNN1049" s="103"/>
      <c r="PNZ1049" s="104"/>
      <c r="POA1049" s="103"/>
      <c r="POM1049" s="104"/>
      <c r="PON1049" s="103"/>
      <c r="POZ1049" s="104"/>
      <c r="PPA1049" s="103"/>
      <c r="PPM1049" s="104"/>
      <c r="PPN1049" s="103"/>
      <c r="PPZ1049" s="104"/>
      <c r="PQA1049" s="103"/>
      <c r="PQM1049" s="104"/>
      <c r="PQN1049" s="103"/>
      <c r="PQZ1049" s="104"/>
      <c r="PRA1049" s="103"/>
      <c r="PRM1049" s="104"/>
      <c r="PRN1049" s="103"/>
      <c r="PRZ1049" s="104"/>
      <c r="PSA1049" s="103"/>
      <c r="PSM1049" s="104"/>
      <c r="PSN1049" s="103"/>
      <c r="PSZ1049" s="104"/>
      <c r="PTA1049" s="103"/>
      <c r="PTM1049" s="104"/>
      <c r="PTN1049" s="103"/>
      <c r="PTZ1049" s="104"/>
      <c r="PUA1049" s="103"/>
      <c r="PUM1049" s="104"/>
      <c r="PUN1049" s="103"/>
      <c r="PUZ1049" s="104"/>
      <c r="PVA1049" s="103"/>
      <c r="PVM1049" s="104"/>
      <c r="PVN1049" s="103"/>
      <c r="PVZ1049" s="104"/>
      <c r="PWA1049" s="103"/>
      <c r="PWM1049" s="104"/>
      <c r="PWN1049" s="103"/>
      <c r="PWZ1049" s="104"/>
      <c r="PXA1049" s="103"/>
      <c r="PXM1049" s="104"/>
      <c r="PXN1049" s="103"/>
      <c r="PXZ1049" s="104"/>
      <c r="PYA1049" s="103"/>
      <c r="PYM1049" s="104"/>
      <c r="PYN1049" s="103"/>
      <c r="PYZ1049" s="104"/>
      <c r="PZA1049" s="103"/>
      <c r="PZM1049" s="104"/>
      <c r="PZN1049" s="103"/>
      <c r="PZZ1049" s="104"/>
      <c r="QAA1049" s="103"/>
      <c r="QAM1049" s="104"/>
      <c r="QAN1049" s="103"/>
      <c r="QAZ1049" s="104"/>
      <c r="QBA1049" s="103"/>
      <c r="QBM1049" s="104"/>
      <c r="QBN1049" s="103"/>
      <c r="QBZ1049" s="104"/>
      <c r="QCA1049" s="103"/>
      <c r="QCM1049" s="104"/>
      <c r="QCN1049" s="103"/>
      <c r="QCZ1049" s="104"/>
      <c r="QDA1049" s="103"/>
      <c r="QDM1049" s="104"/>
      <c r="QDN1049" s="103"/>
      <c r="QDZ1049" s="104"/>
      <c r="QEA1049" s="103"/>
      <c r="QEM1049" s="104"/>
      <c r="QEN1049" s="103"/>
      <c r="QEZ1049" s="104"/>
      <c r="QFA1049" s="103"/>
      <c r="QFM1049" s="104"/>
      <c r="QFN1049" s="103"/>
      <c r="QFZ1049" s="104"/>
      <c r="QGA1049" s="103"/>
      <c r="QGM1049" s="104"/>
      <c r="QGN1049" s="103"/>
      <c r="QGZ1049" s="104"/>
      <c r="QHA1049" s="103"/>
      <c r="QHM1049" s="104"/>
      <c r="QHN1049" s="103"/>
      <c r="QHZ1049" s="104"/>
      <c r="QIA1049" s="103"/>
      <c r="QIM1049" s="104"/>
      <c r="QIN1049" s="103"/>
      <c r="QIZ1049" s="104"/>
      <c r="QJA1049" s="103"/>
      <c r="QJM1049" s="104"/>
      <c r="QJN1049" s="103"/>
      <c r="QJZ1049" s="104"/>
      <c r="QKA1049" s="103"/>
      <c r="QKM1049" s="104"/>
      <c r="QKN1049" s="103"/>
      <c r="QKZ1049" s="104"/>
      <c r="QLA1049" s="103"/>
      <c r="QLM1049" s="104"/>
      <c r="QLN1049" s="103"/>
      <c r="QLZ1049" s="104"/>
      <c r="QMA1049" s="103"/>
      <c r="QMM1049" s="104"/>
      <c r="QMN1049" s="103"/>
      <c r="QMZ1049" s="104"/>
      <c r="QNA1049" s="103"/>
      <c r="QNM1049" s="104"/>
      <c r="QNN1049" s="103"/>
      <c r="QNZ1049" s="104"/>
      <c r="QOA1049" s="103"/>
      <c r="QOM1049" s="104"/>
      <c r="QON1049" s="103"/>
      <c r="QOZ1049" s="104"/>
      <c r="QPA1049" s="103"/>
      <c r="QPM1049" s="104"/>
      <c r="QPN1049" s="103"/>
      <c r="QPZ1049" s="104"/>
      <c r="QQA1049" s="103"/>
      <c r="QQM1049" s="104"/>
      <c r="QQN1049" s="103"/>
      <c r="QQZ1049" s="104"/>
      <c r="QRA1049" s="103"/>
      <c r="QRM1049" s="104"/>
      <c r="QRN1049" s="103"/>
      <c r="QRZ1049" s="104"/>
      <c r="QSA1049" s="103"/>
      <c r="QSM1049" s="104"/>
      <c r="QSN1049" s="103"/>
      <c r="QSZ1049" s="104"/>
      <c r="QTA1049" s="103"/>
      <c r="QTM1049" s="104"/>
      <c r="QTN1049" s="103"/>
      <c r="QTZ1049" s="104"/>
      <c r="QUA1049" s="103"/>
      <c r="QUM1049" s="104"/>
      <c r="QUN1049" s="103"/>
      <c r="QUZ1049" s="104"/>
      <c r="QVA1049" s="103"/>
      <c r="QVM1049" s="104"/>
      <c r="QVN1049" s="103"/>
      <c r="QVZ1049" s="104"/>
      <c r="QWA1049" s="103"/>
      <c r="QWM1049" s="104"/>
      <c r="QWN1049" s="103"/>
      <c r="QWZ1049" s="104"/>
      <c r="QXA1049" s="103"/>
      <c r="QXM1049" s="104"/>
      <c r="QXN1049" s="103"/>
      <c r="QXZ1049" s="104"/>
      <c r="QYA1049" s="103"/>
      <c r="QYM1049" s="104"/>
      <c r="QYN1049" s="103"/>
      <c r="QYZ1049" s="104"/>
      <c r="QZA1049" s="103"/>
      <c r="QZM1049" s="104"/>
      <c r="QZN1049" s="103"/>
      <c r="QZZ1049" s="104"/>
      <c r="RAA1049" s="103"/>
      <c r="RAM1049" s="104"/>
      <c r="RAN1049" s="103"/>
      <c r="RAZ1049" s="104"/>
      <c r="RBA1049" s="103"/>
      <c r="RBM1049" s="104"/>
      <c r="RBN1049" s="103"/>
      <c r="RBZ1049" s="104"/>
      <c r="RCA1049" s="103"/>
      <c r="RCM1049" s="104"/>
      <c r="RCN1049" s="103"/>
      <c r="RCZ1049" s="104"/>
      <c r="RDA1049" s="103"/>
      <c r="RDM1049" s="104"/>
      <c r="RDN1049" s="103"/>
      <c r="RDZ1049" s="104"/>
      <c r="REA1049" s="103"/>
      <c r="REM1049" s="104"/>
      <c r="REN1049" s="103"/>
      <c r="REZ1049" s="104"/>
      <c r="RFA1049" s="103"/>
      <c r="RFM1049" s="104"/>
      <c r="RFN1049" s="103"/>
      <c r="RFZ1049" s="104"/>
      <c r="RGA1049" s="103"/>
      <c r="RGM1049" s="104"/>
      <c r="RGN1049" s="103"/>
      <c r="RGZ1049" s="104"/>
      <c r="RHA1049" s="103"/>
      <c r="RHM1049" s="104"/>
      <c r="RHN1049" s="103"/>
      <c r="RHZ1049" s="104"/>
      <c r="RIA1049" s="103"/>
      <c r="RIM1049" s="104"/>
      <c r="RIN1049" s="103"/>
      <c r="RIZ1049" s="104"/>
      <c r="RJA1049" s="103"/>
      <c r="RJM1049" s="104"/>
      <c r="RJN1049" s="103"/>
      <c r="RJZ1049" s="104"/>
      <c r="RKA1049" s="103"/>
      <c r="RKM1049" s="104"/>
      <c r="RKN1049" s="103"/>
      <c r="RKZ1049" s="104"/>
      <c r="RLA1049" s="103"/>
      <c r="RLM1049" s="104"/>
      <c r="RLN1049" s="103"/>
      <c r="RLZ1049" s="104"/>
      <c r="RMA1049" s="103"/>
      <c r="RMM1049" s="104"/>
      <c r="RMN1049" s="103"/>
      <c r="RMZ1049" s="104"/>
      <c r="RNA1049" s="103"/>
      <c r="RNM1049" s="104"/>
      <c r="RNN1049" s="103"/>
      <c r="RNZ1049" s="104"/>
      <c r="ROA1049" s="103"/>
      <c r="ROM1049" s="104"/>
      <c r="RON1049" s="103"/>
      <c r="ROZ1049" s="104"/>
      <c r="RPA1049" s="103"/>
      <c r="RPM1049" s="104"/>
      <c r="RPN1049" s="103"/>
      <c r="RPZ1049" s="104"/>
      <c r="RQA1049" s="103"/>
      <c r="RQM1049" s="104"/>
      <c r="RQN1049" s="103"/>
      <c r="RQZ1049" s="104"/>
      <c r="RRA1049" s="103"/>
      <c r="RRM1049" s="104"/>
      <c r="RRN1049" s="103"/>
      <c r="RRZ1049" s="104"/>
      <c r="RSA1049" s="103"/>
      <c r="RSM1049" s="104"/>
      <c r="RSN1049" s="103"/>
      <c r="RSZ1049" s="104"/>
      <c r="RTA1049" s="103"/>
      <c r="RTM1049" s="104"/>
      <c r="RTN1049" s="103"/>
      <c r="RTZ1049" s="104"/>
      <c r="RUA1049" s="103"/>
      <c r="RUM1049" s="104"/>
      <c r="RUN1049" s="103"/>
      <c r="RUZ1049" s="104"/>
      <c r="RVA1049" s="103"/>
      <c r="RVM1049" s="104"/>
      <c r="RVN1049" s="103"/>
      <c r="RVZ1049" s="104"/>
      <c r="RWA1049" s="103"/>
      <c r="RWM1049" s="104"/>
      <c r="RWN1049" s="103"/>
      <c r="RWZ1049" s="104"/>
      <c r="RXA1049" s="103"/>
      <c r="RXM1049" s="104"/>
      <c r="RXN1049" s="103"/>
      <c r="RXZ1049" s="104"/>
      <c r="RYA1049" s="103"/>
      <c r="RYM1049" s="104"/>
      <c r="RYN1049" s="103"/>
      <c r="RYZ1049" s="104"/>
      <c r="RZA1049" s="103"/>
      <c r="RZM1049" s="104"/>
      <c r="RZN1049" s="103"/>
      <c r="RZZ1049" s="104"/>
      <c r="SAA1049" s="103"/>
      <c r="SAM1049" s="104"/>
      <c r="SAN1049" s="103"/>
      <c r="SAZ1049" s="104"/>
      <c r="SBA1049" s="103"/>
      <c r="SBM1049" s="104"/>
      <c r="SBN1049" s="103"/>
      <c r="SBZ1049" s="104"/>
      <c r="SCA1049" s="103"/>
      <c r="SCM1049" s="104"/>
      <c r="SCN1049" s="103"/>
      <c r="SCZ1049" s="104"/>
      <c r="SDA1049" s="103"/>
      <c r="SDM1049" s="104"/>
      <c r="SDN1049" s="103"/>
      <c r="SDZ1049" s="104"/>
      <c r="SEA1049" s="103"/>
      <c r="SEM1049" s="104"/>
      <c r="SEN1049" s="103"/>
      <c r="SEZ1049" s="104"/>
      <c r="SFA1049" s="103"/>
      <c r="SFM1049" s="104"/>
      <c r="SFN1049" s="103"/>
      <c r="SFZ1049" s="104"/>
      <c r="SGA1049" s="103"/>
      <c r="SGM1049" s="104"/>
      <c r="SGN1049" s="103"/>
      <c r="SGZ1049" s="104"/>
      <c r="SHA1049" s="103"/>
      <c r="SHM1049" s="104"/>
      <c r="SHN1049" s="103"/>
      <c r="SHZ1049" s="104"/>
      <c r="SIA1049" s="103"/>
      <c r="SIM1049" s="104"/>
      <c r="SIN1049" s="103"/>
      <c r="SIZ1049" s="104"/>
      <c r="SJA1049" s="103"/>
      <c r="SJM1049" s="104"/>
      <c r="SJN1049" s="103"/>
      <c r="SJZ1049" s="104"/>
      <c r="SKA1049" s="103"/>
      <c r="SKM1049" s="104"/>
      <c r="SKN1049" s="103"/>
      <c r="SKZ1049" s="104"/>
      <c r="SLA1049" s="103"/>
      <c r="SLM1049" s="104"/>
      <c r="SLN1049" s="103"/>
      <c r="SLZ1049" s="104"/>
      <c r="SMA1049" s="103"/>
      <c r="SMM1049" s="104"/>
      <c r="SMN1049" s="103"/>
      <c r="SMZ1049" s="104"/>
      <c r="SNA1049" s="103"/>
      <c r="SNM1049" s="104"/>
      <c r="SNN1049" s="103"/>
      <c r="SNZ1049" s="104"/>
      <c r="SOA1049" s="103"/>
      <c r="SOM1049" s="104"/>
      <c r="SON1049" s="103"/>
      <c r="SOZ1049" s="104"/>
      <c r="SPA1049" s="103"/>
      <c r="SPM1049" s="104"/>
      <c r="SPN1049" s="103"/>
      <c r="SPZ1049" s="104"/>
      <c r="SQA1049" s="103"/>
      <c r="SQM1049" s="104"/>
      <c r="SQN1049" s="103"/>
      <c r="SQZ1049" s="104"/>
      <c r="SRA1049" s="103"/>
      <c r="SRM1049" s="104"/>
      <c r="SRN1049" s="103"/>
      <c r="SRZ1049" s="104"/>
      <c r="SSA1049" s="103"/>
      <c r="SSM1049" s="104"/>
      <c r="SSN1049" s="103"/>
      <c r="SSZ1049" s="104"/>
      <c r="STA1049" s="103"/>
      <c r="STM1049" s="104"/>
      <c r="STN1049" s="103"/>
      <c r="STZ1049" s="104"/>
      <c r="SUA1049" s="103"/>
      <c r="SUM1049" s="104"/>
      <c r="SUN1049" s="103"/>
      <c r="SUZ1049" s="104"/>
      <c r="SVA1049" s="103"/>
      <c r="SVM1049" s="104"/>
      <c r="SVN1049" s="103"/>
      <c r="SVZ1049" s="104"/>
      <c r="SWA1049" s="103"/>
      <c r="SWM1049" s="104"/>
      <c r="SWN1049" s="103"/>
      <c r="SWZ1049" s="104"/>
      <c r="SXA1049" s="103"/>
      <c r="SXM1049" s="104"/>
      <c r="SXN1049" s="103"/>
      <c r="SXZ1049" s="104"/>
      <c r="SYA1049" s="103"/>
      <c r="SYM1049" s="104"/>
      <c r="SYN1049" s="103"/>
      <c r="SYZ1049" s="104"/>
      <c r="SZA1049" s="103"/>
      <c r="SZM1049" s="104"/>
      <c r="SZN1049" s="103"/>
      <c r="SZZ1049" s="104"/>
      <c r="TAA1049" s="103"/>
      <c r="TAM1049" s="104"/>
      <c r="TAN1049" s="103"/>
      <c r="TAZ1049" s="104"/>
      <c r="TBA1049" s="103"/>
      <c r="TBM1049" s="104"/>
      <c r="TBN1049" s="103"/>
      <c r="TBZ1049" s="104"/>
      <c r="TCA1049" s="103"/>
      <c r="TCM1049" s="104"/>
      <c r="TCN1049" s="103"/>
      <c r="TCZ1049" s="104"/>
      <c r="TDA1049" s="103"/>
      <c r="TDM1049" s="104"/>
      <c r="TDN1049" s="103"/>
      <c r="TDZ1049" s="104"/>
      <c r="TEA1049" s="103"/>
      <c r="TEM1049" s="104"/>
      <c r="TEN1049" s="103"/>
      <c r="TEZ1049" s="104"/>
      <c r="TFA1049" s="103"/>
      <c r="TFM1049" s="104"/>
      <c r="TFN1049" s="103"/>
      <c r="TFZ1049" s="104"/>
      <c r="TGA1049" s="103"/>
      <c r="TGM1049" s="104"/>
      <c r="TGN1049" s="103"/>
      <c r="TGZ1049" s="104"/>
      <c r="THA1049" s="103"/>
      <c r="THM1049" s="104"/>
      <c r="THN1049" s="103"/>
      <c r="THZ1049" s="104"/>
      <c r="TIA1049" s="103"/>
      <c r="TIM1049" s="104"/>
      <c r="TIN1049" s="103"/>
      <c r="TIZ1049" s="104"/>
      <c r="TJA1049" s="103"/>
      <c r="TJM1049" s="104"/>
      <c r="TJN1049" s="103"/>
      <c r="TJZ1049" s="104"/>
      <c r="TKA1049" s="103"/>
      <c r="TKM1049" s="104"/>
      <c r="TKN1049" s="103"/>
      <c r="TKZ1049" s="104"/>
      <c r="TLA1049" s="103"/>
      <c r="TLM1049" s="104"/>
      <c r="TLN1049" s="103"/>
      <c r="TLZ1049" s="104"/>
      <c r="TMA1049" s="103"/>
      <c r="TMM1049" s="104"/>
      <c r="TMN1049" s="103"/>
      <c r="TMZ1049" s="104"/>
      <c r="TNA1049" s="103"/>
      <c r="TNM1049" s="104"/>
      <c r="TNN1049" s="103"/>
      <c r="TNZ1049" s="104"/>
      <c r="TOA1049" s="103"/>
      <c r="TOM1049" s="104"/>
      <c r="TON1049" s="103"/>
      <c r="TOZ1049" s="104"/>
      <c r="TPA1049" s="103"/>
      <c r="TPM1049" s="104"/>
      <c r="TPN1049" s="103"/>
      <c r="TPZ1049" s="104"/>
      <c r="TQA1049" s="103"/>
      <c r="TQM1049" s="104"/>
      <c r="TQN1049" s="103"/>
      <c r="TQZ1049" s="104"/>
      <c r="TRA1049" s="103"/>
      <c r="TRM1049" s="104"/>
      <c r="TRN1049" s="103"/>
      <c r="TRZ1049" s="104"/>
      <c r="TSA1049" s="103"/>
      <c r="TSM1049" s="104"/>
      <c r="TSN1049" s="103"/>
      <c r="TSZ1049" s="104"/>
      <c r="TTA1049" s="103"/>
      <c r="TTM1049" s="104"/>
      <c r="TTN1049" s="103"/>
      <c r="TTZ1049" s="104"/>
      <c r="TUA1049" s="103"/>
      <c r="TUM1049" s="104"/>
      <c r="TUN1049" s="103"/>
      <c r="TUZ1049" s="104"/>
      <c r="TVA1049" s="103"/>
      <c r="TVM1049" s="104"/>
      <c r="TVN1049" s="103"/>
      <c r="TVZ1049" s="104"/>
      <c r="TWA1049" s="103"/>
      <c r="TWM1049" s="104"/>
      <c r="TWN1049" s="103"/>
      <c r="TWZ1049" s="104"/>
      <c r="TXA1049" s="103"/>
      <c r="TXM1049" s="104"/>
      <c r="TXN1049" s="103"/>
      <c r="TXZ1049" s="104"/>
      <c r="TYA1049" s="103"/>
      <c r="TYM1049" s="104"/>
      <c r="TYN1049" s="103"/>
      <c r="TYZ1049" s="104"/>
      <c r="TZA1049" s="103"/>
      <c r="TZM1049" s="104"/>
      <c r="TZN1049" s="103"/>
      <c r="TZZ1049" s="104"/>
      <c r="UAA1049" s="103"/>
      <c r="UAM1049" s="104"/>
      <c r="UAN1049" s="103"/>
      <c r="UAZ1049" s="104"/>
      <c r="UBA1049" s="103"/>
      <c r="UBM1049" s="104"/>
      <c r="UBN1049" s="103"/>
      <c r="UBZ1049" s="104"/>
      <c r="UCA1049" s="103"/>
      <c r="UCM1049" s="104"/>
      <c r="UCN1049" s="103"/>
      <c r="UCZ1049" s="104"/>
      <c r="UDA1049" s="103"/>
      <c r="UDM1049" s="104"/>
      <c r="UDN1049" s="103"/>
      <c r="UDZ1049" s="104"/>
      <c r="UEA1049" s="103"/>
      <c r="UEM1049" s="104"/>
      <c r="UEN1049" s="103"/>
      <c r="UEZ1049" s="104"/>
      <c r="UFA1049" s="103"/>
      <c r="UFM1049" s="104"/>
      <c r="UFN1049" s="103"/>
      <c r="UFZ1049" s="104"/>
      <c r="UGA1049" s="103"/>
      <c r="UGM1049" s="104"/>
      <c r="UGN1049" s="103"/>
      <c r="UGZ1049" s="104"/>
      <c r="UHA1049" s="103"/>
      <c r="UHM1049" s="104"/>
      <c r="UHN1049" s="103"/>
      <c r="UHZ1049" s="104"/>
      <c r="UIA1049" s="103"/>
      <c r="UIM1049" s="104"/>
      <c r="UIN1049" s="103"/>
      <c r="UIZ1049" s="104"/>
      <c r="UJA1049" s="103"/>
      <c r="UJM1049" s="104"/>
      <c r="UJN1049" s="103"/>
      <c r="UJZ1049" s="104"/>
      <c r="UKA1049" s="103"/>
      <c r="UKM1049" s="104"/>
      <c r="UKN1049" s="103"/>
      <c r="UKZ1049" s="104"/>
      <c r="ULA1049" s="103"/>
      <c r="ULM1049" s="104"/>
      <c r="ULN1049" s="103"/>
      <c r="ULZ1049" s="104"/>
      <c r="UMA1049" s="103"/>
      <c r="UMM1049" s="104"/>
      <c r="UMN1049" s="103"/>
      <c r="UMZ1049" s="104"/>
      <c r="UNA1049" s="103"/>
      <c r="UNM1049" s="104"/>
      <c r="UNN1049" s="103"/>
      <c r="UNZ1049" s="104"/>
      <c r="UOA1049" s="103"/>
      <c r="UOM1049" s="104"/>
      <c r="UON1049" s="103"/>
      <c r="UOZ1049" s="104"/>
      <c r="UPA1049" s="103"/>
      <c r="UPM1049" s="104"/>
      <c r="UPN1049" s="103"/>
      <c r="UPZ1049" s="104"/>
      <c r="UQA1049" s="103"/>
      <c r="UQM1049" s="104"/>
      <c r="UQN1049" s="103"/>
      <c r="UQZ1049" s="104"/>
      <c r="URA1049" s="103"/>
      <c r="URM1049" s="104"/>
      <c r="URN1049" s="103"/>
      <c r="URZ1049" s="104"/>
      <c r="USA1049" s="103"/>
      <c r="USM1049" s="104"/>
      <c r="USN1049" s="103"/>
      <c r="USZ1049" s="104"/>
      <c r="UTA1049" s="103"/>
      <c r="UTM1049" s="104"/>
      <c r="UTN1049" s="103"/>
      <c r="UTZ1049" s="104"/>
      <c r="UUA1049" s="103"/>
      <c r="UUM1049" s="104"/>
      <c r="UUN1049" s="103"/>
      <c r="UUZ1049" s="104"/>
      <c r="UVA1049" s="103"/>
      <c r="UVM1049" s="104"/>
      <c r="UVN1049" s="103"/>
      <c r="UVZ1049" s="104"/>
      <c r="UWA1049" s="103"/>
      <c r="UWM1049" s="104"/>
      <c r="UWN1049" s="103"/>
      <c r="UWZ1049" s="104"/>
      <c r="UXA1049" s="103"/>
      <c r="UXM1049" s="104"/>
      <c r="UXN1049" s="103"/>
      <c r="UXZ1049" s="104"/>
      <c r="UYA1049" s="103"/>
      <c r="UYM1049" s="104"/>
      <c r="UYN1049" s="103"/>
      <c r="UYZ1049" s="104"/>
      <c r="UZA1049" s="103"/>
      <c r="UZM1049" s="104"/>
      <c r="UZN1049" s="103"/>
      <c r="UZZ1049" s="104"/>
      <c r="VAA1049" s="103"/>
      <c r="VAM1049" s="104"/>
      <c r="VAN1049" s="103"/>
      <c r="VAZ1049" s="104"/>
      <c r="VBA1049" s="103"/>
      <c r="VBM1049" s="104"/>
      <c r="VBN1049" s="103"/>
      <c r="VBZ1049" s="104"/>
      <c r="VCA1049" s="103"/>
      <c r="VCM1049" s="104"/>
      <c r="VCN1049" s="103"/>
      <c r="VCZ1049" s="104"/>
      <c r="VDA1049" s="103"/>
      <c r="VDM1049" s="104"/>
      <c r="VDN1049" s="103"/>
      <c r="VDZ1049" s="104"/>
      <c r="VEA1049" s="103"/>
      <c r="VEM1049" s="104"/>
      <c r="VEN1049" s="103"/>
      <c r="VEZ1049" s="104"/>
      <c r="VFA1049" s="103"/>
      <c r="VFM1049" s="104"/>
      <c r="VFN1049" s="103"/>
      <c r="VFZ1049" s="104"/>
      <c r="VGA1049" s="103"/>
      <c r="VGM1049" s="104"/>
      <c r="VGN1049" s="103"/>
      <c r="VGZ1049" s="104"/>
      <c r="VHA1049" s="103"/>
      <c r="VHM1049" s="104"/>
      <c r="VHN1049" s="103"/>
      <c r="VHZ1049" s="104"/>
      <c r="VIA1049" s="103"/>
      <c r="VIM1049" s="104"/>
      <c r="VIN1049" s="103"/>
      <c r="VIZ1049" s="104"/>
      <c r="VJA1049" s="103"/>
      <c r="VJM1049" s="104"/>
      <c r="VJN1049" s="103"/>
      <c r="VJZ1049" s="104"/>
      <c r="VKA1049" s="103"/>
      <c r="VKM1049" s="104"/>
      <c r="VKN1049" s="103"/>
      <c r="VKZ1049" s="104"/>
      <c r="VLA1049" s="103"/>
      <c r="VLM1049" s="104"/>
      <c r="VLN1049" s="103"/>
      <c r="VLZ1049" s="104"/>
      <c r="VMA1049" s="103"/>
      <c r="VMM1049" s="104"/>
      <c r="VMN1049" s="103"/>
      <c r="VMZ1049" s="104"/>
      <c r="VNA1049" s="103"/>
      <c r="VNM1049" s="104"/>
      <c r="VNN1049" s="103"/>
      <c r="VNZ1049" s="104"/>
      <c r="VOA1049" s="103"/>
      <c r="VOM1049" s="104"/>
      <c r="VON1049" s="103"/>
      <c r="VOZ1049" s="104"/>
      <c r="VPA1049" s="103"/>
      <c r="VPM1049" s="104"/>
      <c r="VPN1049" s="103"/>
      <c r="VPZ1049" s="104"/>
      <c r="VQA1049" s="103"/>
      <c r="VQM1049" s="104"/>
      <c r="VQN1049" s="103"/>
      <c r="VQZ1049" s="104"/>
      <c r="VRA1049" s="103"/>
      <c r="VRM1049" s="104"/>
      <c r="VRN1049" s="103"/>
      <c r="VRZ1049" s="104"/>
      <c r="VSA1049" s="103"/>
      <c r="VSM1049" s="104"/>
      <c r="VSN1049" s="103"/>
      <c r="VSZ1049" s="104"/>
      <c r="VTA1049" s="103"/>
      <c r="VTM1049" s="104"/>
      <c r="VTN1049" s="103"/>
      <c r="VTZ1049" s="104"/>
      <c r="VUA1049" s="103"/>
      <c r="VUM1049" s="104"/>
      <c r="VUN1049" s="103"/>
      <c r="VUZ1049" s="104"/>
      <c r="VVA1049" s="103"/>
      <c r="VVM1049" s="104"/>
      <c r="VVN1049" s="103"/>
      <c r="VVZ1049" s="104"/>
      <c r="VWA1049" s="103"/>
      <c r="VWM1049" s="104"/>
      <c r="VWN1049" s="103"/>
      <c r="VWZ1049" s="104"/>
      <c r="VXA1049" s="103"/>
      <c r="VXM1049" s="104"/>
      <c r="VXN1049" s="103"/>
      <c r="VXZ1049" s="104"/>
      <c r="VYA1049" s="103"/>
      <c r="VYM1049" s="104"/>
      <c r="VYN1049" s="103"/>
      <c r="VYZ1049" s="104"/>
      <c r="VZA1049" s="103"/>
      <c r="VZM1049" s="104"/>
      <c r="VZN1049" s="103"/>
      <c r="VZZ1049" s="104"/>
      <c r="WAA1049" s="103"/>
      <c r="WAM1049" s="104"/>
      <c r="WAN1049" s="103"/>
      <c r="WAZ1049" s="104"/>
      <c r="WBA1049" s="103"/>
      <c r="WBM1049" s="104"/>
      <c r="WBN1049" s="103"/>
      <c r="WBZ1049" s="104"/>
      <c r="WCA1049" s="103"/>
      <c r="WCM1049" s="104"/>
      <c r="WCN1049" s="103"/>
      <c r="WCZ1049" s="104"/>
      <c r="WDA1049" s="103"/>
      <c r="WDM1049" s="104"/>
      <c r="WDN1049" s="103"/>
      <c r="WDZ1049" s="104"/>
      <c r="WEA1049" s="103"/>
      <c r="WEM1049" s="104"/>
      <c r="WEN1049" s="103"/>
      <c r="WEZ1049" s="104"/>
      <c r="WFA1049" s="103"/>
      <c r="WFM1049" s="104"/>
      <c r="WFN1049" s="103"/>
      <c r="WFZ1049" s="104"/>
      <c r="WGA1049" s="103"/>
      <c r="WGM1049" s="104"/>
      <c r="WGN1049" s="103"/>
      <c r="WGZ1049" s="104"/>
      <c r="WHA1049" s="103"/>
      <c r="WHM1049" s="104"/>
      <c r="WHN1049" s="103"/>
      <c r="WHZ1049" s="104"/>
      <c r="WIA1049" s="103"/>
      <c r="WIM1049" s="104"/>
      <c r="WIN1049" s="103"/>
      <c r="WIZ1049" s="104"/>
      <c r="WJA1049" s="103"/>
      <c r="WJM1049" s="104"/>
      <c r="WJN1049" s="103"/>
      <c r="WJZ1049" s="104"/>
      <c r="WKA1049" s="103"/>
      <c r="WKM1049" s="104"/>
      <c r="WKN1049" s="103"/>
      <c r="WKZ1049" s="104"/>
      <c r="WLA1049" s="103"/>
      <c r="WLM1049" s="104"/>
      <c r="WLN1049" s="103"/>
      <c r="WLZ1049" s="104"/>
      <c r="WMA1049" s="103"/>
      <c r="WMM1049" s="104"/>
      <c r="WMN1049" s="103"/>
      <c r="WMZ1049" s="104"/>
      <c r="WNA1049" s="103"/>
      <c r="WNM1049" s="104"/>
      <c r="WNN1049" s="103"/>
      <c r="WNZ1049" s="104"/>
      <c r="WOA1049" s="103"/>
      <c r="WOM1049" s="104"/>
      <c r="WON1049" s="103"/>
      <c r="WOZ1049" s="104"/>
      <c r="WPA1049" s="103"/>
      <c r="WPM1049" s="104"/>
      <c r="WPN1049" s="103"/>
      <c r="WPZ1049" s="104"/>
      <c r="WQA1049" s="103"/>
      <c r="WQM1049" s="104"/>
      <c r="WQN1049" s="103"/>
      <c r="WQZ1049" s="104"/>
      <c r="WRA1049" s="103"/>
      <c r="WRM1049" s="104"/>
      <c r="WRN1049" s="103"/>
      <c r="WRZ1049" s="104"/>
      <c r="WSA1049" s="103"/>
      <c r="WSM1049" s="104"/>
      <c r="WSN1049" s="103"/>
      <c r="WSZ1049" s="104"/>
      <c r="WTA1049" s="103"/>
      <c r="WTM1049" s="104"/>
      <c r="WTN1049" s="103"/>
      <c r="WTZ1049" s="104"/>
      <c r="WUA1049" s="103"/>
      <c r="WUM1049" s="104"/>
      <c r="WUN1049" s="103"/>
      <c r="WUZ1049" s="104"/>
      <c r="WVA1049" s="103"/>
      <c r="WVM1049" s="104"/>
      <c r="WVN1049" s="103"/>
      <c r="WVZ1049" s="104"/>
      <c r="WWA1049" s="103"/>
      <c r="WWM1049" s="104"/>
      <c r="WWN1049" s="103"/>
      <c r="WWZ1049" s="104"/>
      <c r="WXA1049" s="103"/>
      <c r="WXM1049" s="104"/>
      <c r="WXN1049" s="103"/>
      <c r="WXZ1049" s="104"/>
      <c r="WYA1049" s="103"/>
      <c r="WYM1049" s="104"/>
      <c r="WYN1049" s="103"/>
      <c r="WYZ1049" s="104"/>
      <c r="WZA1049" s="103"/>
      <c r="WZM1049" s="104"/>
      <c r="WZN1049" s="103"/>
      <c r="WZZ1049" s="104"/>
      <c r="XAA1049" s="103"/>
      <c r="XAM1049" s="104"/>
      <c r="XAN1049" s="103"/>
      <c r="XAZ1049" s="104"/>
      <c r="XBA1049" s="103"/>
      <c r="XBM1049" s="104"/>
      <c r="XBN1049" s="103"/>
      <c r="XBZ1049" s="104"/>
      <c r="XCA1049" s="103"/>
      <c r="XCM1049" s="104"/>
      <c r="XCN1049" s="103"/>
      <c r="XCZ1049" s="104"/>
      <c r="XDA1049" s="103"/>
      <c r="XDM1049" s="104"/>
      <c r="XDN1049" s="103"/>
      <c r="XDZ1049" s="104"/>
      <c r="XEA1049" s="103"/>
      <c r="XEM1049" s="104"/>
      <c r="XEN1049" s="103"/>
      <c r="XEZ1049" s="104"/>
      <c r="XFA1049" s="103"/>
    </row>
    <row r="1050" spans="1:1015 1027:2042 2054:3069 3081:4096 4108:5110 5122:6137 6149:7164 7176:8191 8203:9205 9217:10232 10244:11259 11271:12286 12298:14327 14339:15354 15366:16381">
      <c r="Z1050" s="104"/>
      <c r="AA1050" s="103"/>
      <c r="AM1050" s="104"/>
      <c r="AN1050" s="103"/>
      <c r="AZ1050" s="104"/>
      <c r="BA1050" s="103"/>
      <c r="BM1050" s="104"/>
      <c r="BN1050" s="103"/>
      <c r="BZ1050" s="104"/>
      <c r="CA1050" s="103"/>
      <c r="CM1050" s="104"/>
      <c r="CN1050" s="103"/>
      <c r="CZ1050" s="104"/>
      <c r="DA1050" s="103"/>
      <c r="DM1050" s="104"/>
      <c r="DN1050" s="103"/>
      <c r="DZ1050" s="104"/>
      <c r="EA1050" s="103"/>
      <c r="EM1050" s="104"/>
      <c r="EN1050" s="103"/>
      <c r="EZ1050" s="104"/>
      <c r="FA1050" s="103"/>
      <c r="FM1050" s="104"/>
      <c r="FN1050" s="103"/>
      <c r="FZ1050" s="104"/>
      <c r="GA1050" s="103"/>
      <c r="GM1050" s="104"/>
      <c r="GN1050" s="103"/>
      <c r="GZ1050" s="104"/>
      <c r="HA1050" s="103"/>
      <c r="HM1050" s="104"/>
      <c r="HN1050" s="103"/>
      <c r="HZ1050" s="104"/>
      <c r="IA1050" s="103"/>
      <c r="IM1050" s="104"/>
      <c r="IN1050" s="103"/>
      <c r="IZ1050" s="104"/>
      <c r="JA1050" s="103"/>
      <c r="JM1050" s="104"/>
      <c r="JN1050" s="103"/>
      <c r="JZ1050" s="104"/>
      <c r="KA1050" s="103"/>
      <c r="KM1050" s="104"/>
      <c r="KN1050" s="103"/>
      <c r="KZ1050" s="104"/>
      <c r="LA1050" s="103"/>
      <c r="LM1050" s="104"/>
      <c r="LN1050" s="103"/>
      <c r="LZ1050" s="104"/>
      <c r="MA1050" s="103"/>
      <c r="MM1050" s="104"/>
      <c r="MN1050" s="103"/>
      <c r="MZ1050" s="104"/>
      <c r="NA1050" s="103"/>
      <c r="NM1050" s="104"/>
      <c r="NN1050" s="103"/>
      <c r="NZ1050" s="104"/>
      <c r="OA1050" s="103"/>
      <c r="OM1050" s="104"/>
      <c r="ON1050" s="103"/>
      <c r="OZ1050" s="104"/>
      <c r="PA1050" s="103"/>
      <c r="PM1050" s="104"/>
      <c r="PN1050" s="103"/>
      <c r="PZ1050" s="104"/>
      <c r="QA1050" s="103"/>
      <c r="QM1050" s="104"/>
      <c r="QN1050" s="103"/>
      <c r="QZ1050" s="104"/>
      <c r="RA1050" s="103"/>
      <c r="RM1050" s="104"/>
      <c r="RN1050" s="103"/>
      <c r="RZ1050" s="104"/>
      <c r="SA1050" s="103"/>
      <c r="SM1050" s="104"/>
      <c r="SN1050" s="103"/>
      <c r="SZ1050" s="104"/>
      <c r="TA1050" s="103"/>
      <c r="TM1050" s="104"/>
      <c r="TN1050" s="103"/>
      <c r="TZ1050" s="104"/>
      <c r="UA1050" s="103"/>
      <c r="UM1050" s="104"/>
      <c r="UN1050" s="103"/>
      <c r="UZ1050" s="104"/>
      <c r="VA1050" s="103"/>
      <c r="VM1050" s="104"/>
      <c r="VN1050" s="103"/>
      <c r="VZ1050" s="104"/>
      <c r="WA1050" s="103"/>
      <c r="WM1050" s="104"/>
      <c r="WN1050" s="103"/>
      <c r="WZ1050" s="104"/>
      <c r="XA1050" s="103"/>
      <c r="XM1050" s="104"/>
      <c r="XN1050" s="103"/>
      <c r="XZ1050" s="104"/>
      <c r="YA1050" s="103"/>
      <c r="YM1050" s="104"/>
      <c r="YN1050" s="103"/>
      <c r="YZ1050" s="104"/>
      <c r="ZA1050" s="103"/>
      <c r="ZM1050" s="104"/>
      <c r="ZN1050" s="103"/>
      <c r="ZZ1050" s="104"/>
      <c r="AAA1050" s="103"/>
      <c r="AAM1050" s="104"/>
      <c r="AAN1050" s="103"/>
      <c r="AAZ1050" s="104"/>
      <c r="ABA1050" s="103"/>
      <c r="ABM1050" s="104"/>
      <c r="ABN1050" s="103"/>
      <c r="ABZ1050" s="104"/>
      <c r="ACA1050" s="103"/>
      <c r="ACM1050" s="104"/>
      <c r="ACN1050" s="103"/>
      <c r="ACZ1050" s="104"/>
      <c r="ADA1050" s="103"/>
      <c r="ADM1050" s="104"/>
      <c r="ADN1050" s="103"/>
      <c r="ADZ1050" s="104"/>
      <c r="AEA1050" s="103"/>
      <c r="AEM1050" s="104"/>
      <c r="AEN1050" s="103"/>
      <c r="AEZ1050" s="104"/>
      <c r="AFA1050" s="103"/>
      <c r="AFM1050" s="104"/>
      <c r="AFN1050" s="103"/>
      <c r="AFZ1050" s="104"/>
      <c r="AGA1050" s="103"/>
      <c r="AGM1050" s="104"/>
      <c r="AGN1050" s="103"/>
      <c r="AGZ1050" s="104"/>
      <c r="AHA1050" s="103"/>
      <c r="AHM1050" s="104"/>
      <c r="AHN1050" s="103"/>
      <c r="AHZ1050" s="104"/>
      <c r="AIA1050" s="103"/>
      <c r="AIM1050" s="104"/>
      <c r="AIN1050" s="103"/>
      <c r="AIZ1050" s="104"/>
      <c r="AJA1050" s="103"/>
      <c r="AJM1050" s="104"/>
      <c r="AJN1050" s="103"/>
      <c r="AJZ1050" s="104"/>
      <c r="AKA1050" s="103"/>
      <c r="AKM1050" s="104"/>
      <c r="AKN1050" s="103"/>
      <c r="AKZ1050" s="104"/>
      <c r="ALA1050" s="103"/>
      <c r="ALM1050" s="104"/>
      <c r="ALN1050" s="103"/>
      <c r="ALZ1050" s="104"/>
      <c r="AMA1050" s="103"/>
      <c r="AMM1050" s="104"/>
      <c r="AMN1050" s="103"/>
      <c r="AMZ1050" s="104"/>
      <c r="ANA1050" s="103"/>
      <c r="ANM1050" s="104"/>
      <c r="ANN1050" s="103"/>
      <c r="ANZ1050" s="104"/>
      <c r="AOA1050" s="103"/>
      <c r="AOM1050" s="104"/>
      <c r="AON1050" s="103"/>
      <c r="AOZ1050" s="104"/>
      <c r="APA1050" s="103"/>
      <c r="APM1050" s="104"/>
      <c r="APN1050" s="103"/>
      <c r="APZ1050" s="104"/>
      <c r="AQA1050" s="103"/>
      <c r="AQM1050" s="104"/>
      <c r="AQN1050" s="103"/>
      <c r="AQZ1050" s="104"/>
      <c r="ARA1050" s="103"/>
      <c r="ARM1050" s="104"/>
      <c r="ARN1050" s="103"/>
      <c r="ARZ1050" s="104"/>
      <c r="ASA1050" s="103"/>
      <c r="ASM1050" s="104"/>
      <c r="ASN1050" s="103"/>
      <c r="ASZ1050" s="104"/>
      <c r="ATA1050" s="103"/>
      <c r="ATM1050" s="104"/>
      <c r="ATN1050" s="103"/>
      <c r="ATZ1050" s="104"/>
      <c r="AUA1050" s="103"/>
      <c r="AUM1050" s="104"/>
      <c r="AUN1050" s="103"/>
      <c r="AUZ1050" s="104"/>
      <c r="AVA1050" s="103"/>
      <c r="AVM1050" s="104"/>
      <c r="AVN1050" s="103"/>
      <c r="AVZ1050" s="104"/>
      <c r="AWA1050" s="103"/>
      <c r="AWM1050" s="104"/>
      <c r="AWN1050" s="103"/>
      <c r="AWZ1050" s="104"/>
      <c r="AXA1050" s="103"/>
      <c r="AXM1050" s="104"/>
      <c r="AXN1050" s="103"/>
      <c r="AXZ1050" s="104"/>
      <c r="AYA1050" s="103"/>
      <c r="AYM1050" s="104"/>
      <c r="AYN1050" s="103"/>
      <c r="AYZ1050" s="104"/>
      <c r="AZA1050" s="103"/>
      <c r="AZM1050" s="104"/>
      <c r="AZN1050" s="103"/>
      <c r="AZZ1050" s="104"/>
      <c r="BAA1050" s="103"/>
      <c r="BAM1050" s="104"/>
      <c r="BAN1050" s="103"/>
      <c r="BAZ1050" s="104"/>
      <c r="BBA1050" s="103"/>
      <c r="BBM1050" s="104"/>
      <c r="BBN1050" s="103"/>
      <c r="BBZ1050" s="104"/>
      <c r="BCA1050" s="103"/>
      <c r="BCM1050" s="104"/>
      <c r="BCN1050" s="103"/>
      <c r="BCZ1050" s="104"/>
      <c r="BDA1050" s="103"/>
      <c r="BDM1050" s="104"/>
      <c r="BDN1050" s="103"/>
      <c r="BDZ1050" s="104"/>
      <c r="BEA1050" s="103"/>
      <c r="BEM1050" s="104"/>
      <c r="BEN1050" s="103"/>
      <c r="BEZ1050" s="104"/>
      <c r="BFA1050" s="103"/>
      <c r="BFM1050" s="104"/>
      <c r="BFN1050" s="103"/>
      <c r="BFZ1050" s="104"/>
      <c r="BGA1050" s="103"/>
      <c r="BGM1050" s="104"/>
      <c r="BGN1050" s="103"/>
      <c r="BGZ1050" s="104"/>
      <c r="BHA1050" s="103"/>
      <c r="BHM1050" s="104"/>
      <c r="BHN1050" s="103"/>
      <c r="BHZ1050" s="104"/>
      <c r="BIA1050" s="103"/>
      <c r="BIM1050" s="104"/>
      <c r="BIN1050" s="103"/>
      <c r="BIZ1050" s="104"/>
      <c r="BJA1050" s="103"/>
      <c r="BJM1050" s="104"/>
      <c r="BJN1050" s="103"/>
      <c r="BJZ1050" s="104"/>
      <c r="BKA1050" s="103"/>
      <c r="BKM1050" s="104"/>
      <c r="BKN1050" s="103"/>
      <c r="BKZ1050" s="104"/>
      <c r="BLA1050" s="103"/>
      <c r="BLM1050" s="104"/>
      <c r="BLN1050" s="103"/>
      <c r="BLZ1050" s="104"/>
      <c r="BMA1050" s="103"/>
      <c r="BMM1050" s="104"/>
      <c r="BMN1050" s="103"/>
      <c r="BMZ1050" s="104"/>
      <c r="BNA1050" s="103"/>
      <c r="BNM1050" s="104"/>
      <c r="BNN1050" s="103"/>
      <c r="BNZ1050" s="104"/>
      <c r="BOA1050" s="103"/>
      <c r="BOM1050" s="104"/>
      <c r="BON1050" s="103"/>
      <c r="BOZ1050" s="104"/>
      <c r="BPA1050" s="103"/>
      <c r="BPM1050" s="104"/>
      <c r="BPN1050" s="103"/>
      <c r="BPZ1050" s="104"/>
      <c r="BQA1050" s="103"/>
      <c r="BQM1050" s="104"/>
      <c r="BQN1050" s="103"/>
      <c r="BQZ1050" s="104"/>
      <c r="BRA1050" s="103"/>
      <c r="BRM1050" s="104"/>
      <c r="BRN1050" s="103"/>
      <c r="BRZ1050" s="104"/>
      <c r="BSA1050" s="103"/>
      <c r="BSM1050" s="104"/>
      <c r="BSN1050" s="103"/>
      <c r="BSZ1050" s="104"/>
      <c r="BTA1050" s="103"/>
      <c r="BTM1050" s="104"/>
      <c r="BTN1050" s="103"/>
      <c r="BTZ1050" s="104"/>
      <c r="BUA1050" s="103"/>
      <c r="BUM1050" s="104"/>
      <c r="BUN1050" s="103"/>
      <c r="BUZ1050" s="104"/>
      <c r="BVA1050" s="103"/>
      <c r="BVM1050" s="104"/>
      <c r="BVN1050" s="103"/>
      <c r="BVZ1050" s="104"/>
      <c r="BWA1050" s="103"/>
      <c r="BWM1050" s="104"/>
      <c r="BWN1050" s="103"/>
      <c r="BWZ1050" s="104"/>
      <c r="BXA1050" s="103"/>
      <c r="BXM1050" s="104"/>
      <c r="BXN1050" s="103"/>
      <c r="BXZ1050" s="104"/>
      <c r="BYA1050" s="103"/>
      <c r="BYM1050" s="104"/>
      <c r="BYN1050" s="103"/>
      <c r="BYZ1050" s="104"/>
      <c r="BZA1050" s="103"/>
      <c r="BZM1050" s="104"/>
      <c r="BZN1050" s="103"/>
      <c r="BZZ1050" s="104"/>
      <c r="CAA1050" s="103"/>
      <c r="CAM1050" s="104"/>
      <c r="CAN1050" s="103"/>
      <c r="CAZ1050" s="104"/>
      <c r="CBA1050" s="103"/>
      <c r="CBM1050" s="104"/>
      <c r="CBN1050" s="103"/>
      <c r="CBZ1050" s="104"/>
      <c r="CCA1050" s="103"/>
      <c r="CCM1050" s="104"/>
      <c r="CCN1050" s="103"/>
      <c r="CCZ1050" s="104"/>
      <c r="CDA1050" s="103"/>
      <c r="CDM1050" s="104"/>
      <c r="CDN1050" s="103"/>
      <c r="CDZ1050" s="104"/>
      <c r="CEA1050" s="103"/>
      <c r="CEM1050" s="104"/>
      <c r="CEN1050" s="103"/>
      <c r="CEZ1050" s="104"/>
      <c r="CFA1050" s="103"/>
      <c r="CFM1050" s="104"/>
      <c r="CFN1050" s="103"/>
      <c r="CFZ1050" s="104"/>
      <c r="CGA1050" s="103"/>
      <c r="CGM1050" s="104"/>
      <c r="CGN1050" s="103"/>
      <c r="CGZ1050" s="104"/>
      <c r="CHA1050" s="103"/>
      <c r="CHM1050" s="104"/>
      <c r="CHN1050" s="103"/>
      <c r="CHZ1050" s="104"/>
      <c r="CIA1050" s="103"/>
      <c r="CIM1050" s="104"/>
      <c r="CIN1050" s="103"/>
      <c r="CIZ1050" s="104"/>
      <c r="CJA1050" s="103"/>
      <c r="CJM1050" s="104"/>
      <c r="CJN1050" s="103"/>
      <c r="CJZ1050" s="104"/>
      <c r="CKA1050" s="103"/>
      <c r="CKM1050" s="104"/>
      <c r="CKN1050" s="103"/>
      <c r="CKZ1050" s="104"/>
      <c r="CLA1050" s="103"/>
      <c r="CLM1050" s="104"/>
      <c r="CLN1050" s="103"/>
      <c r="CLZ1050" s="104"/>
      <c r="CMA1050" s="103"/>
      <c r="CMM1050" s="104"/>
      <c r="CMN1050" s="103"/>
      <c r="CMZ1050" s="104"/>
      <c r="CNA1050" s="103"/>
      <c r="CNM1050" s="104"/>
      <c r="CNN1050" s="103"/>
      <c r="CNZ1050" s="104"/>
      <c r="COA1050" s="103"/>
      <c r="COM1050" s="104"/>
      <c r="CON1050" s="103"/>
      <c r="COZ1050" s="104"/>
      <c r="CPA1050" s="103"/>
      <c r="CPM1050" s="104"/>
      <c r="CPN1050" s="103"/>
      <c r="CPZ1050" s="104"/>
      <c r="CQA1050" s="103"/>
      <c r="CQM1050" s="104"/>
      <c r="CQN1050" s="103"/>
      <c r="CQZ1050" s="104"/>
      <c r="CRA1050" s="103"/>
      <c r="CRM1050" s="104"/>
      <c r="CRN1050" s="103"/>
      <c r="CRZ1050" s="104"/>
      <c r="CSA1050" s="103"/>
      <c r="CSM1050" s="104"/>
      <c r="CSN1050" s="103"/>
      <c r="CSZ1050" s="104"/>
      <c r="CTA1050" s="103"/>
      <c r="CTM1050" s="104"/>
      <c r="CTN1050" s="103"/>
      <c r="CTZ1050" s="104"/>
      <c r="CUA1050" s="103"/>
      <c r="CUM1050" s="104"/>
      <c r="CUN1050" s="103"/>
      <c r="CUZ1050" s="104"/>
      <c r="CVA1050" s="103"/>
      <c r="CVM1050" s="104"/>
      <c r="CVN1050" s="103"/>
      <c r="CVZ1050" s="104"/>
      <c r="CWA1050" s="103"/>
      <c r="CWM1050" s="104"/>
      <c r="CWN1050" s="103"/>
      <c r="CWZ1050" s="104"/>
      <c r="CXA1050" s="103"/>
      <c r="CXM1050" s="104"/>
      <c r="CXN1050" s="103"/>
      <c r="CXZ1050" s="104"/>
      <c r="CYA1050" s="103"/>
      <c r="CYM1050" s="104"/>
      <c r="CYN1050" s="103"/>
      <c r="CYZ1050" s="104"/>
      <c r="CZA1050" s="103"/>
      <c r="CZM1050" s="104"/>
      <c r="CZN1050" s="103"/>
      <c r="CZZ1050" s="104"/>
      <c r="DAA1050" s="103"/>
      <c r="DAM1050" s="104"/>
      <c r="DAN1050" s="103"/>
      <c r="DAZ1050" s="104"/>
      <c r="DBA1050" s="103"/>
      <c r="DBM1050" s="104"/>
      <c r="DBN1050" s="103"/>
      <c r="DBZ1050" s="104"/>
      <c r="DCA1050" s="103"/>
      <c r="DCM1050" s="104"/>
      <c r="DCN1050" s="103"/>
      <c r="DCZ1050" s="104"/>
      <c r="DDA1050" s="103"/>
      <c r="DDM1050" s="104"/>
      <c r="DDN1050" s="103"/>
      <c r="DDZ1050" s="104"/>
      <c r="DEA1050" s="103"/>
      <c r="DEM1050" s="104"/>
      <c r="DEN1050" s="103"/>
      <c r="DEZ1050" s="104"/>
      <c r="DFA1050" s="103"/>
      <c r="DFM1050" s="104"/>
      <c r="DFN1050" s="103"/>
      <c r="DFZ1050" s="104"/>
      <c r="DGA1050" s="103"/>
      <c r="DGM1050" s="104"/>
      <c r="DGN1050" s="103"/>
      <c r="DGZ1050" s="104"/>
      <c r="DHA1050" s="103"/>
      <c r="DHM1050" s="104"/>
      <c r="DHN1050" s="103"/>
      <c r="DHZ1050" s="104"/>
      <c r="DIA1050" s="103"/>
      <c r="DIM1050" s="104"/>
      <c r="DIN1050" s="103"/>
      <c r="DIZ1050" s="104"/>
      <c r="DJA1050" s="103"/>
      <c r="DJM1050" s="104"/>
      <c r="DJN1050" s="103"/>
      <c r="DJZ1050" s="104"/>
      <c r="DKA1050" s="103"/>
      <c r="DKM1050" s="104"/>
      <c r="DKN1050" s="103"/>
      <c r="DKZ1050" s="104"/>
      <c r="DLA1050" s="103"/>
      <c r="DLM1050" s="104"/>
      <c r="DLN1050" s="103"/>
      <c r="DLZ1050" s="104"/>
      <c r="DMA1050" s="103"/>
      <c r="DMM1050" s="104"/>
      <c r="DMN1050" s="103"/>
      <c r="DMZ1050" s="104"/>
      <c r="DNA1050" s="103"/>
      <c r="DNM1050" s="104"/>
      <c r="DNN1050" s="103"/>
      <c r="DNZ1050" s="104"/>
      <c r="DOA1050" s="103"/>
      <c r="DOM1050" s="104"/>
      <c r="DON1050" s="103"/>
      <c r="DOZ1050" s="104"/>
      <c r="DPA1050" s="103"/>
      <c r="DPM1050" s="104"/>
      <c r="DPN1050" s="103"/>
      <c r="DPZ1050" s="104"/>
      <c r="DQA1050" s="103"/>
      <c r="DQM1050" s="104"/>
      <c r="DQN1050" s="103"/>
      <c r="DQZ1050" s="104"/>
      <c r="DRA1050" s="103"/>
      <c r="DRM1050" s="104"/>
      <c r="DRN1050" s="103"/>
      <c r="DRZ1050" s="104"/>
      <c r="DSA1050" s="103"/>
      <c r="DSM1050" s="104"/>
      <c r="DSN1050" s="103"/>
      <c r="DSZ1050" s="104"/>
      <c r="DTA1050" s="103"/>
      <c r="DTM1050" s="104"/>
      <c r="DTN1050" s="103"/>
      <c r="DTZ1050" s="104"/>
      <c r="DUA1050" s="103"/>
      <c r="DUM1050" s="104"/>
      <c r="DUN1050" s="103"/>
      <c r="DUZ1050" s="104"/>
      <c r="DVA1050" s="103"/>
      <c r="DVM1050" s="104"/>
      <c r="DVN1050" s="103"/>
      <c r="DVZ1050" s="104"/>
      <c r="DWA1050" s="103"/>
      <c r="DWM1050" s="104"/>
      <c r="DWN1050" s="103"/>
      <c r="DWZ1050" s="104"/>
      <c r="DXA1050" s="103"/>
      <c r="DXM1050" s="104"/>
      <c r="DXN1050" s="103"/>
      <c r="DXZ1050" s="104"/>
      <c r="DYA1050" s="103"/>
      <c r="DYM1050" s="104"/>
      <c r="DYN1050" s="103"/>
      <c r="DYZ1050" s="104"/>
      <c r="DZA1050" s="103"/>
      <c r="DZM1050" s="104"/>
      <c r="DZN1050" s="103"/>
      <c r="DZZ1050" s="104"/>
      <c r="EAA1050" s="103"/>
      <c r="EAM1050" s="104"/>
      <c r="EAN1050" s="103"/>
      <c r="EAZ1050" s="104"/>
      <c r="EBA1050" s="103"/>
      <c r="EBM1050" s="104"/>
      <c r="EBN1050" s="103"/>
      <c r="EBZ1050" s="104"/>
      <c r="ECA1050" s="103"/>
      <c r="ECM1050" s="104"/>
      <c r="ECN1050" s="103"/>
      <c r="ECZ1050" s="104"/>
      <c r="EDA1050" s="103"/>
      <c r="EDM1050" s="104"/>
      <c r="EDN1050" s="103"/>
      <c r="EDZ1050" s="104"/>
      <c r="EEA1050" s="103"/>
      <c r="EEM1050" s="104"/>
      <c r="EEN1050" s="103"/>
      <c r="EEZ1050" s="104"/>
      <c r="EFA1050" s="103"/>
      <c r="EFM1050" s="104"/>
      <c r="EFN1050" s="103"/>
      <c r="EFZ1050" s="104"/>
      <c r="EGA1050" s="103"/>
      <c r="EGM1050" s="104"/>
      <c r="EGN1050" s="103"/>
      <c r="EGZ1050" s="104"/>
      <c r="EHA1050" s="103"/>
      <c r="EHM1050" s="104"/>
      <c r="EHN1050" s="103"/>
      <c r="EHZ1050" s="104"/>
      <c r="EIA1050" s="103"/>
      <c r="EIM1050" s="104"/>
      <c r="EIN1050" s="103"/>
      <c r="EIZ1050" s="104"/>
      <c r="EJA1050" s="103"/>
      <c r="EJM1050" s="104"/>
      <c r="EJN1050" s="103"/>
      <c r="EJZ1050" s="104"/>
      <c r="EKA1050" s="103"/>
      <c r="EKM1050" s="104"/>
      <c r="EKN1050" s="103"/>
      <c r="EKZ1050" s="104"/>
      <c r="ELA1050" s="103"/>
      <c r="ELM1050" s="104"/>
      <c r="ELN1050" s="103"/>
      <c r="ELZ1050" s="104"/>
      <c r="EMA1050" s="103"/>
      <c r="EMM1050" s="104"/>
      <c r="EMN1050" s="103"/>
      <c r="EMZ1050" s="104"/>
      <c r="ENA1050" s="103"/>
      <c r="ENM1050" s="104"/>
      <c r="ENN1050" s="103"/>
      <c r="ENZ1050" s="104"/>
      <c r="EOA1050" s="103"/>
      <c r="EOM1050" s="104"/>
      <c r="EON1050" s="103"/>
      <c r="EOZ1050" s="104"/>
      <c r="EPA1050" s="103"/>
      <c r="EPM1050" s="104"/>
      <c r="EPN1050" s="103"/>
      <c r="EPZ1050" s="104"/>
      <c r="EQA1050" s="103"/>
      <c r="EQM1050" s="104"/>
      <c r="EQN1050" s="103"/>
      <c r="EQZ1050" s="104"/>
      <c r="ERA1050" s="103"/>
      <c r="ERM1050" s="104"/>
      <c r="ERN1050" s="103"/>
      <c r="ERZ1050" s="104"/>
      <c r="ESA1050" s="103"/>
      <c r="ESM1050" s="104"/>
      <c r="ESN1050" s="103"/>
      <c r="ESZ1050" s="104"/>
      <c r="ETA1050" s="103"/>
      <c r="ETM1050" s="104"/>
      <c r="ETN1050" s="103"/>
      <c r="ETZ1050" s="104"/>
      <c r="EUA1050" s="103"/>
      <c r="EUM1050" s="104"/>
      <c r="EUN1050" s="103"/>
      <c r="EUZ1050" s="104"/>
      <c r="EVA1050" s="103"/>
      <c r="EVM1050" s="104"/>
      <c r="EVN1050" s="103"/>
      <c r="EVZ1050" s="104"/>
      <c r="EWA1050" s="103"/>
      <c r="EWM1050" s="104"/>
      <c r="EWN1050" s="103"/>
      <c r="EWZ1050" s="104"/>
      <c r="EXA1050" s="103"/>
      <c r="EXM1050" s="104"/>
      <c r="EXN1050" s="103"/>
      <c r="EXZ1050" s="104"/>
      <c r="EYA1050" s="103"/>
      <c r="EYM1050" s="104"/>
      <c r="EYN1050" s="103"/>
      <c r="EYZ1050" s="104"/>
      <c r="EZA1050" s="103"/>
      <c r="EZM1050" s="104"/>
      <c r="EZN1050" s="103"/>
      <c r="EZZ1050" s="104"/>
      <c r="FAA1050" s="103"/>
      <c r="FAM1050" s="104"/>
      <c r="FAN1050" s="103"/>
      <c r="FAZ1050" s="104"/>
      <c r="FBA1050" s="103"/>
      <c r="FBM1050" s="104"/>
      <c r="FBN1050" s="103"/>
      <c r="FBZ1050" s="104"/>
      <c r="FCA1050" s="103"/>
      <c r="FCM1050" s="104"/>
      <c r="FCN1050" s="103"/>
      <c r="FCZ1050" s="104"/>
      <c r="FDA1050" s="103"/>
      <c r="FDM1050" s="104"/>
      <c r="FDN1050" s="103"/>
      <c r="FDZ1050" s="104"/>
      <c r="FEA1050" s="103"/>
      <c r="FEM1050" s="104"/>
      <c r="FEN1050" s="103"/>
      <c r="FEZ1050" s="104"/>
      <c r="FFA1050" s="103"/>
      <c r="FFM1050" s="104"/>
      <c r="FFN1050" s="103"/>
      <c r="FFZ1050" s="104"/>
      <c r="FGA1050" s="103"/>
      <c r="FGM1050" s="104"/>
      <c r="FGN1050" s="103"/>
      <c r="FGZ1050" s="104"/>
      <c r="FHA1050" s="103"/>
      <c r="FHM1050" s="104"/>
      <c r="FHN1050" s="103"/>
      <c r="FHZ1050" s="104"/>
      <c r="FIA1050" s="103"/>
      <c r="FIM1050" s="104"/>
      <c r="FIN1050" s="103"/>
      <c r="FIZ1050" s="104"/>
      <c r="FJA1050" s="103"/>
      <c r="FJM1050" s="104"/>
      <c r="FJN1050" s="103"/>
      <c r="FJZ1050" s="104"/>
      <c r="FKA1050" s="103"/>
      <c r="FKM1050" s="104"/>
      <c r="FKN1050" s="103"/>
      <c r="FKZ1050" s="104"/>
      <c r="FLA1050" s="103"/>
      <c r="FLM1050" s="104"/>
      <c r="FLN1050" s="103"/>
      <c r="FLZ1050" s="104"/>
      <c r="FMA1050" s="103"/>
      <c r="FMM1050" s="104"/>
      <c r="FMN1050" s="103"/>
      <c r="FMZ1050" s="104"/>
      <c r="FNA1050" s="103"/>
      <c r="FNM1050" s="104"/>
      <c r="FNN1050" s="103"/>
      <c r="FNZ1050" s="104"/>
      <c r="FOA1050" s="103"/>
      <c r="FOM1050" s="104"/>
      <c r="FON1050" s="103"/>
      <c r="FOZ1050" s="104"/>
      <c r="FPA1050" s="103"/>
      <c r="FPM1050" s="104"/>
      <c r="FPN1050" s="103"/>
      <c r="FPZ1050" s="104"/>
      <c r="FQA1050" s="103"/>
      <c r="FQM1050" s="104"/>
      <c r="FQN1050" s="103"/>
      <c r="FQZ1050" s="104"/>
      <c r="FRA1050" s="103"/>
      <c r="FRM1050" s="104"/>
      <c r="FRN1050" s="103"/>
      <c r="FRZ1050" s="104"/>
      <c r="FSA1050" s="103"/>
      <c r="FSM1050" s="104"/>
      <c r="FSN1050" s="103"/>
      <c r="FSZ1050" s="104"/>
      <c r="FTA1050" s="103"/>
      <c r="FTM1050" s="104"/>
      <c r="FTN1050" s="103"/>
      <c r="FTZ1050" s="104"/>
      <c r="FUA1050" s="103"/>
      <c r="FUM1050" s="104"/>
      <c r="FUN1050" s="103"/>
      <c r="FUZ1050" s="104"/>
      <c r="FVA1050" s="103"/>
      <c r="FVM1050" s="104"/>
      <c r="FVN1050" s="103"/>
      <c r="FVZ1050" s="104"/>
      <c r="FWA1050" s="103"/>
      <c r="FWM1050" s="104"/>
      <c r="FWN1050" s="103"/>
      <c r="FWZ1050" s="104"/>
      <c r="FXA1050" s="103"/>
      <c r="FXM1050" s="104"/>
      <c r="FXN1050" s="103"/>
      <c r="FXZ1050" s="104"/>
      <c r="FYA1050" s="103"/>
      <c r="FYM1050" s="104"/>
      <c r="FYN1050" s="103"/>
      <c r="FYZ1050" s="104"/>
      <c r="FZA1050" s="103"/>
      <c r="FZM1050" s="104"/>
      <c r="FZN1050" s="103"/>
      <c r="FZZ1050" s="104"/>
      <c r="GAA1050" s="103"/>
      <c r="GAM1050" s="104"/>
      <c r="GAN1050" s="103"/>
      <c r="GAZ1050" s="104"/>
      <c r="GBA1050" s="103"/>
      <c r="GBM1050" s="104"/>
      <c r="GBN1050" s="103"/>
      <c r="GBZ1050" s="104"/>
      <c r="GCA1050" s="103"/>
      <c r="GCM1050" s="104"/>
      <c r="GCN1050" s="103"/>
      <c r="GCZ1050" s="104"/>
      <c r="GDA1050" s="103"/>
      <c r="GDM1050" s="104"/>
      <c r="GDN1050" s="103"/>
      <c r="GDZ1050" s="104"/>
      <c r="GEA1050" s="103"/>
      <c r="GEM1050" s="104"/>
      <c r="GEN1050" s="103"/>
      <c r="GEZ1050" s="104"/>
      <c r="GFA1050" s="103"/>
      <c r="GFM1050" s="104"/>
      <c r="GFN1050" s="103"/>
      <c r="GFZ1050" s="104"/>
      <c r="GGA1050" s="103"/>
      <c r="GGM1050" s="104"/>
      <c r="GGN1050" s="103"/>
      <c r="GGZ1050" s="104"/>
      <c r="GHA1050" s="103"/>
      <c r="GHM1050" s="104"/>
      <c r="GHN1050" s="103"/>
      <c r="GHZ1050" s="104"/>
      <c r="GIA1050" s="103"/>
      <c r="GIM1050" s="104"/>
      <c r="GIN1050" s="103"/>
      <c r="GIZ1050" s="104"/>
      <c r="GJA1050" s="103"/>
      <c r="GJM1050" s="104"/>
      <c r="GJN1050" s="103"/>
      <c r="GJZ1050" s="104"/>
      <c r="GKA1050" s="103"/>
      <c r="GKM1050" s="104"/>
      <c r="GKN1050" s="103"/>
      <c r="GKZ1050" s="104"/>
      <c r="GLA1050" s="103"/>
      <c r="GLM1050" s="104"/>
      <c r="GLN1050" s="103"/>
      <c r="GLZ1050" s="104"/>
      <c r="GMA1050" s="103"/>
      <c r="GMM1050" s="104"/>
      <c r="GMN1050" s="103"/>
      <c r="GMZ1050" s="104"/>
      <c r="GNA1050" s="103"/>
      <c r="GNM1050" s="104"/>
      <c r="GNN1050" s="103"/>
      <c r="GNZ1050" s="104"/>
      <c r="GOA1050" s="103"/>
      <c r="GOM1050" s="104"/>
      <c r="GON1050" s="103"/>
      <c r="GOZ1050" s="104"/>
      <c r="GPA1050" s="103"/>
      <c r="GPM1050" s="104"/>
      <c r="GPN1050" s="103"/>
      <c r="GPZ1050" s="104"/>
      <c r="GQA1050" s="103"/>
      <c r="GQM1050" s="104"/>
      <c r="GQN1050" s="103"/>
      <c r="GQZ1050" s="104"/>
      <c r="GRA1050" s="103"/>
      <c r="GRM1050" s="104"/>
      <c r="GRN1050" s="103"/>
      <c r="GRZ1050" s="104"/>
      <c r="GSA1050" s="103"/>
      <c r="GSM1050" s="104"/>
      <c r="GSN1050" s="103"/>
      <c r="GSZ1050" s="104"/>
      <c r="GTA1050" s="103"/>
      <c r="GTM1050" s="104"/>
      <c r="GTN1050" s="103"/>
      <c r="GTZ1050" s="104"/>
      <c r="GUA1050" s="103"/>
      <c r="GUM1050" s="104"/>
      <c r="GUN1050" s="103"/>
      <c r="GUZ1050" s="104"/>
      <c r="GVA1050" s="103"/>
      <c r="GVM1050" s="104"/>
      <c r="GVN1050" s="103"/>
      <c r="GVZ1050" s="104"/>
      <c r="GWA1050" s="103"/>
      <c r="GWM1050" s="104"/>
      <c r="GWN1050" s="103"/>
      <c r="GWZ1050" s="104"/>
      <c r="GXA1050" s="103"/>
      <c r="GXM1050" s="104"/>
      <c r="GXN1050" s="103"/>
      <c r="GXZ1050" s="104"/>
      <c r="GYA1050" s="103"/>
      <c r="GYM1050" s="104"/>
      <c r="GYN1050" s="103"/>
      <c r="GYZ1050" s="104"/>
      <c r="GZA1050" s="103"/>
      <c r="GZM1050" s="104"/>
      <c r="GZN1050" s="103"/>
      <c r="GZZ1050" s="104"/>
      <c r="HAA1050" s="103"/>
      <c r="HAM1050" s="104"/>
      <c r="HAN1050" s="103"/>
      <c r="HAZ1050" s="104"/>
      <c r="HBA1050" s="103"/>
      <c r="HBM1050" s="104"/>
      <c r="HBN1050" s="103"/>
      <c r="HBZ1050" s="104"/>
      <c r="HCA1050" s="103"/>
      <c r="HCM1050" s="104"/>
      <c r="HCN1050" s="103"/>
      <c r="HCZ1050" s="104"/>
      <c r="HDA1050" s="103"/>
      <c r="HDM1050" s="104"/>
      <c r="HDN1050" s="103"/>
      <c r="HDZ1050" s="104"/>
      <c r="HEA1050" s="103"/>
      <c r="HEM1050" s="104"/>
      <c r="HEN1050" s="103"/>
      <c r="HEZ1050" s="104"/>
      <c r="HFA1050" s="103"/>
      <c r="HFM1050" s="104"/>
      <c r="HFN1050" s="103"/>
      <c r="HFZ1050" s="104"/>
      <c r="HGA1050" s="103"/>
      <c r="HGM1050" s="104"/>
      <c r="HGN1050" s="103"/>
      <c r="HGZ1050" s="104"/>
      <c r="HHA1050" s="103"/>
      <c r="HHM1050" s="104"/>
      <c r="HHN1050" s="103"/>
      <c r="HHZ1050" s="104"/>
      <c r="HIA1050" s="103"/>
      <c r="HIM1050" s="104"/>
      <c r="HIN1050" s="103"/>
      <c r="HIZ1050" s="104"/>
      <c r="HJA1050" s="103"/>
      <c r="HJM1050" s="104"/>
      <c r="HJN1050" s="103"/>
      <c r="HJZ1050" s="104"/>
      <c r="HKA1050" s="103"/>
      <c r="HKM1050" s="104"/>
      <c r="HKN1050" s="103"/>
      <c r="HKZ1050" s="104"/>
      <c r="HLA1050" s="103"/>
      <c r="HLM1050" s="104"/>
      <c r="HLN1050" s="103"/>
      <c r="HLZ1050" s="104"/>
      <c r="HMA1050" s="103"/>
      <c r="HMM1050" s="104"/>
      <c r="HMN1050" s="103"/>
      <c r="HMZ1050" s="104"/>
      <c r="HNA1050" s="103"/>
      <c r="HNM1050" s="104"/>
      <c r="HNN1050" s="103"/>
      <c r="HNZ1050" s="104"/>
      <c r="HOA1050" s="103"/>
      <c r="HOM1050" s="104"/>
      <c r="HON1050" s="103"/>
      <c r="HOZ1050" s="104"/>
      <c r="HPA1050" s="103"/>
      <c r="HPM1050" s="104"/>
      <c r="HPN1050" s="103"/>
      <c r="HPZ1050" s="104"/>
      <c r="HQA1050" s="103"/>
      <c r="HQM1050" s="104"/>
      <c r="HQN1050" s="103"/>
      <c r="HQZ1050" s="104"/>
      <c r="HRA1050" s="103"/>
      <c r="HRM1050" s="104"/>
      <c r="HRN1050" s="103"/>
      <c r="HRZ1050" s="104"/>
      <c r="HSA1050" s="103"/>
      <c r="HSM1050" s="104"/>
      <c r="HSN1050" s="103"/>
      <c r="HSZ1050" s="104"/>
      <c r="HTA1050" s="103"/>
      <c r="HTM1050" s="104"/>
      <c r="HTN1050" s="103"/>
      <c r="HTZ1050" s="104"/>
      <c r="HUA1050" s="103"/>
      <c r="HUM1050" s="104"/>
      <c r="HUN1050" s="103"/>
      <c r="HUZ1050" s="104"/>
      <c r="HVA1050" s="103"/>
      <c r="HVM1050" s="104"/>
      <c r="HVN1050" s="103"/>
      <c r="HVZ1050" s="104"/>
      <c r="HWA1050" s="103"/>
      <c r="HWM1050" s="104"/>
      <c r="HWN1050" s="103"/>
      <c r="HWZ1050" s="104"/>
      <c r="HXA1050" s="103"/>
      <c r="HXM1050" s="104"/>
      <c r="HXN1050" s="103"/>
      <c r="HXZ1050" s="104"/>
      <c r="HYA1050" s="103"/>
      <c r="HYM1050" s="104"/>
      <c r="HYN1050" s="103"/>
      <c r="HYZ1050" s="104"/>
      <c r="HZA1050" s="103"/>
      <c r="HZM1050" s="104"/>
      <c r="HZN1050" s="103"/>
      <c r="HZZ1050" s="104"/>
      <c r="IAA1050" s="103"/>
      <c r="IAM1050" s="104"/>
      <c r="IAN1050" s="103"/>
      <c r="IAZ1050" s="104"/>
      <c r="IBA1050" s="103"/>
      <c r="IBM1050" s="104"/>
      <c r="IBN1050" s="103"/>
      <c r="IBZ1050" s="104"/>
      <c r="ICA1050" s="103"/>
      <c r="ICM1050" s="104"/>
      <c r="ICN1050" s="103"/>
      <c r="ICZ1050" s="104"/>
      <c r="IDA1050" s="103"/>
      <c r="IDM1050" s="104"/>
      <c r="IDN1050" s="103"/>
      <c r="IDZ1050" s="104"/>
      <c r="IEA1050" s="103"/>
      <c r="IEM1050" s="104"/>
      <c r="IEN1050" s="103"/>
      <c r="IEZ1050" s="104"/>
      <c r="IFA1050" s="103"/>
      <c r="IFM1050" s="104"/>
      <c r="IFN1050" s="103"/>
      <c r="IFZ1050" s="104"/>
      <c r="IGA1050" s="103"/>
      <c r="IGM1050" s="104"/>
      <c r="IGN1050" s="103"/>
      <c r="IGZ1050" s="104"/>
      <c r="IHA1050" s="103"/>
      <c r="IHM1050" s="104"/>
      <c r="IHN1050" s="103"/>
      <c r="IHZ1050" s="104"/>
      <c r="IIA1050" s="103"/>
      <c r="IIM1050" s="104"/>
      <c r="IIN1050" s="103"/>
      <c r="IIZ1050" s="104"/>
      <c r="IJA1050" s="103"/>
      <c r="IJM1050" s="104"/>
      <c r="IJN1050" s="103"/>
      <c r="IJZ1050" s="104"/>
      <c r="IKA1050" s="103"/>
      <c r="IKM1050" s="104"/>
      <c r="IKN1050" s="103"/>
      <c r="IKZ1050" s="104"/>
      <c r="ILA1050" s="103"/>
      <c r="ILM1050" s="104"/>
      <c r="ILN1050" s="103"/>
      <c r="ILZ1050" s="104"/>
      <c r="IMA1050" s="103"/>
      <c r="IMM1050" s="104"/>
      <c r="IMN1050" s="103"/>
      <c r="IMZ1050" s="104"/>
      <c r="INA1050" s="103"/>
      <c r="INM1050" s="104"/>
      <c r="INN1050" s="103"/>
      <c r="INZ1050" s="104"/>
      <c r="IOA1050" s="103"/>
      <c r="IOM1050" s="104"/>
      <c r="ION1050" s="103"/>
      <c r="IOZ1050" s="104"/>
      <c r="IPA1050" s="103"/>
      <c r="IPM1050" s="104"/>
      <c r="IPN1050" s="103"/>
      <c r="IPZ1050" s="104"/>
      <c r="IQA1050" s="103"/>
      <c r="IQM1050" s="104"/>
      <c r="IQN1050" s="103"/>
      <c r="IQZ1050" s="104"/>
      <c r="IRA1050" s="103"/>
      <c r="IRM1050" s="104"/>
      <c r="IRN1050" s="103"/>
      <c r="IRZ1050" s="104"/>
      <c r="ISA1050" s="103"/>
      <c r="ISM1050" s="104"/>
      <c r="ISN1050" s="103"/>
      <c r="ISZ1050" s="104"/>
      <c r="ITA1050" s="103"/>
      <c r="ITM1050" s="104"/>
      <c r="ITN1050" s="103"/>
      <c r="ITZ1050" s="104"/>
      <c r="IUA1050" s="103"/>
      <c r="IUM1050" s="104"/>
      <c r="IUN1050" s="103"/>
      <c r="IUZ1050" s="104"/>
      <c r="IVA1050" s="103"/>
      <c r="IVM1050" s="104"/>
      <c r="IVN1050" s="103"/>
      <c r="IVZ1050" s="104"/>
      <c r="IWA1050" s="103"/>
      <c r="IWM1050" s="104"/>
      <c r="IWN1050" s="103"/>
      <c r="IWZ1050" s="104"/>
      <c r="IXA1050" s="103"/>
      <c r="IXM1050" s="104"/>
      <c r="IXN1050" s="103"/>
      <c r="IXZ1050" s="104"/>
      <c r="IYA1050" s="103"/>
      <c r="IYM1050" s="104"/>
      <c r="IYN1050" s="103"/>
      <c r="IYZ1050" s="104"/>
      <c r="IZA1050" s="103"/>
      <c r="IZM1050" s="104"/>
      <c r="IZN1050" s="103"/>
      <c r="IZZ1050" s="104"/>
      <c r="JAA1050" s="103"/>
      <c r="JAM1050" s="104"/>
      <c r="JAN1050" s="103"/>
      <c r="JAZ1050" s="104"/>
      <c r="JBA1050" s="103"/>
      <c r="JBM1050" s="104"/>
      <c r="JBN1050" s="103"/>
      <c r="JBZ1050" s="104"/>
      <c r="JCA1050" s="103"/>
      <c r="JCM1050" s="104"/>
      <c r="JCN1050" s="103"/>
      <c r="JCZ1050" s="104"/>
      <c r="JDA1050" s="103"/>
      <c r="JDM1050" s="104"/>
      <c r="JDN1050" s="103"/>
      <c r="JDZ1050" s="104"/>
      <c r="JEA1050" s="103"/>
      <c r="JEM1050" s="104"/>
      <c r="JEN1050" s="103"/>
      <c r="JEZ1050" s="104"/>
      <c r="JFA1050" s="103"/>
      <c r="JFM1050" s="104"/>
      <c r="JFN1050" s="103"/>
      <c r="JFZ1050" s="104"/>
      <c r="JGA1050" s="103"/>
      <c r="JGM1050" s="104"/>
      <c r="JGN1050" s="103"/>
      <c r="JGZ1050" s="104"/>
      <c r="JHA1050" s="103"/>
      <c r="JHM1050" s="104"/>
      <c r="JHN1050" s="103"/>
      <c r="JHZ1050" s="104"/>
      <c r="JIA1050" s="103"/>
      <c r="JIM1050" s="104"/>
      <c r="JIN1050" s="103"/>
      <c r="JIZ1050" s="104"/>
      <c r="JJA1050" s="103"/>
      <c r="JJM1050" s="104"/>
      <c r="JJN1050" s="103"/>
      <c r="JJZ1050" s="104"/>
      <c r="JKA1050" s="103"/>
      <c r="JKM1050" s="104"/>
      <c r="JKN1050" s="103"/>
      <c r="JKZ1050" s="104"/>
      <c r="JLA1050" s="103"/>
      <c r="JLM1050" s="104"/>
      <c r="JLN1050" s="103"/>
      <c r="JLZ1050" s="104"/>
      <c r="JMA1050" s="103"/>
      <c r="JMM1050" s="104"/>
      <c r="JMN1050" s="103"/>
      <c r="JMZ1050" s="104"/>
      <c r="JNA1050" s="103"/>
      <c r="JNM1050" s="104"/>
      <c r="JNN1050" s="103"/>
      <c r="JNZ1050" s="104"/>
      <c r="JOA1050" s="103"/>
      <c r="JOM1050" s="104"/>
      <c r="JON1050" s="103"/>
      <c r="JOZ1050" s="104"/>
      <c r="JPA1050" s="103"/>
      <c r="JPM1050" s="104"/>
      <c r="JPN1050" s="103"/>
      <c r="JPZ1050" s="104"/>
      <c r="JQA1050" s="103"/>
      <c r="JQM1050" s="104"/>
      <c r="JQN1050" s="103"/>
      <c r="JQZ1050" s="104"/>
      <c r="JRA1050" s="103"/>
      <c r="JRM1050" s="104"/>
      <c r="JRN1050" s="103"/>
      <c r="JRZ1050" s="104"/>
      <c r="JSA1050" s="103"/>
      <c r="JSM1050" s="104"/>
      <c r="JSN1050" s="103"/>
      <c r="JSZ1050" s="104"/>
      <c r="JTA1050" s="103"/>
      <c r="JTM1050" s="104"/>
      <c r="JTN1050" s="103"/>
      <c r="JTZ1050" s="104"/>
      <c r="JUA1050" s="103"/>
      <c r="JUM1050" s="104"/>
      <c r="JUN1050" s="103"/>
      <c r="JUZ1050" s="104"/>
      <c r="JVA1050" s="103"/>
      <c r="JVM1050" s="104"/>
      <c r="JVN1050" s="103"/>
      <c r="JVZ1050" s="104"/>
      <c r="JWA1050" s="103"/>
      <c r="JWM1050" s="104"/>
      <c r="JWN1050" s="103"/>
      <c r="JWZ1050" s="104"/>
      <c r="JXA1050" s="103"/>
      <c r="JXM1050" s="104"/>
      <c r="JXN1050" s="103"/>
      <c r="JXZ1050" s="104"/>
      <c r="JYA1050" s="103"/>
      <c r="JYM1050" s="104"/>
      <c r="JYN1050" s="103"/>
      <c r="JYZ1050" s="104"/>
      <c r="JZA1050" s="103"/>
      <c r="JZM1050" s="104"/>
      <c r="JZN1050" s="103"/>
      <c r="JZZ1050" s="104"/>
      <c r="KAA1050" s="103"/>
      <c r="KAM1050" s="104"/>
      <c r="KAN1050" s="103"/>
      <c r="KAZ1050" s="104"/>
      <c r="KBA1050" s="103"/>
      <c r="KBM1050" s="104"/>
      <c r="KBN1050" s="103"/>
      <c r="KBZ1050" s="104"/>
      <c r="KCA1050" s="103"/>
      <c r="KCM1050" s="104"/>
      <c r="KCN1050" s="103"/>
      <c r="KCZ1050" s="104"/>
      <c r="KDA1050" s="103"/>
      <c r="KDM1050" s="104"/>
      <c r="KDN1050" s="103"/>
      <c r="KDZ1050" s="104"/>
      <c r="KEA1050" s="103"/>
      <c r="KEM1050" s="104"/>
      <c r="KEN1050" s="103"/>
      <c r="KEZ1050" s="104"/>
      <c r="KFA1050" s="103"/>
      <c r="KFM1050" s="104"/>
      <c r="KFN1050" s="103"/>
      <c r="KFZ1050" s="104"/>
      <c r="KGA1050" s="103"/>
      <c r="KGM1050" s="104"/>
      <c r="KGN1050" s="103"/>
      <c r="KGZ1050" s="104"/>
      <c r="KHA1050" s="103"/>
      <c r="KHM1050" s="104"/>
      <c r="KHN1050" s="103"/>
      <c r="KHZ1050" s="104"/>
      <c r="KIA1050" s="103"/>
      <c r="KIM1050" s="104"/>
      <c r="KIN1050" s="103"/>
      <c r="KIZ1050" s="104"/>
      <c r="KJA1050" s="103"/>
      <c r="KJM1050" s="104"/>
      <c r="KJN1050" s="103"/>
      <c r="KJZ1050" s="104"/>
      <c r="KKA1050" s="103"/>
      <c r="KKM1050" s="104"/>
      <c r="KKN1050" s="103"/>
      <c r="KKZ1050" s="104"/>
      <c r="KLA1050" s="103"/>
      <c r="KLM1050" s="104"/>
      <c r="KLN1050" s="103"/>
      <c r="KLZ1050" s="104"/>
      <c r="KMA1050" s="103"/>
      <c r="KMM1050" s="104"/>
      <c r="KMN1050" s="103"/>
      <c r="KMZ1050" s="104"/>
      <c r="KNA1050" s="103"/>
      <c r="KNM1050" s="104"/>
      <c r="KNN1050" s="103"/>
      <c r="KNZ1050" s="104"/>
      <c r="KOA1050" s="103"/>
      <c r="KOM1050" s="104"/>
      <c r="KON1050" s="103"/>
      <c r="KOZ1050" s="104"/>
      <c r="KPA1050" s="103"/>
      <c r="KPM1050" s="104"/>
      <c r="KPN1050" s="103"/>
      <c r="KPZ1050" s="104"/>
      <c r="KQA1050" s="103"/>
      <c r="KQM1050" s="104"/>
      <c r="KQN1050" s="103"/>
      <c r="KQZ1050" s="104"/>
      <c r="KRA1050" s="103"/>
      <c r="KRM1050" s="104"/>
      <c r="KRN1050" s="103"/>
      <c r="KRZ1050" s="104"/>
      <c r="KSA1050" s="103"/>
      <c r="KSM1050" s="104"/>
      <c r="KSN1050" s="103"/>
      <c r="KSZ1050" s="104"/>
      <c r="KTA1050" s="103"/>
      <c r="KTM1050" s="104"/>
      <c r="KTN1050" s="103"/>
      <c r="KTZ1050" s="104"/>
      <c r="KUA1050" s="103"/>
      <c r="KUM1050" s="104"/>
      <c r="KUN1050" s="103"/>
      <c r="KUZ1050" s="104"/>
      <c r="KVA1050" s="103"/>
      <c r="KVM1050" s="104"/>
      <c r="KVN1050" s="103"/>
      <c r="KVZ1050" s="104"/>
      <c r="KWA1050" s="103"/>
      <c r="KWM1050" s="104"/>
      <c r="KWN1050" s="103"/>
      <c r="KWZ1050" s="104"/>
      <c r="KXA1050" s="103"/>
      <c r="KXM1050" s="104"/>
      <c r="KXN1050" s="103"/>
      <c r="KXZ1050" s="104"/>
      <c r="KYA1050" s="103"/>
      <c r="KYM1050" s="104"/>
      <c r="KYN1050" s="103"/>
      <c r="KYZ1050" s="104"/>
      <c r="KZA1050" s="103"/>
      <c r="KZM1050" s="104"/>
      <c r="KZN1050" s="103"/>
      <c r="KZZ1050" s="104"/>
      <c r="LAA1050" s="103"/>
      <c r="LAM1050" s="104"/>
      <c r="LAN1050" s="103"/>
      <c r="LAZ1050" s="104"/>
      <c r="LBA1050" s="103"/>
      <c r="LBM1050" s="104"/>
      <c r="LBN1050" s="103"/>
      <c r="LBZ1050" s="104"/>
      <c r="LCA1050" s="103"/>
      <c r="LCM1050" s="104"/>
      <c r="LCN1050" s="103"/>
      <c r="LCZ1050" s="104"/>
      <c r="LDA1050" s="103"/>
      <c r="LDM1050" s="104"/>
      <c r="LDN1050" s="103"/>
      <c r="LDZ1050" s="104"/>
      <c r="LEA1050" s="103"/>
      <c r="LEM1050" s="104"/>
      <c r="LEN1050" s="103"/>
      <c r="LEZ1050" s="104"/>
      <c r="LFA1050" s="103"/>
      <c r="LFM1050" s="104"/>
      <c r="LFN1050" s="103"/>
      <c r="LFZ1050" s="104"/>
      <c r="LGA1050" s="103"/>
      <c r="LGM1050" s="104"/>
      <c r="LGN1050" s="103"/>
      <c r="LGZ1050" s="104"/>
      <c r="LHA1050" s="103"/>
      <c r="LHM1050" s="104"/>
      <c r="LHN1050" s="103"/>
      <c r="LHZ1050" s="104"/>
      <c r="LIA1050" s="103"/>
      <c r="LIM1050" s="104"/>
      <c r="LIN1050" s="103"/>
      <c r="LIZ1050" s="104"/>
      <c r="LJA1050" s="103"/>
      <c r="LJM1050" s="104"/>
      <c r="LJN1050" s="103"/>
      <c r="LJZ1050" s="104"/>
      <c r="LKA1050" s="103"/>
      <c r="LKM1050" s="104"/>
      <c r="LKN1050" s="103"/>
      <c r="LKZ1050" s="104"/>
      <c r="LLA1050" s="103"/>
      <c r="LLM1050" s="104"/>
      <c r="LLN1050" s="103"/>
      <c r="LLZ1050" s="104"/>
      <c r="LMA1050" s="103"/>
      <c r="LMM1050" s="104"/>
      <c r="LMN1050" s="103"/>
      <c r="LMZ1050" s="104"/>
      <c r="LNA1050" s="103"/>
      <c r="LNM1050" s="104"/>
      <c r="LNN1050" s="103"/>
      <c r="LNZ1050" s="104"/>
      <c r="LOA1050" s="103"/>
      <c r="LOM1050" s="104"/>
      <c r="LON1050" s="103"/>
      <c r="LOZ1050" s="104"/>
      <c r="LPA1050" s="103"/>
      <c r="LPM1050" s="104"/>
      <c r="LPN1050" s="103"/>
      <c r="LPZ1050" s="104"/>
      <c r="LQA1050" s="103"/>
      <c r="LQM1050" s="104"/>
      <c r="LQN1050" s="103"/>
      <c r="LQZ1050" s="104"/>
      <c r="LRA1050" s="103"/>
      <c r="LRM1050" s="104"/>
      <c r="LRN1050" s="103"/>
      <c r="LRZ1050" s="104"/>
      <c r="LSA1050" s="103"/>
      <c r="LSM1050" s="104"/>
      <c r="LSN1050" s="103"/>
      <c r="LSZ1050" s="104"/>
      <c r="LTA1050" s="103"/>
      <c r="LTM1050" s="104"/>
      <c r="LTN1050" s="103"/>
      <c r="LTZ1050" s="104"/>
      <c r="LUA1050" s="103"/>
      <c r="LUM1050" s="104"/>
      <c r="LUN1050" s="103"/>
      <c r="LUZ1050" s="104"/>
      <c r="LVA1050" s="103"/>
      <c r="LVM1050" s="104"/>
      <c r="LVN1050" s="103"/>
      <c r="LVZ1050" s="104"/>
      <c r="LWA1050" s="103"/>
      <c r="LWM1050" s="104"/>
      <c r="LWN1050" s="103"/>
      <c r="LWZ1050" s="104"/>
      <c r="LXA1050" s="103"/>
      <c r="LXM1050" s="104"/>
      <c r="LXN1050" s="103"/>
      <c r="LXZ1050" s="104"/>
      <c r="LYA1050" s="103"/>
      <c r="LYM1050" s="104"/>
      <c r="LYN1050" s="103"/>
      <c r="LYZ1050" s="104"/>
      <c r="LZA1050" s="103"/>
      <c r="LZM1050" s="104"/>
      <c r="LZN1050" s="103"/>
      <c r="LZZ1050" s="104"/>
      <c r="MAA1050" s="103"/>
      <c r="MAM1050" s="104"/>
      <c r="MAN1050" s="103"/>
      <c r="MAZ1050" s="104"/>
      <c r="MBA1050" s="103"/>
      <c r="MBM1050" s="104"/>
      <c r="MBN1050" s="103"/>
      <c r="MBZ1050" s="104"/>
      <c r="MCA1050" s="103"/>
      <c r="MCM1050" s="104"/>
      <c r="MCN1050" s="103"/>
      <c r="MCZ1050" s="104"/>
      <c r="MDA1050" s="103"/>
      <c r="MDM1050" s="104"/>
      <c r="MDN1050" s="103"/>
      <c r="MDZ1050" s="104"/>
      <c r="MEA1050" s="103"/>
      <c r="MEM1050" s="104"/>
      <c r="MEN1050" s="103"/>
      <c r="MEZ1050" s="104"/>
      <c r="MFA1050" s="103"/>
      <c r="MFM1050" s="104"/>
      <c r="MFN1050" s="103"/>
      <c r="MFZ1050" s="104"/>
      <c r="MGA1050" s="103"/>
      <c r="MGM1050" s="104"/>
      <c r="MGN1050" s="103"/>
      <c r="MGZ1050" s="104"/>
      <c r="MHA1050" s="103"/>
      <c r="MHM1050" s="104"/>
      <c r="MHN1050" s="103"/>
      <c r="MHZ1050" s="104"/>
      <c r="MIA1050" s="103"/>
      <c r="MIM1050" s="104"/>
      <c r="MIN1050" s="103"/>
      <c r="MIZ1050" s="104"/>
      <c r="MJA1050" s="103"/>
      <c r="MJM1050" s="104"/>
      <c r="MJN1050" s="103"/>
      <c r="MJZ1050" s="104"/>
      <c r="MKA1050" s="103"/>
      <c r="MKM1050" s="104"/>
      <c r="MKN1050" s="103"/>
      <c r="MKZ1050" s="104"/>
      <c r="MLA1050" s="103"/>
      <c r="MLM1050" s="104"/>
      <c r="MLN1050" s="103"/>
      <c r="MLZ1050" s="104"/>
      <c r="MMA1050" s="103"/>
      <c r="MMM1050" s="104"/>
      <c r="MMN1050" s="103"/>
      <c r="MMZ1050" s="104"/>
      <c r="MNA1050" s="103"/>
      <c r="MNM1050" s="104"/>
      <c r="MNN1050" s="103"/>
      <c r="MNZ1050" s="104"/>
      <c r="MOA1050" s="103"/>
      <c r="MOM1050" s="104"/>
      <c r="MON1050" s="103"/>
      <c r="MOZ1050" s="104"/>
      <c r="MPA1050" s="103"/>
      <c r="MPM1050" s="104"/>
      <c r="MPN1050" s="103"/>
      <c r="MPZ1050" s="104"/>
      <c r="MQA1050" s="103"/>
      <c r="MQM1050" s="104"/>
      <c r="MQN1050" s="103"/>
      <c r="MQZ1050" s="104"/>
      <c r="MRA1050" s="103"/>
      <c r="MRM1050" s="104"/>
      <c r="MRN1050" s="103"/>
      <c r="MRZ1050" s="104"/>
      <c r="MSA1050" s="103"/>
      <c r="MSM1050" s="104"/>
      <c r="MSN1050" s="103"/>
      <c r="MSZ1050" s="104"/>
      <c r="MTA1050" s="103"/>
      <c r="MTM1050" s="104"/>
      <c r="MTN1050" s="103"/>
      <c r="MTZ1050" s="104"/>
      <c r="MUA1050" s="103"/>
      <c r="MUM1050" s="104"/>
      <c r="MUN1050" s="103"/>
      <c r="MUZ1050" s="104"/>
      <c r="MVA1050" s="103"/>
      <c r="MVM1050" s="104"/>
      <c r="MVN1050" s="103"/>
      <c r="MVZ1050" s="104"/>
      <c r="MWA1050" s="103"/>
      <c r="MWM1050" s="104"/>
      <c r="MWN1050" s="103"/>
      <c r="MWZ1050" s="104"/>
      <c r="MXA1050" s="103"/>
      <c r="MXM1050" s="104"/>
      <c r="MXN1050" s="103"/>
      <c r="MXZ1050" s="104"/>
      <c r="MYA1050" s="103"/>
      <c r="MYM1050" s="104"/>
      <c r="MYN1050" s="103"/>
      <c r="MYZ1050" s="104"/>
      <c r="MZA1050" s="103"/>
      <c r="MZM1050" s="104"/>
      <c r="MZN1050" s="103"/>
      <c r="MZZ1050" s="104"/>
      <c r="NAA1050" s="103"/>
      <c r="NAM1050" s="104"/>
      <c r="NAN1050" s="103"/>
      <c r="NAZ1050" s="104"/>
      <c r="NBA1050" s="103"/>
      <c r="NBM1050" s="104"/>
      <c r="NBN1050" s="103"/>
      <c r="NBZ1050" s="104"/>
      <c r="NCA1050" s="103"/>
      <c r="NCM1050" s="104"/>
      <c r="NCN1050" s="103"/>
      <c r="NCZ1050" s="104"/>
      <c r="NDA1050" s="103"/>
      <c r="NDM1050" s="104"/>
      <c r="NDN1050" s="103"/>
      <c r="NDZ1050" s="104"/>
      <c r="NEA1050" s="103"/>
      <c r="NEM1050" s="104"/>
      <c r="NEN1050" s="103"/>
      <c r="NEZ1050" s="104"/>
      <c r="NFA1050" s="103"/>
      <c r="NFM1050" s="104"/>
      <c r="NFN1050" s="103"/>
      <c r="NFZ1050" s="104"/>
      <c r="NGA1050" s="103"/>
      <c r="NGM1050" s="104"/>
      <c r="NGN1050" s="103"/>
      <c r="NGZ1050" s="104"/>
      <c r="NHA1050" s="103"/>
      <c r="NHM1050" s="104"/>
      <c r="NHN1050" s="103"/>
      <c r="NHZ1050" s="104"/>
      <c r="NIA1050" s="103"/>
      <c r="NIM1050" s="104"/>
      <c r="NIN1050" s="103"/>
      <c r="NIZ1050" s="104"/>
      <c r="NJA1050" s="103"/>
      <c r="NJM1050" s="104"/>
      <c r="NJN1050" s="103"/>
      <c r="NJZ1050" s="104"/>
      <c r="NKA1050" s="103"/>
      <c r="NKM1050" s="104"/>
      <c r="NKN1050" s="103"/>
      <c r="NKZ1050" s="104"/>
      <c r="NLA1050" s="103"/>
      <c r="NLM1050" s="104"/>
      <c r="NLN1050" s="103"/>
      <c r="NLZ1050" s="104"/>
      <c r="NMA1050" s="103"/>
      <c r="NMM1050" s="104"/>
      <c r="NMN1050" s="103"/>
      <c r="NMZ1050" s="104"/>
      <c r="NNA1050" s="103"/>
      <c r="NNM1050" s="104"/>
      <c r="NNN1050" s="103"/>
      <c r="NNZ1050" s="104"/>
      <c r="NOA1050" s="103"/>
      <c r="NOM1050" s="104"/>
      <c r="NON1050" s="103"/>
      <c r="NOZ1050" s="104"/>
      <c r="NPA1050" s="103"/>
      <c r="NPM1050" s="104"/>
      <c r="NPN1050" s="103"/>
      <c r="NPZ1050" s="104"/>
      <c r="NQA1050" s="103"/>
      <c r="NQM1050" s="104"/>
      <c r="NQN1050" s="103"/>
      <c r="NQZ1050" s="104"/>
      <c r="NRA1050" s="103"/>
      <c r="NRM1050" s="104"/>
      <c r="NRN1050" s="103"/>
      <c r="NRZ1050" s="104"/>
      <c r="NSA1050" s="103"/>
      <c r="NSM1050" s="104"/>
      <c r="NSN1050" s="103"/>
      <c r="NSZ1050" s="104"/>
      <c r="NTA1050" s="103"/>
      <c r="NTM1050" s="104"/>
      <c r="NTN1050" s="103"/>
      <c r="NTZ1050" s="104"/>
      <c r="NUA1050" s="103"/>
      <c r="NUM1050" s="104"/>
      <c r="NUN1050" s="103"/>
      <c r="NUZ1050" s="104"/>
      <c r="NVA1050" s="103"/>
      <c r="NVM1050" s="104"/>
      <c r="NVN1050" s="103"/>
      <c r="NVZ1050" s="104"/>
      <c r="NWA1050" s="103"/>
      <c r="NWM1050" s="104"/>
      <c r="NWN1050" s="103"/>
      <c r="NWZ1050" s="104"/>
      <c r="NXA1050" s="103"/>
      <c r="NXM1050" s="104"/>
      <c r="NXN1050" s="103"/>
      <c r="NXZ1050" s="104"/>
      <c r="NYA1050" s="103"/>
      <c r="NYM1050" s="104"/>
      <c r="NYN1050" s="103"/>
      <c r="NYZ1050" s="104"/>
      <c r="NZA1050" s="103"/>
      <c r="NZM1050" s="104"/>
      <c r="NZN1050" s="103"/>
      <c r="NZZ1050" s="104"/>
      <c r="OAA1050" s="103"/>
      <c r="OAM1050" s="104"/>
      <c r="OAN1050" s="103"/>
      <c r="OAZ1050" s="104"/>
      <c r="OBA1050" s="103"/>
      <c r="OBM1050" s="104"/>
      <c r="OBN1050" s="103"/>
      <c r="OBZ1050" s="104"/>
      <c r="OCA1050" s="103"/>
      <c r="OCM1050" s="104"/>
      <c r="OCN1050" s="103"/>
      <c r="OCZ1050" s="104"/>
      <c r="ODA1050" s="103"/>
      <c r="ODM1050" s="104"/>
      <c r="ODN1050" s="103"/>
      <c r="ODZ1050" s="104"/>
      <c r="OEA1050" s="103"/>
      <c r="OEM1050" s="104"/>
      <c r="OEN1050" s="103"/>
      <c r="OEZ1050" s="104"/>
      <c r="OFA1050" s="103"/>
      <c r="OFM1050" s="104"/>
      <c r="OFN1050" s="103"/>
      <c r="OFZ1050" s="104"/>
      <c r="OGA1050" s="103"/>
      <c r="OGM1050" s="104"/>
      <c r="OGN1050" s="103"/>
      <c r="OGZ1050" s="104"/>
      <c r="OHA1050" s="103"/>
      <c r="OHM1050" s="104"/>
      <c r="OHN1050" s="103"/>
      <c r="OHZ1050" s="104"/>
      <c r="OIA1050" s="103"/>
      <c r="OIM1050" s="104"/>
      <c r="OIN1050" s="103"/>
      <c r="OIZ1050" s="104"/>
      <c r="OJA1050" s="103"/>
      <c r="OJM1050" s="104"/>
      <c r="OJN1050" s="103"/>
      <c r="OJZ1050" s="104"/>
      <c r="OKA1050" s="103"/>
      <c r="OKM1050" s="104"/>
      <c r="OKN1050" s="103"/>
      <c r="OKZ1050" s="104"/>
      <c r="OLA1050" s="103"/>
      <c r="OLM1050" s="104"/>
      <c r="OLN1050" s="103"/>
      <c r="OLZ1050" s="104"/>
      <c r="OMA1050" s="103"/>
      <c r="OMM1050" s="104"/>
      <c r="OMN1050" s="103"/>
      <c r="OMZ1050" s="104"/>
      <c r="ONA1050" s="103"/>
      <c r="ONM1050" s="104"/>
      <c r="ONN1050" s="103"/>
      <c r="ONZ1050" s="104"/>
      <c r="OOA1050" s="103"/>
      <c r="OOM1050" s="104"/>
      <c r="OON1050" s="103"/>
      <c r="OOZ1050" s="104"/>
      <c r="OPA1050" s="103"/>
      <c r="OPM1050" s="104"/>
      <c r="OPN1050" s="103"/>
      <c r="OPZ1050" s="104"/>
      <c r="OQA1050" s="103"/>
      <c r="OQM1050" s="104"/>
      <c r="OQN1050" s="103"/>
      <c r="OQZ1050" s="104"/>
      <c r="ORA1050" s="103"/>
      <c r="ORM1050" s="104"/>
      <c r="ORN1050" s="103"/>
      <c r="ORZ1050" s="104"/>
      <c r="OSA1050" s="103"/>
      <c r="OSM1050" s="104"/>
      <c r="OSN1050" s="103"/>
      <c r="OSZ1050" s="104"/>
      <c r="OTA1050" s="103"/>
      <c r="OTM1050" s="104"/>
      <c r="OTN1050" s="103"/>
      <c r="OTZ1050" s="104"/>
      <c r="OUA1050" s="103"/>
      <c r="OUM1050" s="104"/>
      <c r="OUN1050" s="103"/>
      <c r="OUZ1050" s="104"/>
      <c r="OVA1050" s="103"/>
      <c r="OVM1050" s="104"/>
      <c r="OVN1050" s="103"/>
      <c r="OVZ1050" s="104"/>
      <c r="OWA1050" s="103"/>
      <c r="OWM1050" s="104"/>
      <c r="OWN1050" s="103"/>
      <c r="OWZ1050" s="104"/>
      <c r="OXA1050" s="103"/>
      <c r="OXM1050" s="104"/>
      <c r="OXN1050" s="103"/>
      <c r="OXZ1050" s="104"/>
      <c r="OYA1050" s="103"/>
      <c r="OYM1050" s="104"/>
      <c r="OYN1050" s="103"/>
      <c r="OYZ1050" s="104"/>
      <c r="OZA1050" s="103"/>
      <c r="OZM1050" s="104"/>
      <c r="OZN1050" s="103"/>
      <c r="OZZ1050" s="104"/>
      <c r="PAA1050" s="103"/>
      <c r="PAM1050" s="104"/>
      <c r="PAN1050" s="103"/>
      <c r="PAZ1050" s="104"/>
      <c r="PBA1050" s="103"/>
      <c r="PBM1050" s="104"/>
      <c r="PBN1050" s="103"/>
      <c r="PBZ1050" s="104"/>
      <c r="PCA1050" s="103"/>
      <c r="PCM1050" s="104"/>
      <c r="PCN1050" s="103"/>
      <c r="PCZ1050" s="104"/>
      <c r="PDA1050" s="103"/>
      <c r="PDM1050" s="104"/>
      <c r="PDN1050" s="103"/>
      <c r="PDZ1050" s="104"/>
      <c r="PEA1050" s="103"/>
      <c r="PEM1050" s="104"/>
      <c r="PEN1050" s="103"/>
      <c r="PEZ1050" s="104"/>
      <c r="PFA1050" s="103"/>
      <c r="PFM1050" s="104"/>
      <c r="PFN1050" s="103"/>
      <c r="PFZ1050" s="104"/>
      <c r="PGA1050" s="103"/>
      <c r="PGM1050" s="104"/>
      <c r="PGN1050" s="103"/>
      <c r="PGZ1050" s="104"/>
      <c r="PHA1050" s="103"/>
      <c r="PHM1050" s="104"/>
      <c r="PHN1050" s="103"/>
      <c r="PHZ1050" s="104"/>
      <c r="PIA1050" s="103"/>
      <c r="PIM1050" s="104"/>
      <c r="PIN1050" s="103"/>
      <c r="PIZ1050" s="104"/>
      <c r="PJA1050" s="103"/>
      <c r="PJM1050" s="104"/>
      <c r="PJN1050" s="103"/>
      <c r="PJZ1050" s="104"/>
      <c r="PKA1050" s="103"/>
      <c r="PKM1050" s="104"/>
      <c r="PKN1050" s="103"/>
      <c r="PKZ1050" s="104"/>
      <c r="PLA1050" s="103"/>
      <c r="PLM1050" s="104"/>
      <c r="PLN1050" s="103"/>
      <c r="PLZ1050" s="104"/>
      <c r="PMA1050" s="103"/>
      <c r="PMM1050" s="104"/>
      <c r="PMN1050" s="103"/>
      <c r="PMZ1050" s="104"/>
      <c r="PNA1050" s="103"/>
      <c r="PNM1050" s="104"/>
      <c r="PNN1050" s="103"/>
      <c r="PNZ1050" s="104"/>
      <c r="POA1050" s="103"/>
      <c r="POM1050" s="104"/>
      <c r="PON1050" s="103"/>
      <c r="POZ1050" s="104"/>
      <c r="PPA1050" s="103"/>
      <c r="PPM1050" s="104"/>
      <c r="PPN1050" s="103"/>
      <c r="PPZ1050" s="104"/>
      <c r="PQA1050" s="103"/>
      <c r="PQM1050" s="104"/>
      <c r="PQN1050" s="103"/>
      <c r="PQZ1050" s="104"/>
      <c r="PRA1050" s="103"/>
      <c r="PRM1050" s="104"/>
      <c r="PRN1050" s="103"/>
      <c r="PRZ1050" s="104"/>
      <c r="PSA1050" s="103"/>
      <c r="PSM1050" s="104"/>
      <c r="PSN1050" s="103"/>
      <c r="PSZ1050" s="104"/>
      <c r="PTA1050" s="103"/>
      <c r="PTM1050" s="104"/>
      <c r="PTN1050" s="103"/>
      <c r="PTZ1050" s="104"/>
      <c r="PUA1050" s="103"/>
      <c r="PUM1050" s="104"/>
      <c r="PUN1050" s="103"/>
      <c r="PUZ1050" s="104"/>
      <c r="PVA1050" s="103"/>
      <c r="PVM1050" s="104"/>
      <c r="PVN1050" s="103"/>
      <c r="PVZ1050" s="104"/>
      <c r="PWA1050" s="103"/>
      <c r="PWM1050" s="104"/>
      <c r="PWN1050" s="103"/>
      <c r="PWZ1050" s="104"/>
      <c r="PXA1050" s="103"/>
      <c r="PXM1050" s="104"/>
      <c r="PXN1050" s="103"/>
      <c r="PXZ1050" s="104"/>
      <c r="PYA1050" s="103"/>
      <c r="PYM1050" s="104"/>
      <c r="PYN1050" s="103"/>
      <c r="PYZ1050" s="104"/>
      <c r="PZA1050" s="103"/>
      <c r="PZM1050" s="104"/>
      <c r="PZN1050" s="103"/>
      <c r="PZZ1050" s="104"/>
      <c r="QAA1050" s="103"/>
      <c r="QAM1050" s="104"/>
      <c r="QAN1050" s="103"/>
      <c r="QAZ1050" s="104"/>
      <c r="QBA1050" s="103"/>
      <c r="QBM1050" s="104"/>
      <c r="QBN1050" s="103"/>
      <c r="QBZ1050" s="104"/>
      <c r="QCA1050" s="103"/>
      <c r="QCM1050" s="104"/>
      <c r="QCN1050" s="103"/>
      <c r="QCZ1050" s="104"/>
      <c r="QDA1050" s="103"/>
      <c r="QDM1050" s="104"/>
      <c r="QDN1050" s="103"/>
      <c r="QDZ1050" s="104"/>
      <c r="QEA1050" s="103"/>
      <c r="QEM1050" s="104"/>
      <c r="QEN1050" s="103"/>
      <c r="QEZ1050" s="104"/>
      <c r="QFA1050" s="103"/>
      <c r="QFM1050" s="104"/>
      <c r="QFN1050" s="103"/>
      <c r="QFZ1050" s="104"/>
      <c r="QGA1050" s="103"/>
      <c r="QGM1050" s="104"/>
      <c r="QGN1050" s="103"/>
      <c r="QGZ1050" s="104"/>
      <c r="QHA1050" s="103"/>
      <c r="QHM1050" s="104"/>
      <c r="QHN1050" s="103"/>
      <c r="QHZ1050" s="104"/>
      <c r="QIA1050" s="103"/>
      <c r="QIM1050" s="104"/>
      <c r="QIN1050" s="103"/>
      <c r="QIZ1050" s="104"/>
      <c r="QJA1050" s="103"/>
      <c r="QJM1050" s="104"/>
      <c r="QJN1050" s="103"/>
      <c r="QJZ1050" s="104"/>
      <c r="QKA1050" s="103"/>
      <c r="QKM1050" s="104"/>
      <c r="QKN1050" s="103"/>
      <c r="QKZ1050" s="104"/>
      <c r="QLA1050" s="103"/>
      <c r="QLM1050" s="104"/>
      <c r="QLN1050" s="103"/>
      <c r="QLZ1050" s="104"/>
      <c r="QMA1050" s="103"/>
      <c r="QMM1050" s="104"/>
      <c r="QMN1050" s="103"/>
      <c r="QMZ1050" s="104"/>
      <c r="QNA1050" s="103"/>
      <c r="QNM1050" s="104"/>
      <c r="QNN1050" s="103"/>
      <c r="QNZ1050" s="104"/>
      <c r="QOA1050" s="103"/>
      <c r="QOM1050" s="104"/>
      <c r="QON1050" s="103"/>
      <c r="QOZ1050" s="104"/>
      <c r="QPA1050" s="103"/>
      <c r="QPM1050" s="104"/>
      <c r="QPN1050" s="103"/>
      <c r="QPZ1050" s="104"/>
      <c r="QQA1050" s="103"/>
      <c r="QQM1050" s="104"/>
      <c r="QQN1050" s="103"/>
      <c r="QQZ1050" s="104"/>
      <c r="QRA1050" s="103"/>
      <c r="QRM1050" s="104"/>
      <c r="QRN1050" s="103"/>
      <c r="QRZ1050" s="104"/>
      <c r="QSA1050" s="103"/>
      <c r="QSM1050" s="104"/>
      <c r="QSN1050" s="103"/>
      <c r="QSZ1050" s="104"/>
      <c r="QTA1050" s="103"/>
      <c r="QTM1050" s="104"/>
      <c r="QTN1050" s="103"/>
      <c r="QTZ1050" s="104"/>
      <c r="QUA1050" s="103"/>
      <c r="QUM1050" s="104"/>
      <c r="QUN1050" s="103"/>
      <c r="QUZ1050" s="104"/>
      <c r="QVA1050" s="103"/>
      <c r="QVM1050" s="104"/>
      <c r="QVN1050" s="103"/>
      <c r="QVZ1050" s="104"/>
      <c r="QWA1050" s="103"/>
      <c r="QWM1050" s="104"/>
      <c r="QWN1050" s="103"/>
      <c r="QWZ1050" s="104"/>
      <c r="QXA1050" s="103"/>
      <c r="QXM1050" s="104"/>
      <c r="QXN1050" s="103"/>
      <c r="QXZ1050" s="104"/>
      <c r="QYA1050" s="103"/>
      <c r="QYM1050" s="104"/>
      <c r="QYN1050" s="103"/>
      <c r="QYZ1050" s="104"/>
      <c r="QZA1050" s="103"/>
      <c r="QZM1050" s="104"/>
      <c r="QZN1050" s="103"/>
      <c r="QZZ1050" s="104"/>
      <c r="RAA1050" s="103"/>
      <c r="RAM1050" s="104"/>
      <c r="RAN1050" s="103"/>
      <c r="RAZ1050" s="104"/>
      <c r="RBA1050" s="103"/>
      <c r="RBM1050" s="104"/>
      <c r="RBN1050" s="103"/>
      <c r="RBZ1050" s="104"/>
      <c r="RCA1050" s="103"/>
      <c r="RCM1050" s="104"/>
      <c r="RCN1050" s="103"/>
      <c r="RCZ1050" s="104"/>
      <c r="RDA1050" s="103"/>
      <c r="RDM1050" s="104"/>
      <c r="RDN1050" s="103"/>
      <c r="RDZ1050" s="104"/>
      <c r="REA1050" s="103"/>
      <c r="REM1050" s="104"/>
      <c r="REN1050" s="103"/>
      <c r="REZ1050" s="104"/>
      <c r="RFA1050" s="103"/>
      <c r="RFM1050" s="104"/>
      <c r="RFN1050" s="103"/>
      <c r="RFZ1050" s="104"/>
      <c r="RGA1050" s="103"/>
      <c r="RGM1050" s="104"/>
      <c r="RGN1050" s="103"/>
      <c r="RGZ1050" s="104"/>
      <c r="RHA1050" s="103"/>
      <c r="RHM1050" s="104"/>
      <c r="RHN1050" s="103"/>
      <c r="RHZ1050" s="104"/>
      <c r="RIA1050" s="103"/>
      <c r="RIM1050" s="104"/>
      <c r="RIN1050" s="103"/>
      <c r="RIZ1050" s="104"/>
      <c r="RJA1050" s="103"/>
      <c r="RJM1050" s="104"/>
      <c r="RJN1050" s="103"/>
      <c r="RJZ1050" s="104"/>
      <c r="RKA1050" s="103"/>
      <c r="RKM1050" s="104"/>
      <c r="RKN1050" s="103"/>
      <c r="RKZ1050" s="104"/>
      <c r="RLA1050" s="103"/>
      <c r="RLM1050" s="104"/>
      <c r="RLN1050" s="103"/>
      <c r="RLZ1050" s="104"/>
      <c r="RMA1050" s="103"/>
      <c r="RMM1050" s="104"/>
      <c r="RMN1050" s="103"/>
      <c r="RMZ1050" s="104"/>
      <c r="RNA1050" s="103"/>
      <c r="RNM1050" s="104"/>
      <c r="RNN1050" s="103"/>
      <c r="RNZ1050" s="104"/>
      <c r="ROA1050" s="103"/>
      <c r="ROM1050" s="104"/>
      <c r="RON1050" s="103"/>
      <c r="ROZ1050" s="104"/>
      <c r="RPA1050" s="103"/>
      <c r="RPM1050" s="104"/>
      <c r="RPN1050" s="103"/>
      <c r="RPZ1050" s="104"/>
      <c r="RQA1050" s="103"/>
      <c r="RQM1050" s="104"/>
      <c r="RQN1050" s="103"/>
      <c r="RQZ1050" s="104"/>
      <c r="RRA1050" s="103"/>
      <c r="RRM1050" s="104"/>
      <c r="RRN1050" s="103"/>
      <c r="RRZ1050" s="104"/>
      <c r="RSA1050" s="103"/>
      <c r="RSM1050" s="104"/>
      <c r="RSN1050" s="103"/>
      <c r="RSZ1050" s="104"/>
      <c r="RTA1050" s="103"/>
      <c r="RTM1050" s="104"/>
      <c r="RTN1050" s="103"/>
      <c r="RTZ1050" s="104"/>
      <c r="RUA1050" s="103"/>
      <c r="RUM1050" s="104"/>
      <c r="RUN1050" s="103"/>
      <c r="RUZ1050" s="104"/>
      <c r="RVA1050" s="103"/>
      <c r="RVM1050" s="104"/>
      <c r="RVN1050" s="103"/>
      <c r="RVZ1050" s="104"/>
      <c r="RWA1050" s="103"/>
      <c r="RWM1050" s="104"/>
      <c r="RWN1050" s="103"/>
      <c r="RWZ1050" s="104"/>
      <c r="RXA1050" s="103"/>
      <c r="RXM1050" s="104"/>
      <c r="RXN1050" s="103"/>
      <c r="RXZ1050" s="104"/>
      <c r="RYA1050" s="103"/>
      <c r="RYM1050" s="104"/>
      <c r="RYN1050" s="103"/>
      <c r="RYZ1050" s="104"/>
      <c r="RZA1050" s="103"/>
      <c r="RZM1050" s="104"/>
      <c r="RZN1050" s="103"/>
      <c r="RZZ1050" s="104"/>
      <c r="SAA1050" s="103"/>
      <c r="SAM1050" s="104"/>
      <c r="SAN1050" s="103"/>
      <c r="SAZ1050" s="104"/>
      <c r="SBA1050" s="103"/>
      <c r="SBM1050" s="104"/>
      <c r="SBN1050" s="103"/>
      <c r="SBZ1050" s="104"/>
      <c r="SCA1050" s="103"/>
      <c r="SCM1050" s="104"/>
      <c r="SCN1050" s="103"/>
      <c r="SCZ1050" s="104"/>
      <c r="SDA1050" s="103"/>
      <c r="SDM1050" s="104"/>
      <c r="SDN1050" s="103"/>
      <c r="SDZ1050" s="104"/>
      <c r="SEA1050" s="103"/>
      <c r="SEM1050" s="104"/>
      <c r="SEN1050" s="103"/>
      <c r="SEZ1050" s="104"/>
      <c r="SFA1050" s="103"/>
      <c r="SFM1050" s="104"/>
      <c r="SFN1050" s="103"/>
      <c r="SFZ1050" s="104"/>
      <c r="SGA1050" s="103"/>
      <c r="SGM1050" s="104"/>
      <c r="SGN1050" s="103"/>
      <c r="SGZ1050" s="104"/>
      <c r="SHA1050" s="103"/>
      <c r="SHM1050" s="104"/>
      <c r="SHN1050" s="103"/>
      <c r="SHZ1050" s="104"/>
      <c r="SIA1050" s="103"/>
      <c r="SIM1050" s="104"/>
      <c r="SIN1050" s="103"/>
      <c r="SIZ1050" s="104"/>
      <c r="SJA1050" s="103"/>
      <c r="SJM1050" s="104"/>
      <c r="SJN1050" s="103"/>
      <c r="SJZ1050" s="104"/>
      <c r="SKA1050" s="103"/>
      <c r="SKM1050" s="104"/>
      <c r="SKN1050" s="103"/>
      <c r="SKZ1050" s="104"/>
      <c r="SLA1050" s="103"/>
      <c r="SLM1050" s="104"/>
      <c r="SLN1050" s="103"/>
      <c r="SLZ1050" s="104"/>
      <c r="SMA1050" s="103"/>
      <c r="SMM1050" s="104"/>
      <c r="SMN1050" s="103"/>
      <c r="SMZ1050" s="104"/>
      <c r="SNA1050" s="103"/>
      <c r="SNM1050" s="104"/>
      <c r="SNN1050" s="103"/>
      <c r="SNZ1050" s="104"/>
      <c r="SOA1050" s="103"/>
      <c r="SOM1050" s="104"/>
      <c r="SON1050" s="103"/>
      <c r="SOZ1050" s="104"/>
      <c r="SPA1050" s="103"/>
      <c r="SPM1050" s="104"/>
      <c r="SPN1050" s="103"/>
      <c r="SPZ1050" s="104"/>
      <c r="SQA1050" s="103"/>
      <c r="SQM1050" s="104"/>
      <c r="SQN1050" s="103"/>
      <c r="SQZ1050" s="104"/>
      <c r="SRA1050" s="103"/>
      <c r="SRM1050" s="104"/>
      <c r="SRN1050" s="103"/>
      <c r="SRZ1050" s="104"/>
      <c r="SSA1050" s="103"/>
      <c r="SSM1050" s="104"/>
      <c r="SSN1050" s="103"/>
      <c r="SSZ1050" s="104"/>
      <c r="STA1050" s="103"/>
      <c r="STM1050" s="104"/>
      <c r="STN1050" s="103"/>
      <c r="STZ1050" s="104"/>
      <c r="SUA1050" s="103"/>
      <c r="SUM1050" s="104"/>
      <c r="SUN1050" s="103"/>
      <c r="SUZ1050" s="104"/>
      <c r="SVA1050" s="103"/>
      <c r="SVM1050" s="104"/>
      <c r="SVN1050" s="103"/>
      <c r="SVZ1050" s="104"/>
      <c r="SWA1050" s="103"/>
      <c r="SWM1050" s="104"/>
      <c r="SWN1050" s="103"/>
      <c r="SWZ1050" s="104"/>
      <c r="SXA1050" s="103"/>
      <c r="SXM1050" s="104"/>
      <c r="SXN1050" s="103"/>
      <c r="SXZ1050" s="104"/>
      <c r="SYA1050" s="103"/>
      <c r="SYM1050" s="104"/>
      <c r="SYN1050" s="103"/>
      <c r="SYZ1050" s="104"/>
      <c r="SZA1050" s="103"/>
      <c r="SZM1050" s="104"/>
      <c r="SZN1050" s="103"/>
      <c r="SZZ1050" s="104"/>
      <c r="TAA1050" s="103"/>
      <c r="TAM1050" s="104"/>
      <c r="TAN1050" s="103"/>
      <c r="TAZ1050" s="104"/>
      <c r="TBA1050" s="103"/>
      <c r="TBM1050" s="104"/>
      <c r="TBN1050" s="103"/>
      <c r="TBZ1050" s="104"/>
      <c r="TCA1050" s="103"/>
      <c r="TCM1050" s="104"/>
      <c r="TCN1050" s="103"/>
      <c r="TCZ1050" s="104"/>
      <c r="TDA1050" s="103"/>
      <c r="TDM1050" s="104"/>
      <c r="TDN1050" s="103"/>
      <c r="TDZ1050" s="104"/>
      <c r="TEA1050" s="103"/>
      <c r="TEM1050" s="104"/>
      <c r="TEN1050" s="103"/>
      <c r="TEZ1050" s="104"/>
      <c r="TFA1050" s="103"/>
      <c r="TFM1050" s="104"/>
      <c r="TFN1050" s="103"/>
      <c r="TFZ1050" s="104"/>
      <c r="TGA1050" s="103"/>
      <c r="TGM1050" s="104"/>
      <c r="TGN1050" s="103"/>
      <c r="TGZ1050" s="104"/>
      <c r="THA1050" s="103"/>
      <c r="THM1050" s="104"/>
      <c r="THN1050" s="103"/>
      <c r="THZ1050" s="104"/>
      <c r="TIA1050" s="103"/>
      <c r="TIM1050" s="104"/>
      <c r="TIN1050" s="103"/>
      <c r="TIZ1050" s="104"/>
      <c r="TJA1050" s="103"/>
      <c r="TJM1050" s="104"/>
      <c r="TJN1050" s="103"/>
      <c r="TJZ1050" s="104"/>
      <c r="TKA1050" s="103"/>
      <c r="TKM1050" s="104"/>
      <c r="TKN1050" s="103"/>
      <c r="TKZ1050" s="104"/>
      <c r="TLA1050" s="103"/>
      <c r="TLM1050" s="104"/>
      <c r="TLN1050" s="103"/>
      <c r="TLZ1050" s="104"/>
      <c r="TMA1050" s="103"/>
      <c r="TMM1050" s="104"/>
      <c r="TMN1050" s="103"/>
      <c r="TMZ1050" s="104"/>
      <c r="TNA1050" s="103"/>
      <c r="TNM1050" s="104"/>
      <c r="TNN1050" s="103"/>
      <c r="TNZ1050" s="104"/>
      <c r="TOA1050" s="103"/>
      <c r="TOM1050" s="104"/>
      <c r="TON1050" s="103"/>
      <c r="TOZ1050" s="104"/>
      <c r="TPA1050" s="103"/>
      <c r="TPM1050" s="104"/>
      <c r="TPN1050" s="103"/>
      <c r="TPZ1050" s="104"/>
      <c r="TQA1050" s="103"/>
      <c r="TQM1050" s="104"/>
      <c r="TQN1050" s="103"/>
      <c r="TQZ1050" s="104"/>
      <c r="TRA1050" s="103"/>
      <c r="TRM1050" s="104"/>
      <c r="TRN1050" s="103"/>
      <c r="TRZ1050" s="104"/>
      <c r="TSA1050" s="103"/>
      <c r="TSM1050" s="104"/>
      <c r="TSN1050" s="103"/>
      <c r="TSZ1050" s="104"/>
      <c r="TTA1050" s="103"/>
      <c r="TTM1050" s="104"/>
      <c r="TTN1050" s="103"/>
      <c r="TTZ1050" s="104"/>
      <c r="TUA1050" s="103"/>
      <c r="TUM1050" s="104"/>
      <c r="TUN1050" s="103"/>
      <c r="TUZ1050" s="104"/>
      <c r="TVA1050" s="103"/>
      <c r="TVM1050" s="104"/>
      <c r="TVN1050" s="103"/>
      <c r="TVZ1050" s="104"/>
      <c r="TWA1050" s="103"/>
      <c r="TWM1050" s="104"/>
      <c r="TWN1050" s="103"/>
      <c r="TWZ1050" s="104"/>
      <c r="TXA1050" s="103"/>
      <c r="TXM1050" s="104"/>
      <c r="TXN1050" s="103"/>
      <c r="TXZ1050" s="104"/>
      <c r="TYA1050" s="103"/>
      <c r="TYM1050" s="104"/>
      <c r="TYN1050" s="103"/>
      <c r="TYZ1050" s="104"/>
      <c r="TZA1050" s="103"/>
      <c r="TZM1050" s="104"/>
      <c r="TZN1050" s="103"/>
      <c r="TZZ1050" s="104"/>
      <c r="UAA1050" s="103"/>
      <c r="UAM1050" s="104"/>
      <c r="UAN1050" s="103"/>
      <c r="UAZ1050" s="104"/>
      <c r="UBA1050" s="103"/>
      <c r="UBM1050" s="104"/>
      <c r="UBN1050" s="103"/>
      <c r="UBZ1050" s="104"/>
      <c r="UCA1050" s="103"/>
      <c r="UCM1050" s="104"/>
      <c r="UCN1050" s="103"/>
      <c r="UCZ1050" s="104"/>
      <c r="UDA1050" s="103"/>
      <c r="UDM1050" s="104"/>
      <c r="UDN1050" s="103"/>
      <c r="UDZ1050" s="104"/>
      <c r="UEA1050" s="103"/>
      <c r="UEM1050" s="104"/>
      <c r="UEN1050" s="103"/>
      <c r="UEZ1050" s="104"/>
      <c r="UFA1050" s="103"/>
      <c r="UFM1050" s="104"/>
      <c r="UFN1050" s="103"/>
      <c r="UFZ1050" s="104"/>
      <c r="UGA1050" s="103"/>
      <c r="UGM1050" s="104"/>
      <c r="UGN1050" s="103"/>
      <c r="UGZ1050" s="104"/>
      <c r="UHA1050" s="103"/>
      <c r="UHM1050" s="104"/>
      <c r="UHN1050" s="103"/>
      <c r="UHZ1050" s="104"/>
      <c r="UIA1050" s="103"/>
      <c r="UIM1050" s="104"/>
      <c r="UIN1050" s="103"/>
      <c r="UIZ1050" s="104"/>
      <c r="UJA1050" s="103"/>
      <c r="UJM1050" s="104"/>
      <c r="UJN1050" s="103"/>
      <c r="UJZ1050" s="104"/>
      <c r="UKA1050" s="103"/>
      <c r="UKM1050" s="104"/>
      <c r="UKN1050" s="103"/>
      <c r="UKZ1050" s="104"/>
      <c r="ULA1050" s="103"/>
      <c r="ULM1050" s="104"/>
      <c r="ULN1050" s="103"/>
      <c r="ULZ1050" s="104"/>
      <c r="UMA1050" s="103"/>
      <c r="UMM1050" s="104"/>
      <c r="UMN1050" s="103"/>
      <c r="UMZ1050" s="104"/>
      <c r="UNA1050" s="103"/>
      <c r="UNM1050" s="104"/>
      <c r="UNN1050" s="103"/>
      <c r="UNZ1050" s="104"/>
      <c r="UOA1050" s="103"/>
      <c r="UOM1050" s="104"/>
      <c r="UON1050" s="103"/>
      <c r="UOZ1050" s="104"/>
      <c r="UPA1050" s="103"/>
      <c r="UPM1050" s="104"/>
      <c r="UPN1050" s="103"/>
      <c r="UPZ1050" s="104"/>
      <c r="UQA1050" s="103"/>
      <c r="UQM1050" s="104"/>
      <c r="UQN1050" s="103"/>
      <c r="UQZ1050" s="104"/>
      <c r="URA1050" s="103"/>
      <c r="URM1050" s="104"/>
      <c r="URN1050" s="103"/>
      <c r="URZ1050" s="104"/>
      <c r="USA1050" s="103"/>
      <c r="USM1050" s="104"/>
      <c r="USN1050" s="103"/>
      <c r="USZ1050" s="104"/>
      <c r="UTA1050" s="103"/>
      <c r="UTM1050" s="104"/>
      <c r="UTN1050" s="103"/>
      <c r="UTZ1050" s="104"/>
      <c r="UUA1050" s="103"/>
      <c r="UUM1050" s="104"/>
      <c r="UUN1050" s="103"/>
      <c r="UUZ1050" s="104"/>
      <c r="UVA1050" s="103"/>
      <c r="UVM1050" s="104"/>
      <c r="UVN1050" s="103"/>
      <c r="UVZ1050" s="104"/>
      <c r="UWA1050" s="103"/>
      <c r="UWM1050" s="104"/>
      <c r="UWN1050" s="103"/>
      <c r="UWZ1050" s="104"/>
      <c r="UXA1050" s="103"/>
      <c r="UXM1050" s="104"/>
      <c r="UXN1050" s="103"/>
      <c r="UXZ1050" s="104"/>
      <c r="UYA1050" s="103"/>
      <c r="UYM1050" s="104"/>
      <c r="UYN1050" s="103"/>
      <c r="UYZ1050" s="104"/>
      <c r="UZA1050" s="103"/>
      <c r="UZM1050" s="104"/>
      <c r="UZN1050" s="103"/>
      <c r="UZZ1050" s="104"/>
      <c r="VAA1050" s="103"/>
      <c r="VAM1050" s="104"/>
      <c r="VAN1050" s="103"/>
      <c r="VAZ1050" s="104"/>
      <c r="VBA1050" s="103"/>
      <c r="VBM1050" s="104"/>
      <c r="VBN1050" s="103"/>
      <c r="VBZ1050" s="104"/>
      <c r="VCA1050" s="103"/>
      <c r="VCM1050" s="104"/>
      <c r="VCN1050" s="103"/>
      <c r="VCZ1050" s="104"/>
      <c r="VDA1050" s="103"/>
      <c r="VDM1050" s="104"/>
      <c r="VDN1050" s="103"/>
      <c r="VDZ1050" s="104"/>
      <c r="VEA1050" s="103"/>
      <c r="VEM1050" s="104"/>
      <c r="VEN1050" s="103"/>
      <c r="VEZ1050" s="104"/>
      <c r="VFA1050" s="103"/>
      <c r="VFM1050" s="104"/>
      <c r="VFN1050" s="103"/>
      <c r="VFZ1050" s="104"/>
      <c r="VGA1050" s="103"/>
      <c r="VGM1050" s="104"/>
      <c r="VGN1050" s="103"/>
      <c r="VGZ1050" s="104"/>
      <c r="VHA1050" s="103"/>
      <c r="VHM1050" s="104"/>
      <c r="VHN1050" s="103"/>
      <c r="VHZ1050" s="104"/>
      <c r="VIA1050" s="103"/>
      <c r="VIM1050" s="104"/>
      <c r="VIN1050" s="103"/>
      <c r="VIZ1050" s="104"/>
      <c r="VJA1050" s="103"/>
      <c r="VJM1050" s="104"/>
      <c r="VJN1050" s="103"/>
      <c r="VJZ1050" s="104"/>
      <c r="VKA1050" s="103"/>
      <c r="VKM1050" s="104"/>
      <c r="VKN1050" s="103"/>
      <c r="VKZ1050" s="104"/>
      <c r="VLA1050" s="103"/>
      <c r="VLM1050" s="104"/>
      <c r="VLN1050" s="103"/>
      <c r="VLZ1050" s="104"/>
      <c r="VMA1050" s="103"/>
      <c r="VMM1050" s="104"/>
      <c r="VMN1050" s="103"/>
      <c r="VMZ1050" s="104"/>
      <c r="VNA1050" s="103"/>
      <c r="VNM1050" s="104"/>
      <c r="VNN1050" s="103"/>
      <c r="VNZ1050" s="104"/>
      <c r="VOA1050" s="103"/>
      <c r="VOM1050" s="104"/>
      <c r="VON1050" s="103"/>
      <c r="VOZ1050" s="104"/>
      <c r="VPA1050" s="103"/>
      <c r="VPM1050" s="104"/>
      <c r="VPN1050" s="103"/>
      <c r="VPZ1050" s="104"/>
      <c r="VQA1050" s="103"/>
      <c r="VQM1050" s="104"/>
      <c r="VQN1050" s="103"/>
      <c r="VQZ1050" s="104"/>
      <c r="VRA1050" s="103"/>
      <c r="VRM1050" s="104"/>
      <c r="VRN1050" s="103"/>
      <c r="VRZ1050" s="104"/>
      <c r="VSA1050" s="103"/>
      <c r="VSM1050" s="104"/>
      <c r="VSN1050" s="103"/>
      <c r="VSZ1050" s="104"/>
      <c r="VTA1050" s="103"/>
      <c r="VTM1050" s="104"/>
      <c r="VTN1050" s="103"/>
      <c r="VTZ1050" s="104"/>
      <c r="VUA1050" s="103"/>
      <c r="VUM1050" s="104"/>
      <c r="VUN1050" s="103"/>
      <c r="VUZ1050" s="104"/>
      <c r="VVA1050" s="103"/>
      <c r="VVM1050" s="104"/>
      <c r="VVN1050" s="103"/>
      <c r="VVZ1050" s="104"/>
      <c r="VWA1050" s="103"/>
      <c r="VWM1050" s="104"/>
      <c r="VWN1050" s="103"/>
      <c r="VWZ1050" s="104"/>
      <c r="VXA1050" s="103"/>
      <c r="VXM1050" s="104"/>
      <c r="VXN1050" s="103"/>
      <c r="VXZ1050" s="104"/>
      <c r="VYA1050" s="103"/>
      <c r="VYM1050" s="104"/>
      <c r="VYN1050" s="103"/>
      <c r="VYZ1050" s="104"/>
      <c r="VZA1050" s="103"/>
      <c r="VZM1050" s="104"/>
      <c r="VZN1050" s="103"/>
      <c r="VZZ1050" s="104"/>
      <c r="WAA1050" s="103"/>
      <c r="WAM1050" s="104"/>
      <c r="WAN1050" s="103"/>
      <c r="WAZ1050" s="104"/>
      <c r="WBA1050" s="103"/>
      <c r="WBM1050" s="104"/>
      <c r="WBN1050" s="103"/>
      <c r="WBZ1050" s="104"/>
      <c r="WCA1050" s="103"/>
      <c r="WCM1050" s="104"/>
      <c r="WCN1050" s="103"/>
      <c r="WCZ1050" s="104"/>
      <c r="WDA1050" s="103"/>
      <c r="WDM1050" s="104"/>
      <c r="WDN1050" s="103"/>
      <c r="WDZ1050" s="104"/>
      <c r="WEA1050" s="103"/>
      <c r="WEM1050" s="104"/>
      <c r="WEN1050" s="103"/>
      <c r="WEZ1050" s="104"/>
      <c r="WFA1050" s="103"/>
      <c r="WFM1050" s="104"/>
      <c r="WFN1050" s="103"/>
      <c r="WFZ1050" s="104"/>
      <c r="WGA1050" s="103"/>
      <c r="WGM1050" s="104"/>
      <c r="WGN1050" s="103"/>
      <c r="WGZ1050" s="104"/>
      <c r="WHA1050" s="103"/>
      <c r="WHM1050" s="104"/>
      <c r="WHN1050" s="103"/>
      <c r="WHZ1050" s="104"/>
      <c r="WIA1050" s="103"/>
      <c r="WIM1050" s="104"/>
      <c r="WIN1050" s="103"/>
      <c r="WIZ1050" s="104"/>
      <c r="WJA1050" s="103"/>
      <c r="WJM1050" s="104"/>
      <c r="WJN1050" s="103"/>
      <c r="WJZ1050" s="104"/>
      <c r="WKA1050" s="103"/>
      <c r="WKM1050" s="104"/>
      <c r="WKN1050" s="103"/>
      <c r="WKZ1050" s="104"/>
      <c r="WLA1050" s="103"/>
      <c r="WLM1050" s="104"/>
      <c r="WLN1050" s="103"/>
      <c r="WLZ1050" s="104"/>
      <c r="WMA1050" s="103"/>
      <c r="WMM1050" s="104"/>
      <c r="WMN1050" s="103"/>
      <c r="WMZ1050" s="104"/>
      <c r="WNA1050" s="103"/>
      <c r="WNM1050" s="104"/>
      <c r="WNN1050" s="103"/>
      <c r="WNZ1050" s="104"/>
      <c r="WOA1050" s="103"/>
      <c r="WOM1050" s="104"/>
      <c r="WON1050" s="103"/>
      <c r="WOZ1050" s="104"/>
      <c r="WPA1050" s="103"/>
      <c r="WPM1050" s="104"/>
      <c r="WPN1050" s="103"/>
      <c r="WPZ1050" s="104"/>
      <c r="WQA1050" s="103"/>
      <c r="WQM1050" s="104"/>
      <c r="WQN1050" s="103"/>
      <c r="WQZ1050" s="104"/>
      <c r="WRA1050" s="103"/>
      <c r="WRM1050" s="104"/>
      <c r="WRN1050" s="103"/>
      <c r="WRZ1050" s="104"/>
      <c r="WSA1050" s="103"/>
      <c r="WSM1050" s="104"/>
      <c r="WSN1050" s="103"/>
      <c r="WSZ1050" s="104"/>
      <c r="WTA1050" s="103"/>
      <c r="WTM1050" s="104"/>
      <c r="WTN1050" s="103"/>
      <c r="WTZ1050" s="104"/>
      <c r="WUA1050" s="103"/>
      <c r="WUM1050" s="104"/>
      <c r="WUN1050" s="103"/>
      <c r="WUZ1050" s="104"/>
      <c r="WVA1050" s="103"/>
      <c r="WVM1050" s="104"/>
      <c r="WVN1050" s="103"/>
      <c r="WVZ1050" s="104"/>
      <c r="WWA1050" s="103"/>
      <c r="WWM1050" s="104"/>
      <c r="WWN1050" s="103"/>
      <c r="WWZ1050" s="104"/>
      <c r="WXA1050" s="103"/>
      <c r="WXM1050" s="104"/>
      <c r="WXN1050" s="103"/>
      <c r="WXZ1050" s="104"/>
      <c r="WYA1050" s="103"/>
      <c r="WYM1050" s="104"/>
      <c r="WYN1050" s="103"/>
      <c r="WYZ1050" s="104"/>
      <c r="WZA1050" s="103"/>
      <c r="WZM1050" s="104"/>
      <c r="WZN1050" s="103"/>
      <c r="WZZ1050" s="104"/>
      <c r="XAA1050" s="103"/>
      <c r="XAM1050" s="104"/>
      <c r="XAN1050" s="103"/>
      <c r="XAZ1050" s="104"/>
      <c r="XBA1050" s="103"/>
      <c r="XBM1050" s="104"/>
      <c r="XBN1050" s="103"/>
      <c r="XBZ1050" s="104"/>
      <c r="XCA1050" s="103"/>
      <c r="XCM1050" s="104"/>
      <c r="XCN1050" s="103"/>
      <c r="XCZ1050" s="104"/>
      <c r="XDA1050" s="103"/>
      <c r="XDM1050" s="104"/>
      <c r="XDN1050" s="103"/>
      <c r="XDZ1050" s="104"/>
      <c r="XEA1050" s="103"/>
      <c r="XEM1050" s="104"/>
      <c r="XEN1050" s="103"/>
      <c r="XEZ1050" s="104"/>
      <c r="XFA1050" s="103"/>
    </row>
    <row r="1051" spans="1:1015 1027:2042 2054:3069 3081:4096 4108:5110 5122:6137 6149:7164 7176:8191 8203:9205 9217:10232 10244:11259 11271:12286 12298:14327 14339:15354 15366:16381">
      <c r="Z1051" s="104"/>
      <c r="AA1051" s="103"/>
      <c r="AM1051" s="104"/>
      <c r="AN1051" s="103"/>
      <c r="AZ1051" s="104"/>
      <c r="BA1051" s="103"/>
      <c r="BM1051" s="104"/>
      <c r="BN1051" s="103"/>
      <c r="BZ1051" s="104"/>
      <c r="CA1051" s="103"/>
      <c r="CM1051" s="104"/>
      <c r="CN1051" s="103"/>
      <c r="CZ1051" s="104"/>
      <c r="DA1051" s="103"/>
      <c r="DM1051" s="104"/>
      <c r="DN1051" s="103"/>
      <c r="DZ1051" s="104"/>
      <c r="EA1051" s="103"/>
      <c r="EM1051" s="104"/>
      <c r="EN1051" s="103"/>
      <c r="EZ1051" s="104"/>
      <c r="FA1051" s="103"/>
      <c r="FM1051" s="104"/>
      <c r="FN1051" s="103"/>
      <c r="FZ1051" s="104"/>
      <c r="GA1051" s="103"/>
      <c r="GM1051" s="104"/>
      <c r="GN1051" s="103"/>
      <c r="GZ1051" s="104"/>
      <c r="HA1051" s="103"/>
      <c r="HM1051" s="104"/>
      <c r="HN1051" s="103"/>
      <c r="HZ1051" s="104"/>
      <c r="IA1051" s="103"/>
      <c r="IM1051" s="104"/>
      <c r="IN1051" s="103"/>
      <c r="IZ1051" s="104"/>
      <c r="JA1051" s="103"/>
      <c r="JM1051" s="104"/>
      <c r="JN1051" s="103"/>
      <c r="JZ1051" s="104"/>
      <c r="KA1051" s="103"/>
      <c r="KM1051" s="104"/>
      <c r="KN1051" s="103"/>
      <c r="KZ1051" s="104"/>
      <c r="LA1051" s="103"/>
      <c r="LM1051" s="104"/>
      <c r="LN1051" s="103"/>
      <c r="LZ1051" s="104"/>
      <c r="MA1051" s="103"/>
      <c r="MM1051" s="104"/>
      <c r="MN1051" s="103"/>
      <c r="MZ1051" s="104"/>
      <c r="NA1051" s="103"/>
      <c r="NM1051" s="104"/>
      <c r="NN1051" s="103"/>
      <c r="NZ1051" s="104"/>
      <c r="OA1051" s="103"/>
      <c r="OM1051" s="104"/>
      <c r="ON1051" s="103"/>
      <c r="OZ1051" s="104"/>
      <c r="PA1051" s="103"/>
      <c r="PM1051" s="104"/>
      <c r="PN1051" s="103"/>
      <c r="PZ1051" s="104"/>
      <c r="QA1051" s="103"/>
      <c r="QM1051" s="104"/>
      <c r="QN1051" s="103"/>
      <c r="QZ1051" s="104"/>
      <c r="RA1051" s="103"/>
      <c r="RM1051" s="104"/>
      <c r="RN1051" s="103"/>
      <c r="RZ1051" s="104"/>
      <c r="SA1051" s="103"/>
      <c r="SM1051" s="104"/>
      <c r="SN1051" s="103"/>
      <c r="SZ1051" s="104"/>
      <c r="TA1051" s="103"/>
      <c r="TM1051" s="104"/>
      <c r="TN1051" s="103"/>
      <c r="TZ1051" s="104"/>
      <c r="UA1051" s="103"/>
      <c r="UM1051" s="104"/>
      <c r="UN1051" s="103"/>
      <c r="UZ1051" s="104"/>
      <c r="VA1051" s="103"/>
      <c r="VM1051" s="104"/>
      <c r="VN1051" s="103"/>
      <c r="VZ1051" s="104"/>
      <c r="WA1051" s="103"/>
      <c r="WM1051" s="104"/>
      <c r="WN1051" s="103"/>
      <c r="WZ1051" s="104"/>
      <c r="XA1051" s="103"/>
      <c r="XM1051" s="104"/>
      <c r="XN1051" s="103"/>
      <c r="XZ1051" s="104"/>
      <c r="YA1051" s="103"/>
      <c r="YM1051" s="104"/>
      <c r="YN1051" s="103"/>
      <c r="YZ1051" s="104"/>
      <c r="ZA1051" s="103"/>
      <c r="ZM1051" s="104"/>
      <c r="ZN1051" s="103"/>
      <c r="ZZ1051" s="104"/>
      <c r="AAA1051" s="103"/>
      <c r="AAM1051" s="104"/>
      <c r="AAN1051" s="103"/>
      <c r="AAZ1051" s="104"/>
      <c r="ABA1051" s="103"/>
      <c r="ABM1051" s="104"/>
      <c r="ABN1051" s="103"/>
      <c r="ABZ1051" s="104"/>
      <c r="ACA1051" s="103"/>
      <c r="ACM1051" s="104"/>
      <c r="ACN1051" s="103"/>
      <c r="ACZ1051" s="104"/>
      <c r="ADA1051" s="103"/>
      <c r="ADM1051" s="104"/>
      <c r="ADN1051" s="103"/>
      <c r="ADZ1051" s="104"/>
      <c r="AEA1051" s="103"/>
      <c r="AEM1051" s="104"/>
      <c r="AEN1051" s="103"/>
      <c r="AEZ1051" s="104"/>
      <c r="AFA1051" s="103"/>
      <c r="AFM1051" s="104"/>
      <c r="AFN1051" s="103"/>
      <c r="AFZ1051" s="104"/>
      <c r="AGA1051" s="103"/>
      <c r="AGM1051" s="104"/>
      <c r="AGN1051" s="103"/>
      <c r="AGZ1051" s="104"/>
      <c r="AHA1051" s="103"/>
      <c r="AHM1051" s="104"/>
      <c r="AHN1051" s="103"/>
      <c r="AHZ1051" s="104"/>
      <c r="AIA1051" s="103"/>
      <c r="AIM1051" s="104"/>
      <c r="AIN1051" s="103"/>
      <c r="AIZ1051" s="104"/>
      <c r="AJA1051" s="103"/>
      <c r="AJM1051" s="104"/>
      <c r="AJN1051" s="103"/>
      <c r="AJZ1051" s="104"/>
      <c r="AKA1051" s="103"/>
      <c r="AKM1051" s="104"/>
      <c r="AKN1051" s="103"/>
      <c r="AKZ1051" s="104"/>
      <c r="ALA1051" s="103"/>
      <c r="ALM1051" s="104"/>
      <c r="ALN1051" s="103"/>
      <c r="ALZ1051" s="104"/>
      <c r="AMA1051" s="103"/>
      <c r="AMM1051" s="104"/>
      <c r="AMN1051" s="103"/>
      <c r="AMZ1051" s="104"/>
      <c r="ANA1051" s="103"/>
      <c r="ANM1051" s="104"/>
      <c r="ANN1051" s="103"/>
      <c r="ANZ1051" s="104"/>
      <c r="AOA1051" s="103"/>
      <c r="AOM1051" s="104"/>
      <c r="AON1051" s="103"/>
      <c r="AOZ1051" s="104"/>
      <c r="APA1051" s="103"/>
      <c r="APM1051" s="104"/>
      <c r="APN1051" s="103"/>
      <c r="APZ1051" s="104"/>
      <c r="AQA1051" s="103"/>
      <c r="AQM1051" s="104"/>
      <c r="AQN1051" s="103"/>
      <c r="AQZ1051" s="104"/>
      <c r="ARA1051" s="103"/>
      <c r="ARM1051" s="104"/>
      <c r="ARN1051" s="103"/>
      <c r="ARZ1051" s="104"/>
      <c r="ASA1051" s="103"/>
      <c r="ASM1051" s="104"/>
      <c r="ASN1051" s="103"/>
      <c r="ASZ1051" s="104"/>
      <c r="ATA1051" s="103"/>
      <c r="ATM1051" s="104"/>
      <c r="ATN1051" s="103"/>
      <c r="ATZ1051" s="104"/>
      <c r="AUA1051" s="103"/>
      <c r="AUM1051" s="104"/>
      <c r="AUN1051" s="103"/>
      <c r="AUZ1051" s="104"/>
      <c r="AVA1051" s="103"/>
      <c r="AVM1051" s="104"/>
      <c r="AVN1051" s="103"/>
      <c r="AVZ1051" s="104"/>
      <c r="AWA1051" s="103"/>
      <c r="AWM1051" s="104"/>
      <c r="AWN1051" s="103"/>
      <c r="AWZ1051" s="104"/>
      <c r="AXA1051" s="103"/>
      <c r="AXM1051" s="104"/>
      <c r="AXN1051" s="103"/>
      <c r="AXZ1051" s="104"/>
      <c r="AYA1051" s="103"/>
      <c r="AYM1051" s="104"/>
      <c r="AYN1051" s="103"/>
      <c r="AYZ1051" s="104"/>
      <c r="AZA1051" s="103"/>
      <c r="AZM1051" s="104"/>
      <c r="AZN1051" s="103"/>
      <c r="AZZ1051" s="104"/>
      <c r="BAA1051" s="103"/>
      <c r="BAM1051" s="104"/>
      <c r="BAN1051" s="103"/>
      <c r="BAZ1051" s="104"/>
      <c r="BBA1051" s="103"/>
      <c r="BBM1051" s="104"/>
      <c r="BBN1051" s="103"/>
      <c r="BBZ1051" s="104"/>
      <c r="BCA1051" s="103"/>
      <c r="BCM1051" s="104"/>
      <c r="BCN1051" s="103"/>
      <c r="BCZ1051" s="104"/>
      <c r="BDA1051" s="103"/>
      <c r="BDM1051" s="104"/>
      <c r="BDN1051" s="103"/>
      <c r="BDZ1051" s="104"/>
      <c r="BEA1051" s="103"/>
      <c r="BEM1051" s="104"/>
      <c r="BEN1051" s="103"/>
      <c r="BEZ1051" s="104"/>
      <c r="BFA1051" s="103"/>
      <c r="BFM1051" s="104"/>
      <c r="BFN1051" s="103"/>
      <c r="BFZ1051" s="104"/>
      <c r="BGA1051" s="103"/>
      <c r="BGM1051" s="104"/>
      <c r="BGN1051" s="103"/>
      <c r="BGZ1051" s="104"/>
      <c r="BHA1051" s="103"/>
      <c r="BHM1051" s="104"/>
      <c r="BHN1051" s="103"/>
      <c r="BHZ1051" s="104"/>
      <c r="BIA1051" s="103"/>
      <c r="BIM1051" s="104"/>
      <c r="BIN1051" s="103"/>
      <c r="BIZ1051" s="104"/>
      <c r="BJA1051" s="103"/>
      <c r="BJM1051" s="104"/>
      <c r="BJN1051" s="103"/>
      <c r="BJZ1051" s="104"/>
      <c r="BKA1051" s="103"/>
      <c r="BKM1051" s="104"/>
      <c r="BKN1051" s="103"/>
      <c r="BKZ1051" s="104"/>
      <c r="BLA1051" s="103"/>
      <c r="BLM1051" s="104"/>
      <c r="BLN1051" s="103"/>
      <c r="BLZ1051" s="104"/>
      <c r="BMA1051" s="103"/>
      <c r="BMM1051" s="104"/>
      <c r="BMN1051" s="103"/>
      <c r="BMZ1051" s="104"/>
      <c r="BNA1051" s="103"/>
      <c r="BNM1051" s="104"/>
      <c r="BNN1051" s="103"/>
      <c r="BNZ1051" s="104"/>
      <c r="BOA1051" s="103"/>
      <c r="BOM1051" s="104"/>
      <c r="BON1051" s="103"/>
      <c r="BOZ1051" s="104"/>
      <c r="BPA1051" s="103"/>
      <c r="BPM1051" s="104"/>
      <c r="BPN1051" s="103"/>
      <c r="BPZ1051" s="104"/>
      <c r="BQA1051" s="103"/>
      <c r="BQM1051" s="104"/>
      <c r="BQN1051" s="103"/>
      <c r="BQZ1051" s="104"/>
      <c r="BRA1051" s="103"/>
      <c r="BRM1051" s="104"/>
      <c r="BRN1051" s="103"/>
      <c r="BRZ1051" s="104"/>
      <c r="BSA1051" s="103"/>
      <c r="BSM1051" s="104"/>
      <c r="BSN1051" s="103"/>
      <c r="BSZ1051" s="104"/>
      <c r="BTA1051" s="103"/>
      <c r="BTM1051" s="104"/>
      <c r="BTN1051" s="103"/>
      <c r="BTZ1051" s="104"/>
      <c r="BUA1051" s="103"/>
      <c r="BUM1051" s="104"/>
      <c r="BUN1051" s="103"/>
      <c r="BUZ1051" s="104"/>
      <c r="BVA1051" s="103"/>
      <c r="BVM1051" s="104"/>
      <c r="BVN1051" s="103"/>
      <c r="BVZ1051" s="104"/>
      <c r="BWA1051" s="103"/>
      <c r="BWM1051" s="104"/>
      <c r="BWN1051" s="103"/>
      <c r="BWZ1051" s="104"/>
      <c r="BXA1051" s="103"/>
      <c r="BXM1051" s="104"/>
      <c r="BXN1051" s="103"/>
      <c r="BXZ1051" s="104"/>
      <c r="BYA1051" s="103"/>
      <c r="BYM1051" s="104"/>
      <c r="BYN1051" s="103"/>
      <c r="BYZ1051" s="104"/>
      <c r="BZA1051" s="103"/>
      <c r="BZM1051" s="104"/>
      <c r="BZN1051" s="103"/>
      <c r="BZZ1051" s="104"/>
      <c r="CAA1051" s="103"/>
      <c r="CAM1051" s="104"/>
      <c r="CAN1051" s="103"/>
      <c r="CAZ1051" s="104"/>
      <c r="CBA1051" s="103"/>
      <c r="CBM1051" s="104"/>
      <c r="CBN1051" s="103"/>
      <c r="CBZ1051" s="104"/>
      <c r="CCA1051" s="103"/>
      <c r="CCM1051" s="104"/>
      <c r="CCN1051" s="103"/>
      <c r="CCZ1051" s="104"/>
      <c r="CDA1051" s="103"/>
      <c r="CDM1051" s="104"/>
      <c r="CDN1051" s="103"/>
      <c r="CDZ1051" s="104"/>
      <c r="CEA1051" s="103"/>
      <c r="CEM1051" s="104"/>
      <c r="CEN1051" s="103"/>
      <c r="CEZ1051" s="104"/>
      <c r="CFA1051" s="103"/>
      <c r="CFM1051" s="104"/>
      <c r="CFN1051" s="103"/>
      <c r="CFZ1051" s="104"/>
      <c r="CGA1051" s="103"/>
      <c r="CGM1051" s="104"/>
      <c r="CGN1051" s="103"/>
      <c r="CGZ1051" s="104"/>
      <c r="CHA1051" s="103"/>
      <c r="CHM1051" s="104"/>
      <c r="CHN1051" s="103"/>
      <c r="CHZ1051" s="104"/>
      <c r="CIA1051" s="103"/>
      <c r="CIM1051" s="104"/>
      <c r="CIN1051" s="103"/>
      <c r="CIZ1051" s="104"/>
      <c r="CJA1051" s="103"/>
      <c r="CJM1051" s="104"/>
      <c r="CJN1051" s="103"/>
      <c r="CJZ1051" s="104"/>
      <c r="CKA1051" s="103"/>
      <c r="CKM1051" s="104"/>
      <c r="CKN1051" s="103"/>
      <c r="CKZ1051" s="104"/>
      <c r="CLA1051" s="103"/>
      <c r="CLM1051" s="104"/>
      <c r="CLN1051" s="103"/>
      <c r="CLZ1051" s="104"/>
      <c r="CMA1051" s="103"/>
      <c r="CMM1051" s="104"/>
      <c r="CMN1051" s="103"/>
      <c r="CMZ1051" s="104"/>
      <c r="CNA1051" s="103"/>
      <c r="CNM1051" s="104"/>
      <c r="CNN1051" s="103"/>
      <c r="CNZ1051" s="104"/>
      <c r="COA1051" s="103"/>
      <c r="COM1051" s="104"/>
      <c r="CON1051" s="103"/>
      <c r="COZ1051" s="104"/>
      <c r="CPA1051" s="103"/>
      <c r="CPM1051" s="104"/>
      <c r="CPN1051" s="103"/>
      <c r="CPZ1051" s="104"/>
      <c r="CQA1051" s="103"/>
      <c r="CQM1051" s="104"/>
      <c r="CQN1051" s="103"/>
      <c r="CQZ1051" s="104"/>
      <c r="CRA1051" s="103"/>
      <c r="CRM1051" s="104"/>
      <c r="CRN1051" s="103"/>
      <c r="CRZ1051" s="104"/>
      <c r="CSA1051" s="103"/>
      <c r="CSM1051" s="104"/>
      <c r="CSN1051" s="103"/>
      <c r="CSZ1051" s="104"/>
      <c r="CTA1051" s="103"/>
      <c r="CTM1051" s="104"/>
      <c r="CTN1051" s="103"/>
      <c r="CTZ1051" s="104"/>
      <c r="CUA1051" s="103"/>
      <c r="CUM1051" s="104"/>
      <c r="CUN1051" s="103"/>
      <c r="CUZ1051" s="104"/>
      <c r="CVA1051" s="103"/>
      <c r="CVM1051" s="104"/>
      <c r="CVN1051" s="103"/>
      <c r="CVZ1051" s="104"/>
      <c r="CWA1051" s="103"/>
      <c r="CWM1051" s="104"/>
      <c r="CWN1051" s="103"/>
      <c r="CWZ1051" s="104"/>
      <c r="CXA1051" s="103"/>
      <c r="CXM1051" s="104"/>
      <c r="CXN1051" s="103"/>
      <c r="CXZ1051" s="104"/>
      <c r="CYA1051" s="103"/>
      <c r="CYM1051" s="104"/>
      <c r="CYN1051" s="103"/>
      <c r="CYZ1051" s="104"/>
      <c r="CZA1051" s="103"/>
      <c r="CZM1051" s="104"/>
      <c r="CZN1051" s="103"/>
      <c r="CZZ1051" s="104"/>
      <c r="DAA1051" s="103"/>
      <c r="DAM1051" s="104"/>
      <c r="DAN1051" s="103"/>
      <c r="DAZ1051" s="104"/>
      <c r="DBA1051" s="103"/>
      <c r="DBM1051" s="104"/>
      <c r="DBN1051" s="103"/>
      <c r="DBZ1051" s="104"/>
      <c r="DCA1051" s="103"/>
      <c r="DCM1051" s="104"/>
      <c r="DCN1051" s="103"/>
      <c r="DCZ1051" s="104"/>
      <c r="DDA1051" s="103"/>
      <c r="DDM1051" s="104"/>
      <c r="DDN1051" s="103"/>
      <c r="DDZ1051" s="104"/>
      <c r="DEA1051" s="103"/>
      <c r="DEM1051" s="104"/>
      <c r="DEN1051" s="103"/>
      <c r="DEZ1051" s="104"/>
      <c r="DFA1051" s="103"/>
      <c r="DFM1051" s="104"/>
      <c r="DFN1051" s="103"/>
      <c r="DFZ1051" s="104"/>
      <c r="DGA1051" s="103"/>
      <c r="DGM1051" s="104"/>
      <c r="DGN1051" s="103"/>
      <c r="DGZ1051" s="104"/>
      <c r="DHA1051" s="103"/>
      <c r="DHM1051" s="104"/>
      <c r="DHN1051" s="103"/>
      <c r="DHZ1051" s="104"/>
      <c r="DIA1051" s="103"/>
      <c r="DIM1051" s="104"/>
      <c r="DIN1051" s="103"/>
      <c r="DIZ1051" s="104"/>
      <c r="DJA1051" s="103"/>
      <c r="DJM1051" s="104"/>
      <c r="DJN1051" s="103"/>
      <c r="DJZ1051" s="104"/>
      <c r="DKA1051" s="103"/>
      <c r="DKM1051" s="104"/>
      <c r="DKN1051" s="103"/>
      <c r="DKZ1051" s="104"/>
      <c r="DLA1051" s="103"/>
      <c r="DLM1051" s="104"/>
      <c r="DLN1051" s="103"/>
      <c r="DLZ1051" s="104"/>
      <c r="DMA1051" s="103"/>
      <c r="DMM1051" s="104"/>
      <c r="DMN1051" s="103"/>
      <c r="DMZ1051" s="104"/>
      <c r="DNA1051" s="103"/>
      <c r="DNM1051" s="104"/>
      <c r="DNN1051" s="103"/>
      <c r="DNZ1051" s="104"/>
      <c r="DOA1051" s="103"/>
      <c r="DOM1051" s="104"/>
      <c r="DON1051" s="103"/>
      <c r="DOZ1051" s="104"/>
      <c r="DPA1051" s="103"/>
      <c r="DPM1051" s="104"/>
      <c r="DPN1051" s="103"/>
      <c r="DPZ1051" s="104"/>
      <c r="DQA1051" s="103"/>
      <c r="DQM1051" s="104"/>
      <c r="DQN1051" s="103"/>
      <c r="DQZ1051" s="104"/>
      <c r="DRA1051" s="103"/>
      <c r="DRM1051" s="104"/>
      <c r="DRN1051" s="103"/>
      <c r="DRZ1051" s="104"/>
      <c r="DSA1051" s="103"/>
      <c r="DSM1051" s="104"/>
      <c r="DSN1051" s="103"/>
      <c r="DSZ1051" s="104"/>
      <c r="DTA1051" s="103"/>
      <c r="DTM1051" s="104"/>
      <c r="DTN1051" s="103"/>
      <c r="DTZ1051" s="104"/>
      <c r="DUA1051" s="103"/>
      <c r="DUM1051" s="104"/>
      <c r="DUN1051" s="103"/>
      <c r="DUZ1051" s="104"/>
      <c r="DVA1051" s="103"/>
      <c r="DVM1051" s="104"/>
      <c r="DVN1051" s="103"/>
      <c r="DVZ1051" s="104"/>
      <c r="DWA1051" s="103"/>
      <c r="DWM1051" s="104"/>
      <c r="DWN1051" s="103"/>
      <c r="DWZ1051" s="104"/>
      <c r="DXA1051" s="103"/>
      <c r="DXM1051" s="104"/>
      <c r="DXN1051" s="103"/>
      <c r="DXZ1051" s="104"/>
      <c r="DYA1051" s="103"/>
      <c r="DYM1051" s="104"/>
      <c r="DYN1051" s="103"/>
      <c r="DYZ1051" s="104"/>
      <c r="DZA1051" s="103"/>
      <c r="DZM1051" s="104"/>
      <c r="DZN1051" s="103"/>
      <c r="DZZ1051" s="104"/>
      <c r="EAA1051" s="103"/>
      <c r="EAM1051" s="104"/>
      <c r="EAN1051" s="103"/>
      <c r="EAZ1051" s="104"/>
      <c r="EBA1051" s="103"/>
      <c r="EBM1051" s="104"/>
      <c r="EBN1051" s="103"/>
      <c r="EBZ1051" s="104"/>
      <c r="ECA1051" s="103"/>
      <c r="ECM1051" s="104"/>
      <c r="ECN1051" s="103"/>
      <c r="ECZ1051" s="104"/>
      <c r="EDA1051" s="103"/>
      <c r="EDM1051" s="104"/>
      <c r="EDN1051" s="103"/>
      <c r="EDZ1051" s="104"/>
      <c r="EEA1051" s="103"/>
      <c r="EEM1051" s="104"/>
      <c r="EEN1051" s="103"/>
      <c r="EEZ1051" s="104"/>
      <c r="EFA1051" s="103"/>
      <c r="EFM1051" s="104"/>
      <c r="EFN1051" s="103"/>
      <c r="EFZ1051" s="104"/>
      <c r="EGA1051" s="103"/>
      <c r="EGM1051" s="104"/>
      <c r="EGN1051" s="103"/>
      <c r="EGZ1051" s="104"/>
      <c r="EHA1051" s="103"/>
      <c r="EHM1051" s="104"/>
      <c r="EHN1051" s="103"/>
      <c r="EHZ1051" s="104"/>
      <c r="EIA1051" s="103"/>
      <c r="EIM1051" s="104"/>
      <c r="EIN1051" s="103"/>
      <c r="EIZ1051" s="104"/>
      <c r="EJA1051" s="103"/>
      <c r="EJM1051" s="104"/>
      <c r="EJN1051" s="103"/>
      <c r="EJZ1051" s="104"/>
      <c r="EKA1051" s="103"/>
      <c r="EKM1051" s="104"/>
      <c r="EKN1051" s="103"/>
      <c r="EKZ1051" s="104"/>
      <c r="ELA1051" s="103"/>
      <c r="ELM1051" s="104"/>
      <c r="ELN1051" s="103"/>
      <c r="ELZ1051" s="104"/>
      <c r="EMA1051" s="103"/>
      <c r="EMM1051" s="104"/>
      <c r="EMN1051" s="103"/>
      <c r="EMZ1051" s="104"/>
      <c r="ENA1051" s="103"/>
      <c r="ENM1051" s="104"/>
      <c r="ENN1051" s="103"/>
      <c r="ENZ1051" s="104"/>
      <c r="EOA1051" s="103"/>
      <c r="EOM1051" s="104"/>
      <c r="EON1051" s="103"/>
      <c r="EOZ1051" s="104"/>
      <c r="EPA1051" s="103"/>
      <c r="EPM1051" s="104"/>
      <c r="EPN1051" s="103"/>
      <c r="EPZ1051" s="104"/>
      <c r="EQA1051" s="103"/>
      <c r="EQM1051" s="104"/>
      <c r="EQN1051" s="103"/>
      <c r="EQZ1051" s="104"/>
      <c r="ERA1051" s="103"/>
      <c r="ERM1051" s="104"/>
      <c r="ERN1051" s="103"/>
      <c r="ERZ1051" s="104"/>
      <c r="ESA1051" s="103"/>
      <c r="ESM1051" s="104"/>
      <c r="ESN1051" s="103"/>
      <c r="ESZ1051" s="104"/>
      <c r="ETA1051" s="103"/>
      <c r="ETM1051" s="104"/>
      <c r="ETN1051" s="103"/>
      <c r="ETZ1051" s="104"/>
      <c r="EUA1051" s="103"/>
      <c r="EUM1051" s="104"/>
      <c r="EUN1051" s="103"/>
      <c r="EUZ1051" s="104"/>
      <c r="EVA1051" s="103"/>
      <c r="EVM1051" s="104"/>
      <c r="EVN1051" s="103"/>
      <c r="EVZ1051" s="104"/>
      <c r="EWA1051" s="103"/>
      <c r="EWM1051" s="104"/>
      <c r="EWN1051" s="103"/>
      <c r="EWZ1051" s="104"/>
      <c r="EXA1051" s="103"/>
      <c r="EXM1051" s="104"/>
      <c r="EXN1051" s="103"/>
      <c r="EXZ1051" s="104"/>
      <c r="EYA1051" s="103"/>
      <c r="EYM1051" s="104"/>
      <c r="EYN1051" s="103"/>
      <c r="EYZ1051" s="104"/>
      <c r="EZA1051" s="103"/>
      <c r="EZM1051" s="104"/>
      <c r="EZN1051" s="103"/>
      <c r="EZZ1051" s="104"/>
      <c r="FAA1051" s="103"/>
      <c r="FAM1051" s="104"/>
      <c r="FAN1051" s="103"/>
      <c r="FAZ1051" s="104"/>
      <c r="FBA1051" s="103"/>
      <c r="FBM1051" s="104"/>
      <c r="FBN1051" s="103"/>
      <c r="FBZ1051" s="104"/>
      <c r="FCA1051" s="103"/>
      <c r="FCM1051" s="104"/>
      <c r="FCN1051" s="103"/>
      <c r="FCZ1051" s="104"/>
      <c r="FDA1051" s="103"/>
      <c r="FDM1051" s="104"/>
      <c r="FDN1051" s="103"/>
      <c r="FDZ1051" s="104"/>
      <c r="FEA1051" s="103"/>
      <c r="FEM1051" s="104"/>
      <c r="FEN1051" s="103"/>
      <c r="FEZ1051" s="104"/>
      <c r="FFA1051" s="103"/>
      <c r="FFM1051" s="104"/>
      <c r="FFN1051" s="103"/>
      <c r="FFZ1051" s="104"/>
      <c r="FGA1051" s="103"/>
      <c r="FGM1051" s="104"/>
      <c r="FGN1051" s="103"/>
      <c r="FGZ1051" s="104"/>
      <c r="FHA1051" s="103"/>
      <c r="FHM1051" s="104"/>
      <c r="FHN1051" s="103"/>
      <c r="FHZ1051" s="104"/>
      <c r="FIA1051" s="103"/>
      <c r="FIM1051" s="104"/>
      <c r="FIN1051" s="103"/>
      <c r="FIZ1051" s="104"/>
      <c r="FJA1051" s="103"/>
      <c r="FJM1051" s="104"/>
      <c r="FJN1051" s="103"/>
      <c r="FJZ1051" s="104"/>
      <c r="FKA1051" s="103"/>
      <c r="FKM1051" s="104"/>
      <c r="FKN1051" s="103"/>
      <c r="FKZ1051" s="104"/>
      <c r="FLA1051" s="103"/>
      <c r="FLM1051" s="104"/>
      <c r="FLN1051" s="103"/>
      <c r="FLZ1051" s="104"/>
      <c r="FMA1051" s="103"/>
      <c r="FMM1051" s="104"/>
      <c r="FMN1051" s="103"/>
      <c r="FMZ1051" s="104"/>
      <c r="FNA1051" s="103"/>
      <c r="FNM1051" s="104"/>
      <c r="FNN1051" s="103"/>
      <c r="FNZ1051" s="104"/>
      <c r="FOA1051" s="103"/>
      <c r="FOM1051" s="104"/>
      <c r="FON1051" s="103"/>
      <c r="FOZ1051" s="104"/>
      <c r="FPA1051" s="103"/>
      <c r="FPM1051" s="104"/>
      <c r="FPN1051" s="103"/>
      <c r="FPZ1051" s="104"/>
      <c r="FQA1051" s="103"/>
      <c r="FQM1051" s="104"/>
      <c r="FQN1051" s="103"/>
      <c r="FQZ1051" s="104"/>
      <c r="FRA1051" s="103"/>
      <c r="FRM1051" s="104"/>
      <c r="FRN1051" s="103"/>
      <c r="FRZ1051" s="104"/>
      <c r="FSA1051" s="103"/>
      <c r="FSM1051" s="104"/>
      <c r="FSN1051" s="103"/>
      <c r="FSZ1051" s="104"/>
      <c r="FTA1051" s="103"/>
      <c r="FTM1051" s="104"/>
      <c r="FTN1051" s="103"/>
      <c r="FTZ1051" s="104"/>
      <c r="FUA1051" s="103"/>
      <c r="FUM1051" s="104"/>
      <c r="FUN1051" s="103"/>
      <c r="FUZ1051" s="104"/>
      <c r="FVA1051" s="103"/>
      <c r="FVM1051" s="104"/>
      <c r="FVN1051" s="103"/>
      <c r="FVZ1051" s="104"/>
      <c r="FWA1051" s="103"/>
      <c r="FWM1051" s="104"/>
      <c r="FWN1051" s="103"/>
      <c r="FWZ1051" s="104"/>
      <c r="FXA1051" s="103"/>
      <c r="FXM1051" s="104"/>
      <c r="FXN1051" s="103"/>
      <c r="FXZ1051" s="104"/>
      <c r="FYA1051" s="103"/>
      <c r="FYM1051" s="104"/>
      <c r="FYN1051" s="103"/>
      <c r="FYZ1051" s="104"/>
      <c r="FZA1051" s="103"/>
      <c r="FZM1051" s="104"/>
      <c r="FZN1051" s="103"/>
      <c r="FZZ1051" s="104"/>
      <c r="GAA1051" s="103"/>
      <c r="GAM1051" s="104"/>
      <c r="GAN1051" s="103"/>
      <c r="GAZ1051" s="104"/>
      <c r="GBA1051" s="103"/>
      <c r="GBM1051" s="104"/>
      <c r="GBN1051" s="103"/>
      <c r="GBZ1051" s="104"/>
      <c r="GCA1051" s="103"/>
      <c r="GCM1051" s="104"/>
      <c r="GCN1051" s="103"/>
      <c r="GCZ1051" s="104"/>
      <c r="GDA1051" s="103"/>
      <c r="GDM1051" s="104"/>
      <c r="GDN1051" s="103"/>
      <c r="GDZ1051" s="104"/>
      <c r="GEA1051" s="103"/>
      <c r="GEM1051" s="104"/>
      <c r="GEN1051" s="103"/>
      <c r="GEZ1051" s="104"/>
      <c r="GFA1051" s="103"/>
      <c r="GFM1051" s="104"/>
      <c r="GFN1051" s="103"/>
      <c r="GFZ1051" s="104"/>
      <c r="GGA1051" s="103"/>
      <c r="GGM1051" s="104"/>
      <c r="GGN1051" s="103"/>
      <c r="GGZ1051" s="104"/>
      <c r="GHA1051" s="103"/>
      <c r="GHM1051" s="104"/>
      <c r="GHN1051" s="103"/>
      <c r="GHZ1051" s="104"/>
      <c r="GIA1051" s="103"/>
      <c r="GIM1051" s="104"/>
      <c r="GIN1051" s="103"/>
      <c r="GIZ1051" s="104"/>
      <c r="GJA1051" s="103"/>
      <c r="GJM1051" s="104"/>
      <c r="GJN1051" s="103"/>
      <c r="GJZ1051" s="104"/>
      <c r="GKA1051" s="103"/>
      <c r="GKM1051" s="104"/>
      <c r="GKN1051" s="103"/>
      <c r="GKZ1051" s="104"/>
      <c r="GLA1051" s="103"/>
      <c r="GLM1051" s="104"/>
      <c r="GLN1051" s="103"/>
      <c r="GLZ1051" s="104"/>
      <c r="GMA1051" s="103"/>
      <c r="GMM1051" s="104"/>
      <c r="GMN1051" s="103"/>
      <c r="GMZ1051" s="104"/>
      <c r="GNA1051" s="103"/>
      <c r="GNM1051" s="104"/>
      <c r="GNN1051" s="103"/>
      <c r="GNZ1051" s="104"/>
      <c r="GOA1051" s="103"/>
      <c r="GOM1051" s="104"/>
      <c r="GON1051" s="103"/>
      <c r="GOZ1051" s="104"/>
      <c r="GPA1051" s="103"/>
      <c r="GPM1051" s="104"/>
      <c r="GPN1051" s="103"/>
      <c r="GPZ1051" s="104"/>
      <c r="GQA1051" s="103"/>
      <c r="GQM1051" s="104"/>
      <c r="GQN1051" s="103"/>
      <c r="GQZ1051" s="104"/>
      <c r="GRA1051" s="103"/>
      <c r="GRM1051" s="104"/>
      <c r="GRN1051" s="103"/>
      <c r="GRZ1051" s="104"/>
      <c r="GSA1051" s="103"/>
      <c r="GSM1051" s="104"/>
      <c r="GSN1051" s="103"/>
      <c r="GSZ1051" s="104"/>
      <c r="GTA1051" s="103"/>
      <c r="GTM1051" s="104"/>
      <c r="GTN1051" s="103"/>
      <c r="GTZ1051" s="104"/>
      <c r="GUA1051" s="103"/>
      <c r="GUM1051" s="104"/>
      <c r="GUN1051" s="103"/>
      <c r="GUZ1051" s="104"/>
      <c r="GVA1051" s="103"/>
      <c r="GVM1051" s="104"/>
      <c r="GVN1051" s="103"/>
      <c r="GVZ1051" s="104"/>
      <c r="GWA1051" s="103"/>
      <c r="GWM1051" s="104"/>
      <c r="GWN1051" s="103"/>
      <c r="GWZ1051" s="104"/>
      <c r="GXA1051" s="103"/>
      <c r="GXM1051" s="104"/>
      <c r="GXN1051" s="103"/>
      <c r="GXZ1051" s="104"/>
      <c r="GYA1051" s="103"/>
      <c r="GYM1051" s="104"/>
      <c r="GYN1051" s="103"/>
      <c r="GYZ1051" s="104"/>
      <c r="GZA1051" s="103"/>
      <c r="GZM1051" s="104"/>
      <c r="GZN1051" s="103"/>
      <c r="GZZ1051" s="104"/>
      <c r="HAA1051" s="103"/>
      <c r="HAM1051" s="104"/>
      <c r="HAN1051" s="103"/>
      <c r="HAZ1051" s="104"/>
      <c r="HBA1051" s="103"/>
      <c r="HBM1051" s="104"/>
      <c r="HBN1051" s="103"/>
      <c r="HBZ1051" s="104"/>
      <c r="HCA1051" s="103"/>
      <c r="HCM1051" s="104"/>
      <c r="HCN1051" s="103"/>
      <c r="HCZ1051" s="104"/>
      <c r="HDA1051" s="103"/>
      <c r="HDM1051" s="104"/>
      <c r="HDN1051" s="103"/>
      <c r="HDZ1051" s="104"/>
      <c r="HEA1051" s="103"/>
      <c r="HEM1051" s="104"/>
      <c r="HEN1051" s="103"/>
      <c r="HEZ1051" s="104"/>
      <c r="HFA1051" s="103"/>
      <c r="HFM1051" s="104"/>
      <c r="HFN1051" s="103"/>
      <c r="HFZ1051" s="104"/>
      <c r="HGA1051" s="103"/>
      <c r="HGM1051" s="104"/>
      <c r="HGN1051" s="103"/>
      <c r="HGZ1051" s="104"/>
      <c r="HHA1051" s="103"/>
      <c r="HHM1051" s="104"/>
      <c r="HHN1051" s="103"/>
      <c r="HHZ1051" s="104"/>
      <c r="HIA1051" s="103"/>
      <c r="HIM1051" s="104"/>
      <c r="HIN1051" s="103"/>
      <c r="HIZ1051" s="104"/>
      <c r="HJA1051" s="103"/>
      <c r="HJM1051" s="104"/>
      <c r="HJN1051" s="103"/>
      <c r="HJZ1051" s="104"/>
      <c r="HKA1051" s="103"/>
      <c r="HKM1051" s="104"/>
      <c r="HKN1051" s="103"/>
      <c r="HKZ1051" s="104"/>
      <c r="HLA1051" s="103"/>
      <c r="HLM1051" s="104"/>
      <c r="HLN1051" s="103"/>
      <c r="HLZ1051" s="104"/>
      <c r="HMA1051" s="103"/>
      <c r="HMM1051" s="104"/>
      <c r="HMN1051" s="103"/>
      <c r="HMZ1051" s="104"/>
      <c r="HNA1051" s="103"/>
      <c r="HNM1051" s="104"/>
      <c r="HNN1051" s="103"/>
      <c r="HNZ1051" s="104"/>
      <c r="HOA1051" s="103"/>
      <c r="HOM1051" s="104"/>
      <c r="HON1051" s="103"/>
      <c r="HOZ1051" s="104"/>
      <c r="HPA1051" s="103"/>
      <c r="HPM1051" s="104"/>
      <c r="HPN1051" s="103"/>
      <c r="HPZ1051" s="104"/>
      <c r="HQA1051" s="103"/>
      <c r="HQM1051" s="104"/>
      <c r="HQN1051" s="103"/>
      <c r="HQZ1051" s="104"/>
      <c r="HRA1051" s="103"/>
      <c r="HRM1051" s="104"/>
      <c r="HRN1051" s="103"/>
      <c r="HRZ1051" s="104"/>
      <c r="HSA1051" s="103"/>
      <c r="HSM1051" s="104"/>
      <c r="HSN1051" s="103"/>
      <c r="HSZ1051" s="104"/>
      <c r="HTA1051" s="103"/>
      <c r="HTM1051" s="104"/>
      <c r="HTN1051" s="103"/>
      <c r="HTZ1051" s="104"/>
      <c r="HUA1051" s="103"/>
      <c r="HUM1051" s="104"/>
      <c r="HUN1051" s="103"/>
      <c r="HUZ1051" s="104"/>
      <c r="HVA1051" s="103"/>
      <c r="HVM1051" s="104"/>
      <c r="HVN1051" s="103"/>
      <c r="HVZ1051" s="104"/>
      <c r="HWA1051" s="103"/>
      <c r="HWM1051" s="104"/>
      <c r="HWN1051" s="103"/>
      <c r="HWZ1051" s="104"/>
      <c r="HXA1051" s="103"/>
      <c r="HXM1051" s="104"/>
      <c r="HXN1051" s="103"/>
      <c r="HXZ1051" s="104"/>
      <c r="HYA1051" s="103"/>
      <c r="HYM1051" s="104"/>
      <c r="HYN1051" s="103"/>
      <c r="HYZ1051" s="104"/>
      <c r="HZA1051" s="103"/>
      <c r="HZM1051" s="104"/>
      <c r="HZN1051" s="103"/>
      <c r="HZZ1051" s="104"/>
      <c r="IAA1051" s="103"/>
      <c r="IAM1051" s="104"/>
      <c r="IAN1051" s="103"/>
      <c r="IAZ1051" s="104"/>
      <c r="IBA1051" s="103"/>
      <c r="IBM1051" s="104"/>
      <c r="IBN1051" s="103"/>
      <c r="IBZ1051" s="104"/>
      <c r="ICA1051" s="103"/>
      <c r="ICM1051" s="104"/>
      <c r="ICN1051" s="103"/>
      <c r="ICZ1051" s="104"/>
      <c r="IDA1051" s="103"/>
      <c r="IDM1051" s="104"/>
      <c r="IDN1051" s="103"/>
      <c r="IDZ1051" s="104"/>
      <c r="IEA1051" s="103"/>
      <c r="IEM1051" s="104"/>
      <c r="IEN1051" s="103"/>
      <c r="IEZ1051" s="104"/>
      <c r="IFA1051" s="103"/>
      <c r="IFM1051" s="104"/>
      <c r="IFN1051" s="103"/>
      <c r="IFZ1051" s="104"/>
      <c r="IGA1051" s="103"/>
      <c r="IGM1051" s="104"/>
      <c r="IGN1051" s="103"/>
      <c r="IGZ1051" s="104"/>
      <c r="IHA1051" s="103"/>
      <c r="IHM1051" s="104"/>
      <c r="IHN1051" s="103"/>
      <c r="IHZ1051" s="104"/>
      <c r="IIA1051" s="103"/>
      <c r="IIM1051" s="104"/>
      <c r="IIN1051" s="103"/>
      <c r="IIZ1051" s="104"/>
      <c r="IJA1051" s="103"/>
      <c r="IJM1051" s="104"/>
      <c r="IJN1051" s="103"/>
      <c r="IJZ1051" s="104"/>
      <c r="IKA1051" s="103"/>
      <c r="IKM1051" s="104"/>
      <c r="IKN1051" s="103"/>
      <c r="IKZ1051" s="104"/>
      <c r="ILA1051" s="103"/>
      <c r="ILM1051" s="104"/>
      <c r="ILN1051" s="103"/>
      <c r="ILZ1051" s="104"/>
      <c r="IMA1051" s="103"/>
      <c r="IMM1051" s="104"/>
      <c r="IMN1051" s="103"/>
      <c r="IMZ1051" s="104"/>
      <c r="INA1051" s="103"/>
      <c r="INM1051" s="104"/>
      <c r="INN1051" s="103"/>
      <c r="INZ1051" s="104"/>
      <c r="IOA1051" s="103"/>
      <c r="IOM1051" s="104"/>
      <c r="ION1051" s="103"/>
      <c r="IOZ1051" s="104"/>
      <c r="IPA1051" s="103"/>
      <c r="IPM1051" s="104"/>
      <c r="IPN1051" s="103"/>
      <c r="IPZ1051" s="104"/>
      <c r="IQA1051" s="103"/>
      <c r="IQM1051" s="104"/>
      <c r="IQN1051" s="103"/>
      <c r="IQZ1051" s="104"/>
      <c r="IRA1051" s="103"/>
      <c r="IRM1051" s="104"/>
      <c r="IRN1051" s="103"/>
      <c r="IRZ1051" s="104"/>
      <c r="ISA1051" s="103"/>
      <c r="ISM1051" s="104"/>
      <c r="ISN1051" s="103"/>
      <c r="ISZ1051" s="104"/>
      <c r="ITA1051" s="103"/>
      <c r="ITM1051" s="104"/>
      <c r="ITN1051" s="103"/>
      <c r="ITZ1051" s="104"/>
      <c r="IUA1051" s="103"/>
      <c r="IUM1051" s="104"/>
      <c r="IUN1051" s="103"/>
      <c r="IUZ1051" s="104"/>
      <c r="IVA1051" s="103"/>
      <c r="IVM1051" s="104"/>
      <c r="IVN1051" s="103"/>
      <c r="IVZ1051" s="104"/>
      <c r="IWA1051" s="103"/>
      <c r="IWM1051" s="104"/>
      <c r="IWN1051" s="103"/>
      <c r="IWZ1051" s="104"/>
      <c r="IXA1051" s="103"/>
      <c r="IXM1051" s="104"/>
      <c r="IXN1051" s="103"/>
      <c r="IXZ1051" s="104"/>
      <c r="IYA1051" s="103"/>
      <c r="IYM1051" s="104"/>
      <c r="IYN1051" s="103"/>
      <c r="IYZ1051" s="104"/>
      <c r="IZA1051" s="103"/>
      <c r="IZM1051" s="104"/>
      <c r="IZN1051" s="103"/>
      <c r="IZZ1051" s="104"/>
      <c r="JAA1051" s="103"/>
      <c r="JAM1051" s="104"/>
      <c r="JAN1051" s="103"/>
      <c r="JAZ1051" s="104"/>
      <c r="JBA1051" s="103"/>
      <c r="JBM1051" s="104"/>
      <c r="JBN1051" s="103"/>
      <c r="JBZ1051" s="104"/>
      <c r="JCA1051" s="103"/>
      <c r="JCM1051" s="104"/>
      <c r="JCN1051" s="103"/>
      <c r="JCZ1051" s="104"/>
      <c r="JDA1051" s="103"/>
      <c r="JDM1051" s="104"/>
      <c r="JDN1051" s="103"/>
      <c r="JDZ1051" s="104"/>
      <c r="JEA1051" s="103"/>
      <c r="JEM1051" s="104"/>
      <c r="JEN1051" s="103"/>
      <c r="JEZ1051" s="104"/>
      <c r="JFA1051" s="103"/>
      <c r="JFM1051" s="104"/>
      <c r="JFN1051" s="103"/>
      <c r="JFZ1051" s="104"/>
      <c r="JGA1051" s="103"/>
      <c r="JGM1051" s="104"/>
      <c r="JGN1051" s="103"/>
      <c r="JGZ1051" s="104"/>
      <c r="JHA1051" s="103"/>
      <c r="JHM1051" s="104"/>
      <c r="JHN1051" s="103"/>
      <c r="JHZ1051" s="104"/>
      <c r="JIA1051" s="103"/>
      <c r="JIM1051" s="104"/>
      <c r="JIN1051" s="103"/>
      <c r="JIZ1051" s="104"/>
      <c r="JJA1051" s="103"/>
      <c r="JJM1051" s="104"/>
      <c r="JJN1051" s="103"/>
      <c r="JJZ1051" s="104"/>
      <c r="JKA1051" s="103"/>
      <c r="JKM1051" s="104"/>
      <c r="JKN1051" s="103"/>
      <c r="JKZ1051" s="104"/>
      <c r="JLA1051" s="103"/>
      <c r="JLM1051" s="104"/>
      <c r="JLN1051" s="103"/>
      <c r="JLZ1051" s="104"/>
      <c r="JMA1051" s="103"/>
      <c r="JMM1051" s="104"/>
      <c r="JMN1051" s="103"/>
      <c r="JMZ1051" s="104"/>
      <c r="JNA1051" s="103"/>
      <c r="JNM1051" s="104"/>
      <c r="JNN1051" s="103"/>
      <c r="JNZ1051" s="104"/>
      <c r="JOA1051" s="103"/>
      <c r="JOM1051" s="104"/>
      <c r="JON1051" s="103"/>
      <c r="JOZ1051" s="104"/>
      <c r="JPA1051" s="103"/>
      <c r="JPM1051" s="104"/>
      <c r="JPN1051" s="103"/>
      <c r="JPZ1051" s="104"/>
      <c r="JQA1051" s="103"/>
      <c r="JQM1051" s="104"/>
      <c r="JQN1051" s="103"/>
      <c r="JQZ1051" s="104"/>
      <c r="JRA1051" s="103"/>
      <c r="JRM1051" s="104"/>
      <c r="JRN1051" s="103"/>
      <c r="JRZ1051" s="104"/>
      <c r="JSA1051" s="103"/>
      <c r="JSM1051" s="104"/>
      <c r="JSN1051" s="103"/>
      <c r="JSZ1051" s="104"/>
      <c r="JTA1051" s="103"/>
      <c r="JTM1051" s="104"/>
      <c r="JTN1051" s="103"/>
      <c r="JTZ1051" s="104"/>
      <c r="JUA1051" s="103"/>
      <c r="JUM1051" s="104"/>
      <c r="JUN1051" s="103"/>
      <c r="JUZ1051" s="104"/>
      <c r="JVA1051" s="103"/>
      <c r="JVM1051" s="104"/>
      <c r="JVN1051" s="103"/>
      <c r="JVZ1051" s="104"/>
      <c r="JWA1051" s="103"/>
      <c r="JWM1051" s="104"/>
      <c r="JWN1051" s="103"/>
      <c r="JWZ1051" s="104"/>
      <c r="JXA1051" s="103"/>
      <c r="JXM1051" s="104"/>
      <c r="JXN1051" s="103"/>
      <c r="JXZ1051" s="104"/>
      <c r="JYA1051" s="103"/>
      <c r="JYM1051" s="104"/>
      <c r="JYN1051" s="103"/>
      <c r="JYZ1051" s="104"/>
      <c r="JZA1051" s="103"/>
      <c r="JZM1051" s="104"/>
      <c r="JZN1051" s="103"/>
      <c r="JZZ1051" s="104"/>
      <c r="KAA1051" s="103"/>
      <c r="KAM1051" s="104"/>
      <c r="KAN1051" s="103"/>
      <c r="KAZ1051" s="104"/>
      <c r="KBA1051" s="103"/>
      <c r="KBM1051" s="104"/>
      <c r="KBN1051" s="103"/>
      <c r="KBZ1051" s="104"/>
      <c r="KCA1051" s="103"/>
      <c r="KCM1051" s="104"/>
      <c r="KCN1051" s="103"/>
      <c r="KCZ1051" s="104"/>
      <c r="KDA1051" s="103"/>
      <c r="KDM1051" s="104"/>
      <c r="KDN1051" s="103"/>
      <c r="KDZ1051" s="104"/>
      <c r="KEA1051" s="103"/>
      <c r="KEM1051" s="104"/>
      <c r="KEN1051" s="103"/>
      <c r="KEZ1051" s="104"/>
      <c r="KFA1051" s="103"/>
      <c r="KFM1051" s="104"/>
      <c r="KFN1051" s="103"/>
      <c r="KFZ1051" s="104"/>
      <c r="KGA1051" s="103"/>
      <c r="KGM1051" s="104"/>
      <c r="KGN1051" s="103"/>
      <c r="KGZ1051" s="104"/>
      <c r="KHA1051" s="103"/>
      <c r="KHM1051" s="104"/>
      <c r="KHN1051" s="103"/>
      <c r="KHZ1051" s="104"/>
      <c r="KIA1051" s="103"/>
      <c r="KIM1051" s="104"/>
      <c r="KIN1051" s="103"/>
      <c r="KIZ1051" s="104"/>
      <c r="KJA1051" s="103"/>
      <c r="KJM1051" s="104"/>
      <c r="KJN1051" s="103"/>
      <c r="KJZ1051" s="104"/>
      <c r="KKA1051" s="103"/>
      <c r="KKM1051" s="104"/>
      <c r="KKN1051" s="103"/>
      <c r="KKZ1051" s="104"/>
      <c r="KLA1051" s="103"/>
      <c r="KLM1051" s="104"/>
      <c r="KLN1051" s="103"/>
      <c r="KLZ1051" s="104"/>
      <c r="KMA1051" s="103"/>
      <c r="KMM1051" s="104"/>
      <c r="KMN1051" s="103"/>
      <c r="KMZ1051" s="104"/>
      <c r="KNA1051" s="103"/>
      <c r="KNM1051" s="104"/>
      <c r="KNN1051" s="103"/>
      <c r="KNZ1051" s="104"/>
      <c r="KOA1051" s="103"/>
      <c r="KOM1051" s="104"/>
      <c r="KON1051" s="103"/>
      <c r="KOZ1051" s="104"/>
      <c r="KPA1051" s="103"/>
      <c r="KPM1051" s="104"/>
      <c r="KPN1051" s="103"/>
      <c r="KPZ1051" s="104"/>
      <c r="KQA1051" s="103"/>
      <c r="KQM1051" s="104"/>
      <c r="KQN1051" s="103"/>
      <c r="KQZ1051" s="104"/>
      <c r="KRA1051" s="103"/>
      <c r="KRM1051" s="104"/>
      <c r="KRN1051" s="103"/>
      <c r="KRZ1051" s="104"/>
      <c r="KSA1051" s="103"/>
      <c r="KSM1051" s="104"/>
      <c r="KSN1051" s="103"/>
      <c r="KSZ1051" s="104"/>
      <c r="KTA1051" s="103"/>
      <c r="KTM1051" s="104"/>
      <c r="KTN1051" s="103"/>
      <c r="KTZ1051" s="104"/>
      <c r="KUA1051" s="103"/>
      <c r="KUM1051" s="104"/>
      <c r="KUN1051" s="103"/>
      <c r="KUZ1051" s="104"/>
      <c r="KVA1051" s="103"/>
      <c r="KVM1051" s="104"/>
      <c r="KVN1051" s="103"/>
      <c r="KVZ1051" s="104"/>
      <c r="KWA1051" s="103"/>
      <c r="KWM1051" s="104"/>
      <c r="KWN1051" s="103"/>
      <c r="KWZ1051" s="104"/>
      <c r="KXA1051" s="103"/>
      <c r="KXM1051" s="104"/>
      <c r="KXN1051" s="103"/>
      <c r="KXZ1051" s="104"/>
      <c r="KYA1051" s="103"/>
      <c r="KYM1051" s="104"/>
      <c r="KYN1051" s="103"/>
      <c r="KYZ1051" s="104"/>
      <c r="KZA1051" s="103"/>
      <c r="KZM1051" s="104"/>
      <c r="KZN1051" s="103"/>
      <c r="KZZ1051" s="104"/>
      <c r="LAA1051" s="103"/>
      <c r="LAM1051" s="104"/>
      <c r="LAN1051" s="103"/>
      <c r="LAZ1051" s="104"/>
      <c r="LBA1051" s="103"/>
      <c r="LBM1051" s="104"/>
      <c r="LBN1051" s="103"/>
      <c r="LBZ1051" s="104"/>
      <c r="LCA1051" s="103"/>
      <c r="LCM1051" s="104"/>
      <c r="LCN1051" s="103"/>
      <c r="LCZ1051" s="104"/>
      <c r="LDA1051" s="103"/>
      <c r="LDM1051" s="104"/>
      <c r="LDN1051" s="103"/>
      <c r="LDZ1051" s="104"/>
      <c r="LEA1051" s="103"/>
      <c r="LEM1051" s="104"/>
      <c r="LEN1051" s="103"/>
      <c r="LEZ1051" s="104"/>
      <c r="LFA1051" s="103"/>
      <c r="LFM1051" s="104"/>
      <c r="LFN1051" s="103"/>
      <c r="LFZ1051" s="104"/>
      <c r="LGA1051" s="103"/>
      <c r="LGM1051" s="104"/>
      <c r="LGN1051" s="103"/>
      <c r="LGZ1051" s="104"/>
      <c r="LHA1051" s="103"/>
      <c r="LHM1051" s="104"/>
      <c r="LHN1051" s="103"/>
      <c r="LHZ1051" s="104"/>
      <c r="LIA1051" s="103"/>
      <c r="LIM1051" s="104"/>
      <c r="LIN1051" s="103"/>
      <c r="LIZ1051" s="104"/>
      <c r="LJA1051" s="103"/>
      <c r="LJM1051" s="104"/>
      <c r="LJN1051" s="103"/>
      <c r="LJZ1051" s="104"/>
      <c r="LKA1051" s="103"/>
      <c r="LKM1051" s="104"/>
      <c r="LKN1051" s="103"/>
      <c r="LKZ1051" s="104"/>
      <c r="LLA1051" s="103"/>
      <c r="LLM1051" s="104"/>
      <c r="LLN1051" s="103"/>
      <c r="LLZ1051" s="104"/>
      <c r="LMA1051" s="103"/>
      <c r="LMM1051" s="104"/>
      <c r="LMN1051" s="103"/>
      <c r="LMZ1051" s="104"/>
      <c r="LNA1051" s="103"/>
      <c r="LNM1051" s="104"/>
      <c r="LNN1051" s="103"/>
      <c r="LNZ1051" s="104"/>
      <c r="LOA1051" s="103"/>
      <c r="LOM1051" s="104"/>
      <c r="LON1051" s="103"/>
      <c r="LOZ1051" s="104"/>
      <c r="LPA1051" s="103"/>
      <c r="LPM1051" s="104"/>
      <c r="LPN1051" s="103"/>
      <c r="LPZ1051" s="104"/>
      <c r="LQA1051" s="103"/>
      <c r="LQM1051" s="104"/>
      <c r="LQN1051" s="103"/>
      <c r="LQZ1051" s="104"/>
      <c r="LRA1051" s="103"/>
      <c r="LRM1051" s="104"/>
      <c r="LRN1051" s="103"/>
      <c r="LRZ1051" s="104"/>
      <c r="LSA1051" s="103"/>
      <c r="LSM1051" s="104"/>
      <c r="LSN1051" s="103"/>
      <c r="LSZ1051" s="104"/>
      <c r="LTA1051" s="103"/>
      <c r="LTM1051" s="104"/>
      <c r="LTN1051" s="103"/>
      <c r="LTZ1051" s="104"/>
      <c r="LUA1051" s="103"/>
      <c r="LUM1051" s="104"/>
      <c r="LUN1051" s="103"/>
      <c r="LUZ1051" s="104"/>
      <c r="LVA1051" s="103"/>
      <c r="LVM1051" s="104"/>
      <c r="LVN1051" s="103"/>
      <c r="LVZ1051" s="104"/>
      <c r="LWA1051" s="103"/>
      <c r="LWM1051" s="104"/>
      <c r="LWN1051" s="103"/>
      <c r="LWZ1051" s="104"/>
      <c r="LXA1051" s="103"/>
      <c r="LXM1051" s="104"/>
      <c r="LXN1051" s="103"/>
      <c r="LXZ1051" s="104"/>
      <c r="LYA1051" s="103"/>
      <c r="LYM1051" s="104"/>
      <c r="LYN1051" s="103"/>
      <c r="LYZ1051" s="104"/>
      <c r="LZA1051" s="103"/>
      <c r="LZM1051" s="104"/>
      <c r="LZN1051" s="103"/>
      <c r="LZZ1051" s="104"/>
      <c r="MAA1051" s="103"/>
      <c r="MAM1051" s="104"/>
      <c r="MAN1051" s="103"/>
      <c r="MAZ1051" s="104"/>
      <c r="MBA1051" s="103"/>
      <c r="MBM1051" s="104"/>
      <c r="MBN1051" s="103"/>
      <c r="MBZ1051" s="104"/>
      <c r="MCA1051" s="103"/>
      <c r="MCM1051" s="104"/>
      <c r="MCN1051" s="103"/>
      <c r="MCZ1051" s="104"/>
      <c r="MDA1051" s="103"/>
      <c r="MDM1051" s="104"/>
      <c r="MDN1051" s="103"/>
      <c r="MDZ1051" s="104"/>
      <c r="MEA1051" s="103"/>
      <c r="MEM1051" s="104"/>
      <c r="MEN1051" s="103"/>
      <c r="MEZ1051" s="104"/>
      <c r="MFA1051" s="103"/>
      <c r="MFM1051" s="104"/>
      <c r="MFN1051" s="103"/>
      <c r="MFZ1051" s="104"/>
      <c r="MGA1051" s="103"/>
      <c r="MGM1051" s="104"/>
      <c r="MGN1051" s="103"/>
      <c r="MGZ1051" s="104"/>
      <c r="MHA1051" s="103"/>
      <c r="MHM1051" s="104"/>
      <c r="MHN1051" s="103"/>
      <c r="MHZ1051" s="104"/>
      <c r="MIA1051" s="103"/>
      <c r="MIM1051" s="104"/>
      <c r="MIN1051" s="103"/>
      <c r="MIZ1051" s="104"/>
      <c r="MJA1051" s="103"/>
      <c r="MJM1051" s="104"/>
      <c r="MJN1051" s="103"/>
      <c r="MJZ1051" s="104"/>
      <c r="MKA1051" s="103"/>
      <c r="MKM1051" s="104"/>
      <c r="MKN1051" s="103"/>
      <c r="MKZ1051" s="104"/>
      <c r="MLA1051" s="103"/>
      <c r="MLM1051" s="104"/>
      <c r="MLN1051" s="103"/>
      <c r="MLZ1051" s="104"/>
      <c r="MMA1051" s="103"/>
      <c r="MMM1051" s="104"/>
      <c r="MMN1051" s="103"/>
      <c r="MMZ1051" s="104"/>
      <c r="MNA1051" s="103"/>
      <c r="MNM1051" s="104"/>
      <c r="MNN1051" s="103"/>
      <c r="MNZ1051" s="104"/>
      <c r="MOA1051" s="103"/>
      <c r="MOM1051" s="104"/>
      <c r="MON1051" s="103"/>
      <c r="MOZ1051" s="104"/>
      <c r="MPA1051" s="103"/>
      <c r="MPM1051" s="104"/>
      <c r="MPN1051" s="103"/>
      <c r="MPZ1051" s="104"/>
      <c r="MQA1051" s="103"/>
      <c r="MQM1051" s="104"/>
      <c r="MQN1051" s="103"/>
      <c r="MQZ1051" s="104"/>
      <c r="MRA1051" s="103"/>
      <c r="MRM1051" s="104"/>
      <c r="MRN1051" s="103"/>
      <c r="MRZ1051" s="104"/>
      <c r="MSA1051" s="103"/>
      <c r="MSM1051" s="104"/>
      <c r="MSN1051" s="103"/>
      <c r="MSZ1051" s="104"/>
      <c r="MTA1051" s="103"/>
      <c r="MTM1051" s="104"/>
      <c r="MTN1051" s="103"/>
      <c r="MTZ1051" s="104"/>
      <c r="MUA1051" s="103"/>
      <c r="MUM1051" s="104"/>
      <c r="MUN1051" s="103"/>
      <c r="MUZ1051" s="104"/>
      <c r="MVA1051" s="103"/>
      <c r="MVM1051" s="104"/>
      <c r="MVN1051" s="103"/>
      <c r="MVZ1051" s="104"/>
      <c r="MWA1051" s="103"/>
      <c r="MWM1051" s="104"/>
      <c r="MWN1051" s="103"/>
      <c r="MWZ1051" s="104"/>
      <c r="MXA1051" s="103"/>
      <c r="MXM1051" s="104"/>
      <c r="MXN1051" s="103"/>
      <c r="MXZ1051" s="104"/>
      <c r="MYA1051" s="103"/>
      <c r="MYM1051" s="104"/>
      <c r="MYN1051" s="103"/>
      <c r="MYZ1051" s="104"/>
      <c r="MZA1051" s="103"/>
      <c r="MZM1051" s="104"/>
      <c r="MZN1051" s="103"/>
      <c r="MZZ1051" s="104"/>
      <c r="NAA1051" s="103"/>
      <c r="NAM1051" s="104"/>
      <c r="NAN1051" s="103"/>
      <c r="NAZ1051" s="104"/>
      <c r="NBA1051" s="103"/>
      <c r="NBM1051" s="104"/>
      <c r="NBN1051" s="103"/>
      <c r="NBZ1051" s="104"/>
      <c r="NCA1051" s="103"/>
      <c r="NCM1051" s="104"/>
      <c r="NCN1051" s="103"/>
      <c r="NCZ1051" s="104"/>
      <c r="NDA1051" s="103"/>
      <c r="NDM1051" s="104"/>
      <c r="NDN1051" s="103"/>
      <c r="NDZ1051" s="104"/>
      <c r="NEA1051" s="103"/>
      <c r="NEM1051" s="104"/>
      <c r="NEN1051" s="103"/>
      <c r="NEZ1051" s="104"/>
      <c r="NFA1051" s="103"/>
      <c r="NFM1051" s="104"/>
      <c r="NFN1051" s="103"/>
      <c r="NFZ1051" s="104"/>
      <c r="NGA1051" s="103"/>
      <c r="NGM1051" s="104"/>
      <c r="NGN1051" s="103"/>
      <c r="NGZ1051" s="104"/>
      <c r="NHA1051" s="103"/>
      <c r="NHM1051" s="104"/>
      <c r="NHN1051" s="103"/>
      <c r="NHZ1051" s="104"/>
      <c r="NIA1051" s="103"/>
      <c r="NIM1051" s="104"/>
      <c r="NIN1051" s="103"/>
      <c r="NIZ1051" s="104"/>
      <c r="NJA1051" s="103"/>
      <c r="NJM1051" s="104"/>
      <c r="NJN1051" s="103"/>
      <c r="NJZ1051" s="104"/>
      <c r="NKA1051" s="103"/>
      <c r="NKM1051" s="104"/>
      <c r="NKN1051" s="103"/>
      <c r="NKZ1051" s="104"/>
      <c r="NLA1051" s="103"/>
      <c r="NLM1051" s="104"/>
      <c r="NLN1051" s="103"/>
      <c r="NLZ1051" s="104"/>
      <c r="NMA1051" s="103"/>
      <c r="NMM1051" s="104"/>
      <c r="NMN1051" s="103"/>
      <c r="NMZ1051" s="104"/>
      <c r="NNA1051" s="103"/>
      <c r="NNM1051" s="104"/>
      <c r="NNN1051" s="103"/>
      <c r="NNZ1051" s="104"/>
      <c r="NOA1051" s="103"/>
      <c r="NOM1051" s="104"/>
      <c r="NON1051" s="103"/>
      <c r="NOZ1051" s="104"/>
      <c r="NPA1051" s="103"/>
      <c r="NPM1051" s="104"/>
      <c r="NPN1051" s="103"/>
      <c r="NPZ1051" s="104"/>
      <c r="NQA1051" s="103"/>
      <c r="NQM1051" s="104"/>
      <c r="NQN1051" s="103"/>
      <c r="NQZ1051" s="104"/>
      <c r="NRA1051" s="103"/>
      <c r="NRM1051" s="104"/>
      <c r="NRN1051" s="103"/>
      <c r="NRZ1051" s="104"/>
      <c r="NSA1051" s="103"/>
      <c r="NSM1051" s="104"/>
      <c r="NSN1051" s="103"/>
      <c r="NSZ1051" s="104"/>
      <c r="NTA1051" s="103"/>
      <c r="NTM1051" s="104"/>
      <c r="NTN1051" s="103"/>
      <c r="NTZ1051" s="104"/>
      <c r="NUA1051" s="103"/>
      <c r="NUM1051" s="104"/>
      <c r="NUN1051" s="103"/>
      <c r="NUZ1051" s="104"/>
      <c r="NVA1051" s="103"/>
      <c r="NVM1051" s="104"/>
      <c r="NVN1051" s="103"/>
      <c r="NVZ1051" s="104"/>
      <c r="NWA1051" s="103"/>
      <c r="NWM1051" s="104"/>
      <c r="NWN1051" s="103"/>
      <c r="NWZ1051" s="104"/>
      <c r="NXA1051" s="103"/>
      <c r="NXM1051" s="104"/>
      <c r="NXN1051" s="103"/>
      <c r="NXZ1051" s="104"/>
      <c r="NYA1051" s="103"/>
      <c r="NYM1051" s="104"/>
      <c r="NYN1051" s="103"/>
      <c r="NYZ1051" s="104"/>
      <c r="NZA1051" s="103"/>
      <c r="NZM1051" s="104"/>
      <c r="NZN1051" s="103"/>
      <c r="NZZ1051" s="104"/>
      <c r="OAA1051" s="103"/>
      <c r="OAM1051" s="104"/>
      <c r="OAN1051" s="103"/>
      <c r="OAZ1051" s="104"/>
      <c r="OBA1051" s="103"/>
      <c r="OBM1051" s="104"/>
      <c r="OBN1051" s="103"/>
      <c r="OBZ1051" s="104"/>
      <c r="OCA1051" s="103"/>
      <c r="OCM1051" s="104"/>
      <c r="OCN1051" s="103"/>
      <c r="OCZ1051" s="104"/>
      <c r="ODA1051" s="103"/>
      <c r="ODM1051" s="104"/>
      <c r="ODN1051" s="103"/>
      <c r="ODZ1051" s="104"/>
      <c r="OEA1051" s="103"/>
      <c r="OEM1051" s="104"/>
      <c r="OEN1051" s="103"/>
      <c r="OEZ1051" s="104"/>
      <c r="OFA1051" s="103"/>
      <c r="OFM1051" s="104"/>
      <c r="OFN1051" s="103"/>
      <c r="OFZ1051" s="104"/>
      <c r="OGA1051" s="103"/>
      <c r="OGM1051" s="104"/>
      <c r="OGN1051" s="103"/>
      <c r="OGZ1051" s="104"/>
      <c r="OHA1051" s="103"/>
      <c r="OHM1051" s="104"/>
      <c r="OHN1051" s="103"/>
      <c r="OHZ1051" s="104"/>
      <c r="OIA1051" s="103"/>
      <c r="OIM1051" s="104"/>
      <c r="OIN1051" s="103"/>
      <c r="OIZ1051" s="104"/>
      <c r="OJA1051" s="103"/>
      <c r="OJM1051" s="104"/>
      <c r="OJN1051" s="103"/>
      <c r="OJZ1051" s="104"/>
      <c r="OKA1051" s="103"/>
      <c r="OKM1051" s="104"/>
      <c r="OKN1051" s="103"/>
      <c r="OKZ1051" s="104"/>
      <c r="OLA1051" s="103"/>
      <c r="OLM1051" s="104"/>
      <c r="OLN1051" s="103"/>
      <c r="OLZ1051" s="104"/>
      <c r="OMA1051" s="103"/>
      <c r="OMM1051" s="104"/>
      <c r="OMN1051" s="103"/>
      <c r="OMZ1051" s="104"/>
      <c r="ONA1051" s="103"/>
      <c r="ONM1051" s="104"/>
      <c r="ONN1051" s="103"/>
      <c r="ONZ1051" s="104"/>
      <c r="OOA1051" s="103"/>
      <c r="OOM1051" s="104"/>
      <c r="OON1051" s="103"/>
      <c r="OOZ1051" s="104"/>
      <c r="OPA1051" s="103"/>
      <c r="OPM1051" s="104"/>
      <c r="OPN1051" s="103"/>
      <c r="OPZ1051" s="104"/>
      <c r="OQA1051" s="103"/>
      <c r="OQM1051" s="104"/>
      <c r="OQN1051" s="103"/>
      <c r="OQZ1051" s="104"/>
      <c r="ORA1051" s="103"/>
      <c r="ORM1051" s="104"/>
      <c r="ORN1051" s="103"/>
      <c r="ORZ1051" s="104"/>
      <c r="OSA1051" s="103"/>
      <c r="OSM1051" s="104"/>
      <c r="OSN1051" s="103"/>
      <c r="OSZ1051" s="104"/>
      <c r="OTA1051" s="103"/>
      <c r="OTM1051" s="104"/>
      <c r="OTN1051" s="103"/>
      <c r="OTZ1051" s="104"/>
      <c r="OUA1051" s="103"/>
      <c r="OUM1051" s="104"/>
      <c r="OUN1051" s="103"/>
      <c r="OUZ1051" s="104"/>
      <c r="OVA1051" s="103"/>
      <c r="OVM1051" s="104"/>
      <c r="OVN1051" s="103"/>
      <c r="OVZ1051" s="104"/>
      <c r="OWA1051" s="103"/>
      <c r="OWM1051" s="104"/>
      <c r="OWN1051" s="103"/>
      <c r="OWZ1051" s="104"/>
      <c r="OXA1051" s="103"/>
      <c r="OXM1051" s="104"/>
      <c r="OXN1051" s="103"/>
      <c r="OXZ1051" s="104"/>
      <c r="OYA1051" s="103"/>
      <c r="OYM1051" s="104"/>
      <c r="OYN1051" s="103"/>
      <c r="OYZ1051" s="104"/>
      <c r="OZA1051" s="103"/>
      <c r="OZM1051" s="104"/>
      <c r="OZN1051" s="103"/>
      <c r="OZZ1051" s="104"/>
      <c r="PAA1051" s="103"/>
      <c r="PAM1051" s="104"/>
      <c r="PAN1051" s="103"/>
      <c r="PAZ1051" s="104"/>
      <c r="PBA1051" s="103"/>
      <c r="PBM1051" s="104"/>
      <c r="PBN1051" s="103"/>
      <c r="PBZ1051" s="104"/>
      <c r="PCA1051" s="103"/>
      <c r="PCM1051" s="104"/>
      <c r="PCN1051" s="103"/>
      <c r="PCZ1051" s="104"/>
      <c r="PDA1051" s="103"/>
      <c r="PDM1051" s="104"/>
      <c r="PDN1051" s="103"/>
      <c r="PDZ1051" s="104"/>
      <c r="PEA1051" s="103"/>
      <c r="PEM1051" s="104"/>
      <c r="PEN1051" s="103"/>
      <c r="PEZ1051" s="104"/>
      <c r="PFA1051" s="103"/>
      <c r="PFM1051" s="104"/>
      <c r="PFN1051" s="103"/>
      <c r="PFZ1051" s="104"/>
      <c r="PGA1051" s="103"/>
      <c r="PGM1051" s="104"/>
      <c r="PGN1051" s="103"/>
      <c r="PGZ1051" s="104"/>
      <c r="PHA1051" s="103"/>
      <c r="PHM1051" s="104"/>
      <c r="PHN1051" s="103"/>
      <c r="PHZ1051" s="104"/>
      <c r="PIA1051" s="103"/>
      <c r="PIM1051" s="104"/>
      <c r="PIN1051" s="103"/>
      <c r="PIZ1051" s="104"/>
      <c r="PJA1051" s="103"/>
      <c r="PJM1051" s="104"/>
      <c r="PJN1051" s="103"/>
      <c r="PJZ1051" s="104"/>
      <c r="PKA1051" s="103"/>
      <c r="PKM1051" s="104"/>
      <c r="PKN1051" s="103"/>
      <c r="PKZ1051" s="104"/>
      <c r="PLA1051" s="103"/>
      <c r="PLM1051" s="104"/>
      <c r="PLN1051" s="103"/>
      <c r="PLZ1051" s="104"/>
      <c r="PMA1051" s="103"/>
      <c r="PMM1051" s="104"/>
      <c r="PMN1051" s="103"/>
      <c r="PMZ1051" s="104"/>
      <c r="PNA1051" s="103"/>
      <c r="PNM1051" s="104"/>
      <c r="PNN1051" s="103"/>
      <c r="PNZ1051" s="104"/>
      <c r="POA1051" s="103"/>
      <c r="POM1051" s="104"/>
      <c r="PON1051" s="103"/>
      <c r="POZ1051" s="104"/>
      <c r="PPA1051" s="103"/>
      <c r="PPM1051" s="104"/>
      <c r="PPN1051" s="103"/>
      <c r="PPZ1051" s="104"/>
      <c r="PQA1051" s="103"/>
      <c r="PQM1051" s="104"/>
      <c r="PQN1051" s="103"/>
      <c r="PQZ1051" s="104"/>
      <c r="PRA1051" s="103"/>
      <c r="PRM1051" s="104"/>
      <c r="PRN1051" s="103"/>
      <c r="PRZ1051" s="104"/>
      <c r="PSA1051" s="103"/>
      <c r="PSM1051" s="104"/>
      <c r="PSN1051" s="103"/>
      <c r="PSZ1051" s="104"/>
      <c r="PTA1051" s="103"/>
      <c r="PTM1051" s="104"/>
      <c r="PTN1051" s="103"/>
      <c r="PTZ1051" s="104"/>
      <c r="PUA1051" s="103"/>
      <c r="PUM1051" s="104"/>
      <c r="PUN1051" s="103"/>
      <c r="PUZ1051" s="104"/>
      <c r="PVA1051" s="103"/>
      <c r="PVM1051" s="104"/>
      <c r="PVN1051" s="103"/>
      <c r="PVZ1051" s="104"/>
      <c r="PWA1051" s="103"/>
      <c r="PWM1051" s="104"/>
      <c r="PWN1051" s="103"/>
      <c r="PWZ1051" s="104"/>
      <c r="PXA1051" s="103"/>
      <c r="PXM1051" s="104"/>
      <c r="PXN1051" s="103"/>
      <c r="PXZ1051" s="104"/>
      <c r="PYA1051" s="103"/>
      <c r="PYM1051" s="104"/>
      <c r="PYN1051" s="103"/>
      <c r="PYZ1051" s="104"/>
      <c r="PZA1051" s="103"/>
      <c r="PZM1051" s="104"/>
      <c r="PZN1051" s="103"/>
      <c r="PZZ1051" s="104"/>
      <c r="QAA1051" s="103"/>
      <c r="QAM1051" s="104"/>
      <c r="QAN1051" s="103"/>
      <c r="QAZ1051" s="104"/>
      <c r="QBA1051" s="103"/>
      <c r="QBM1051" s="104"/>
      <c r="QBN1051" s="103"/>
      <c r="QBZ1051" s="104"/>
      <c r="QCA1051" s="103"/>
      <c r="QCM1051" s="104"/>
      <c r="QCN1051" s="103"/>
      <c r="QCZ1051" s="104"/>
      <c r="QDA1051" s="103"/>
      <c r="QDM1051" s="104"/>
      <c r="QDN1051" s="103"/>
      <c r="QDZ1051" s="104"/>
      <c r="QEA1051" s="103"/>
      <c r="QEM1051" s="104"/>
      <c r="QEN1051" s="103"/>
      <c r="QEZ1051" s="104"/>
      <c r="QFA1051" s="103"/>
      <c r="QFM1051" s="104"/>
      <c r="QFN1051" s="103"/>
      <c r="QFZ1051" s="104"/>
      <c r="QGA1051" s="103"/>
      <c r="QGM1051" s="104"/>
      <c r="QGN1051" s="103"/>
      <c r="QGZ1051" s="104"/>
      <c r="QHA1051" s="103"/>
      <c r="QHM1051" s="104"/>
      <c r="QHN1051" s="103"/>
      <c r="QHZ1051" s="104"/>
      <c r="QIA1051" s="103"/>
      <c r="QIM1051" s="104"/>
      <c r="QIN1051" s="103"/>
      <c r="QIZ1051" s="104"/>
      <c r="QJA1051" s="103"/>
      <c r="QJM1051" s="104"/>
      <c r="QJN1051" s="103"/>
      <c r="QJZ1051" s="104"/>
      <c r="QKA1051" s="103"/>
      <c r="QKM1051" s="104"/>
      <c r="QKN1051" s="103"/>
      <c r="QKZ1051" s="104"/>
      <c r="QLA1051" s="103"/>
      <c r="QLM1051" s="104"/>
      <c r="QLN1051" s="103"/>
      <c r="QLZ1051" s="104"/>
      <c r="QMA1051" s="103"/>
      <c r="QMM1051" s="104"/>
      <c r="QMN1051" s="103"/>
      <c r="QMZ1051" s="104"/>
      <c r="QNA1051" s="103"/>
      <c r="QNM1051" s="104"/>
      <c r="QNN1051" s="103"/>
      <c r="QNZ1051" s="104"/>
      <c r="QOA1051" s="103"/>
      <c r="QOM1051" s="104"/>
      <c r="QON1051" s="103"/>
      <c r="QOZ1051" s="104"/>
      <c r="QPA1051" s="103"/>
      <c r="QPM1051" s="104"/>
      <c r="QPN1051" s="103"/>
      <c r="QPZ1051" s="104"/>
      <c r="QQA1051" s="103"/>
      <c r="QQM1051" s="104"/>
      <c r="QQN1051" s="103"/>
      <c r="QQZ1051" s="104"/>
      <c r="QRA1051" s="103"/>
      <c r="QRM1051" s="104"/>
      <c r="QRN1051" s="103"/>
      <c r="QRZ1051" s="104"/>
      <c r="QSA1051" s="103"/>
      <c r="QSM1051" s="104"/>
      <c r="QSN1051" s="103"/>
      <c r="QSZ1051" s="104"/>
      <c r="QTA1051" s="103"/>
      <c r="QTM1051" s="104"/>
      <c r="QTN1051" s="103"/>
      <c r="QTZ1051" s="104"/>
      <c r="QUA1051" s="103"/>
      <c r="QUM1051" s="104"/>
      <c r="QUN1051" s="103"/>
      <c r="QUZ1051" s="104"/>
      <c r="QVA1051" s="103"/>
      <c r="QVM1051" s="104"/>
      <c r="QVN1051" s="103"/>
      <c r="QVZ1051" s="104"/>
      <c r="QWA1051" s="103"/>
      <c r="QWM1051" s="104"/>
      <c r="QWN1051" s="103"/>
      <c r="QWZ1051" s="104"/>
      <c r="QXA1051" s="103"/>
      <c r="QXM1051" s="104"/>
      <c r="QXN1051" s="103"/>
      <c r="QXZ1051" s="104"/>
      <c r="QYA1051" s="103"/>
      <c r="QYM1051" s="104"/>
      <c r="QYN1051" s="103"/>
      <c r="QYZ1051" s="104"/>
      <c r="QZA1051" s="103"/>
      <c r="QZM1051" s="104"/>
      <c r="QZN1051" s="103"/>
      <c r="QZZ1051" s="104"/>
      <c r="RAA1051" s="103"/>
      <c r="RAM1051" s="104"/>
      <c r="RAN1051" s="103"/>
      <c r="RAZ1051" s="104"/>
      <c r="RBA1051" s="103"/>
      <c r="RBM1051" s="104"/>
      <c r="RBN1051" s="103"/>
      <c r="RBZ1051" s="104"/>
      <c r="RCA1051" s="103"/>
      <c r="RCM1051" s="104"/>
      <c r="RCN1051" s="103"/>
      <c r="RCZ1051" s="104"/>
      <c r="RDA1051" s="103"/>
      <c r="RDM1051" s="104"/>
      <c r="RDN1051" s="103"/>
      <c r="RDZ1051" s="104"/>
      <c r="REA1051" s="103"/>
      <c r="REM1051" s="104"/>
      <c r="REN1051" s="103"/>
      <c r="REZ1051" s="104"/>
      <c r="RFA1051" s="103"/>
      <c r="RFM1051" s="104"/>
      <c r="RFN1051" s="103"/>
      <c r="RFZ1051" s="104"/>
      <c r="RGA1051" s="103"/>
      <c r="RGM1051" s="104"/>
      <c r="RGN1051" s="103"/>
      <c r="RGZ1051" s="104"/>
      <c r="RHA1051" s="103"/>
      <c r="RHM1051" s="104"/>
      <c r="RHN1051" s="103"/>
      <c r="RHZ1051" s="104"/>
      <c r="RIA1051" s="103"/>
      <c r="RIM1051" s="104"/>
      <c r="RIN1051" s="103"/>
      <c r="RIZ1051" s="104"/>
      <c r="RJA1051" s="103"/>
      <c r="RJM1051" s="104"/>
      <c r="RJN1051" s="103"/>
      <c r="RJZ1051" s="104"/>
      <c r="RKA1051" s="103"/>
      <c r="RKM1051" s="104"/>
      <c r="RKN1051" s="103"/>
      <c r="RKZ1051" s="104"/>
      <c r="RLA1051" s="103"/>
      <c r="RLM1051" s="104"/>
      <c r="RLN1051" s="103"/>
      <c r="RLZ1051" s="104"/>
      <c r="RMA1051" s="103"/>
      <c r="RMM1051" s="104"/>
      <c r="RMN1051" s="103"/>
      <c r="RMZ1051" s="104"/>
      <c r="RNA1051" s="103"/>
      <c r="RNM1051" s="104"/>
      <c r="RNN1051" s="103"/>
      <c r="RNZ1051" s="104"/>
      <c r="ROA1051" s="103"/>
      <c r="ROM1051" s="104"/>
      <c r="RON1051" s="103"/>
      <c r="ROZ1051" s="104"/>
      <c r="RPA1051" s="103"/>
      <c r="RPM1051" s="104"/>
      <c r="RPN1051" s="103"/>
      <c r="RPZ1051" s="104"/>
      <c r="RQA1051" s="103"/>
      <c r="RQM1051" s="104"/>
      <c r="RQN1051" s="103"/>
      <c r="RQZ1051" s="104"/>
      <c r="RRA1051" s="103"/>
      <c r="RRM1051" s="104"/>
      <c r="RRN1051" s="103"/>
      <c r="RRZ1051" s="104"/>
      <c r="RSA1051" s="103"/>
      <c r="RSM1051" s="104"/>
      <c r="RSN1051" s="103"/>
      <c r="RSZ1051" s="104"/>
      <c r="RTA1051" s="103"/>
      <c r="RTM1051" s="104"/>
      <c r="RTN1051" s="103"/>
      <c r="RTZ1051" s="104"/>
      <c r="RUA1051" s="103"/>
      <c r="RUM1051" s="104"/>
      <c r="RUN1051" s="103"/>
      <c r="RUZ1051" s="104"/>
      <c r="RVA1051" s="103"/>
      <c r="RVM1051" s="104"/>
      <c r="RVN1051" s="103"/>
      <c r="RVZ1051" s="104"/>
      <c r="RWA1051" s="103"/>
      <c r="RWM1051" s="104"/>
      <c r="RWN1051" s="103"/>
      <c r="RWZ1051" s="104"/>
      <c r="RXA1051" s="103"/>
      <c r="RXM1051" s="104"/>
      <c r="RXN1051" s="103"/>
      <c r="RXZ1051" s="104"/>
      <c r="RYA1051" s="103"/>
      <c r="RYM1051" s="104"/>
      <c r="RYN1051" s="103"/>
      <c r="RYZ1051" s="104"/>
      <c r="RZA1051" s="103"/>
      <c r="RZM1051" s="104"/>
      <c r="RZN1051" s="103"/>
      <c r="RZZ1051" s="104"/>
      <c r="SAA1051" s="103"/>
      <c r="SAM1051" s="104"/>
      <c r="SAN1051" s="103"/>
      <c r="SAZ1051" s="104"/>
      <c r="SBA1051" s="103"/>
      <c r="SBM1051" s="104"/>
      <c r="SBN1051" s="103"/>
      <c r="SBZ1051" s="104"/>
      <c r="SCA1051" s="103"/>
      <c r="SCM1051" s="104"/>
      <c r="SCN1051" s="103"/>
      <c r="SCZ1051" s="104"/>
      <c r="SDA1051" s="103"/>
      <c r="SDM1051" s="104"/>
      <c r="SDN1051" s="103"/>
      <c r="SDZ1051" s="104"/>
      <c r="SEA1051" s="103"/>
      <c r="SEM1051" s="104"/>
      <c r="SEN1051" s="103"/>
      <c r="SEZ1051" s="104"/>
      <c r="SFA1051" s="103"/>
      <c r="SFM1051" s="104"/>
      <c r="SFN1051" s="103"/>
      <c r="SFZ1051" s="104"/>
      <c r="SGA1051" s="103"/>
      <c r="SGM1051" s="104"/>
      <c r="SGN1051" s="103"/>
      <c r="SGZ1051" s="104"/>
      <c r="SHA1051" s="103"/>
      <c r="SHM1051" s="104"/>
      <c r="SHN1051" s="103"/>
      <c r="SHZ1051" s="104"/>
      <c r="SIA1051" s="103"/>
      <c r="SIM1051" s="104"/>
      <c r="SIN1051" s="103"/>
      <c r="SIZ1051" s="104"/>
      <c r="SJA1051" s="103"/>
      <c r="SJM1051" s="104"/>
      <c r="SJN1051" s="103"/>
      <c r="SJZ1051" s="104"/>
      <c r="SKA1051" s="103"/>
      <c r="SKM1051" s="104"/>
      <c r="SKN1051" s="103"/>
      <c r="SKZ1051" s="104"/>
      <c r="SLA1051" s="103"/>
      <c r="SLM1051" s="104"/>
      <c r="SLN1051" s="103"/>
      <c r="SLZ1051" s="104"/>
      <c r="SMA1051" s="103"/>
      <c r="SMM1051" s="104"/>
      <c r="SMN1051" s="103"/>
      <c r="SMZ1051" s="104"/>
      <c r="SNA1051" s="103"/>
      <c r="SNM1051" s="104"/>
      <c r="SNN1051" s="103"/>
      <c r="SNZ1051" s="104"/>
      <c r="SOA1051" s="103"/>
      <c r="SOM1051" s="104"/>
      <c r="SON1051" s="103"/>
      <c r="SOZ1051" s="104"/>
      <c r="SPA1051" s="103"/>
      <c r="SPM1051" s="104"/>
      <c r="SPN1051" s="103"/>
      <c r="SPZ1051" s="104"/>
      <c r="SQA1051" s="103"/>
      <c r="SQM1051" s="104"/>
      <c r="SQN1051" s="103"/>
      <c r="SQZ1051" s="104"/>
      <c r="SRA1051" s="103"/>
      <c r="SRM1051" s="104"/>
      <c r="SRN1051" s="103"/>
      <c r="SRZ1051" s="104"/>
      <c r="SSA1051" s="103"/>
      <c r="SSM1051" s="104"/>
      <c r="SSN1051" s="103"/>
      <c r="SSZ1051" s="104"/>
      <c r="STA1051" s="103"/>
      <c r="STM1051" s="104"/>
      <c r="STN1051" s="103"/>
      <c r="STZ1051" s="104"/>
      <c r="SUA1051" s="103"/>
      <c r="SUM1051" s="104"/>
      <c r="SUN1051" s="103"/>
      <c r="SUZ1051" s="104"/>
      <c r="SVA1051" s="103"/>
      <c r="SVM1051" s="104"/>
      <c r="SVN1051" s="103"/>
      <c r="SVZ1051" s="104"/>
      <c r="SWA1051" s="103"/>
      <c r="SWM1051" s="104"/>
      <c r="SWN1051" s="103"/>
      <c r="SWZ1051" s="104"/>
      <c r="SXA1051" s="103"/>
      <c r="SXM1051" s="104"/>
      <c r="SXN1051" s="103"/>
      <c r="SXZ1051" s="104"/>
      <c r="SYA1051" s="103"/>
      <c r="SYM1051" s="104"/>
      <c r="SYN1051" s="103"/>
      <c r="SYZ1051" s="104"/>
      <c r="SZA1051" s="103"/>
      <c r="SZM1051" s="104"/>
      <c r="SZN1051" s="103"/>
      <c r="SZZ1051" s="104"/>
      <c r="TAA1051" s="103"/>
      <c r="TAM1051" s="104"/>
      <c r="TAN1051" s="103"/>
      <c r="TAZ1051" s="104"/>
      <c r="TBA1051" s="103"/>
      <c r="TBM1051" s="104"/>
      <c r="TBN1051" s="103"/>
      <c r="TBZ1051" s="104"/>
      <c r="TCA1051" s="103"/>
      <c r="TCM1051" s="104"/>
      <c r="TCN1051" s="103"/>
      <c r="TCZ1051" s="104"/>
      <c r="TDA1051" s="103"/>
      <c r="TDM1051" s="104"/>
      <c r="TDN1051" s="103"/>
      <c r="TDZ1051" s="104"/>
      <c r="TEA1051" s="103"/>
      <c r="TEM1051" s="104"/>
      <c r="TEN1051" s="103"/>
      <c r="TEZ1051" s="104"/>
      <c r="TFA1051" s="103"/>
      <c r="TFM1051" s="104"/>
      <c r="TFN1051" s="103"/>
      <c r="TFZ1051" s="104"/>
      <c r="TGA1051" s="103"/>
      <c r="TGM1051" s="104"/>
      <c r="TGN1051" s="103"/>
      <c r="TGZ1051" s="104"/>
      <c r="THA1051" s="103"/>
      <c r="THM1051" s="104"/>
      <c r="THN1051" s="103"/>
      <c r="THZ1051" s="104"/>
      <c r="TIA1051" s="103"/>
      <c r="TIM1051" s="104"/>
      <c r="TIN1051" s="103"/>
      <c r="TIZ1051" s="104"/>
      <c r="TJA1051" s="103"/>
      <c r="TJM1051" s="104"/>
      <c r="TJN1051" s="103"/>
      <c r="TJZ1051" s="104"/>
      <c r="TKA1051" s="103"/>
      <c r="TKM1051" s="104"/>
      <c r="TKN1051" s="103"/>
      <c r="TKZ1051" s="104"/>
      <c r="TLA1051" s="103"/>
      <c r="TLM1051" s="104"/>
      <c r="TLN1051" s="103"/>
      <c r="TLZ1051" s="104"/>
      <c r="TMA1051" s="103"/>
      <c r="TMM1051" s="104"/>
      <c r="TMN1051" s="103"/>
      <c r="TMZ1051" s="104"/>
      <c r="TNA1051" s="103"/>
      <c r="TNM1051" s="104"/>
      <c r="TNN1051" s="103"/>
      <c r="TNZ1051" s="104"/>
      <c r="TOA1051" s="103"/>
      <c r="TOM1051" s="104"/>
      <c r="TON1051" s="103"/>
      <c r="TOZ1051" s="104"/>
      <c r="TPA1051" s="103"/>
      <c r="TPM1051" s="104"/>
      <c r="TPN1051" s="103"/>
      <c r="TPZ1051" s="104"/>
      <c r="TQA1051" s="103"/>
      <c r="TQM1051" s="104"/>
      <c r="TQN1051" s="103"/>
      <c r="TQZ1051" s="104"/>
      <c r="TRA1051" s="103"/>
      <c r="TRM1051" s="104"/>
      <c r="TRN1051" s="103"/>
      <c r="TRZ1051" s="104"/>
      <c r="TSA1051" s="103"/>
      <c r="TSM1051" s="104"/>
      <c r="TSN1051" s="103"/>
      <c r="TSZ1051" s="104"/>
      <c r="TTA1051" s="103"/>
      <c r="TTM1051" s="104"/>
      <c r="TTN1051" s="103"/>
      <c r="TTZ1051" s="104"/>
      <c r="TUA1051" s="103"/>
      <c r="TUM1051" s="104"/>
      <c r="TUN1051" s="103"/>
      <c r="TUZ1051" s="104"/>
      <c r="TVA1051" s="103"/>
      <c r="TVM1051" s="104"/>
      <c r="TVN1051" s="103"/>
      <c r="TVZ1051" s="104"/>
      <c r="TWA1051" s="103"/>
      <c r="TWM1051" s="104"/>
      <c r="TWN1051" s="103"/>
      <c r="TWZ1051" s="104"/>
      <c r="TXA1051" s="103"/>
      <c r="TXM1051" s="104"/>
      <c r="TXN1051" s="103"/>
      <c r="TXZ1051" s="104"/>
      <c r="TYA1051" s="103"/>
      <c r="TYM1051" s="104"/>
      <c r="TYN1051" s="103"/>
      <c r="TYZ1051" s="104"/>
      <c r="TZA1051" s="103"/>
      <c r="TZM1051" s="104"/>
      <c r="TZN1051" s="103"/>
      <c r="TZZ1051" s="104"/>
      <c r="UAA1051" s="103"/>
      <c r="UAM1051" s="104"/>
      <c r="UAN1051" s="103"/>
      <c r="UAZ1051" s="104"/>
      <c r="UBA1051" s="103"/>
      <c r="UBM1051" s="104"/>
      <c r="UBN1051" s="103"/>
      <c r="UBZ1051" s="104"/>
      <c r="UCA1051" s="103"/>
      <c r="UCM1051" s="104"/>
      <c r="UCN1051" s="103"/>
      <c r="UCZ1051" s="104"/>
      <c r="UDA1051" s="103"/>
      <c r="UDM1051" s="104"/>
      <c r="UDN1051" s="103"/>
      <c r="UDZ1051" s="104"/>
      <c r="UEA1051" s="103"/>
      <c r="UEM1051" s="104"/>
      <c r="UEN1051" s="103"/>
      <c r="UEZ1051" s="104"/>
      <c r="UFA1051" s="103"/>
      <c r="UFM1051" s="104"/>
      <c r="UFN1051" s="103"/>
      <c r="UFZ1051" s="104"/>
      <c r="UGA1051" s="103"/>
      <c r="UGM1051" s="104"/>
      <c r="UGN1051" s="103"/>
      <c r="UGZ1051" s="104"/>
      <c r="UHA1051" s="103"/>
      <c r="UHM1051" s="104"/>
      <c r="UHN1051" s="103"/>
      <c r="UHZ1051" s="104"/>
      <c r="UIA1051" s="103"/>
      <c r="UIM1051" s="104"/>
      <c r="UIN1051" s="103"/>
      <c r="UIZ1051" s="104"/>
      <c r="UJA1051" s="103"/>
      <c r="UJM1051" s="104"/>
      <c r="UJN1051" s="103"/>
      <c r="UJZ1051" s="104"/>
      <c r="UKA1051" s="103"/>
      <c r="UKM1051" s="104"/>
      <c r="UKN1051" s="103"/>
      <c r="UKZ1051" s="104"/>
      <c r="ULA1051" s="103"/>
      <c r="ULM1051" s="104"/>
      <c r="ULN1051" s="103"/>
      <c r="ULZ1051" s="104"/>
      <c r="UMA1051" s="103"/>
      <c r="UMM1051" s="104"/>
      <c r="UMN1051" s="103"/>
      <c r="UMZ1051" s="104"/>
      <c r="UNA1051" s="103"/>
      <c r="UNM1051" s="104"/>
      <c r="UNN1051" s="103"/>
      <c r="UNZ1051" s="104"/>
      <c r="UOA1051" s="103"/>
      <c r="UOM1051" s="104"/>
      <c r="UON1051" s="103"/>
      <c r="UOZ1051" s="104"/>
      <c r="UPA1051" s="103"/>
      <c r="UPM1051" s="104"/>
      <c r="UPN1051" s="103"/>
      <c r="UPZ1051" s="104"/>
      <c r="UQA1051" s="103"/>
      <c r="UQM1051" s="104"/>
      <c r="UQN1051" s="103"/>
      <c r="UQZ1051" s="104"/>
      <c r="URA1051" s="103"/>
      <c r="URM1051" s="104"/>
      <c r="URN1051" s="103"/>
      <c r="URZ1051" s="104"/>
      <c r="USA1051" s="103"/>
      <c r="USM1051" s="104"/>
      <c r="USN1051" s="103"/>
      <c r="USZ1051" s="104"/>
      <c r="UTA1051" s="103"/>
      <c r="UTM1051" s="104"/>
      <c r="UTN1051" s="103"/>
      <c r="UTZ1051" s="104"/>
      <c r="UUA1051" s="103"/>
      <c r="UUM1051" s="104"/>
      <c r="UUN1051" s="103"/>
      <c r="UUZ1051" s="104"/>
      <c r="UVA1051" s="103"/>
      <c r="UVM1051" s="104"/>
      <c r="UVN1051" s="103"/>
      <c r="UVZ1051" s="104"/>
      <c r="UWA1051" s="103"/>
      <c r="UWM1051" s="104"/>
      <c r="UWN1051" s="103"/>
      <c r="UWZ1051" s="104"/>
      <c r="UXA1051" s="103"/>
      <c r="UXM1051" s="104"/>
      <c r="UXN1051" s="103"/>
      <c r="UXZ1051" s="104"/>
      <c r="UYA1051" s="103"/>
      <c r="UYM1051" s="104"/>
      <c r="UYN1051" s="103"/>
      <c r="UYZ1051" s="104"/>
      <c r="UZA1051" s="103"/>
      <c r="UZM1051" s="104"/>
      <c r="UZN1051" s="103"/>
      <c r="UZZ1051" s="104"/>
      <c r="VAA1051" s="103"/>
      <c r="VAM1051" s="104"/>
      <c r="VAN1051" s="103"/>
      <c r="VAZ1051" s="104"/>
      <c r="VBA1051" s="103"/>
      <c r="VBM1051" s="104"/>
      <c r="VBN1051" s="103"/>
      <c r="VBZ1051" s="104"/>
      <c r="VCA1051" s="103"/>
      <c r="VCM1051" s="104"/>
      <c r="VCN1051" s="103"/>
      <c r="VCZ1051" s="104"/>
      <c r="VDA1051" s="103"/>
      <c r="VDM1051" s="104"/>
      <c r="VDN1051" s="103"/>
      <c r="VDZ1051" s="104"/>
      <c r="VEA1051" s="103"/>
      <c r="VEM1051" s="104"/>
      <c r="VEN1051" s="103"/>
      <c r="VEZ1051" s="104"/>
      <c r="VFA1051" s="103"/>
      <c r="VFM1051" s="104"/>
      <c r="VFN1051" s="103"/>
      <c r="VFZ1051" s="104"/>
      <c r="VGA1051" s="103"/>
      <c r="VGM1051" s="104"/>
      <c r="VGN1051" s="103"/>
      <c r="VGZ1051" s="104"/>
      <c r="VHA1051" s="103"/>
      <c r="VHM1051" s="104"/>
      <c r="VHN1051" s="103"/>
      <c r="VHZ1051" s="104"/>
      <c r="VIA1051" s="103"/>
      <c r="VIM1051" s="104"/>
      <c r="VIN1051" s="103"/>
      <c r="VIZ1051" s="104"/>
      <c r="VJA1051" s="103"/>
      <c r="VJM1051" s="104"/>
      <c r="VJN1051" s="103"/>
      <c r="VJZ1051" s="104"/>
      <c r="VKA1051" s="103"/>
      <c r="VKM1051" s="104"/>
      <c r="VKN1051" s="103"/>
      <c r="VKZ1051" s="104"/>
      <c r="VLA1051" s="103"/>
      <c r="VLM1051" s="104"/>
      <c r="VLN1051" s="103"/>
      <c r="VLZ1051" s="104"/>
      <c r="VMA1051" s="103"/>
      <c r="VMM1051" s="104"/>
      <c r="VMN1051" s="103"/>
      <c r="VMZ1051" s="104"/>
      <c r="VNA1051" s="103"/>
      <c r="VNM1051" s="104"/>
      <c r="VNN1051" s="103"/>
      <c r="VNZ1051" s="104"/>
      <c r="VOA1051" s="103"/>
      <c r="VOM1051" s="104"/>
      <c r="VON1051" s="103"/>
      <c r="VOZ1051" s="104"/>
      <c r="VPA1051" s="103"/>
      <c r="VPM1051" s="104"/>
      <c r="VPN1051" s="103"/>
      <c r="VPZ1051" s="104"/>
      <c r="VQA1051" s="103"/>
      <c r="VQM1051" s="104"/>
      <c r="VQN1051" s="103"/>
      <c r="VQZ1051" s="104"/>
      <c r="VRA1051" s="103"/>
      <c r="VRM1051" s="104"/>
      <c r="VRN1051" s="103"/>
      <c r="VRZ1051" s="104"/>
      <c r="VSA1051" s="103"/>
      <c r="VSM1051" s="104"/>
      <c r="VSN1051" s="103"/>
      <c r="VSZ1051" s="104"/>
      <c r="VTA1051" s="103"/>
      <c r="VTM1051" s="104"/>
      <c r="VTN1051" s="103"/>
      <c r="VTZ1051" s="104"/>
      <c r="VUA1051" s="103"/>
      <c r="VUM1051" s="104"/>
      <c r="VUN1051" s="103"/>
      <c r="VUZ1051" s="104"/>
      <c r="VVA1051" s="103"/>
      <c r="VVM1051" s="104"/>
      <c r="VVN1051" s="103"/>
      <c r="VVZ1051" s="104"/>
      <c r="VWA1051" s="103"/>
      <c r="VWM1051" s="104"/>
      <c r="VWN1051" s="103"/>
      <c r="VWZ1051" s="104"/>
      <c r="VXA1051" s="103"/>
      <c r="VXM1051" s="104"/>
      <c r="VXN1051" s="103"/>
      <c r="VXZ1051" s="104"/>
      <c r="VYA1051" s="103"/>
      <c r="VYM1051" s="104"/>
      <c r="VYN1051" s="103"/>
      <c r="VYZ1051" s="104"/>
      <c r="VZA1051" s="103"/>
      <c r="VZM1051" s="104"/>
      <c r="VZN1051" s="103"/>
      <c r="VZZ1051" s="104"/>
      <c r="WAA1051" s="103"/>
      <c r="WAM1051" s="104"/>
      <c r="WAN1051" s="103"/>
      <c r="WAZ1051" s="104"/>
      <c r="WBA1051" s="103"/>
      <c r="WBM1051" s="104"/>
      <c r="WBN1051" s="103"/>
      <c r="WBZ1051" s="104"/>
      <c r="WCA1051" s="103"/>
      <c r="WCM1051" s="104"/>
      <c r="WCN1051" s="103"/>
      <c r="WCZ1051" s="104"/>
      <c r="WDA1051" s="103"/>
      <c r="WDM1051" s="104"/>
      <c r="WDN1051" s="103"/>
      <c r="WDZ1051" s="104"/>
      <c r="WEA1051" s="103"/>
      <c r="WEM1051" s="104"/>
      <c r="WEN1051" s="103"/>
      <c r="WEZ1051" s="104"/>
      <c r="WFA1051" s="103"/>
      <c r="WFM1051" s="104"/>
      <c r="WFN1051" s="103"/>
      <c r="WFZ1051" s="104"/>
      <c r="WGA1051" s="103"/>
      <c r="WGM1051" s="104"/>
      <c r="WGN1051" s="103"/>
      <c r="WGZ1051" s="104"/>
      <c r="WHA1051" s="103"/>
      <c r="WHM1051" s="104"/>
      <c r="WHN1051" s="103"/>
      <c r="WHZ1051" s="104"/>
      <c r="WIA1051" s="103"/>
      <c r="WIM1051" s="104"/>
      <c r="WIN1051" s="103"/>
      <c r="WIZ1051" s="104"/>
      <c r="WJA1051" s="103"/>
      <c r="WJM1051" s="104"/>
      <c r="WJN1051" s="103"/>
      <c r="WJZ1051" s="104"/>
      <c r="WKA1051" s="103"/>
      <c r="WKM1051" s="104"/>
      <c r="WKN1051" s="103"/>
      <c r="WKZ1051" s="104"/>
      <c r="WLA1051" s="103"/>
      <c r="WLM1051" s="104"/>
      <c r="WLN1051" s="103"/>
      <c r="WLZ1051" s="104"/>
      <c r="WMA1051" s="103"/>
      <c r="WMM1051" s="104"/>
      <c r="WMN1051" s="103"/>
      <c r="WMZ1051" s="104"/>
      <c r="WNA1051" s="103"/>
      <c r="WNM1051" s="104"/>
      <c r="WNN1051" s="103"/>
      <c r="WNZ1051" s="104"/>
      <c r="WOA1051" s="103"/>
      <c r="WOM1051" s="104"/>
      <c r="WON1051" s="103"/>
      <c r="WOZ1051" s="104"/>
      <c r="WPA1051" s="103"/>
      <c r="WPM1051" s="104"/>
      <c r="WPN1051" s="103"/>
      <c r="WPZ1051" s="104"/>
      <c r="WQA1051" s="103"/>
      <c r="WQM1051" s="104"/>
      <c r="WQN1051" s="103"/>
      <c r="WQZ1051" s="104"/>
      <c r="WRA1051" s="103"/>
      <c r="WRM1051" s="104"/>
      <c r="WRN1051" s="103"/>
      <c r="WRZ1051" s="104"/>
      <c r="WSA1051" s="103"/>
      <c r="WSM1051" s="104"/>
      <c r="WSN1051" s="103"/>
      <c r="WSZ1051" s="104"/>
      <c r="WTA1051" s="103"/>
      <c r="WTM1051" s="104"/>
      <c r="WTN1051" s="103"/>
      <c r="WTZ1051" s="104"/>
      <c r="WUA1051" s="103"/>
      <c r="WUM1051" s="104"/>
      <c r="WUN1051" s="103"/>
      <c r="WUZ1051" s="104"/>
      <c r="WVA1051" s="103"/>
      <c r="WVM1051" s="104"/>
      <c r="WVN1051" s="103"/>
      <c r="WVZ1051" s="104"/>
      <c r="WWA1051" s="103"/>
      <c r="WWM1051" s="104"/>
      <c r="WWN1051" s="103"/>
      <c r="WWZ1051" s="104"/>
      <c r="WXA1051" s="103"/>
      <c r="WXM1051" s="104"/>
      <c r="WXN1051" s="103"/>
      <c r="WXZ1051" s="104"/>
      <c r="WYA1051" s="103"/>
      <c r="WYM1051" s="104"/>
      <c r="WYN1051" s="103"/>
      <c r="WYZ1051" s="104"/>
      <c r="WZA1051" s="103"/>
      <c r="WZM1051" s="104"/>
      <c r="WZN1051" s="103"/>
      <c r="WZZ1051" s="104"/>
      <c r="XAA1051" s="103"/>
      <c r="XAM1051" s="104"/>
      <c r="XAN1051" s="103"/>
      <c r="XAZ1051" s="104"/>
      <c r="XBA1051" s="103"/>
      <c r="XBM1051" s="104"/>
      <c r="XBN1051" s="103"/>
      <c r="XBZ1051" s="104"/>
      <c r="XCA1051" s="103"/>
      <c r="XCM1051" s="104"/>
      <c r="XCN1051" s="103"/>
      <c r="XCZ1051" s="104"/>
      <c r="XDA1051" s="103"/>
      <c r="XDM1051" s="104"/>
      <c r="XDN1051" s="103"/>
      <c r="XDZ1051" s="104"/>
      <c r="XEA1051" s="103"/>
      <c r="XEM1051" s="104"/>
      <c r="XEN1051" s="103"/>
      <c r="XEZ1051" s="104"/>
      <c r="XFA1051" s="103"/>
    </row>
    <row r="1052" spans="1:1015 1027:2042 2054:3069 3081:4096 4108:5110 5122:6137 6149:7164 7176:8191 8203:9205 9217:10232 10244:11259 11271:12286 12298:14327 14339:15354 15366:16381">
      <c r="Z1052" s="104"/>
      <c r="AA1052" s="103"/>
      <c r="AM1052" s="104"/>
      <c r="AN1052" s="103"/>
      <c r="AZ1052" s="104"/>
      <c r="BA1052" s="103"/>
      <c r="BM1052" s="104"/>
      <c r="BN1052" s="103"/>
      <c r="BZ1052" s="104"/>
      <c r="CA1052" s="103"/>
      <c r="CM1052" s="104"/>
      <c r="CN1052" s="103"/>
      <c r="CZ1052" s="104"/>
      <c r="DA1052" s="103"/>
      <c r="DM1052" s="104"/>
      <c r="DN1052" s="103"/>
      <c r="DZ1052" s="104"/>
      <c r="EA1052" s="103"/>
      <c r="EM1052" s="104"/>
      <c r="EN1052" s="103"/>
      <c r="EZ1052" s="104"/>
      <c r="FA1052" s="103"/>
      <c r="FM1052" s="104"/>
      <c r="FN1052" s="103"/>
      <c r="FZ1052" s="104"/>
      <c r="GA1052" s="103"/>
      <c r="GM1052" s="104"/>
      <c r="GN1052" s="103"/>
      <c r="GZ1052" s="104"/>
      <c r="HA1052" s="103"/>
      <c r="HM1052" s="104"/>
      <c r="HN1052" s="103"/>
      <c r="HZ1052" s="104"/>
      <c r="IA1052" s="103"/>
      <c r="IM1052" s="104"/>
      <c r="IN1052" s="103"/>
      <c r="IZ1052" s="104"/>
      <c r="JA1052" s="103"/>
      <c r="JM1052" s="104"/>
      <c r="JN1052" s="103"/>
      <c r="JZ1052" s="104"/>
      <c r="KA1052" s="103"/>
      <c r="KM1052" s="104"/>
      <c r="KN1052" s="103"/>
      <c r="KZ1052" s="104"/>
      <c r="LA1052" s="103"/>
      <c r="LM1052" s="104"/>
      <c r="LN1052" s="103"/>
      <c r="LZ1052" s="104"/>
      <c r="MA1052" s="103"/>
      <c r="MM1052" s="104"/>
      <c r="MN1052" s="103"/>
      <c r="MZ1052" s="104"/>
      <c r="NA1052" s="103"/>
      <c r="NM1052" s="104"/>
      <c r="NN1052" s="103"/>
      <c r="NZ1052" s="104"/>
      <c r="OA1052" s="103"/>
      <c r="OM1052" s="104"/>
      <c r="ON1052" s="103"/>
      <c r="OZ1052" s="104"/>
      <c r="PA1052" s="103"/>
      <c r="PM1052" s="104"/>
      <c r="PN1052" s="103"/>
      <c r="PZ1052" s="104"/>
      <c r="QA1052" s="103"/>
      <c r="QM1052" s="104"/>
      <c r="QN1052" s="103"/>
      <c r="QZ1052" s="104"/>
      <c r="RA1052" s="103"/>
      <c r="RM1052" s="104"/>
      <c r="RN1052" s="103"/>
      <c r="RZ1052" s="104"/>
      <c r="SA1052" s="103"/>
      <c r="SM1052" s="104"/>
      <c r="SN1052" s="103"/>
      <c r="SZ1052" s="104"/>
      <c r="TA1052" s="103"/>
      <c r="TM1052" s="104"/>
      <c r="TN1052" s="103"/>
      <c r="TZ1052" s="104"/>
      <c r="UA1052" s="103"/>
      <c r="UM1052" s="104"/>
      <c r="UN1052" s="103"/>
      <c r="UZ1052" s="104"/>
      <c r="VA1052" s="103"/>
      <c r="VM1052" s="104"/>
      <c r="VN1052" s="103"/>
      <c r="VZ1052" s="104"/>
      <c r="WA1052" s="103"/>
      <c r="WM1052" s="104"/>
      <c r="WN1052" s="103"/>
      <c r="WZ1052" s="104"/>
      <c r="XA1052" s="103"/>
      <c r="XM1052" s="104"/>
      <c r="XN1052" s="103"/>
      <c r="XZ1052" s="104"/>
      <c r="YA1052" s="103"/>
      <c r="YM1052" s="104"/>
      <c r="YN1052" s="103"/>
      <c r="YZ1052" s="104"/>
      <c r="ZA1052" s="103"/>
      <c r="ZM1052" s="104"/>
      <c r="ZN1052" s="103"/>
      <c r="ZZ1052" s="104"/>
      <c r="AAA1052" s="103"/>
      <c r="AAM1052" s="104"/>
      <c r="AAN1052" s="103"/>
      <c r="AAZ1052" s="104"/>
      <c r="ABA1052" s="103"/>
      <c r="ABM1052" s="104"/>
      <c r="ABN1052" s="103"/>
      <c r="ABZ1052" s="104"/>
      <c r="ACA1052" s="103"/>
      <c r="ACM1052" s="104"/>
      <c r="ACN1052" s="103"/>
      <c r="ACZ1052" s="104"/>
      <c r="ADA1052" s="103"/>
      <c r="ADM1052" s="104"/>
      <c r="ADN1052" s="103"/>
      <c r="ADZ1052" s="104"/>
      <c r="AEA1052" s="103"/>
      <c r="AEM1052" s="104"/>
      <c r="AEN1052" s="103"/>
      <c r="AEZ1052" s="104"/>
      <c r="AFA1052" s="103"/>
      <c r="AFM1052" s="104"/>
      <c r="AFN1052" s="103"/>
      <c r="AFZ1052" s="104"/>
      <c r="AGA1052" s="103"/>
      <c r="AGM1052" s="104"/>
      <c r="AGN1052" s="103"/>
      <c r="AGZ1052" s="104"/>
      <c r="AHA1052" s="103"/>
      <c r="AHM1052" s="104"/>
      <c r="AHN1052" s="103"/>
      <c r="AHZ1052" s="104"/>
      <c r="AIA1052" s="103"/>
      <c r="AIM1052" s="104"/>
      <c r="AIN1052" s="103"/>
      <c r="AIZ1052" s="104"/>
      <c r="AJA1052" s="103"/>
      <c r="AJM1052" s="104"/>
      <c r="AJN1052" s="103"/>
      <c r="AJZ1052" s="104"/>
      <c r="AKA1052" s="103"/>
      <c r="AKM1052" s="104"/>
      <c r="AKN1052" s="103"/>
      <c r="AKZ1052" s="104"/>
      <c r="ALA1052" s="103"/>
      <c r="ALM1052" s="104"/>
      <c r="ALN1052" s="103"/>
      <c r="ALZ1052" s="104"/>
      <c r="AMA1052" s="103"/>
      <c r="AMM1052" s="104"/>
      <c r="AMN1052" s="103"/>
      <c r="AMZ1052" s="104"/>
      <c r="ANA1052" s="103"/>
      <c r="ANM1052" s="104"/>
      <c r="ANN1052" s="103"/>
      <c r="ANZ1052" s="104"/>
      <c r="AOA1052" s="103"/>
      <c r="AOM1052" s="104"/>
      <c r="AON1052" s="103"/>
      <c r="AOZ1052" s="104"/>
      <c r="APA1052" s="103"/>
      <c r="APM1052" s="104"/>
      <c r="APN1052" s="103"/>
      <c r="APZ1052" s="104"/>
      <c r="AQA1052" s="103"/>
      <c r="AQM1052" s="104"/>
      <c r="AQN1052" s="103"/>
      <c r="AQZ1052" s="104"/>
      <c r="ARA1052" s="103"/>
      <c r="ARM1052" s="104"/>
      <c r="ARN1052" s="103"/>
      <c r="ARZ1052" s="104"/>
      <c r="ASA1052" s="103"/>
      <c r="ASM1052" s="104"/>
      <c r="ASN1052" s="103"/>
      <c r="ASZ1052" s="104"/>
      <c r="ATA1052" s="103"/>
      <c r="ATM1052" s="104"/>
      <c r="ATN1052" s="103"/>
      <c r="ATZ1052" s="104"/>
      <c r="AUA1052" s="103"/>
      <c r="AUM1052" s="104"/>
      <c r="AUN1052" s="103"/>
      <c r="AUZ1052" s="104"/>
      <c r="AVA1052" s="103"/>
      <c r="AVM1052" s="104"/>
      <c r="AVN1052" s="103"/>
      <c r="AVZ1052" s="104"/>
      <c r="AWA1052" s="103"/>
      <c r="AWM1052" s="104"/>
      <c r="AWN1052" s="103"/>
      <c r="AWZ1052" s="104"/>
      <c r="AXA1052" s="103"/>
      <c r="AXM1052" s="104"/>
      <c r="AXN1052" s="103"/>
      <c r="AXZ1052" s="104"/>
      <c r="AYA1052" s="103"/>
      <c r="AYM1052" s="104"/>
      <c r="AYN1052" s="103"/>
      <c r="AYZ1052" s="104"/>
      <c r="AZA1052" s="103"/>
      <c r="AZM1052" s="104"/>
      <c r="AZN1052" s="103"/>
      <c r="AZZ1052" s="104"/>
      <c r="BAA1052" s="103"/>
      <c r="BAM1052" s="104"/>
      <c r="BAN1052" s="103"/>
      <c r="BAZ1052" s="104"/>
      <c r="BBA1052" s="103"/>
      <c r="BBM1052" s="104"/>
      <c r="BBN1052" s="103"/>
      <c r="BBZ1052" s="104"/>
      <c r="BCA1052" s="103"/>
      <c r="BCM1052" s="104"/>
      <c r="BCN1052" s="103"/>
      <c r="BCZ1052" s="104"/>
      <c r="BDA1052" s="103"/>
      <c r="BDM1052" s="104"/>
      <c r="BDN1052" s="103"/>
      <c r="BDZ1052" s="104"/>
      <c r="BEA1052" s="103"/>
      <c r="BEM1052" s="104"/>
      <c r="BEN1052" s="103"/>
      <c r="BEZ1052" s="104"/>
      <c r="BFA1052" s="103"/>
      <c r="BFM1052" s="104"/>
      <c r="BFN1052" s="103"/>
      <c r="BFZ1052" s="104"/>
      <c r="BGA1052" s="103"/>
      <c r="BGM1052" s="104"/>
      <c r="BGN1052" s="103"/>
      <c r="BGZ1052" s="104"/>
      <c r="BHA1052" s="103"/>
      <c r="BHM1052" s="104"/>
      <c r="BHN1052" s="103"/>
      <c r="BHZ1052" s="104"/>
      <c r="BIA1052" s="103"/>
      <c r="BIM1052" s="104"/>
      <c r="BIN1052" s="103"/>
      <c r="BIZ1052" s="104"/>
      <c r="BJA1052" s="103"/>
      <c r="BJM1052" s="104"/>
      <c r="BJN1052" s="103"/>
      <c r="BJZ1052" s="104"/>
      <c r="BKA1052" s="103"/>
      <c r="BKM1052" s="104"/>
      <c r="BKN1052" s="103"/>
      <c r="BKZ1052" s="104"/>
      <c r="BLA1052" s="103"/>
      <c r="BLM1052" s="104"/>
      <c r="BLN1052" s="103"/>
      <c r="BLZ1052" s="104"/>
      <c r="BMA1052" s="103"/>
      <c r="BMM1052" s="104"/>
      <c r="BMN1052" s="103"/>
      <c r="BMZ1052" s="104"/>
      <c r="BNA1052" s="103"/>
      <c r="BNM1052" s="104"/>
      <c r="BNN1052" s="103"/>
      <c r="BNZ1052" s="104"/>
      <c r="BOA1052" s="103"/>
      <c r="BOM1052" s="104"/>
      <c r="BON1052" s="103"/>
      <c r="BOZ1052" s="104"/>
      <c r="BPA1052" s="103"/>
      <c r="BPM1052" s="104"/>
      <c r="BPN1052" s="103"/>
      <c r="BPZ1052" s="104"/>
      <c r="BQA1052" s="103"/>
      <c r="BQM1052" s="104"/>
      <c r="BQN1052" s="103"/>
      <c r="BQZ1052" s="104"/>
      <c r="BRA1052" s="103"/>
      <c r="BRM1052" s="104"/>
      <c r="BRN1052" s="103"/>
      <c r="BRZ1052" s="104"/>
      <c r="BSA1052" s="103"/>
      <c r="BSM1052" s="104"/>
      <c r="BSN1052" s="103"/>
      <c r="BSZ1052" s="104"/>
      <c r="BTA1052" s="103"/>
      <c r="BTM1052" s="104"/>
      <c r="BTN1052" s="103"/>
      <c r="BTZ1052" s="104"/>
      <c r="BUA1052" s="103"/>
      <c r="BUM1052" s="104"/>
      <c r="BUN1052" s="103"/>
      <c r="BUZ1052" s="104"/>
      <c r="BVA1052" s="103"/>
      <c r="BVM1052" s="104"/>
      <c r="BVN1052" s="103"/>
      <c r="BVZ1052" s="104"/>
      <c r="BWA1052" s="103"/>
      <c r="BWM1052" s="104"/>
      <c r="BWN1052" s="103"/>
      <c r="BWZ1052" s="104"/>
      <c r="BXA1052" s="103"/>
      <c r="BXM1052" s="104"/>
      <c r="BXN1052" s="103"/>
      <c r="BXZ1052" s="104"/>
      <c r="BYA1052" s="103"/>
      <c r="BYM1052" s="104"/>
      <c r="BYN1052" s="103"/>
      <c r="BYZ1052" s="104"/>
      <c r="BZA1052" s="103"/>
      <c r="BZM1052" s="104"/>
      <c r="BZN1052" s="103"/>
      <c r="BZZ1052" s="104"/>
      <c r="CAA1052" s="103"/>
      <c r="CAM1052" s="104"/>
      <c r="CAN1052" s="103"/>
      <c r="CAZ1052" s="104"/>
      <c r="CBA1052" s="103"/>
      <c r="CBM1052" s="104"/>
      <c r="CBN1052" s="103"/>
      <c r="CBZ1052" s="104"/>
      <c r="CCA1052" s="103"/>
      <c r="CCM1052" s="104"/>
      <c r="CCN1052" s="103"/>
      <c r="CCZ1052" s="104"/>
      <c r="CDA1052" s="103"/>
      <c r="CDM1052" s="104"/>
      <c r="CDN1052" s="103"/>
      <c r="CDZ1052" s="104"/>
      <c r="CEA1052" s="103"/>
      <c r="CEM1052" s="104"/>
      <c r="CEN1052" s="103"/>
      <c r="CEZ1052" s="104"/>
      <c r="CFA1052" s="103"/>
      <c r="CFM1052" s="104"/>
      <c r="CFN1052" s="103"/>
      <c r="CFZ1052" s="104"/>
      <c r="CGA1052" s="103"/>
      <c r="CGM1052" s="104"/>
      <c r="CGN1052" s="103"/>
      <c r="CGZ1052" s="104"/>
      <c r="CHA1052" s="103"/>
      <c r="CHM1052" s="104"/>
      <c r="CHN1052" s="103"/>
      <c r="CHZ1052" s="104"/>
      <c r="CIA1052" s="103"/>
      <c r="CIM1052" s="104"/>
      <c r="CIN1052" s="103"/>
      <c r="CIZ1052" s="104"/>
      <c r="CJA1052" s="103"/>
      <c r="CJM1052" s="104"/>
      <c r="CJN1052" s="103"/>
      <c r="CJZ1052" s="104"/>
      <c r="CKA1052" s="103"/>
      <c r="CKM1052" s="104"/>
      <c r="CKN1052" s="103"/>
      <c r="CKZ1052" s="104"/>
      <c r="CLA1052" s="103"/>
      <c r="CLM1052" s="104"/>
      <c r="CLN1052" s="103"/>
      <c r="CLZ1052" s="104"/>
      <c r="CMA1052" s="103"/>
      <c r="CMM1052" s="104"/>
      <c r="CMN1052" s="103"/>
      <c r="CMZ1052" s="104"/>
      <c r="CNA1052" s="103"/>
      <c r="CNM1052" s="104"/>
      <c r="CNN1052" s="103"/>
      <c r="CNZ1052" s="104"/>
      <c r="COA1052" s="103"/>
      <c r="COM1052" s="104"/>
      <c r="CON1052" s="103"/>
      <c r="COZ1052" s="104"/>
      <c r="CPA1052" s="103"/>
      <c r="CPM1052" s="104"/>
      <c r="CPN1052" s="103"/>
      <c r="CPZ1052" s="104"/>
      <c r="CQA1052" s="103"/>
      <c r="CQM1052" s="104"/>
      <c r="CQN1052" s="103"/>
      <c r="CQZ1052" s="104"/>
      <c r="CRA1052" s="103"/>
      <c r="CRM1052" s="104"/>
      <c r="CRN1052" s="103"/>
      <c r="CRZ1052" s="104"/>
      <c r="CSA1052" s="103"/>
      <c r="CSM1052" s="104"/>
      <c r="CSN1052" s="103"/>
      <c r="CSZ1052" s="104"/>
      <c r="CTA1052" s="103"/>
      <c r="CTM1052" s="104"/>
      <c r="CTN1052" s="103"/>
      <c r="CTZ1052" s="104"/>
      <c r="CUA1052" s="103"/>
      <c r="CUM1052" s="104"/>
      <c r="CUN1052" s="103"/>
      <c r="CUZ1052" s="104"/>
      <c r="CVA1052" s="103"/>
      <c r="CVM1052" s="104"/>
      <c r="CVN1052" s="103"/>
      <c r="CVZ1052" s="104"/>
      <c r="CWA1052" s="103"/>
      <c r="CWM1052" s="104"/>
      <c r="CWN1052" s="103"/>
      <c r="CWZ1052" s="104"/>
      <c r="CXA1052" s="103"/>
      <c r="CXM1052" s="104"/>
      <c r="CXN1052" s="103"/>
      <c r="CXZ1052" s="104"/>
      <c r="CYA1052" s="103"/>
      <c r="CYM1052" s="104"/>
      <c r="CYN1052" s="103"/>
      <c r="CYZ1052" s="104"/>
      <c r="CZA1052" s="103"/>
      <c r="CZM1052" s="104"/>
      <c r="CZN1052" s="103"/>
      <c r="CZZ1052" s="104"/>
      <c r="DAA1052" s="103"/>
      <c r="DAM1052" s="104"/>
      <c r="DAN1052" s="103"/>
      <c r="DAZ1052" s="104"/>
      <c r="DBA1052" s="103"/>
      <c r="DBM1052" s="104"/>
      <c r="DBN1052" s="103"/>
      <c r="DBZ1052" s="104"/>
      <c r="DCA1052" s="103"/>
      <c r="DCM1052" s="104"/>
      <c r="DCN1052" s="103"/>
      <c r="DCZ1052" s="104"/>
      <c r="DDA1052" s="103"/>
      <c r="DDM1052" s="104"/>
      <c r="DDN1052" s="103"/>
      <c r="DDZ1052" s="104"/>
      <c r="DEA1052" s="103"/>
      <c r="DEM1052" s="104"/>
      <c r="DEN1052" s="103"/>
      <c r="DEZ1052" s="104"/>
      <c r="DFA1052" s="103"/>
      <c r="DFM1052" s="104"/>
      <c r="DFN1052" s="103"/>
      <c r="DFZ1052" s="104"/>
      <c r="DGA1052" s="103"/>
      <c r="DGM1052" s="104"/>
      <c r="DGN1052" s="103"/>
      <c r="DGZ1052" s="104"/>
      <c r="DHA1052" s="103"/>
      <c r="DHM1052" s="104"/>
      <c r="DHN1052" s="103"/>
      <c r="DHZ1052" s="104"/>
      <c r="DIA1052" s="103"/>
      <c r="DIM1052" s="104"/>
      <c r="DIN1052" s="103"/>
      <c r="DIZ1052" s="104"/>
      <c r="DJA1052" s="103"/>
      <c r="DJM1052" s="104"/>
      <c r="DJN1052" s="103"/>
      <c r="DJZ1052" s="104"/>
      <c r="DKA1052" s="103"/>
      <c r="DKM1052" s="104"/>
      <c r="DKN1052" s="103"/>
      <c r="DKZ1052" s="104"/>
      <c r="DLA1052" s="103"/>
      <c r="DLM1052" s="104"/>
      <c r="DLN1052" s="103"/>
      <c r="DLZ1052" s="104"/>
      <c r="DMA1052" s="103"/>
      <c r="DMM1052" s="104"/>
      <c r="DMN1052" s="103"/>
      <c r="DMZ1052" s="104"/>
      <c r="DNA1052" s="103"/>
      <c r="DNM1052" s="104"/>
      <c r="DNN1052" s="103"/>
      <c r="DNZ1052" s="104"/>
      <c r="DOA1052" s="103"/>
      <c r="DOM1052" s="104"/>
      <c r="DON1052" s="103"/>
      <c r="DOZ1052" s="104"/>
      <c r="DPA1052" s="103"/>
      <c r="DPM1052" s="104"/>
      <c r="DPN1052" s="103"/>
      <c r="DPZ1052" s="104"/>
      <c r="DQA1052" s="103"/>
      <c r="DQM1052" s="104"/>
      <c r="DQN1052" s="103"/>
      <c r="DQZ1052" s="104"/>
      <c r="DRA1052" s="103"/>
      <c r="DRM1052" s="104"/>
      <c r="DRN1052" s="103"/>
      <c r="DRZ1052" s="104"/>
      <c r="DSA1052" s="103"/>
      <c r="DSM1052" s="104"/>
      <c r="DSN1052" s="103"/>
      <c r="DSZ1052" s="104"/>
      <c r="DTA1052" s="103"/>
      <c r="DTM1052" s="104"/>
      <c r="DTN1052" s="103"/>
      <c r="DTZ1052" s="104"/>
      <c r="DUA1052" s="103"/>
      <c r="DUM1052" s="104"/>
      <c r="DUN1052" s="103"/>
      <c r="DUZ1052" s="104"/>
      <c r="DVA1052" s="103"/>
      <c r="DVM1052" s="104"/>
      <c r="DVN1052" s="103"/>
      <c r="DVZ1052" s="104"/>
      <c r="DWA1052" s="103"/>
      <c r="DWM1052" s="104"/>
      <c r="DWN1052" s="103"/>
      <c r="DWZ1052" s="104"/>
      <c r="DXA1052" s="103"/>
      <c r="DXM1052" s="104"/>
      <c r="DXN1052" s="103"/>
      <c r="DXZ1052" s="104"/>
      <c r="DYA1052" s="103"/>
      <c r="DYM1052" s="104"/>
      <c r="DYN1052" s="103"/>
      <c r="DYZ1052" s="104"/>
      <c r="DZA1052" s="103"/>
      <c r="DZM1052" s="104"/>
      <c r="DZN1052" s="103"/>
      <c r="DZZ1052" s="104"/>
      <c r="EAA1052" s="103"/>
      <c r="EAM1052" s="104"/>
      <c r="EAN1052" s="103"/>
      <c r="EAZ1052" s="104"/>
      <c r="EBA1052" s="103"/>
      <c r="EBM1052" s="104"/>
      <c r="EBN1052" s="103"/>
      <c r="EBZ1052" s="104"/>
      <c r="ECA1052" s="103"/>
      <c r="ECM1052" s="104"/>
      <c r="ECN1052" s="103"/>
      <c r="ECZ1052" s="104"/>
      <c r="EDA1052" s="103"/>
      <c r="EDM1052" s="104"/>
      <c r="EDN1052" s="103"/>
      <c r="EDZ1052" s="104"/>
      <c r="EEA1052" s="103"/>
      <c r="EEM1052" s="104"/>
      <c r="EEN1052" s="103"/>
      <c r="EEZ1052" s="104"/>
      <c r="EFA1052" s="103"/>
      <c r="EFM1052" s="104"/>
      <c r="EFN1052" s="103"/>
      <c r="EFZ1052" s="104"/>
      <c r="EGA1052" s="103"/>
      <c r="EGM1052" s="104"/>
      <c r="EGN1052" s="103"/>
      <c r="EGZ1052" s="104"/>
      <c r="EHA1052" s="103"/>
      <c r="EHM1052" s="104"/>
      <c r="EHN1052" s="103"/>
      <c r="EHZ1052" s="104"/>
      <c r="EIA1052" s="103"/>
      <c r="EIM1052" s="104"/>
      <c r="EIN1052" s="103"/>
      <c r="EIZ1052" s="104"/>
      <c r="EJA1052" s="103"/>
      <c r="EJM1052" s="104"/>
      <c r="EJN1052" s="103"/>
      <c r="EJZ1052" s="104"/>
      <c r="EKA1052" s="103"/>
      <c r="EKM1052" s="104"/>
      <c r="EKN1052" s="103"/>
      <c r="EKZ1052" s="104"/>
      <c r="ELA1052" s="103"/>
      <c r="ELM1052" s="104"/>
      <c r="ELN1052" s="103"/>
      <c r="ELZ1052" s="104"/>
      <c r="EMA1052" s="103"/>
      <c r="EMM1052" s="104"/>
      <c r="EMN1052" s="103"/>
      <c r="EMZ1052" s="104"/>
      <c r="ENA1052" s="103"/>
      <c r="ENM1052" s="104"/>
      <c r="ENN1052" s="103"/>
      <c r="ENZ1052" s="104"/>
      <c r="EOA1052" s="103"/>
      <c r="EOM1052" s="104"/>
      <c r="EON1052" s="103"/>
      <c r="EOZ1052" s="104"/>
      <c r="EPA1052" s="103"/>
      <c r="EPM1052" s="104"/>
      <c r="EPN1052" s="103"/>
      <c r="EPZ1052" s="104"/>
      <c r="EQA1052" s="103"/>
      <c r="EQM1052" s="104"/>
      <c r="EQN1052" s="103"/>
      <c r="EQZ1052" s="104"/>
      <c r="ERA1052" s="103"/>
      <c r="ERM1052" s="104"/>
      <c r="ERN1052" s="103"/>
      <c r="ERZ1052" s="104"/>
      <c r="ESA1052" s="103"/>
      <c r="ESM1052" s="104"/>
      <c r="ESN1052" s="103"/>
      <c r="ESZ1052" s="104"/>
      <c r="ETA1052" s="103"/>
      <c r="ETM1052" s="104"/>
      <c r="ETN1052" s="103"/>
      <c r="ETZ1052" s="104"/>
      <c r="EUA1052" s="103"/>
      <c r="EUM1052" s="104"/>
      <c r="EUN1052" s="103"/>
      <c r="EUZ1052" s="104"/>
      <c r="EVA1052" s="103"/>
      <c r="EVM1052" s="104"/>
      <c r="EVN1052" s="103"/>
      <c r="EVZ1052" s="104"/>
      <c r="EWA1052" s="103"/>
      <c r="EWM1052" s="104"/>
      <c r="EWN1052" s="103"/>
      <c r="EWZ1052" s="104"/>
      <c r="EXA1052" s="103"/>
      <c r="EXM1052" s="104"/>
      <c r="EXN1052" s="103"/>
      <c r="EXZ1052" s="104"/>
      <c r="EYA1052" s="103"/>
      <c r="EYM1052" s="104"/>
      <c r="EYN1052" s="103"/>
      <c r="EYZ1052" s="104"/>
      <c r="EZA1052" s="103"/>
      <c r="EZM1052" s="104"/>
      <c r="EZN1052" s="103"/>
      <c r="EZZ1052" s="104"/>
      <c r="FAA1052" s="103"/>
      <c r="FAM1052" s="104"/>
      <c r="FAN1052" s="103"/>
      <c r="FAZ1052" s="104"/>
      <c r="FBA1052" s="103"/>
      <c r="FBM1052" s="104"/>
      <c r="FBN1052" s="103"/>
      <c r="FBZ1052" s="104"/>
      <c r="FCA1052" s="103"/>
      <c r="FCM1052" s="104"/>
      <c r="FCN1052" s="103"/>
      <c r="FCZ1052" s="104"/>
      <c r="FDA1052" s="103"/>
      <c r="FDM1052" s="104"/>
      <c r="FDN1052" s="103"/>
      <c r="FDZ1052" s="104"/>
      <c r="FEA1052" s="103"/>
      <c r="FEM1052" s="104"/>
      <c r="FEN1052" s="103"/>
      <c r="FEZ1052" s="104"/>
      <c r="FFA1052" s="103"/>
      <c r="FFM1052" s="104"/>
      <c r="FFN1052" s="103"/>
      <c r="FFZ1052" s="104"/>
      <c r="FGA1052" s="103"/>
      <c r="FGM1052" s="104"/>
      <c r="FGN1052" s="103"/>
      <c r="FGZ1052" s="104"/>
      <c r="FHA1052" s="103"/>
      <c r="FHM1052" s="104"/>
      <c r="FHN1052" s="103"/>
      <c r="FHZ1052" s="104"/>
      <c r="FIA1052" s="103"/>
      <c r="FIM1052" s="104"/>
      <c r="FIN1052" s="103"/>
      <c r="FIZ1052" s="104"/>
      <c r="FJA1052" s="103"/>
      <c r="FJM1052" s="104"/>
      <c r="FJN1052" s="103"/>
      <c r="FJZ1052" s="104"/>
      <c r="FKA1052" s="103"/>
      <c r="FKM1052" s="104"/>
      <c r="FKN1052" s="103"/>
      <c r="FKZ1052" s="104"/>
      <c r="FLA1052" s="103"/>
      <c r="FLM1052" s="104"/>
      <c r="FLN1052" s="103"/>
      <c r="FLZ1052" s="104"/>
      <c r="FMA1052" s="103"/>
      <c r="FMM1052" s="104"/>
      <c r="FMN1052" s="103"/>
      <c r="FMZ1052" s="104"/>
      <c r="FNA1052" s="103"/>
      <c r="FNM1052" s="104"/>
      <c r="FNN1052" s="103"/>
      <c r="FNZ1052" s="104"/>
      <c r="FOA1052" s="103"/>
      <c r="FOM1052" s="104"/>
      <c r="FON1052" s="103"/>
      <c r="FOZ1052" s="104"/>
      <c r="FPA1052" s="103"/>
      <c r="FPM1052" s="104"/>
      <c r="FPN1052" s="103"/>
      <c r="FPZ1052" s="104"/>
      <c r="FQA1052" s="103"/>
      <c r="FQM1052" s="104"/>
      <c r="FQN1052" s="103"/>
      <c r="FQZ1052" s="104"/>
      <c r="FRA1052" s="103"/>
      <c r="FRM1052" s="104"/>
      <c r="FRN1052" s="103"/>
      <c r="FRZ1052" s="104"/>
      <c r="FSA1052" s="103"/>
      <c r="FSM1052" s="104"/>
      <c r="FSN1052" s="103"/>
      <c r="FSZ1052" s="104"/>
      <c r="FTA1052" s="103"/>
      <c r="FTM1052" s="104"/>
      <c r="FTN1052" s="103"/>
      <c r="FTZ1052" s="104"/>
      <c r="FUA1052" s="103"/>
      <c r="FUM1052" s="104"/>
      <c r="FUN1052" s="103"/>
      <c r="FUZ1052" s="104"/>
      <c r="FVA1052" s="103"/>
      <c r="FVM1052" s="104"/>
      <c r="FVN1052" s="103"/>
      <c r="FVZ1052" s="104"/>
      <c r="FWA1052" s="103"/>
      <c r="FWM1052" s="104"/>
      <c r="FWN1052" s="103"/>
      <c r="FWZ1052" s="104"/>
      <c r="FXA1052" s="103"/>
      <c r="FXM1052" s="104"/>
      <c r="FXN1052" s="103"/>
      <c r="FXZ1052" s="104"/>
      <c r="FYA1052" s="103"/>
      <c r="FYM1052" s="104"/>
      <c r="FYN1052" s="103"/>
      <c r="FYZ1052" s="104"/>
      <c r="FZA1052" s="103"/>
      <c r="FZM1052" s="104"/>
      <c r="FZN1052" s="103"/>
      <c r="FZZ1052" s="104"/>
      <c r="GAA1052" s="103"/>
      <c r="GAM1052" s="104"/>
      <c r="GAN1052" s="103"/>
      <c r="GAZ1052" s="104"/>
      <c r="GBA1052" s="103"/>
      <c r="GBM1052" s="104"/>
      <c r="GBN1052" s="103"/>
      <c r="GBZ1052" s="104"/>
      <c r="GCA1052" s="103"/>
      <c r="GCM1052" s="104"/>
      <c r="GCN1052" s="103"/>
      <c r="GCZ1052" s="104"/>
      <c r="GDA1052" s="103"/>
      <c r="GDM1052" s="104"/>
      <c r="GDN1052" s="103"/>
      <c r="GDZ1052" s="104"/>
      <c r="GEA1052" s="103"/>
      <c r="GEM1052" s="104"/>
      <c r="GEN1052" s="103"/>
      <c r="GEZ1052" s="104"/>
      <c r="GFA1052" s="103"/>
      <c r="GFM1052" s="104"/>
      <c r="GFN1052" s="103"/>
      <c r="GFZ1052" s="104"/>
      <c r="GGA1052" s="103"/>
      <c r="GGM1052" s="104"/>
      <c r="GGN1052" s="103"/>
      <c r="GGZ1052" s="104"/>
      <c r="GHA1052" s="103"/>
      <c r="GHM1052" s="104"/>
      <c r="GHN1052" s="103"/>
      <c r="GHZ1052" s="104"/>
      <c r="GIA1052" s="103"/>
      <c r="GIM1052" s="104"/>
      <c r="GIN1052" s="103"/>
      <c r="GIZ1052" s="104"/>
      <c r="GJA1052" s="103"/>
      <c r="GJM1052" s="104"/>
      <c r="GJN1052" s="103"/>
      <c r="GJZ1052" s="104"/>
      <c r="GKA1052" s="103"/>
      <c r="GKM1052" s="104"/>
      <c r="GKN1052" s="103"/>
      <c r="GKZ1052" s="104"/>
      <c r="GLA1052" s="103"/>
      <c r="GLM1052" s="104"/>
      <c r="GLN1052" s="103"/>
      <c r="GLZ1052" s="104"/>
      <c r="GMA1052" s="103"/>
      <c r="GMM1052" s="104"/>
      <c r="GMN1052" s="103"/>
      <c r="GMZ1052" s="104"/>
      <c r="GNA1052" s="103"/>
      <c r="GNM1052" s="104"/>
      <c r="GNN1052" s="103"/>
      <c r="GNZ1052" s="104"/>
      <c r="GOA1052" s="103"/>
      <c r="GOM1052" s="104"/>
      <c r="GON1052" s="103"/>
      <c r="GOZ1052" s="104"/>
      <c r="GPA1052" s="103"/>
      <c r="GPM1052" s="104"/>
      <c r="GPN1052" s="103"/>
      <c r="GPZ1052" s="104"/>
      <c r="GQA1052" s="103"/>
      <c r="GQM1052" s="104"/>
      <c r="GQN1052" s="103"/>
      <c r="GQZ1052" s="104"/>
      <c r="GRA1052" s="103"/>
      <c r="GRM1052" s="104"/>
      <c r="GRN1052" s="103"/>
      <c r="GRZ1052" s="104"/>
      <c r="GSA1052" s="103"/>
      <c r="GSM1052" s="104"/>
      <c r="GSN1052" s="103"/>
      <c r="GSZ1052" s="104"/>
      <c r="GTA1052" s="103"/>
      <c r="GTM1052" s="104"/>
      <c r="GTN1052" s="103"/>
      <c r="GTZ1052" s="104"/>
      <c r="GUA1052" s="103"/>
      <c r="GUM1052" s="104"/>
      <c r="GUN1052" s="103"/>
      <c r="GUZ1052" s="104"/>
      <c r="GVA1052" s="103"/>
      <c r="GVM1052" s="104"/>
      <c r="GVN1052" s="103"/>
      <c r="GVZ1052" s="104"/>
      <c r="GWA1052" s="103"/>
      <c r="GWM1052" s="104"/>
      <c r="GWN1052" s="103"/>
      <c r="GWZ1052" s="104"/>
      <c r="GXA1052" s="103"/>
      <c r="GXM1052" s="104"/>
      <c r="GXN1052" s="103"/>
      <c r="GXZ1052" s="104"/>
      <c r="GYA1052" s="103"/>
      <c r="GYM1052" s="104"/>
      <c r="GYN1052" s="103"/>
      <c r="GYZ1052" s="104"/>
      <c r="GZA1052" s="103"/>
      <c r="GZM1052" s="104"/>
      <c r="GZN1052" s="103"/>
      <c r="GZZ1052" s="104"/>
      <c r="HAA1052" s="103"/>
      <c r="HAM1052" s="104"/>
      <c r="HAN1052" s="103"/>
      <c r="HAZ1052" s="104"/>
      <c r="HBA1052" s="103"/>
      <c r="HBM1052" s="104"/>
      <c r="HBN1052" s="103"/>
      <c r="HBZ1052" s="104"/>
      <c r="HCA1052" s="103"/>
      <c r="HCM1052" s="104"/>
      <c r="HCN1052" s="103"/>
      <c r="HCZ1052" s="104"/>
      <c r="HDA1052" s="103"/>
      <c r="HDM1052" s="104"/>
      <c r="HDN1052" s="103"/>
      <c r="HDZ1052" s="104"/>
      <c r="HEA1052" s="103"/>
      <c r="HEM1052" s="104"/>
      <c r="HEN1052" s="103"/>
      <c r="HEZ1052" s="104"/>
      <c r="HFA1052" s="103"/>
      <c r="HFM1052" s="104"/>
      <c r="HFN1052" s="103"/>
      <c r="HFZ1052" s="104"/>
      <c r="HGA1052" s="103"/>
      <c r="HGM1052" s="104"/>
      <c r="HGN1052" s="103"/>
      <c r="HGZ1052" s="104"/>
      <c r="HHA1052" s="103"/>
      <c r="HHM1052" s="104"/>
      <c r="HHN1052" s="103"/>
      <c r="HHZ1052" s="104"/>
      <c r="HIA1052" s="103"/>
      <c r="HIM1052" s="104"/>
      <c r="HIN1052" s="103"/>
      <c r="HIZ1052" s="104"/>
      <c r="HJA1052" s="103"/>
      <c r="HJM1052" s="104"/>
      <c r="HJN1052" s="103"/>
      <c r="HJZ1052" s="104"/>
      <c r="HKA1052" s="103"/>
      <c r="HKM1052" s="104"/>
      <c r="HKN1052" s="103"/>
      <c r="HKZ1052" s="104"/>
      <c r="HLA1052" s="103"/>
      <c r="HLM1052" s="104"/>
      <c r="HLN1052" s="103"/>
      <c r="HLZ1052" s="104"/>
      <c r="HMA1052" s="103"/>
      <c r="HMM1052" s="104"/>
      <c r="HMN1052" s="103"/>
      <c r="HMZ1052" s="104"/>
      <c r="HNA1052" s="103"/>
      <c r="HNM1052" s="104"/>
      <c r="HNN1052" s="103"/>
      <c r="HNZ1052" s="104"/>
      <c r="HOA1052" s="103"/>
      <c r="HOM1052" s="104"/>
      <c r="HON1052" s="103"/>
      <c r="HOZ1052" s="104"/>
      <c r="HPA1052" s="103"/>
      <c r="HPM1052" s="104"/>
      <c r="HPN1052" s="103"/>
      <c r="HPZ1052" s="104"/>
      <c r="HQA1052" s="103"/>
      <c r="HQM1052" s="104"/>
      <c r="HQN1052" s="103"/>
      <c r="HQZ1052" s="104"/>
      <c r="HRA1052" s="103"/>
      <c r="HRM1052" s="104"/>
      <c r="HRN1052" s="103"/>
      <c r="HRZ1052" s="104"/>
      <c r="HSA1052" s="103"/>
      <c r="HSM1052" s="104"/>
      <c r="HSN1052" s="103"/>
      <c r="HSZ1052" s="104"/>
      <c r="HTA1052" s="103"/>
      <c r="HTM1052" s="104"/>
      <c r="HTN1052" s="103"/>
      <c r="HTZ1052" s="104"/>
      <c r="HUA1052" s="103"/>
      <c r="HUM1052" s="104"/>
      <c r="HUN1052" s="103"/>
      <c r="HUZ1052" s="104"/>
      <c r="HVA1052" s="103"/>
      <c r="HVM1052" s="104"/>
      <c r="HVN1052" s="103"/>
      <c r="HVZ1052" s="104"/>
      <c r="HWA1052" s="103"/>
      <c r="HWM1052" s="104"/>
      <c r="HWN1052" s="103"/>
      <c r="HWZ1052" s="104"/>
      <c r="HXA1052" s="103"/>
      <c r="HXM1052" s="104"/>
      <c r="HXN1052" s="103"/>
      <c r="HXZ1052" s="104"/>
      <c r="HYA1052" s="103"/>
      <c r="HYM1052" s="104"/>
      <c r="HYN1052" s="103"/>
      <c r="HYZ1052" s="104"/>
      <c r="HZA1052" s="103"/>
      <c r="HZM1052" s="104"/>
      <c r="HZN1052" s="103"/>
      <c r="HZZ1052" s="104"/>
      <c r="IAA1052" s="103"/>
      <c r="IAM1052" s="104"/>
      <c r="IAN1052" s="103"/>
      <c r="IAZ1052" s="104"/>
      <c r="IBA1052" s="103"/>
      <c r="IBM1052" s="104"/>
      <c r="IBN1052" s="103"/>
      <c r="IBZ1052" s="104"/>
      <c r="ICA1052" s="103"/>
      <c r="ICM1052" s="104"/>
      <c r="ICN1052" s="103"/>
      <c r="ICZ1052" s="104"/>
      <c r="IDA1052" s="103"/>
      <c r="IDM1052" s="104"/>
      <c r="IDN1052" s="103"/>
      <c r="IDZ1052" s="104"/>
      <c r="IEA1052" s="103"/>
      <c r="IEM1052" s="104"/>
      <c r="IEN1052" s="103"/>
      <c r="IEZ1052" s="104"/>
      <c r="IFA1052" s="103"/>
      <c r="IFM1052" s="104"/>
      <c r="IFN1052" s="103"/>
      <c r="IFZ1052" s="104"/>
      <c r="IGA1052" s="103"/>
      <c r="IGM1052" s="104"/>
      <c r="IGN1052" s="103"/>
      <c r="IGZ1052" s="104"/>
      <c r="IHA1052" s="103"/>
      <c r="IHM1052" s="104"/>
      <c r="IHN1052" s="103"/>
      <c r="IHZ1052" s="104"/>
      <c r="IIA1052" s="103"/>
      <c r="IIM1052" s="104"/>
      <c r="IIN1052" s="103"/>
      <c r="IIZ1052" s="104"/>
      <c r="IJA1052" s="103"/>
      <c r="IJM1052" s="104"/>
      <c r="IJN1052" s="103"/>
      <c r="IJZ1052" s="104"/>
      <c r="IKA1052" s="103"/>
      <c r="IKM1052" s="104"/>
      <c r="IKN1052" s="103"/>
      <c r="IKZ1052" s="104"/>
      <c r="ILA1052" s="103"/>
      <c r="ILM1052" s="104"/>
      <c r="ILN1052" s="103"/>
      <c r="ILZ1052" s="104"/>
      <c r="IMA1052" s="103"/>
      <c r="IMM1052" s="104"/>
      <c r="IMN1052" s="103"/>
      <c r="IMZ1052" s="104"/>
      <c r="INA1052" s="103"/>
      <c r="INM1052" s="104"/>
      <c r="INN1052" s="103"/>
      <c r="INZ1052" s="104"/>
      <c r="IOA1052" s="103"/>
      <c r="IOM1052" s="104"/>
      <c r="ION1052" s="103"/>
      <c r="IOZ1052" s="104"/>
      <c r="IPA1052" s="103"/>
      <c r="IPM1052" s="104"/>
      <c r="IPN1052" s="103"/>
      <c r="IPZ1052" s="104"/>
      <c r="IQA1052" s="103"/>
      <c r="IQM1052" s="104"/>
      <c r="IQN1052" s="103"/>
      <c r="IQZ1052" s="104"/>
      <c r="IRA1052" s="103"/>
      <c r="IRM1052" s="104"/>
      <c r="IRN1052" s="103"/>
      <c r="IRZ1052" s="104"/>
      <c r="ISA1052" s="103"/>
      <c r="ISM1052" s="104"/>
      <c r="ISN1052" s="103"/>
      <c r="ISZ1052" s="104"/>
      <c r="ITA1052" s="103"/>
      <c r="ITM1052" s="104"/>
      <c r="ITN1052" s="103"/>
      <c r="ITZ1052" s="104"/>
      <c r="IUA1052" s="103"/>
      <c r="IUM1052" s="104"/>
      <c r="IUN1052" s="103"/>
      <c r="IUZ1052" s="104"/>
      <c r="IVA1052" s="103"/>
      <c r="IVM1052" s="104"/>
      <c r="IVN1052" s="103"/>
      <c r="IVZ1052" s="104"/>
      <c r="IWA1052" s="103"/>
      <c r="IWM1052" s="104"/>
      <c r="IWN1052" s="103"/>
      <c r="IWZ1052" s="104"/>
      <c r="IXA1052" s="103"/>
      <c r="IXM1052" s="104"/>
      <c r="IXN1052" s="103"/>
      <c r="IXZ1052" s="104"/>
      <c r="IYA1052" s="103"/>
      <c r="IYM1052" s="104"/>
      <c r="IYN1052" s="103"/>
      <c r="IYZ1052" s="104"/>
      <c r="IZA1052" s="103"/>
      <c r="IZM1052" s="104"/>
      <c r="IZN1052" s="103"/>
      <c r="IZZ1052" s="104"/>
      <c r="JAA1052" s="103"/>
      <c r="JAM1052" s="104"/>
      <c r="JAN1052" s="103"/>
      <c r="JAZ1052" s="104"/>
      <c r="JBA1052" s="103"/>
      <c r="JBM1052" s="104"/>
      <c r="JBN1052" s="103"/>
      <c r="JBZ1052" s="104"/>
      <c r="JCA1052" s="103"/>
      <c r="JCM1052" s="104"/>
      <c r="JCN1052" s="103"/>
      <c r="JCZ1052" s="104"/>
      <c r="JDA1052" s="103"/>
      <c r="JDM1052" s="104"/>
      <c r="JDN1052" s="103"/>
      <c r="JDZ1052" s="104"/>
      <c r="JEA1052" s="103"/>
      <c r="JEM1052" s="104"/>
      <c r="JEN1052" s="103"/>
      <c r="JEZ1052" s="104"/>
      <c r="JFA1052" s="103"/>
      <c r="JFM1052" s="104"/>
      <c r="JFN1052" s="103"/>
      <c r="JFZ1052" s="104"/>
      <c r="JGA1052" s="103"/>
      <c r="JGM1052" s="104"/>
      <c r="JGN1052" s="103"/>
      <c r="JGZ1052" s="104"/>
      <c r="JHA1052" s="103"/>
      <c r="JHM1052" s="104"/>
      <c r="JHN1052" s="103"/>
      <c r="JHZ1052" s="104"/>
      <c r="JIA1052" s="103"/>
      <c r="JIM1052" s="104"/>
      <c r="JIN1052" s="103"/>
      <c r="JIZ1052" s="104"/>
      <c r="JJA1052" s="103"/>
      <c r="JJM1052" s="104"/>
      <c r="JJN1052" s="103"/>
      <c r="JJZ1052" s="104"/>
      <c r="JKA1052" s="103"/>
      <c r="JKM1052" s="104"/>
      <c r="JKN1052" s="103"/>
      <c r="JKZ1052" s="104"/>
      <c r="JLA1052" s="103"/>
      <c r="JLM1052" s="104"/>
      <c r="JLN1052" s="103"/>
      <c r="JLZ1052" s="104"/>
      <c r="JMA1052" s="103"/>
      <c r="JMM1052" s="104"/>
      <c r="JMN1052" s="103"/>
      <c r="JMZ1052" s="104"/>
      <c r="JNA1052" s="103"/>
      <c r="JNM1052" s="104"/>
      <c r="JNN1052" s="103"/>
      <c r="JNZ1052" s="104"/>
      <c r="JOA1052" s="103"/>
      <c r="JOM1052" s="104"/>
      <c r="JON1052" s="103"/>
      <c r="JOZ1052" s="104"/>
      <c r="JPA1052" s="103"/>
      <c r="JPM1052" s="104"/>
      <c r="JPN1052" s="103"/>
      <c r="JPZ1052" s="104"/>
      <c r="JQA1052" s="103"/>
      <c r="JQM1052" s="104"/>
      <c r="JQN1052" s="103"/>
      <c r="JQZ1052" s="104"/>
      <c r="JRA1052" s="103"/>
      <c r="JRM1052" s="104"/>
      <c r="JRN1052" s="103"/>
      <c r="JRZ1052" s="104"/>
      <c r="JSA1052" s="103"/>
      <c r="JSM1052" s="104"/>
      <c r="JSN1052" s="103"/>
      <c r="JSZ1052" s="104"/>
      <c r="JTA1052" s="103"/>
      <c r="JTM1052" s="104"/>
      <c r="JTN1052" s="103"/>
      <c r="JTZ1052" s="104"/>
      <c r="JUA1052" s="103"/>
      <c r="JUM1052" s="104"/>
      <c r="JUN1052" s="103"/>
      <c r="JUZ1052" s="104"/>
      <c r="JVA1052" s="103"/>
      <c r="JVM1052" s="104"/>
      <c r="JVN1052" s="103"/>
      <c r="JVZ1052" s="104"/>
      <c r="JWA1052" s="103"/>
      <c r="JWM1052" s="104"/>
      <c r="JWN1052" s="103"/>
      <c r="JWZ1052" s="104"/>
      <c r="JXA1052" s="103"/>
      <c r="JXM1052" s="104"/>
      <c r="JXN1052" s="103"/>
      <c r="JXZ1052" s="104"/>
      <c r="JYA1052" s="103"/>
      <c r="JYM1052" s="104"/>
      <c r="JYN1052" s="103"/>
      <c r="JYZ1052" s="104"/>
      <c r="JZA1052" s="103"/>
      <c r="JZM1052" s="104"/>
      <c r="JZN1052" s="103"/>
      <c r="JZZ1052" s="104"/>
      <c r="KAA1052" s="103"/>
      <c r="KAM1052" s="104"/>
      <c r="KAN1052" s="103"/>
      <c r="KAZ1052" s="104"/>
      <c r="KBA1052" s="103"/>
      <c r="KBM1052" s="104"/>
      <c r="KBN1052" s="103"/>
      <c r="KBZ1052" s="104"/>
      <c r="KCA1052" s="103"/>
      <c r="KCM1052" s="104"/>
      <c r="KCN1052" s="103"/>
      <c r="KCZ1052" s="104"/>
      <c r="KDA1052" s="103"/>
      <c r="KDM1052" s="104"/>
      <c r="KDN1052" s="103"/>
      <c r="KDZ1052" s="104"/>
      <c r="KEA1052" s="103"/>
      <c r="KEM1052" s="104"/>
      <c r="KEN1052" s="103"/>
      <c r="KEZ1052" s="104"/>
      <c r="KFA1052" s="103"/>
      <c r="KFM1052" s="104"/>
      <c r="KFN1052" s="103"/>
      <c r="KFZ1052" s="104"/>
      <c r="KGA1052" s="103"/>
      <c r="KGM1052" s="104"/>
      <c r="KGN1052" s="103"/>
      <c r="KGZ1052" s="104"/>
      <c r="KHA1052" s="103"/>
      <c r="KHM1052" s="104"/>
      <c r="KHN1052" s="103"/>
      <c r="KHZ1052" s="104"/>
      <c r="KIA1052" s="103"/>
      <c r="KIM1052" s="104"/>
      <c r="KIN1052" s="103"/>
      <c r="KIZ1052" s="104"/>
      <c r="KJA1052" s="103"/>
      <c r="KJM1052" s="104"/>
      <c r="KJN1052" s="103"/>
      <c r="KJZ1052" s="104"/>
      <c r="KKA1052" s="103"/>
      <c r="KKM1052" s="104"/>
      <c r="KKN1052" s="103"/>
      <c r="KKZ1052" s="104"/>
      <c r="KLA1052" s="103"/>
      <c r="KLM1052" s="104"/>
      <c r="KLN1052" s="103"/>
      <c r="KLZ1052" s="104"/>
      <c r="KMA1052" s="103"/>
      <c r="KMM1052" s="104"/>
      <c r="KMN1052" s="103"/>
      <c r="KMZ1052" s="104"/>
      <c r="KNA1052" s="103"/>
      <c r="KNM1052" s="104"/>
      <c r="KNN1052" s="103"/>
      <c r="KNZ1052" s="104"/>
      <c r="KOA1052" s="103"/>
      <c r="KOM1052" s="104"/>
      <c r="KON1052" s="103"/>
      <c r="KOZ1052" s="104"/>
      <c r="KPA1052" s="103"/>
      <c r="KPM1052" s="104"/>
      <c r="KPN1052" s="103"/>
      <c r="KPZ1052" s="104"/>
      <c r="KQA1052" s="103"/>
      <c r="KQM1052" s="104"/>
      <c r="KQN1052" s="103"/>
      <c r="KQZ1052" s="104"/>
      <c r="KRA1052" s="103"/>
      <c r="KRM1052" s="104"/>
      <c r="KRN1052" s="103"/>
      <c r="KRZ1052" s="104"/>
      <c r="KSA1052" s="103"/>
      <c r="KSM1052" s="104"/>
      <c r="KSN1052" s="103"/>
      <c r="KSZ1052" s="104"/>
      <c r="KTA1052" s="103"/>
      <c r="KTM1052" s="104"/>
      <c r="KTN1052" s="103"/>
      <c r="KTZ1052" s="104"/>
      <c r="KUA1052" s="103"/>
      <c r="KUM1052" s="104"/>
      <c r="KUN1052" s="103"/>
      <c r="KUZ1052" s="104"/>
      <c r="KVA1052" s="103"/>
      <c r="KVM1052" s="104"/>
      <c r="KVN1052" s="103"/>
      <c r="KVZ1052" s="104"/>
      <c r="KWA1052" s="103"/>
      <c r="KWM1052" s="104"/>
      <c r="KWN1052" s="103"/>
      <c r="KWZ1052" s="104"/>
      <c r="KXA1052" s="103"/>
      <c r="KXM1052" s="104"/>
      <c r="KXN1052" s="103"/>
      <c r="KXZ1052" s="104"/>
      <c r="KYA1052" s="103"/>
      <c r="KYM1052" s="104"/>
      <c r="KYN1052" s="103"/>
      <c r="KYZ1052" s="104"/>
      <c r="KZA1052" s="103"/>
      <c r="KZM1052" s="104"/>
      <c r="KZN1052" s="103"/>
      <c r="KZZ1052" s="104"/>
      <c r="LAA1052" s="103"/>
      <c r="LAM1052" s="104"/>
      <c r="LAN1052" s="103"/>
      <c r="LAZ1052" s="104"/>
      <c r="LBA1052" s="103"/>
      <c r="LBM1052" s="104"/>
      <c r="LBN1052" s="103"/>
      <c r="LBZ1052" s="104"/>
      <c r="LCA1052" s="103"/>
      <c r="LCM1052" s="104"/>
      <c r="LCN1052" s="103"/>
      <c r="LCZ1052" s="104"/>
      <c r="LDA1052" s="103"/>
      <c r="LDM1052" s="104"/>
      <c r="LDN1052" s="103"/>
      <c r="LDZ1052" s="104"/>
      <c r="LEA1052" s="103"/>
      <c r="LEM1052" s="104"/>
      <c r="LEN1052" s="103"/>
      <c r="LEZ1052" s="104"/>
      <c r="LFA1052" s="103"/>
      <c r="LFM1052" s="104"/>
      <c r="LFN1052" s="103"/>
      <c r="LFZ1052" s="104"/>
      <c r="LGA1052" s="103"/>
      <c r="LGM1052" s="104"/>
      <c r="LGN1052" s="103"/>
      <c r="LGZ1052" s="104"/>
      <c r="LHA1052" s="103"/>
      <c r="LHM1052" s="104"/>
      <c r="LHN1052" s="103"/>
      <c r="LHZ1052" s="104"/>
      <c r="LIA1052" s="103"/>
      <c r="LIM1052" s="104"/>
      <c r="LIN1052" s="103"/>
      <c r="LIZ1052" s="104"/>
      <c r="LJA1052" s="103"/>
      <c r="LJM1052" s="104"/>
      <c r="LJN1052" s="103"/>
      <c r="LJZ1052" s="104"/>
      <c r="LKA1052" s="103"/>
      <c r="LKM1052" s="104"/>
      <c r="LKN1052" s="103"/>
      <c r="LKZ1052" s="104"/>
      <c r="LLA1052" s="103"/>
      <c r="LLM1052" s="104"/>
      <c r="LLN1052" s="103"/>
      <c r="LLZ1052" s="104"/>
      <c r="LMA1052" s="103"/>
      <c r="LMM1052" s="104"/>
      <c r="LMN1052" s="103"/>
      <c r="LMZ1052" s="104"/>
      <c r="LNA1052" s="103"/>
      <c r="LNM1052" s="104"/>
      <c r="LNN1052" s="103"/>
      <c r="LNZ1052" s="104"/>
      <c r="LOA1052" s="103"/>
      <c r="LOM1052" s="104"/>
      <c r="LON1052" s="103"/>
      <c r="LOZ1052" s="104"/>
      <c r="LPA1052" s="103"/>
      <c r="LPM1052" s="104"/>
      <c r="LPN1052" s="103"/>
      <c r="LPZ1052" s="104"/>
      <c r="LQA1052" s="103"/>
      <c r="LQM1052" s="104"/>
      <c r="LQN1052" s="103"/>
      <c r="LQZ1052" s="104"/>
      <c r="LRA1052" s="103"/>
      <c r="LRM1052" s="104"/>
      <c r="LRN1052" s="103"/>
      <c r="LRZ1052" s="104"/>
      <c r="LSA1052" s="103"/>
      <c r="LSM1052" s="104"/>
      <c r="LSN1052" s="103"/>
      <c r="LSZ1052" s="104"/>
      <c r="LTA1052" s="103"/>
      <c r="LTM1052" s="104"/>
      <c r="LTN1052" s="103"/>
      <c r="LTZ1052" s="104"/>
      <c r="LUA1052" s="103"/>
      <c r="LUM1052" s="104"/>
      <c r="LUN1052" s="103"/>
      <c r="LUZ1052" s="104"/>
      <c r="LVA1052" s="103"/>
      <c r="LVM1052" s="104"/>
      <c r="LVN1052" s="103"/>
      <c r="LVZ1052" s="104"/>
      <c r="LWA1052" s="103"/>
      <c r="LWM1052" s="104"/>
      <c r="LWN1052" s="103"/>
      <c r="LWZ1052" s="104"/>
      <c r="LXA1052" s="103"/>
      <c r="LXM1052" s="104"/>
      <c r="LXN1052" s="103"/>
      <c r="LXZ1052" s="104"/>
      <c r="LYA1052" s="103"/>
      <c r="LYM1052" s="104"/>
      <c r="LYN1052" s="103"/>
      <c r="LYZ1052" s="104"/>
      <c r="LZA1052" s="103"/>
      <c r="LZM1052" s="104"/>
      <c r="LZN1052" s="103"/>
      <c r="LZZ1052" s="104"/>
      <c r="MAA1052" s="103"/>
      <c r="MAM1052" s="104"/>
      <c r="MAN1052" s="103"/>
      <c r="MAZ1052" s="104"/>
      <c r="MBA1052" s="103"/>
      <c r="MBM1052" s="104"/>
      <c r="MBN1052" s="103"/>
      <c r="MBZ1052" s="104"/>
      <c r="MCA1052" s="103"/>
      <c r="MCM1052" s="104"/>
      <c r="MCN1052" s="103"/>
      <c r="MCZ1052" s="104"/>
      <c r="MDA1052" s="103"/>
      <c r="MDM1052" s="104"/>
      <c r="MDN1052" s="103"/>
      <c r="MDZ1052" s="104"/>
      <c r="MEA1052" s="103"/>
      <c r="MEM1052" s="104"/>
      <c r="MEN1052" s="103"/>
      <c r="MEZ1052" s="104"/>
      <c r="MFA1052" s="103"/>
      <c r="MFM1052" s="104"/>
      <c r="MFN1052" s="103"/>
      <c r="MFZ1052" s="104"/>
      <c r="MGA1052" s="103"/>
      <c r="MGM1052" s="104"/>
      <c r="MGN1052" s="103"/>
      <c r="MGZ1052" s="104"/>
      <c r="MHA1052" s="103"/>
      <c r="MHM1052" s="104"/>
      <c r="MHN1052" s="103"/>
      <c r="MHZ1052" s="104"/>
      <c r="MIA1052" s="103"/>
      <c r="MIM1052" s="104"/>
      <c r="MIN1052" s="103"/>
      <c r="MIZ1052" s="104"/>
      <c r="MJA1052" s="103"/>
      <c r="MJM1052" s="104"/>
      <c r="MJN1052" s="103"/>
      <c r="MJZ1052" s="104"/>
      <c r="MKA1052" s="103"/>
      <c r="MKM1052" s="104"/>
      <c r="MKN1052" s="103"/>
      <c r="MKZ1052" s="104"/>
      <c r="MLA1052" s="103"/>
      <c r="MLM1052" s="104"/>
      <c r="MLN1052" s="103"/>
      <c r="MLZ1052" s="104"/>
      <c r="MMA1052" s="103"/>
      <c r="MMM1052" s="104"/>
      <c r="MMN1052" s="103"/>
      <c r="MMZ1052" s="104"/>
      <c r="MNA1052" s="103"/>
      <c r="MNM1052" s="104"/>
      <c r="MNN1052" s="103"/>
      <c r="MNZ1052" s="104"/>
      <c r="MOA1052" s="103"/>
      <c r="MOM1052" s="104"/>
      <c r="MON1052" s="103"/>
      <c r="MOZ1052" s="104"/>
      <c r="MPA1052" s="103"/>
      <c r="MPM1052" s="104"/>
      <c r="MPN1052" s="103"/>
      <c r="MPZ1052" s="104"/>
      <c r="MQA1052" s="103"/>
      <c r="MQM1052" s="104"/>
      <c r="MQN1052" s="103"/>
      <c r="MQZ1052" s="104"/>
      <c r="MRA1052" s="103"/>
      <c r="MRM1052" s="104"/>
      <c r="MRN1052" s="103"/>
      <c r="MRZ1052" s="104"/>
      <c r="MSA1052" s="103"/>
      <c r="MSM1052" s="104"/>
      <c r="MSN1052" s="103"/>
      <c r="MSZ1052" s="104"/>
      <c r="MTA1052" s="103"/>
      <c r="MTM1052" s="104"/>
      <c r="MTN1052" s="103"/>
      <c r="MTZ1052" s="104"/>
      <c r="MUA1052" s="103"/>
      <c r="MUM1052" s="104"/>
      <c r="MUN1052" s="103"/>
      <c r="MUZ1052" s="104"/>
      <c r="MVA1052" s="103"/>
      <c r="MVM1052" s="104"/>
      <c r="MVN1052" s="103"/>
      <c r="MVZ1052" s="104"/>
      <c r="MWA1052" s="103"/>
      <c r="MWM1052" s="104"/>
      <c r="MWN1052" s="103"/>
      <c r="MWZ1052" s="104"/>
      <c r="MXA1052" s="103"/>
      <c r="MXM1052" s="104"/>
      <c r="MXN1052" s="103"/>
      <c r="MXZ1052" s="104"/>
      <c r="MYA1052" s="103"/>
      <c r="MYM1052" s="104"/>
      <c r="MYN1052" s="103"/>
      <c r="MYZ1052" s="104"/>
      <c r="MZA1052" s="103"/>
      <c r="MZM1052" s="104"/>
      <c r="MZN1052" s="103"/>
      <c r="MZZ1052" s="104"/>
      <c r="NAA1052" s="103"/>
      <c r="NAM1052" s="104"/>
      <c r="NAN1052" s="103"/>
      <c r="NAZ1052" s="104"/>
      <c r="NBA1052" s="103"/>
      <c r="NBM1052" s="104"/>
      <c r="NBN1052" s="103"/>
      <c r="NBZ1052" s="104"/>
      <c r="NCA1052" s="103"/>
      <c r="NCM1052" s="104"/>
      <c r="NCN1052" s="103"/>
      <c r="NCZ1052" s="104"/>
      <c r="NDA1052" s="103"/>
      <c r="NDM1052" s="104"/>
      <c r="NDN1052" s="103"/>
      <c r="NDZ1052" s="104"/>
      <c r="NEA1052" s="103"/>
      <c r="NEM1052" s="104"/>
      <c r="NEN1052" s="103"/>
      <c r="NEZ1052" s="104"/>
      <c r="NFA1052" s="103"/>
      <c r="NFM1052" s="104"/>
      <c r="NFN1052" s="103"/>
      <c r="NFZ1052" s="104"/>
      <c r="NGA1052" s="103"/>
      <c r="NGM1052" s="104"/>
      <c r="NGN1052" s="103"/>
      <c r="NGZ1052" s="104"/>
      <c r="NHA1052" s="103"/>
      <c r="NHM1052" s="104"/>
      <c r="NHN1052" s="103"/>
      <c r="NHZ1052" s="104"/>
      <c r="NIA1052" s="103"/>
      <c r="NIM1052" s="104"/>
      <c r="NIN1052" s="103"/>
      <c r="NIZ1052" s="104"/>
      <c r="NJA1052" s="103"/>
      <c r="NJM1052" s="104"/>
      <c r="NJN1052" s="103"/>
      <c r="NJZ1052" s="104"/>
      <c r="NKA1052" s="103"/>
      <c r="NKM1052" s="104"/>
      <c r="NKN1052" s="103"/>
      <c r="NKZ1052" s="104"/>
      <c r="NLA1052" s="103"/>
      <c r="NLM1052" s="104"/>
      <c r="NLN1052" s="103"/>
      <c r="NLZ1052" s="104"/>
      <c r="NMA1052" s="103"/>
      <c r="NMM1052" s="104"/>
      <c r="NMN1052" s="103"/>
      <c r="NMZ1052" s="104"/>
      <c r="NNA1052" s="103"/>
      <c r="NNM1052" s="104"/>
      <c r="NNN1052" s="103"/>
      <c r="NNZ1052" s="104"/>
      <c r="NOA1052" s="103"/>
      <c r="NOM1052" s="104"/>
      <c r="NON1052" s="103"/>
      <c r="NOZ1052" s="104"/>
      <c r="NPA1052" s="103"/>
      <c r="NPM1052" s="104"/>
      <c r="NPN1052" s="103"/>
      <c r="NPZ1052" s="104"/>
      <c r="NQA1052" s="103"/>
      <c r="NQM1052" s="104"/>
      <c r="NQN1052" s="103"/>
      <c r="NQZ1052" s="104"/>
      <c r="NRA1052" s="103"/>
      <c r="NRM1052" s="104"/>
      <c r="NRN1052" s="103"/>
      <c r="NRZ1052" s="104"/>
      <c r="NSA1052" s="103"/>
      <c r="NSM1052" s="104"/>
      <c r="NSN1052" s="103"/>
      <c r="NSZ1052" s="104"/>
      <c r="NTA1052" s="103"/>
      <c r="NTM1052" s="104"/>
      <c r="NTN1052" s="103"/>
      <c r="NTZ1052" s="104"/>
      <c r="NUA1052" s="103"/>
      <c r="NUM1052" s="104"/>
      <c r="NUN1052" s="103"/>
      <c r="NUZ1052" s="104"/>
      <c r="NVA1052" s="103"/>
      <c r="NVM1052" s="104"/>
      <c r="NVN1052" s="103"/>
      <c r="NVZ1052" s="104"/>
      <c r="NWA1052" s="103"/>
      <c r="NWM1052" s="104"/>
      <c r="NWN1052" s="103"/>
      <c r="NWZ1052" s="104"/>
      <c r="NXA1052" s="103"/>
      <c r="NXM1052" s="104"/>
      <c r="NXN1052" s="103"/>
      <c r="NXZ1052" s="104"/>
      <c r="NYA1052" s="103"/>
      <c r="NYM1052" s="104"/>
      <c r="NYN1052" s="103"/>
      <c r="NYZ1052" s="104"/>
      <c r="NZA1052" s="103"/>
      <c r="NZM1052" s="104"/>
      <c r="NZN1052" s="103"/>
      <c r="NZZ1052" s="104"/>
      <c r="OAA1052" s="103"/>
      <c r="OAM1052" s="104"/>
      <c r="OAN1052" s="103"/>
      <c r="OAZ1052" s="104"/>
      <c r="OBA1052" s="103"/>
      <c r="OBM1052" s="104"/>
      <c r="OBN1052" s="103"/>
      <c r="OBZ1052" s="104"/>
      <c r="OCA1052" s="103"/>
      <c r="OCM1052" s="104"/>
      <c r="OCN1052" s="103"/>
      <c r="OCZ1052" s="104"/>
      <c r="ODA1052" s="103"/>
      <c r="ODM1052" s="104"/>
      <c r="ODN1052" s="103"/>
      <c r="ODZ1052" s="104"/>
      <c r="OEA1052" s="103"/>
      <c r="OEM1052" s="104"/>
      <c r="OEN1052" s="103"/>
      <c r="OEZ1052" s="104"/>
      <c r="OFA1052" s="103"/>
      <c r="OFM1052" s="104"/>
      <c r="OFN1052" s="103"/>
      <c r="OFZ1052" s="104"/>
      <c r="OGA1052" s="103"/>
      <c r="OGM1052" s="104"/>
      <c r="OGN1052" s="103"/>
      <c r="OGZ1052" s="104"/>
      <c r="OHA1052" s="103"/>
      <c r="OHM1052" s="104"/>
      <c r="OHN1052" s="103"/>
      <c r="OHZ1052" s="104"/>
      <c r="OIA1052" s="103"/>
      <c r="OIM1052" s="104"/>
      <c r="OIN1052" s="103"/>
      <c r="OIZ1052" s="104"/>
      <c r="OJA1052" s="103"/>
      <c r="OJM1052" s="104"/>
      <c r="OJN1052" s="103"/>
      <c r="OJZ1052" s="104"/>
      <c r="OKA1052" s="103"/>
      <c r="OKM1052" s="104"/>
      <c r="OKN1052" s="103"/>
      <c r="OKZ1052" s="104"/>
      <c r="OLA1052" s="103"/>
      <c r="OLM1052" s="104"/>
      <c r="OLN1052" s="103"/>
      <c r="OLZ1052" s="104"/>
      <c r="OMA1052" s="103"/>
      <c r="OMM1052" s="104"/>
      <c r="OMN1052" s="103"/>
      <c r="OMZ1052" s="104"/>
      <c r="ONA1052" s="103"/>
      <c r="ONM1052" s="104"/>
      <c r="ONN1052" s="103"/>
      <c r="ONZ1052" s="104"/>
      <c r="OOA1052" s="103"/>
      <c r="OOM1052" s="104"/>
      <c r="OON1052" s="103"/>
      <c r="OOZ1052" s="104"/>
      <c r="OPA1052" s="103"/>
      <c r="OPM1052" s="104"/>
      <c r="OPN1052" s="103"/>
      <c r="OPZ1052" s="104"/>
      <c r="OQA1052" s="103"/>
      <c r="OQM1052" s="104"/>
      <c r="OQN1052" s="103"/>
      <c r="OQZ1052" s="104"/>
      <c r="ORA1052" s="103"/>
      <c r="ORM1052" s="104"/>
      <c r="ORN1052" s="103"/>
      <c r="ORZ1052" s="104"/>
      <c r="OSA1052" s="103"/>
      <c r="OSM1052" s="104"/>
      <c r="OSN1052" s="103"/>
      <c r="OSZ1052" s="104"/>
      <c r="OTA1052" s="103"/>
      <c r="OTM1052" s="104"/>
      <c r="OTN1052" s="103"/>
      <c r="OTZ1052" s="104"/>
      <c r="OUA1052" s="103"/>
      <c r="OUM1052" s="104"/>
      <c r="OUN1052" s="103"/>
      <c r="OUZ1052" s="104"/>
      <c r="OVA1052" s="103"/>
      <c r="OVM1052" s="104"/>
      <c r="OVN1052" s="103"/>
      <c r="OVZ1052" s="104"/>
      <c r="OWA1052" s="103"/>
      <c r="OWM1052" s="104"/>
      <c r="OWN1052" s="103"/>
      <c r="OWZ1052" s="104"/>
      <c r="OXA1052" s="103"/>
      <c r="OXM1052" s="104"/>
      <c r="OXN1052" s="103"/>
      <c r="OXZ1052" s="104"/>
      <c r="OYA1052" s="103"/>
      <c r="OYM1052" s="104"/>
      <c r="OYN1052" s="103"/>
      <c r="OYZ1052" s="104"/>
      <c r="OZA1052" s="103"/>
      <c r="OZM1052" s="104"/>
      <c r="OZN1052" s="103"/>
      <c r="OZZ1052" s="104"/>
      <c r="PAA1052" s="103"/>
      <c r="PAM1052" s="104"/>
      <c r="PAN1052" s="103"/>
      <c r="PAZ1052" s="104"/>
      <c r="PBA1052" s="103"/>
      <c r="PBM1052" s="104"/>
      <c r="PBN1052" s="103"/>
      <c r="PBZ1052" s="104"/>
      <c r="PCA1052" s="103"/>
      <c r="PCM1052" s="104"/>
      <c r="PCN1052" s="103"/>
      <c r="PCZ1052" s="104"/>
      <c r="PDA1052" s="103"/>
      <c r="PDM1052" s="104"/>
      <c r="PDN1052" s="103"/>
      <c r="PDZ1052" s="104"/>
      <c r="PEA1052" s="103"/>
      <c r="PEM1052" s="104"/>
      <c r="PEN1052" s="103"/>
      <c r="PEZ1052" s="104"/>
      <c r="PFA1052" s="103"/>
      <c r="PFM1052" s="104"/>
      <c r="PFN1052" s="103"/>
      <c r="PFZ1052" s="104"/>
      <c r="PGA1052" s="103"/>
      <c r="PGM1052" s="104"/>
      <c r="PGN1052" s="103"/>
      <c r="PGZ1052" s="104"/>
      <c r="PHA1052" s="103"/>
      <c r="PHM1052" s="104"/>
      <c r="PHN1052" s="103"/>
      <c r="PHZ1052" s="104"/>
      <c r="PIA1052" s="103"/>
      <c r="PIM1052" s="104"/>
      <c r="PIN1052" s="103"/>
      <c r="PIZ1052" s="104"/>
      <c r="PJA1052" s="103"/>
      <c r="PJM1052" s="104"/>
      <c r="PJN1052" s="103"/>
      <c r="PJZ1052" s="104"/>
      <c r="PKA1052" s="103"/>
      <c r="PKM1052" s="104"/>
      <c r="PKN1052" s="103"/>
      <c r="PKZ1052" s="104"/>
      <c r="PLA1052" s="103"/>
      <c r="PLM1052" s="104"/>
      <c r="PLN1052" s="103"/>
      <c r="PLZ1052" s="104"/>
      <c r="PMA1052" s="103"/>
      <c r="PMM1052" s="104"/>
      <c r="PMN1052" s="103"/>
      <c r="PMZ1052" s="104"/>
      <c r="PNA1052" s="103"/>
      <c r="PNM1052" s="104"/>
      <c r="PNN1052" s="103"/>
      <c r="PNZ1052" s="104"/>
      <c r="POA1052" s="103"/>
      <c r="POM1052" s="104"/>
      <c r="PON1052" s="103"/>
      <c r="POZ1052" s="104"/>
      <c r="PPA1052" s="103"/>
      <c r="PPM1052" s="104"/>
      <c r="PPN1052" s="103"/>
      <c r="PPZ1052" s="104"/>
      <c r="PQA1052" s="103"/>
      <c r="PQM1052" s="104"/>
      <c r="PQN1052" s="103"/>
      <c r="PQZ1052" s="104"/>
      <c r="PRA1052" s="103"/>
      <c r="PRM1052" s="104"/>
      <c r="PRN1052" s="103"/>
      <c r="PRZ1052" s="104"/>
      <c r="PSA1052" s="103"/>
      <c r="PSM1052" s="104"/>
      <c r="PSN1052" s="103"/>
      <c r="PSZ1052" s="104"/>
      <c r="PTA1052" s="103"/>
      <c r="PTM1052" s="104"/>
      <c r="PTN1052" s="103"/>
      <c r="PTZ1052" s="104"/>
      <c r="PUA1052" s="103"/>
      <c r="PUM1052" s="104"/>
      <c r="PUN1052" s="103"/>
      <c r="PUZ1052" s="104"/>
      <c r="PVA1052" s="103"/>
      <c r="PVM1052" s="104"/>
      <c r="PVN1052" s="103"/>
      <c r="PVZ1052" s="104"/>
      <c r="PWA1052" s="103"/>
      <c r="PWM1052" s="104"/>
      <c r="PWN1052" s="103"/>
      <c r="PWZ1052" s="104"/>
      <c r="PXA1052" s="103"/>
      <c r="PXM1052" s="104"/>
      <c r="PXN1052" s="103"/>
      <c r="PXZ1052" s="104"/>
      <c r="PYA1052" s="103"/>
      <c r="PYM1052" s="104"/>
      <c r="PYN1052" s="103"/>
      <c r="PYZ1052" s="104"/>
      <c r="PZA1052" s="103"/>
      <c r="PZM1052" s="104"/>
      <c r="PZN1052" s="103"/>
      <c r="PZZ1052" s="104"/>
      <c r="QAA1052" s="103"/>
      <c r="QAM1052" s="104"/>
      <c r="QAN1052" s="103"/>
      <c r="QAZ1052" s="104"/>
      <c r="QBA1052" s="103"/>
      <c r="QBM1052" s="104"/>
      <c r="QBN1052" s="103"/>
      <c r="QBZ1052" s="104"/>
      <c r="QCA1052" s="103"/>
      <c r="QCM1052" s="104"/>
      <c r="QCN1052" s="103"/>
      <c r="QCZ1052" s="104"/>
      <c r="QDA1052" s="103"/>
      <c r="QDM1052" s="104"/>
      <c r="QDN1052" s="103"/>
      <c r="QDZ1052" s="104"/>
      <c r="QEA1052" s="103"/>
      <c r="QEM1052" s="104"/>
      <c r="QEN1052" s="103"/>
      <c r="QEZ1052" s="104"/>
      <c r="QFA1052" s="103"/>
      <c r="QFM1052" s="104"/>
      <c r="QFN1052" s="103"/>
      <c r="QFZ1052" s="104"/>
      <c r="QGA1052" s="103"/>
      <c r="QGM1052" s="104"/>
      <c r="QGN1052" s="103"/>
      <c r="QGZ1052" s="104"/>
      <c r="QHA1052" s="103"/>
      <c r="QHM1052" s="104"/>
      <c r="QHN1052" s="103"/>
      <c r="QHZ1052" s="104"/>
      <c r="QIA1052" s="103"/>
      <c r="QIM1052" s="104"/>
      <c r="QIN1052" s="103"/>
      <c r="QIZ1052" s="104"/>
      <c r="QJA1052" s="103"/>
      <c r="QJM1052" s="104"/>
      <c r="QJN1052" s="103"/>
      <c r="QJZ1052" s="104"/>
      <c r="QKA1052" s="103"/>
      <c r="QKM1052" s="104"/>
      <c r="QKN1052" s="103"/>
      <c r="QKZ1052" s="104"/>
      <c r="QLA1052" s="103"/>
      <c r="QLM1052" s="104"/>
      <c r="QLN1052" s="103"/>
      <c r="QLZ1052" s="104"/>
      <c r="QMA1052" s="103"/>
      <c r="QMM1052" s="104"/>
      <c r="QMN1052" s="103"/>
      <c r="QMZ1052" s="104"/>
      <c r="QNA1052" s="103"/>
      <c r="QNM1052" s="104"/>
      <c r="QNN1052" s="103"/>
      <c r="QNZ1052" s="104"/>
      <c r="QOA1052" s="103"/>
      <c r="QOM1052" s="104"/>
      <c r="QON1052" s="103"/>
      <c r="QOZ1052" s="104"/>
      <c r="QPA1052" s="103"/>
      <c r="QPM1052" s="104"/>
      <c r="QPN1052" s="103"/>
      <c r="QPZ1052" s="104"/>
      <c r="QQA1052" s="103"/>
      <c r="QQM1052" s="104"/>
      <c r="QQN1052" s="103"/>
      <c r="QQZ1052" s="104"/>
      <c r="QRA1052" s="103"/>
      <c r="QRM1052" s="104"/>
      <c r="QRN1052" s="103"/>
      <c r="QRZ1052" s="104"/>
      <c r="QSA1052" s="103"/>
      <c r="QSM1052" s="104"/>
      <c r="QSN1052" s="103"/>
      <c r="QSZ1052" s="104"/>
      <c r="QTA1052" s="103"/>
      <c r="QTM1052" s="104"/>
      <c r="QTN1052" s="103"/>
      <c r="QTZ1052" s="104"/>
      <c r="QUA1052" s="103"/>
      <c r="QUM1052" s="104"/>
      <c r="QUN1052" s="103"/>
      <c r="QUZ1052" s="104"/>
      <c r="QVA1052" s="103"/>
      <c r="QVM1052" s="104"/>
      <c r="QVN1052" s="103"/>
      <c r="QVZ1052" s="104"/>
      <c r="QWA1052" s="103"/>
      <c r="QWM1052" s="104"/>
      <c r="QWN1052" s="103"/>
      <c r="QWZ1052" s="104"/>
      <c r="QXA1052" s="103"/>
      <c r="QXM1052" s="104"/>
      <c r="QXN1052" s="103"/>
      <c r="QXZ1052" s="104"/>
      <c r="QYA1052" s="103"/>
      <c r="QYM1052" s="104"/>
      <c r="QYN1052" s="103"/>
      <c r="QYZ1052" s="104"/>
      <c r="QZA1052" s="103"/>
      <c r="QZM1052" s="104"/>
      <c r="QZN1052" s="103"/>
      <c r="QZZ1052" s="104"/>
      <c r="RAA1052" s="103"/>
      <c r="RAM1052" s="104"/>
      <c r="RAN1052" s="103"/>
      <c r="RAZ1052" s="104"/>
      <c r="RBA1052" s="103"/>
      <c r="RBM1052" s="104"/>
      <c r="RBN1052" s="103"/>
      <c r="RBZ1052" s="104"/>
      <c r="RCA1052" s="103"/>
      <c r="RCM1052" s="104"/>
      <c r="RCN1052" s="103"/>
      <c r="RCZ1052" s="104"/>
      <c r="RDA1052" s="103"/>
      <c r="RDM1052" s="104"/>
      <c r="RDN1052" s="103"/>
      <c r="RDZ1052" s="104"/>
      <c r="REA1052" s="103"/>
      <c r="REM1052" s="104"/>
      <c r="REN1052" s="103"/>
      <c r="REZ1052" s="104"/>
      <c r="RFA1052" s="103"/>
      <c r="RFM1052" s="104"/>
      <c r="RFN1052" s="103"/>
      <c r="RFZ1052" s="104"/>
      <c r="RGA1052" s="103"/>
      <c r="RGM1052" s="104"/>
      <c r="RGN1052" s="103"/>
      <c r="RGZ1052" s="104"/>
      <c r="RHA1052" s="103"/>
      <c r="RHM1052" s="104"/>
      <c r="RHN1052" s="103"/>
      <c r="RHZ1052" s="104"/>
      <c r="RIA1052" s="103"/>
      <c r="RIM1052" s="104"/>
      <c r="RIN1052" s="103"/>
      <c r="RIZ1052" s="104"/>
      <c r="RJA1052" s="103"/>
      <c r="RJM1052" s="104"/>
      <c r="RJN1052" s="103"/>
      <c r="RJZ1052" s="104"/>
      <c r="RKA1052" s="103"/>
      <c r="RKM1052" s="104"/>
      <c r="RKN1052" s="103"/>
      <c r="RKZ1052" s="104"/>
      <c r="RLA1052" s="103"/>
      <c r="RLM1052" s="104"/>
      <c r="RLN1052" s="103"/>
      <c r="RLZ1052" s="104"/>
      <c r="RMA1052" s="103"/>
      <c r="RMM1052" s="104"/>
      <c r="RMN1052" s="103"/>
      <c r="RMZ1052" s="104"/>
      <c r="RNA1052" s="103"/>
      <c r="RNM1052" s="104"/>
      <c r="RNN1052" s="103"/>
      <c r="RNZ1052" s="104"/>
      <c r="ROA1052" s="103"/>
      <c r="ROM1052" s="104"/>
      <c r="RON1052" s="103"/>
      <c r="ROZ1052" s="104"/>
      <c r="RPA1052" s="103"/>
      <c r="RPM1052" s="104"/>
      <c r="RPN1052" s="103"/>
      <c r="RPZ1052" s="104"/>
      <c r="RQA1052" s="103"/>
      <c r="RQM1052" s="104"/>
      <c r="RQN1052" s="103"/>
      <c r="RQZ1052" s="104"/>
      <c r="RRA1052" s="103"/>
      <c r="RRM1052" s="104"/>
      <c r="RRN1052" s="103"/>
      <c r="RRZ1052" s="104"/>
      <c r="RSA1052" s="103"/>
      <c r="RSM1052" s="104"/>
      <c r="RSN1052" s="103"/>
      <c r="RSZ1052" s="104"/>
      <c r="RTA1052" s="103"/>
      <c r="RTM1052" s="104"/>
      <c r="RTN1052" s="103"/>
      <c r="RTZ1052" s="104"/>
      <c r="RUA1052" s="103"/>
      <c r="RUM1052" s="104"/>
      <c r="RUN1052" s="103"/>
      <c r="RUZ1052" s="104"/>
      <c r="RVA1052" s="103"/>
      <c r="RVM1052" s="104"/>
      <c r="RVN1052" s="103"/>
      <c r="RVZ1052" s="104"/>
      <c r="RWA1052" s="103"/>
      <c r="RWM1052" s="104"/>
      <c r="RWN1052" s="103"/>
      <c r="RWZ1052" s="104"/>
      <c r="RXA1052" s="103"/>
      <c r="RXM1052" s="104"/>
      <c r="RXN1052" s="103"/>
      <c r="RXZ1052" s="104"/>
      <c r="RYA1052" s="103"/>
      <c r="RYM1052" s="104"/>
      <c r="RYN1052" s="103"/>
      <c r="RYZ1052" s="104"/>
      <c r="RZA1052" s="103"/>
      <c r="RZM1052" s="104"/>
      <c r="RZN1052" s="103"/>
      <c r="RZZ1052" s="104"/>
      <c r="SAA1052" s="103"/>
      <c r="SAM1052" s="104"/>
      <c r="SAN1052" s="103"/>
      <c r="SAZ1052" s="104"/>
      <c r="SBA1052" s="103"/>
      <c r="SBM1052" s="104"/>
      <c r="SBN1052" s="103"/>
      <c r="SBZ1052" s="104"/>
      <c r="SCA1052" s="103"/>
      <c r="SCM1052" s="104"/>
      <c r="SCN1052" s="103"/>
      <c r="SCZ1052" s="104"/>
      <c r="SDA1052" s="103"/>
      <c r="SDM1052" s="104"/>
      <c r="SDN1052" s="103"/>
      <c r="SDZ1052" s="104"/>
      <c r="SEA1052" s="103"/>
      <c r="SEM1052" s="104"/>
      <c r="SEN1052" s="103"/>
      <c r="SEZ1052" s="104"/>
      <c r="SFA1052" s="103"/>
      <c r="SFM1052" s="104"/>
      <c r="SFN1052" s="103"/>
      <c r="SFZ1052" s="104"/>
      <c r="SGA1052" s="103"/>
      <c r="SGM1052" s="104"/>
      <c r="SGN1052" s="103"/>
      <c r="SGZ1052" s="104"/>
      <c r="SHA1052" s="103"/>
      <c r="SHM1052" s="104"/>
      <c r="SHN1052" s="103"/>
      <c r="SHZ1052" s="104"/>
      <c r="SIA1052" s="103"/>
      <c r="SIM1052" s="104"/>
      <c r="SIN1052" s="103"/>
      <c r="SIZ1052" s="104"/>
      <c r="SJA1052" s="103"/>
      <c r="SJM1052" s="104"/>
      <c r="SJN1052" s="103"/>
      <c r="SJZ1052" s="104"/>
      <c r="SKA1052" s="103"/>
      <c r="SKM1052" s="104"/>
      <c r="SKN1052" s="103"/>
      <c r="SKZ1052" s="104"/>
      <c r="SLA1052" s="103"/>
      <c r="SLM1052" s="104"/>
      <c r="SLN1052" s="103"/>
      <c r="SLZ1052" s="104"/>
      <c r="SMA1052" s="103"/>
      <c r="SMM1052" s="104"/>
      <c r="SMN1052" s="103"/>
      <c r="SMZ1052" s="104"/>
      <c r="SNA1052" s="103"/>
      <c r="SNM1052" s="104"/>
      <c r="SNN1052" s="103"/>
      <c r="SNZ1052" s="104"/>
      <c r="SOA1052" s="103"/>
      <c r="SOM1052" s="104"/>
      <c r="SON1052" s="103"/>
      <c r="SOZ1052" s="104"/>
      <c r="SPA1052" s="103"/>
      <c r="SPM1052" s="104"/>
      <c r="SPN1052" s="103"/>
      <c r="SPZ1052" s="104"/>
      <c r="SQA1052" s="103"/>
      <c r="SQM1052" s="104"/>
      <c r="SQN1052" s="103"/>
      <c r="SQZ1052" s="104"/>
      <c r="SRA1052" s="103"/>
      <c r="SRM1052" s="104"/>
      <c r="SRN1052" s="103"/>
      <c r="SRZ1052" s="104"/>
      <c r="SSA1052" s="103"/>
      <c r="SSM1052" s="104"/>
      <c r="SSN1052" s="103"/>
      <c r="SSZ1052" s="104"/>
      <c r="STA1052" s="103"/>
      <c r="STM1052" s="104"/>
      <c r="STN1052" s="103"/>
      <c r="STZ1052" s="104"/>
      <c r="SUA1052" s="103"/>
      <c r="SUM1052" s="104"/>
      <c r="SUN1052" s="103"/>
      <c r="SUZ1052" s="104"/>
      <c r="SVA1052" s="103"/>
      <c r="SVM1052" s="104"/>
      <c r="SVN1052" s="103"/>
      <c r="SVZ1052" s="104"/>
      <c r="SWA1052" s="103"/>
      <c r="SWM1052" s="104"/>
      <c r="SWN1052" s="103"/>
      <c r="SWZ1052" s="104"/>
      <c r="SXA1052" s="103"/>
      <c r="SXM1052" s="104"/>
      <c r="SXN1052" s="103"/>
      <c r="SXZ1052" s="104"/>
      <c r="SYA1052" s="103"/>
      <c r="SYM1052" s="104"/>
      <c r="SYN1052" s="103"/>
      <c r="SYZ1052" s="104"/>
      <c r="SZA1052" s="103"/>
      <c r="SZM1052" s="104"/>
      <c r="SZN1052" s="103"/>
      <c r="SZZ1052" s="104"/>
      <c r="TAA1052" s="103"/>
      <c r="TAM1052" s="104"/>
      <c r="TAN1052" s="103"/>
      <c r="TAZ1052" s="104"/>
      <c r="TBA1052" s="103"/>
      <c r="TBM1052" s="104"/>
      <c r="TBN1052" s="103"/>
      <c r="TBZ1052" s="104"/>
      <c r="TCA1052" s="103"/>
      <c r="TCM1052" s="104"/>
      <c r="TCN1052" s="103"/>
      <c r="TCZ1052" s="104"/>
      <c r="TDA1052" s="103"/>
      <c r="TDM1052" s="104"/>
      <c r="TDN1052" s="103"/>
      <c r="TDZ1052" s="104"/>
      <c r="TEA1052" s="103"/>
      <c r="TEM1052" s="104"/>
      <c r="TEN1052" s="103"/>
      <c r="TEZ1052" s="104"/>
      <c r="TFA1052" s="103"/>
      <c r="TFM1052" s="104"/>
      <c r="TFN1052" s="103"/>
      <c r="TFZ1052" s="104"/>
      <c r="TGA1052" s="103"/>
      <c r="TGM1052" s="104"/>
      <c r="TGN1052" s="103"/>
      <c r="TGZ1052" s="104"/>
      <c r="THA1052" s="103"/>
      <c r="THM1052" s="104"/>
      <c r="THN1052" s="103"/>
      <c r="THZ1052" s="104"/>
      <c r="TIA1052" s="103"/>
      <c r="TIM1052" s="104"/>
      <c r="TIN1052" s="103"/>
      <c r="TIZ1052" s="104"/>
      <c r="TJA1052" s="103"/>
      <c r="TJM1052" s="104"/>
      <c r="TJN1052" s="103"/>
      <c r="TJZ1052" s="104"/>
      <c r="TKA1052" s="103"/>
      <c r="TKM1052" s="104"/>
      <c r="TKN1052" s="103"/>
      <c r="TKZ1052" s="104"/>
      <c r="TLA1052" s="103"/>
      <c r="TLM1052" s="104"/>
      <c r="TLN1052" s="103"/>
      <c r="TLZ1052" s="104"/>
      <c r="TMA1052" s="103"/>
      <c r="TMM1052" s="104"/>
      <c r="TMN1052" s="103"/>
      <c r="TMZ1052" s="104"/>
      <c r="TNA1052" s="103"/>
      <c r="TNM1052" s="104"/>
      <c r="TNN1052" s="103"/>
      <c r="TNZ1052" s="104"/>
      <c r="TOA1052" s="103"/>
      <c r="TOM1052" s="104"/>
      <c r="TON1052" s="103"/>
      <c r="TOZ1052" s="104"/>
      <c r="TPA1052" s="103"/>
      <c r="TPM1052" s="104"/>
      <c r="TPN1052" s="103"/>
      <c r="TPZ1052" s="104"/>
      <c r="TQA1052" s="103"/>
      <c r="TQM1052" s="104"/>
      <c r="TQN1052" s="103"/>
      <c r="TQZ1052" s="104"/>
      <c r="TRA1052" s="103"/>
      <c r="TRM1052" s="104"/>
      <c r="TRN1052" s="103"/>
      <c r="TRZ1052" s="104"/>
      <c r="TSA1052" s="103"/>
      <c r="TSM1052" s="104"/>
      <c r="TSN1052" s="103"/>
      <c r="TSZ1052" s="104"/>
      <c r="TTA1052" s="103"/>
      <c r="TTM1052" s="104"/>
      <c r="TTN1052" s="103"/>
      <c r="TTZ1052" s="104"/>
      <c r="TUA1052" s="103"/>
      <c r="TUM1052" s="104"/>
      <c r="TUN1052" s="103"/>
      <c r="TUZ1052" s="104"/>
      <c r="TVA1052" s="103"/>
      <c r="TVM1052" s="104"/>
      <c r="TVN1052" s="103"/>
      <c r="TVZ1052" s="104"/>
      <c r="TWA1052" s="103"/>
      <c r="TWM1052" s="104"/>
      <c r="TWN1052" s="103"/>
      <c r="TWZ1052" s="104"/>
      <c r="TXA1052" s="103"/>
      <c r="TXM1052" s="104"/>
      <c r="TXN1052" s="103"/>
      <c r="TXZ1052" s="104"/>
      <c r="TYA1052" s="103"/>
      <c r="TYM1052" s="104"/>
      <c r="TYN1052" s="103"/>
      <c r="TYZ1052" s="104"/>
      <c r="TZA1052" s="103"/>
      <c r="TZM1052" s="104"/>
      <c r="TZN1052" s="103"/>
      <c r="TZZ1052" s="104"/>
      <c r="UAA1052" s="103"/>
      <c r="UAM1052" s="104"/>
      <c r="UAN1052" s="103"/>
      <c r="UAZ1052" s="104"/>
      <c r="UBA1052" s="103"/>
      <c r="UBM1052" s="104"/>
      <c r="UBN1052" s="103"/>
      <c r="UBZ1052" s="104"/>
      <c r="UCA1052" s="103"/>
      <c r="UCM1052" s="104"/>
      <c r="UCN1052" s="103"/>
      <c r="UCZ1052" s="104"/>
      <c r="UDA1052" s="103"/>
      <c r="UDM1052" s="104"/>
      <c r="UDN1052" s="103"/>
      <c r="UDZ1052" s="104"/>
      <c r="UEA1052" s="103"/>
      <c r="UEM1052" s="104"/>
      <c r="UEN1052" s="103"/>
      <c r="UEZ1052" s="104"/>
      <c r="UFA1052" s="103"/>
      <c r="UFM1052" s="104"/>
      <c r="UFN1052" s="103"/>
      <c r="UFZ1052" s="104"/>
      <c r="UGA1052" s="103"/>
      <c r="UGM1052" s="104"/>
      <c r="UGN1052" s="103"/>
      <c r="UGZ1052" s="104"/>
      <c r="UHA1052" s="103"/>
      <c r="UHM1052" s="104"/>
      <c r="UHN1052" s="103"/>
      <c r="UHZ1052" s="104"/>
      <c r="UIA1052" s="103"/>
      <c r="UIM1052" s="104"/>
      <c r="UIN1052" s="103"/>
      <c r="UIZ1052" s="104"/>
      <c r="UJA1052" s="103"/>
      <c r="UJM1052" s="104"/>
      <c r="UJN1052" s="103"/>
      <c r="UJZ1052" s="104"/>
      <c r="UKA1052" s="103"/>
      <c r="UKM1052" s="104"/>
      <c r="UKN1052" s="103"/>
      <c r="UKZ1052" s="104"/>
      <c r="ULA1052" s="103"/>
      <c r="ULM1052" s="104"/>
      <c r="ULN1052" s="103"/>
      <c r="ULZ1052" s="104"/>
      <c r="UMA1052" s="103"/>
      <c r="UMM1052" s="104"/>
      <c r="UMN1052" s="103"/>
      <c r="UMZ1052" s="104"/>
      <c r="UNA1052" s="103"/>
      <c r="UNM1052" s="104"/>
      <c r="UNN1052" s="103"/>
      <c r="UNZ1052" s="104"/>
      <c r="UOA1052" s="103"/>
      <c r="UOM1052" s="104"/>
      <c r="UON1052" s="103"/>
      <c r="UOZ1052" s="104"/>
      <c r="UPA1052" s="103"/>
      <c r="UPM1052" s="104"/>
      <c r="UPN1052" s="103"/>
      <c r="UPZ1052" s="104"/>
      <c r="UQA1052" s="103"/>
      <c r="UQM1052" s="104"/>
      <c r="UQN1052" s="103"/>
      <c r="UQZ1052" s="104"/>
      <c r="URA1052" s="103"/>
      <c r="URM1052" s="104"/>
      <c r="URN1052" s="103"/>
      <c r="URZ1052" s="104"/>
      <c r="USA1052" s="103"/>
      <c r="USM1052" s="104"/>
      <c r="USN1052" s="103"/>
      <c r="USZ1052" s="104"/>
      <c r="UTA1052" s="103"/>
      <c r="UTM1052" s="104"/>
      <c r="UTN1052" s="103"/>
      <c r="UTZ1052" s="104"/>
      <c r="UUA1052" s="103"/>
      <c r="UUM1052" s="104"/>
      <c r="UUN1052" s="103"/>
      <c r="UUZ1052" s="104"/>
      <c r="UVA1052" s="103"/>
      <c r="UVM1052" s="104"/>
      <c r="UVN1052" s="103"/>
      <c r="UVZ1052" s="104"/>
      <c r="UWA1052" s="103"/>
      <c r="UWM1052" s="104"/>
      <c r="UWN1052" s="103"/>
      <c r="UWZ1052" s="104"/>
      <c r="UXA1052" s="103"/>
      <c r="UXM1052" s="104"/>
      <c r="UXN1052" s="103"/>
      <c r="UXZ1052" s="104"/>
      <c r="UYA1052" s="103"/>
      <c r="UYM1052" s="104"/>
      <c r="UYN1052" s="103"/>
      <c r="UYZ1052" s="104"/>
      <c r="UZA1052" s="103"/>
      <c r="UZM1052" s="104"/>
      <c r="UZN1052" s="103"/>
      <c r="UZZ1052" s="104"/>
      <c r="VAA1052" s="103"/>
      <c r="VAM1052" s="104"/>
      <c r="VAN1052" s="103"/>
      <c r="VAZ1052" s="104"/>
      <c r="VBA1052" s="103"/>
      <c r="VBM1052" s="104"/>
      <c r="VBN1052" s="103"/>
      <c r="VBZ1052" s="104"/>
      <c r="VCA1052" s="103"/>
      <c r="VCM1052" s="104"/>
      <c r="VCN1052" s="103"/>
      <c r="VCZ1052" s="104"/>
      <c r="VDA1052" s="103"/>
      <c r="VDM1052" s="104"/>
      <c r="VDN1052" s="103"/>
      <c r="VDZ1052" s="104"/>
      <c r="VEA1052" s="103"/>
      <c r="VEM1052" s="104"/>
      <c r="VEN1052" s="103"/>
      <c r="VEZ1052" s="104"/>
      <c r="VFA1052" s="103"/>
      <c r="VFM1052" s="104"/>
      <c r="VFN1052" s="103"/>
      <c r="VFZ1052" s="104"/>
      <c r="VGA1052" s="103"/>
      <c r="VGM1052" s="104"/>
      <c r="VGN1052" s="103"/>
      <c r="VGZ1052" s="104"/>
      <c r="VHA1052" s="103"/>
      <c r="VHM1052" s="104"/>
      <c r="VHN1052" s="103"/>
      <c r="VHZ1052" s="104"/>
      <c r="VIA1052" s="103"/>
      <c r="VIM1052" s="104"/>
      <c r="VIN1052" s="103"/>
      <c r="VIZ1052" s="104"/>
      <c r="VJA1052" s="103"/>
      <c r="VJM1052" s="104"/>
      <c r="VJN1052" s="103"/>
      <c r="VJZ1052" s="104"/>
      <c r="VKA1052" s="103"/>
      <c r="VKM1052" s="104"/>
      <c r="VKN1052" s="103"/>
      <c r="VKZ1052" s="104"/>
      <c r="VLA1052" s="103"/>
      <c r="VLM1052" s="104"/>
      <c r="VLN1052" s="103"/>
      <c r="VLZ1052" s="104"/>
      <c r="VMA1052" s="103"/>
      <c r="VMM1052" s="104"/>
      <c r="VMN1052" s="103"/>
      <c r="VMZ1052" s="104"/>
      <c r="VNA1052" s="103"/>
      <c r="VNM1052" s="104"/>
      <c r="VNN1052" s="103"/>
      <c r="VNZ1052" s="104"/>
      <c r="VOA1052" s="103"/>
      <c r="VOM1052" s="104"/>
      <c r="VON1052" s="103"/>
      <c r="VOZ1052" s="104"/>
      <c r="VPA1052" s="103"/>
      <c r="VPM1052" s="104"/>
      <c r="VPN1052" s="103"/>
      <c r="VPZ1052" s="104"/>
      <c r="VQA1052" s="103"/>
      <c r="VQM1052" s="104"/>
      <c r="VQN1052" s="103"/>
      <c r="VQZ1052" s="104"/>
      <c r="VRA1052" s="103"/>
      <c r="VRM1052" s="104"/>
      <c r="VRN1052" s="103"/>
      <c r="VRZ1052" s="104"/>
      <c r="VSA1052" s="103"/>
      <c r="VSM1052" s="104"/>
      <c r="VSN1052" s="103"/>
      <c r="VSZ1052" s="104"/>
      <c r="VTA1052" s="103"/>
      <c r="VTM1052" s="104"/>
      <c r="VTN1052" s="103"/>
      <c r="VTZ1052" s="104"/>
      <c r="VUA1052" s="103"/>
      <c r="VUM1052" s="104"/>
      <c r="VUN1052" s="103"/>
      <c r="VUZ1052" s="104"/>
      <c r="VVA1052" s="103"/>
      <c r="VVM1052" s="104"/>
      <c r="VVN1052" s="103"/>
      <c r="VVZ1052" s="104"/>
      <c r="VWA1052" s="103"/>
      <c r="VWM1052" s="104"/>
      <c r="VWN1052" s="103"/>
      <c r="VWZ1052" s="104"/>
      <c r="VXA1052" s="103"/>
      <c r="VXM1052" s="104"/>
      <c r="VXN1052" s="103"/>
      <c r="VXZ1052" s="104"/>
      <c r="VYA1052" s="103"/>
      <c r="VYM1052" s="104"/>
      <c r="VYN1052" s="103"/>
      <c r="VYZ1052" s="104"/>
      <c r="VZA1052" s="103"/>
      <c r="VZM1052" s="104"/>
      <c r="VZN1052" s="103"/>
      <c r="VZZ1052" s="104"/>
      <c r="WAA1052" s="103"/>
      <c r="WAM1052" s="104"/>
      <c r="WAN1052" s="103"/>
      <c r="WAZ1052" s="104"/>
      <c r="WBA1052" s="103"/>
      <c r="WBM1052" s="104"/>
      <c r="WBN1052" s="103"/>
      <c r="WBZ1052" s="104"/>
      <c r="WCA1052" s="103"/>
      <c r="WCM1052" s="104"/>
      <c r="WCN1052" s="103"/>
      <c r="WCZ1052" s="104"/>
      <c r="WDA1052" s="103"/>
      <c r="WDM1052" s="104"/>
      <c r="WDN1052" s="103"/>
      <c r="WDZ1052" s="104"/>
      <c r="WEA1052" s="103"/>
      <c r="WEM1052" s="104"/>
      <c r="WEN1052" s="103"/>
      <c r="WEZ1052" s="104"/>
      <c r="WFA1052" s="103"/>
      <c r="WFM1052" s="104"/>
      <c r="WFN1052" s="103"/>
      <c r="WFZ1052" s="104"/>
      <c r="WGA1052" s="103"/>
      <c r="WGM1052" s="104"/>
      <c r="WGN1052" s="103"/>
      <c r="WGZ1052" s="104"/>
      <c r="WHA1052" s="103"/>
      <c r="WHM1052" s="104"/>
      <c r="WHN1052" s="103"/>
      <c r="WHZ1052" s="104"/>
      <c r="WIA1052" s="103"/>
      <c r="WIM1052" s="104"/>
      <c r="WIN1052" s="103"/>
      <c r="WIZ1052" s="104"/>
      <c r="WJA1052" s="103"/>
      <c r="WJM1052" s="104"/>
      <c r="WJN1052" s="103"/>
      <c r="WJZ1052" s="104"/>
      <c r="WKA1052" s="103"/>
      <c r="WKM1052" s="104"/>
      <c r="WKN1052" s="103"/>
      <c r="WKZ1052" s="104"/>
      <c r="WLA1052" s="103"/>
      <c r="WLM1052" s="104"/>
      <c r="WLN1052" s="103"/>
      <c r="WLZ1052" s="104"/>
      <c r="WMA1052" s="103"/>
      <c r="WMM1052" s="104"/>
      <c r="WMN1052" s="103"/>
      <c r="WMZ1052" s="104"/>
      <c r="WNA1052" s="103"/>
      <c r="WNM1052" s="104"/>
      <c r="WNN1052" s="103"/>
      <c r="WNZ1052" s="104"/>
      <c r="WOA1052" s="103"/>
      <c r="WOM1052" s="104"/>
      <c r="WON1052" s="103"/>
      <c r="WOZ1052" s="104"/>
      <c r="WPA1052" s="103"/>
      <c r="WPM1052" s="104"/>
      <c r="WPN1052" s="103"/>
      <c r="WPZ1052" s="104"/>
      <c r="WQA1052" s="103"/>
      <c r="WQM1052" s="104"/>
      <c r="WQN1052" s="103"/>
      <c r="WQZ1052" s="104"/>
      <c r="WRA1052" s="103"/>
      <c r="WRM1052" s="104"/>
      <c r="WRN1052" s="103"/>
      <c r="WRZ1052" s="104"/>
      <c r="WSA1052" s="103"/>
      <c r="WSM1052" s="104"/>
      <c r="WSN1052" s="103"/>
      <c r="WSZ1052" s="104"/>
      <c r="WTA1052" s="103"/>
      <c r="WTM1052" s="104"/>
      <c r="WTN1052" s="103"/>
      <c r="WTZ1052" s="104"/>
      <c r="WUA1052" s="103"/>
      <c r="WUM1052" s="104"/>
      <c r="WUN1052" s="103"/>
      <c r="WUZ1052" s="104"/>
      <c r="WVA1052" s="103"/>
      <c r="WVM1052" s="104"/>
      <c r="WVN1052" s="103"/>
      <c r="WVZ1052" s="104"/>
      <c r="WWA1052" s="103"/>
      <c r="WWM1052" s="104"/>
      <c r="WWN1052" s="103"/>
      <c r="WWZ1052" s="104"/>
      <c r="WXA1052" s="103"/>
      <c r="WXM1052" s="104"/>
      <c r="WXN1052" s="103"/>
      <c r="WXZ1052" s="104"/>
      <c r="WYA1052" s="103"/>
      <c r="WYM1052" s="104"/>
      <c r="WYN1052" s="103"/>
      <c r="WYZ1052" s="104"/>
      <c r="WZA1052" s="103"/>
      <c r="WZM1052" s="104"/>
      <c r="WZN1052" s="103"/>
      <c r="WZZ1052" s="104"/>
      <c r="XAA1052" s="103"/>
      <c r="XAM1052" s="104"/>
      <c r="XAN1052" s="103"/>
      <c r="XAZ1052" s="104"/>
      <c r="XBA1052" s="103"/>
      <c r="XBM1052" s="104"/>
      <c r="XBN1052" s="103"/>
      <c r="XBZ1052" s="104"/>
      <c r="XCA1052" s="103"/>
      <c r="XCM1052" s="104"/>
      <c r="XCN1052" s="103"/>
      <c r="XCZ1052" s="104"/>
      <c r="XDA1052" s="103"/>
      <c r="XDM1052" s="104"/>
      <c r="XDN1052" s="103"/>
      <c r="XDZ1052" s="104"/>
      <c r="XEA1052" s="103"/>
      <c r="XEM1052" s="104"/>
      <c r="XEN1052" s="103"/>
      <c r="XEZ1052" s="104"/>
      <c r="XFA1052" s="103"/>
    </row>
    <row r="1053" spans="1:1015 1027:2042 2054:3069 3081:4096 4108:5110 5122:6137 6149:7164 7176:8191 8203:9205 9217:10232 10244:11259 11271:12286 12298:14327 14339:15354 15366:16381">
      <c r="Z1053" s="104"/>
      <c r="AA1053" s="103"/>
      <c r="AM1053" s="104"/>
      <c r="AN1053" s="103"/>
      <c r="AZ1053" s="104"/>
      <c r="BA1053" s="103"/>
      <c r="BM1053" s="104"/>
      <c r="BN1053" s="103"/>
      <c r="BZ1053" s="104"/>
      <c r="CA1053" s="103"/>
      <c r="CM1053" s="104"/>
      <c r="CN1053" s="103"/>
      <c r="CZ1053" s="104"/>
      <c r="DA1053" s="103"/>
      <c r="DM1053" s="104"/>
      <c r="DN1053" s="103"/>
      <c r="DZ1053" s="104"/>
      <c r="EA1053" s="103"/>
      <c r="EM1053" s="104"/>
      <c r="EN1053" s="103"/>
      <c r="EZ1053" s="104"/>
      <c r="FA1053" s="103"/>
      <c r="FM1053" s="104"/>
      <c r="FN1053" s="103"/>
      <c r="FZ1053" s="104"/>
      <c r="GA1053" s="103"/>
      <c r="GM1053" s="104"/>
      <c r="GN1053" s="103"/>
      <c r="GZ1053" s="104"/>
      <c r="HA1053" s="103"/>
      <c r="HM1053" s="104"/>
      <c r="HN1053" s="103"/>
      <c r="HZ1053" s="104"/>
      <c r="IA1053" s="103"/>
      <c r="IM1053" s="104"/>
      <c r="IN1053" s="103"/>
      <c r="IZ1053" s="104"/>
      <c r="JA1053" s="103"/>
      <c r="JM1053" s="104"/>
      <c r="JN1053" s="103"/>
      <c r="JZ1053" s="104"/>
      <c r="KA1053" s="103"/>
      <c r="KM1053" s="104"/>
      <c r="KN1053" s="103"/>
      <c r="KZ1053" s="104"/>
      <c r="LA1053" s="103"/>
      <c r="LM1053" s="104"/>
      <c r="LN1053" s="103"/>
      <c r="LZ1053" s="104"/>
      <c r="MA1053" s="103"/>
      <c r="MM1053" s="104"/>
      <c r="MN1053" s="103"/>
      <c r="MZ1053" s="104"/>
      <c r="NA1053" s="103"/>
      <c r="NM1053" s="104"/>
      <c r="NN1053" s="103"/>
      <c r="NZ1053" s="104"/>
      <c r="OA1053" s="103"/>
      <c r="OM1053" s="104"/>
      <c r="ON1053" s="103"/>
      <c r="OZ1053" s="104"/>
      <c r="PA1053" s="103"/>
      <c r="PM1053" s="104"/>
      <c r="PN1053" s="103"/>
      <c r="PZ1053" s="104"/>
      <c r="QA1053" s="103"/>
      <c r="QM1053" s="104"/>
      <c r="QN1053" s="103"/>
      <c r="QZ1053" s="104"/>
      <c r="RA1053" s="103"/>
      <c r="RM1053" s="104"/>
      <c r="RN1053" s="103"/>
      <c r="RZ1053" s="104"/>
      <c r="SA1053" s="103"/>
      <c r="SM1053" s="104"/>
      <c r="SN1053" s="103"/>
      <c r="SZ1053" s="104"/>
      <c r="TA1053" s="103"/>
      <c r="TM1053" s="104"/>
      <c r="TN1053" s="103"/>
      <c r="TZ1053" s="104"/>
      <c r="UA1053" s="103"/>
      <c r="UM1053" s="104"/>
      <c r="UN1053" s="103"/>
      <c r="UZ1053" s="104"/>
      <c r="VA1053" s="103"/>
      <c r="VM1053" s="104"/>
      <c r="VN1053" s="103"/>
      <c r="VZ1053" s="104"/>
      <c r="WA1053" s="103"/>
      <c r="WM1053" s="104"/>
      <c r="WN1053" s="103"/>
      <c r="WZ1053" s="104"/>
      <c r="XA1053" s="103"/>
      <c r="XM1053" s="104"/>
      <c r="XN1053" s="103"/>
      <c r="XZ1053" s="104"/>
      <c r="YA1053" s="103"/>
      <c r="YM1053" s="104"/>
      <c r="YN1053" s="103"/>
      <c r="YZ1053" s="104"/>
      <c r="ZA1053" s="103"/>
      <c r="ZM1053" s="104"/>
      <c r="ZN1053" s="103"/>
      <c r="ZZ1053" s="104"/>
      <c r="AAA1053" s="103"/>
      <c r="AAM1053" s="104"/>
      <c r="AAN1053" s="103"/>
      <c r="AAZ1053" s="104"/>
      <c r="ABA1053" s="103"/>
      <c r="ABM1053" s="104"/>
      <c r="ABN1053" s="103"/>
      <c r="ABZ1053" s="104"/>
      <c r="ACA1053" s="103"/>
      <c r="ACM1053" s="104"/>
      <c r="ACN1053" s="103"/>
      <c r="ACZ1053" s="104"/>
      <c r="ADA1053" s="103"/>
      <c r="ADM1053" s="104"/>
      <c r="ADN1053" s="103"/>
      <c r="ADZ1053" s="104"/>
      <c r="AEA1053" s="103"/>
      <c r="AEM1053" s="104"/>
      <c r="AEN1053" s="103"/>
      <c r="AEZ1053" s="104"/>
      <c r="AFA1053" s="103"/>
      <c r="AFM1053" s="104"/>
      <c r="AFN1053" s="103"/>
      <c r="AFZ1053" s="104"/>
      <c r="AGA1053" s="103"/>
      <c r="AGM1053" s="104"/>
      <c r="AGN1053" s="103"/>
      <c r="AGZ1053" s="104"/>
      <c r="AHA1053" s="103"/>
      <c r="AHM1053" s="104"/>
      <c r="AHN1053" s="103"/>
      <c r="AHZ1053" s="104"/>
      <c r="AIA1053" s="103"/>
      <c r="AIM1053" s="104"/>
      <c r="AIN1053" s="103"/>
      <c r="AIZ1053" s="104"/>
      <c r="AJA1053" s="103"/>
      <c r="AJM1053" s="104"/>
      <c r="AJN1053" s="103"/>
      <c r="AJZ1053" s="104"/>
      <c r="AKA1053" s="103"/>
      <c r="AKM1053" s="104"/>
      <c r="AKN1053" s="103"/>
      <c r="AKZ1053" s="104"/>
      <c r="ALA1053" s="103"/>
      <c r="ALM1053" s="104"/>
      <c r="ALN1053" s="103"/>
      <c r="ALZ1053" s="104"/>
      <c r="AMA1053" s="103"/>
      <c r="AMM1053" s="104"/>
      <c r="AMN1053" s="103"/>
      <c r="AMZ1053" s="104"/>
      <c r="ANA1053" s="103"/>
      <c r="ANM1053" s="104"/>
      <c r="ANN1053" s="103"/>
      <c r="ANZ1053" s="104"/>
      <c r="AOA1053" s="103"/>
      <c r="AOM1053" s="104"/>
      <c r="AON1053" s="103"/>
      <c r="AOZ1053" s="104"/>
      <c r="APA1053" s="103"/>
      <c r="APM1053" s="104"/>
      <c r="APN1053" s="103"/>
      <c r="APZ1053" s="104"/>
      <c r="AQA1053" s="103"/>
      <c r="AQM1053" s="104"/>
      <c r="AQN1053" s="103"/>
      <c r="AQZ1053" s="104"/>
      <c r="ARA1053" s="103"/>
      <c r="ARM1053" s="104"/>
      <c r="ARN1053" s="103"/>
      <c r="ARZ1053" s="104"/>
      <c r="ASA1053" s="103"/>
      <c r="ASM1053" s="104"/>
      <c r="ASN1053" s="103"/>
      <c r="ASZ1053" s="104"/>
      <c r="ATA1053" s="103"/>
      <c r="ATM1053" s="104"/>
      <c r="ATN1053" s="103"/>
      <c r="ATZ1053" s="104"/>
      <c r="AUA1053" s="103"/>
      <c r="AUM1053" s="104"/>
      <c r="AUN1053" s="103"/>
      <c r="AUZ1053" s="104"/>
      <c r="AVA1053" s="103"/>
      <c r="AVM1053" s="104"/>
      <c r="AVN1053" s="103"/>
      <c r="AVZ1053" s="104"/>
      <c r="AWA1053" s="103"/>
      <c r="AWM1053" s="104"/>
      <c r="AWN1053" s="103"/>
      <c r="AWZ1053" s="104"/>
      <c r="AXA1053" s="103"/>
      <c r="AXM1053" s="104"/>
      <c r="AXN1053" s="103"/>
      <c r="AXZ1053" s="104"/>
      <c r="AYA1053" s="103"/>
      <c r="AYM1053" s="104"/>
      <c r="AYN1053" s="103"/>
      <c r="AYZ1053" s="104"/>
      <c r="AZA1053" s="103"/>
      <c r="AZM1053" s="104"/>
      <c r="AZN1053" s="103"/>
      <c r="AZZ1053" s="104"/>
      <c r="BAA1053" s="103"/>
      <c r="BAM1053" s="104"/>
      <c r="BAN1053" s="103"/>
      <c r="BAZ1053" s="104"/>
      <c r="BBA1053" s="103"/>
      <c r="BBM1053" s="104"/>
      <c r="BBN1053" s="103"/>
      <c r="BBZ1053" s="104"/>
      <c r="BCA1053" s="103"/>
      <c r="BCM1053" s="104"/>
      <c r="BCN1053" s="103"/>
      <c r="BCZ1053" s="104"/>
      <c r="BDA1053" s="103"/>
      <c r="BDM1053" s="104"/>
      <c r="BDN1053" s="103"/>
      <c r="BDZ1053" s="104"/>
      <c r="BEA1053" s="103"/>
      <c r="BEM1053" s="104"/>
      <c r="BEN1053" s="103"/>
      <c r="BEZ1053" s="104"/>
      <c r="BFA1053" s="103"/>
      <c r="BFM1053" s="104"/>
      <c r="BFN1053" s="103"/>
      <c r="BFZ1053" s="104"/>
      <c r="BGA1053" s="103"/>
      <c r="BGM1053" s="104"/>
      <c r="BGN1053" s="103"/>
      <c r="BGZ1053" s="104"/>
      <c r="BHA1053" s="103"/>
      <c r="BHM1053" s="104"/>
      <c r="BHN1053" s="103"/>
      <c r="BHZ1053" s="104"/>
      <c r="BIA1053" s="103"/>
      <c r="BIM1053" s="104"/>
      <c r="BIN1053" s="103"/>
      <c r="BIZ1053" s="104"/>
      <c r="BJA1053" s="103"/>
      <c r="BJM1053" s="104"/>
      <c r="BJN1053" s="103"/>
      <c r="BJZ1053" s="104"/>
      <c r="BKA1053" s="103"/>
      <c r="BKM1053" s="104"/>
      <c r="BKN1053" s="103"/>
      <c r="BKZ1053" s="104"/>
      <c r="BLA1053" s="103"/>
      <c r="BLM1053" s="104"/>
      <c r="BLN1053" s="103"/>
      <c r="BLZ1053" s="104"/>
      <c r="BMA1053" s="103"/>
      <c r="BMM1053" s="104"/>
      <c r="BMN1053" s="103"/>
      <c r="BMZ1053" s="104"/>
      <c r="BNA1053" s="103"/>
      <c r="BNM1053" s="104"/>
      <c r="BNN1053" s="103"/>
      <c r="BNZ1053" s="104"/>
      <c r="BOA1053" s="103"/>
      <c r="BOM1053" s="104"/>
      <c r="BON1053" s="103"/>
      <c r="BOZ1053" s="104"/>
      <c r="BPA1053" s="103"/>
      <c r="BPM1053" s="104"/>
      <c r="BPN1053" s="103"/>
      <c r="BPZ1053" s="104"/>
      <c r="BQA1053" s="103"/>
      <c r="BQM1053" s="104"/>
      <c r="BQN1053" s="103"/>
      <c r="BQZ1053" s="104"/>
      <c r="BRA1053" s="103"/>
      <c r="BRM1053" s="104"/>
      <c r="BRN1053" s="103"/>
      <c r="BRZ1053" s="104"/>
      <c r="BSA1053" s="103"/>
      <c r="BSM1053" s="104"/>
      <c r="BSN1053" s="103"/>
      <c r="BSZ1053" s="104"/>
      <c r="BTA1053" s="103"/>
      <c r="BTM1053" s="104"/>
      <c r="BTN1053" s="103"/>
      <c r="BTZ1053" s="104"/>
      <c r="BUA1053" s="103"/>
      <c r="BUM1053" s="104"/>
      <c r="BUN1053" s="103"/>
      <c r="BUZ1053" s="104"/>
      <c r="BVA1053" s="103"/>
      <c r="BVM1053" s="104"/>
      <c r="BVN1053" s="103"/>
      <c r="BVZ1053" s="104"/>
      <c r="BWA1053" s="103"/>
      <c r="BWM1053" s="104"/>
      <c r="BWN1053" s="103"/>
      <c r="BWZ1053" s="104"/>
      <c r="BXA1053" s="103"/>
      <c r="BXM1053" s="104"/>
      <c r="BXN1053" s="103"/>
      <c r="BXZ1053" s="104"/>
      <c r="BYA1053" s="103"/>
      <c r="BYM1053" s="104"/>
      <c r="BYN1053" s="103"/>
      <c r="BYZ1053" s="104"/>
      <c r="BZA1053" s="103"/>
      <c r="BZM1053" s="104"/>
      <c r="BZN1053" s="103"/>
      <c r="BZZ1053" s="104"/>
      <c r="CAA1053" s="103"/>
      <c r="CAM1053" s="104"/>
      <c r="CAN1053" s="103"/>
      <c r="CAZ1053" s="104"/>
      <c r="CBA1053" s="103"/>
      <c r="CBM1053" s="104"/>
      <c r="CBN1053" s="103"/>
      <c r="CBZ1053" s="104"/>
      <c r="CCA1053" s="103"/>
      <c r="CCM1053" s="104"/>
      <c r="CCN1053" s="103"/>
      <c r="CCZ1053" s="104"/>
      <c r="CDA1053" s="103"/>
      <c r="CDM1053" s="104"/>
      <c r="CDN1053" s="103"/>
      <c r="CDZ1053" s="104"/>
      <c r="CEA1053" s="103"/>
      <c r="CEM1053" s="104"/>
      <c r="CEN1053" s="103"/>
      <c r="CEZ1053" s="104"/>
      <c r="CFA1053" s="103"/>
      <c r="CFM1053" s="104"/>
      <c r="CFN1053" s="103"/>
      <c r="CFZ1053" s="104"/>
      <c r="CGA1053" s="103"/>
      <c r="CGM1053" s="104"/>
      <c r="CGN1053" s="103"/>
      <c r="CGZ1053" s="104"/>
      <c r="CHA1053" s="103"/>
      <c r="CHM1053" s="104"/>
      <c r="CHN1053" s="103"/>
      <c r="CHZ1053" s="104"/>
      <c r="CIA1053" s="103"/>
      <c r="CIM1053" s="104"/>
      <c r="CIN1053" s="103"/>
      <c r="CIZ1053" s="104"/>
      <c r="CJA1053" s="103"/>
      <c r="CJM1053" s="104"/>
      <c r="CJN1053" s="103"/>
      <c r="CJZ1053" s="104"/>
      <c r="CKA1053" s="103"/>
      <c r="CKM1053" s="104"/>
      <c r="CKN1053" s="103"/>
      <c r="CKZ1053" s="104"/>
      <c r="CLA1053" s="103"/>
      <c r="CLM1053" s="104"/>
      <c r="CLN1053" s="103"/>
      <c r="CLZ1053" s="104"/>
      <c r="CMA1053" s="103"/>
      <c r="CMM1053" s="104"/>
      <c r="CMN1053" s="103"/>
      <c r="CMZ1053" s="104"/>
      <c r="CNA1053" s="103"/>
      <c r="CNM1053" s="104"/>
      <c r="CNN1053" s="103"/>
      <c r="CNZ1053" s="104"/>
      <c r="COA1053" s="103"/>
      <c r="COM1053" s="104"/>
      <c r="CON1053" s="103"/>
      <c r="COZ1053" s="104"/>
      <c r="CPA1053" s="103"/>
      <c r="CPM1053" s="104"/>
      <c r="CPN1053" s="103"/>
      <c r="CPZ1053" s="104"/>
      <c r="CQA1053" s="103"/>
      <c r="CQM1053" s="104"/>
      <c r="CQN1053" s="103"/>
      <c r="CQZ1053" s="104"/>
      <c r="CRA1053" s="103"/>
      <c r="CRM1053" s="104"/>
      <c r="CRN1053" s="103"/>
      <c r="CRZ1053" s="104"/>
      <c r="CSA1053" s="103"/>
      <c r="CSM1053" s="104"/>
      <c r="CSN1053" s="103"/>
      <c r="CSZ1053" s="104"/>
      <c r="CTA1053" s="103"/>
      <c r="CTM1053" s="104"/>
      <c r="CTN1053" s="103"/>
      <c r="CTZ1053" s="104"/>
      <c r="CUA1053" s="103"/>
      <c r="CUM1053" s="104"/>
      <c r="CUN1053" s="103"/>
      <c r="CUZ1053" s="104"/>
      <c r="CVA1053" s="103"/>
      <c r="CVM1053" s="104"/>
      <c r="CVN1053" s="103"/>
      <c r="CVZ1053" s="104"/>
      <c r="CWA1053" s="103"/>
      <c r="CWM1053" s="104"/>
      <c r="CWN1053" s="103"/>
      <c r="CWZ1053" s="104"/>
      <c r="CXA1053" s="103"/>
      <c r="CXM1053" s="104"/>
      <c r="CXN1053" s="103"/>
      <c r="CXZ1053" s="104"/>
      <c r="CYA1053" s="103"/>
      <c r="CYM1053" s="104"/>
      <c r="CYN1053" s="103"/>
      <c r="CYZ1053" s="104"/>
      <c r="CZA1053" s="103"/>
      <c r="CZM1053" s="104"/>
      <c r="CZN1053" s="103"/>
      <c r="CZZ1053" s="104"/>
      <c r="DAA1053" s="103"/>
      <c r="DAM1053" s="104"/>
      <c r="DAN1053" s="103"/>
      <c r="DAZ1053" s="104"/>
      <c r="DBA1053" s="103"/>
      <c r="DBM1053" s="104"/>
      <c r="DBN1053" s="103"/>
      <c r="DBZ1053" s="104"/>
      <c r="DCA1053" s="103"/>
      <c r="DCM1053" s="104"/>
      <c r="DCN1053" s="103"/>
      <c r="DCZ1053" s="104"/>
      <c r="DDA1053" s="103"/>
      <c r="DDM1053" s="104"/>
      <c r="DDN1053" s="103"/>
      <c r="DDZ1053" s="104"/>
      <c r="DEA1053" s="103"/>
      <c r="DEM1053" s="104"/>
      <c r="DEN1053" s="103"/>
      <c r="DEZ1053" s="104"/>
      <c r="DFA1053" s="103"/>
      <c r="DFM1053" s="104"/>
      <c r="DFN1053" s="103"/>
      <c r="DFZ1053" s="104"/>
      <c r="DGA1053" s="103"/>
      <c r="DGM1053" s="104"/>
      <c r="DGN1053" s="103"/>
      <c r="DGZ1053" s="104"/>
      <c r="DHA1053" s="103"/>
      <c r="DHM1053" s="104"/>
      <c r="DHN1053" s="103"/>
      <c r="DHZ1053" s="104"/>
      <c r="DIA1053" s="103"/>
      <c r="DIM1053" s="104"/>
      <c r="DIN1053" s="103"/>
      <c r="DIZ1053" s="104"/>
      <c r="DJA1053" s="103"/>
      <c r="DJM1053" s="104"/>
      <c r="DJN1053" s="103"/>
      <c r="DJZ1053" s="104"/>
      <c r="DKA1053" s="103"/>
      <c r="DKM1053" s="104"/>
      <c r="DKN1053" s="103"/>
      <c r="DKZ1053" s="104"/>
      <c r="DLA1053" s="103"/>
      <c r="DLM1053" s="104"/>
      <c r="DLN1053" s="103"/>
      <c r="DLZ1053" s="104"/>
      <c r="DMA1053" s="103"/>
      <c r="DMM1053" s="104"/>
      <c r="DMN1053" s="103"/>
      <c r="DMZ1053" s="104"/>
      <c r="DNA1053" s="103"/>
      <c r="DNM1053" s="104"/>
      <c r="DNN1053" s="103"/>
      <c r="DNZ1053" s="104"/>
      <c r="DOA1053" s="103"/>
      <c r="DOM1053" s="104"/>
      <c r="DON1053" s="103"/>
      <c r="DOZ1053" s="104"/>
      <c r="DPA1053" s="103"/>
      <c r="DPM1053" s="104"/>
      <c r="DPN1053" s="103"/>
      <c r="DPZ1053" s="104"/>
      <c r="DQA1053" s="103"/>
      <c r="DQM1053" s="104"/>
      <c r="DQN1053" s="103"/>
      <c r="DQZ1053" s="104"/>
      <c r="DRA1053" s="103"/>
      <c r="DRM1053" s="104"/>
      <c r="DRN1053" s="103"/>
      <c r="DRZ1053" s="104"/>
      <c r="DSA1053" s="103"/>
      <c r="DSM1053" s="104"/>
      <c r="DSN1053" s="103"/>
      <c r="DSZ1053" s="104"/>
      <c r="DTA1053" s="103"/>
      <c r="DTM1053" s="104"/>
      <c r="DTN1053" s="103"/>
      <c r="DTZ1053" s="104"/>
      <c r="DUA1053" s="103"/>
      <c r="DUM1053" s="104"/>
      <c r="DUN1053" s="103"/>
      <c r="DUZ1053" s="104"/>
      <c r="DVA1053" s="103"/>
      <c r="DVM1053" s="104"/>
      <c r="DVN1053" s="103"/>
      <c r="DVZ1053" s="104"/>
      <c r="DWA1053" s="103"/>
      <c r="DWM1053" s="104"/>
      <c r="DWN1053" s="103"/>
      <c r="DWZ1053" s="104"/>
      <c r="DXA1053" s="103"/>
      <c r="DXM1053" s="104"/>
      <c r="DXN1053" s="103"/>
      <c r="DXZ1053" s="104"/>
      <c r="DYA1053" s="103"/>
      <c r="DYM1053" s="104"/>
      <c r="DYN1053" s="103"/>
      <c r="DYZ1053" s="104"/>
      <c r="DZA1053" s="103"/>
      <c r="DZM1053" s="104"/>
      <c r="DZN1053" s="103"/>
      <c r="DZZ1053" s="104"/>
      <c r="EAA1053" s="103"/>
      <c r="EAM1053" s="104"/>
      <c r="EAN1053" s="103"/>
      <c r="EAZ1053" s="104"/>
      <c r="EBA1053" s="103"/>
      <c r="EBM1053" s="104"/>
      <c r="EBN1053" s="103"/>
      <c r="EBZ1053" s="104"/>
      <c r="ECA1053" s="103"/>
      <c r="ECM1053" s="104"/>
      <c r="ECN1053" s="103"/>
      <c r="ECZ1053" s="104"/>
      <c r="EDA1053" s="103"/>
      <c r="EDM1053" s="104"/>
      <c r="EDN1053" s="103"/>
      <c r="EDZ1053" s="104"/>
      <c r="EEA1053" s="103"/>
      <c r="EEM1053" s="104"/>
      <c r="EEN1053" s="103"/>
      <c r="EEZ1053" s="104"/>
      <c r="EFA1053" s="103"/>
      <c r="EFM1053" s="104"/>
      <c r="EFN1053" s="103"/>
      <c r="EFZ1053" s="104"/>
      <c r="EGA1053" s="103"/>
      <c r="EGM1053" s="104"/>
      <c r="EGN1053" s="103"/>
      <c r="EGZ1053" s="104"/>
      <c r="EHA1053" s="103"/>
      <c r="EHM1053" s="104"/>
      <c r="EHN1053" s="103"/>
      <c r="EHZ1053" s="104"/>
      <c r="EIA1053" s="103"/>
      <c r="EIM1053" s="104"/>
      <c r="EIN1053" s="103"/>
      <c r="EIZ1053" s="104"/>
      <c r="EJA1053" s="103"/>
      <c r="EJM1053" s="104"/>
      <c r="EJN1053" s="103"/>
      <c r="EJZ1053" s="104"/>
      <c r="EKA1053" s="103"/>
      <c r="EKM1053" s="104"/>
      <c r="EKN1053" s="103"/>
      <c r="EKZ1053" s="104"/>
      <c r="ELA1053" s="103"/>
      <c r="ELM1053" s="104"/>
      <c r="ELN1053" s="103"/>
      <c r="ELZ1053" s="104"/>
      <c r="EMA1053" s="103"/>
      <c r="EMM1053" s="104"/>
      <c r="EMN1053" s="103"/>
      <c r="EMZ1053" s="104"/>
      <c r="ENA1053" s="103"/>
      <c r="ENM1053" s="104"/>
      <c r="ENN1053" s="103"/>
      <c r="ENZ1053" s="104"/>
      <c r="EOA1053" s="103"/>
      <c r="EOM1053" s="104"/>
      <c r="EON1053" s="103"/>
      <c r="EOZ1053" s="104"/>
      <c r="EPA1053" s="103"/>
      <c r="EPM1053" s="104"/>
      <c r="EPN1053" s="103"/>
      <c r="EPZ1053" s="104"/>
      <c r="EQA1053" s="103"/>
      <c r="EQM1053" s="104"/>
      <c r="EQN1053" s="103"/>
      <c r="EQZ1053" s="104"/>
      <c r="ERA1053" s="103"/>
      <c r="ERM1053" s="104"/>
      <c r="ERN1053" s="103"/>
      <c r="ERZ1053" s="104"/>
      <c r="ESA1053" s="103"/>
      <c r="ESM1053" s="104"/>
      <c r="ESN1053" s="103"/>
      <c r="ESZ1053" s="104"/>
      <c r="ETA1053" s="103"/>
      <c r="ETM1053" s="104"/>
      <c r="ETN1053" s="103"/>
      <c r="ETZ1053" s="104"/>
      <c r="EUA1053" s="103"/>
      <c r="EUM1053" s="104"/>
      <c r="EUN1053" s="103"/>
      <c r="EUZ1053" s="104"/>
      <c r="EVA1053" s="103"/>
      <c r="EVM1053" s="104"/>
      <c r="EVN1053" s="103"/>
      <c r="EVZ1053" s="104"/>
      <c r="EWA1053" s="103"/>
      <c r="EWM1053" s="104"/>
      <c r="EWN1053" s="103"/>
      <c r="EWZ1053" s="104"/>
      <c r="EXA1053" s="103"/>
      <c r="EXM1053" s="104"/>
      <c r="EXN1053" s="103"/>
      <c r="EXZ1053" s="104"/>
      <c r="EYA1053" s="103"/>
      <c r="EYM1053" s="104"/>
      <c r="EYN1053" s="103"/>
      <c r="EYZ1053" s="104"/>
      <c r="EZA1053" s="103"/>
      <c r="EZM1053" s="104"/>
      <c r="EZN1053" s="103"/>
      <c r="EZZ1053" s="104"/>
      <c r="FAA1053" s="103"/>
      <c r="FAM1053" s="104"/>
      <c r="FAN1053" s="103"/>
      <c r="FAZ1053" s="104"/>
      <c r="FBA1053" s="103"/>
      <c r="FBM1053" s="104"/>
      <c r="FBN1053" s="103"/>
      <c r="FBZ1053" s="104"/>
      <c r="FCA1053" s="103"/>
      <c r="FCM1053" s="104"/>
      <c r="FCN1053" s="103"/>
      <c r="FCZ1053" s="104"/>
      <c r="FDA1053" s="103"/>
      <c r="FDM1053" s="104"/>
      <c r="FDN1053" s="103"/>
      <c r="FDZ1053" s="104"/>
      <c r="FEA1053" s="103"/>
      <c r="FEM1053" s="104"/>
      <c r="FEN1053" s="103"/>
      <c r="FEZ1053" s="104"/>
      <c r="FFA1053" s="103"/>
      <c r="FFM1053" s="104"/>
      <c r="FFN1053" s="103"/>
      <c r="FFZ1053" s="104"/>
      <c r="FGA1053" s="103"/>
      <c r="FGM1053" s="104"/>
      <c r="FGN1053" s="103"/>
      <c r="FGZ1053" s="104"/>
      <c r="FHA1053" s="103"/>
      <c r="FHM1053" s="104"/>
      <c r="FHN1053" s="103"/>
      <c r="FHZ1053" s="104"/>
      <c r="FIA1053" s="103"/>
      <c r="FIM1053" s="104"/>
      <c r="FIN1053" s="103"/>
      <c r="FIZ1053" s="104"/>
      <c r="FJA1053" s="103"/>
      <c r="FJM1053" s="104"/>
      <c r="FJN1053" s="103"/>
      <c r="FJZ1053" s="104"/>
      <c r="FKA1053" s="103"/>
      <c r="FKM1053" s="104"/>
      <c r="FKN1053" s="103"/>
      <c r="FKZ1053" s="104"/>
      <c r="FLA1053" s="103"/>
      <c r="FLM1053" s="104"/>
      <c r="FLN1053" s="103"/>
      <c r="FLZ1053" s="104"/>
      <c r="FMA1053" s="103"/>
      <c r="FMM1053" s="104"/>
      <c r="FMN1053" s="103"/>
      <c r="FMZ1053" s="104"/>
      <c r="FNA1053" s="103"/>
      <c r="FNM1053" s="104"/>
      <c r="FNN1053" s="103"/>
      <c r="FNZ1053" s="104"/>
      <c r="FOA1053" s="103"/>
      <c r="FOM1053" s="104"/>
      <c r="FON1053" s="103"/>
      <c r="FOZ1053" s="104"/>
      <c r="FPA1053" s="103"/>
      <c r="FPM1053" s="104"/>
      <c r="FPN1053" s="103"/>
      <c r="FPZ1053" s="104"/>
      <c r="FQA1053" s="103"/>
      <c r="FQM1053" s="104"/>
      <c r="FQN1053" s="103"/>
      <c r="FQZ1053" s="104"/>
      <c r="FRA1053" s="103"/>
      <c r="FRM1053" s="104"/>
      <c r="FRN1053" s="103"/>
      <c r="FRZ1053" s="104"/>
      <c r="FSA1053" s="103"/>
      <c r="FSM1053" s="104"/>
      <c r="FSN1053" s="103"/>
      <c r="FSZ1053" s="104"/>
      <c r="FTA1053" s="103"/>
      <c r="FTM1053" s="104"/>
      <c r="FTN1053" s="103"/>
      <c r="FTZ1053" s="104"/>
      <c r="FUA1053" s="103"/>
      <c r="FUM1053" s="104"/>
      <c r="FUN1053" s="103"/>
      <c r="FUZ1053" s="104"/>
      <c r="FVA1053" s="103"/>
      <c r="FVM1053" s="104"/>
      <c r="FVN1053" s="103"/>
      <c r="FVZ1053" s="104"/>
      <c r="FWA1053" s="103"/>
      <c r="FWM1053" s="104"/>
      <c r="FWN1053" s="103"/>
      <c r="FWZ1053" s="104"/>
      <c r="FXA1053" s="103"/>
      <c r="FXM1053" s="104"/>
      <c r="FXN1053" s="103"/>
      <c r="FXZ1053" s="104"/>
      <c r="FYA1053" s="103"/>
      <c r="FYM1053" s="104"/>
      <c r="FYN1053" s="103"/>
      <c r="FYZ1053" s="104"/>
      <c r="FZA1053" s="103"/>
      <c r="FZM1053" s="104"/>
      <c r="FZN1053" s="103"/>
      <c r="FZZ1053" s="104"/>
      <c r="GAA1053" s="103"/>
      <c r="GAM1053" s="104"/>
      <c r="GAN1053" s="103"/>
      <c r="GAZ1053" s="104"/>
      <c r="GBA1053" s="103"/>
      <c r="GBM1053" s="104"/>
      <c r="GBN1053" s="103"/>
      <c r="GBZ1053" s="104"/>
      <c r="GCA1053" s="103"/>
      <c r="GCM1053" s="104"/>
      <c r="GCN1053" s="103"/>
      <c r="GCZ1053" s="104"/>
      <c r="GDA1053" s="103"/>
      <c r="GDM1053" s="104"/>
      <c r="GDN1053" s="103"/>
      <c r="GDZ1053" s="104"/>
      <c r="GEA1053" s="103"/>
      <c r="GEM1053" s="104"/>
      <c r="GEN1053" s="103"/>
      <c r="GEZ1053" s="104"/>
      <c r="GFA1053" s="103"/>
      <c r="GFM1053" s="104"/>
      <c r="GFN1053" s="103"/>
      <c r="GFZ1053" s="104"/>
      <c r="GGA1053" s="103"/>
      <c r="GGM1053" s="104"/>
      <c r="GGN1053" s="103"/>
      <c r="GGZ1053" s="104"/>
      <c r="GHA1053" s="103"/>
      <c r="GHM1053" s="104"/>
      <c r="GHN1053" s="103"/>
      <c r="GHZ1053" s="104"/>
      <c r="GIA1053" s="103"/>
      <c r="GIM1053" s="104"/>
      <c r="GIN1053" s="103"/>
      <c r="GIZ1053" s="104"/>
      <c r="GJA1053" s="103"/>
      <c r="GJM1053" s="104"/>
      <c r="GJN1053" s="103"/>
      <c r="GJZ1053" s="104"/>
      <c r="GKA1053" s="103"/>
      <c r="GKM1053" s="104"/>
      <c r="GKN1053" s="103"/>
      <c r="GKZ1053" s="104"/>
      <c r="GLA1053" s="103"/>
      <c r="GLM1053" s="104"/>
      <c r="GLN1053" s="103"/>
      <c r="GLZ1053" s="104"/>
      <c r="GMA1053" s="103"/>
      <c r="GMM1053" s="104"/>
      <c r="GMN1053" s="103"/>
      <c r="GMZ1053" s="104"/>
      <c r="GNA1053" s="103"/>
      <c r="GNM1053" s="104"/>
      <c r="GNN1053" s="103"/>
      <c r="GNZ1053" s="104"/>
      <c r="GOA1053" s="103"/>
      <c r="GOM1053" s="104"/>
      <c r="GON1053" s="103"/>
      <c r="GOZ1053" s="104"/>
      <c r="GPA1053" s="103"/>
      <c r="GPM1053" s="104"/>
      <c r="GPN1053" s="103"/>
      <c r="GPZ1053" s="104"/>
      <c r="GQA1053" s="103"/>
      <c r="GQM1053" s="104"/>
      <c r="GQN1053" s="103"/>
      <c r="GQZ1053" s="104"/>
      <c r="GRA1053" s="103"/>
      <c r="GRM1053" s="104"/>
      <c r="GRN1053" s="103"/>
      <c r="GRZ1053" s="104"/>
      <c r="GSA1053" s="103"/>
      <c r="GSM1053" s="104"/>
      <c r="GSN1053" s="103"/>
      <c r="GSZ1053" s="104"/>
      <c r="GTA1053" s="103"/>
      <c r="GTM1053" s="104"/>
      <c r="GTN1053" s="103"/>
      <c r="GTZ1053" s="104"/>
      <c r="GUA1053" s="103"/>
      <c r="GUM1053" s="104"/>
      <c r="GUN1053" s="103"/>
      <c r="GUZ1053" s="104"/>
      <c r="GVA1053" s="103"/>
      <c r="GVM1053" s="104"/>
      <c r="GVN1053" s="103"/>
      <c r="GVZ1053" s="104"/>
      <c r="GWA1053" s="103"/>
      <c r="GWM1053" s="104"/>
      <c r="GWN1053" s="103"/>
      <c r="GWZ1053" s="104"/>
      <c r="GXA1053" s="103"/>
      <c r="GXM1053" s="104"/>
      <c r="GXN1053" s="103"/>
      <c r="GXZ1053" s="104"/>
      <c r="GYA1053" s="103"/>
      <c r="GYM1053" s="104"/>
      <c r="GYN1053" s="103"/>
      <c r="GYZ1053" s="104"/>
      <c r="GZA1053" s="103"/>
      <c r="GZM1053" s="104"/>
      <c r="GZN1053" s="103"/>
      <c r="GZZ1053" s="104"/>
      <c r="HAA1053" s="103"/>
      <c r="HAM1053" s="104"/>
      <c r="HAN1053" s="103"/>
      <c r="HAZ1053" s="104"/>
      <c r="HBA1053" s="103"/>
      <c r="HBM1053" s="104"/>
      <c r="HBN1053" s="103"/>
      <c r="HBZ1053" s="104"/>
      <c r="HCA1053" s="103"/>
      <c r="HCM1053" s="104"/>
      <c r="HCN1053" s="103"/>
      <c r="HCZ1053" s="104"/>
      <c r="HDA1053" s="103"/>
      <c r="HDM1053" s="104"/>
      <c r="HDN1053" s="103"/>
      <c r="HDZ1053" s="104"/>
      <c r="HEA1053" s="103"/>
      <c r="HEM1053" s="104"/>
      <c r="HEN1053" s="103"/>
      <c r="HEZ1053" s="104"/>
      <c r="HFA1053" s="103"/>
      <c r="HFM1053" s="104"/>
      <c r="HFN1053" s="103"/>
      <c r="HFZ1053" s="104"/>
      <c r="HGA1053" s="103"/>
      <c r="HGM1053" s="104"/>
      <c r="HGN1053" s="103"/>
      <c r="HGZ1053" s="104"/>
      <c r="HHA1053" s="103"/>
      <c r="HHM1053" s="104"/>
      <c r="HHN1053" s="103"/>
      <c r="HHZ1053" s="104"/>
      <c r="HIA1053" s="103"/>
      <c r="HIM1053" s="104"/>
      <c r="HIN1053" s="103"/>
      <c r="HIZ1053" s="104"/>
      <c r="HJA1053" s="103"/>
      <c r="HJM1053" s="104"/>
      <c r="HJN1053" s="103"/>
      <c r="HJZ1053" s="104"/>
      <c r="HKA1053" s="103"/>
      <c r="HKM1053" s="104"/>
      <c r="HKN1053" s="103"/>
      <c r="HKZ1053" s="104"/>
      <c r="HLA1053" s="103"/>
      <c r="HLM1053" s="104"/>
      <c r="HLN1053" s="103"/>
      <c r="HLZ1053" s="104"/>
      <c r="HMA1053" s="103"/>
      <c r="HMM1053" s="104"/>
      <c r="HMN1053" s="103"/>
      <c r="HMZ1053" s="104"/>
      <c r="HNA1053" s="103"/>
      <c r="HNM1053" s="104"/>
      <c r="HNN1053" s="103"/>
      <c r="HNZ1053" s="104"/>
      <c r="HOA1053" s="103"/>
      <c r="HOM1053" s="104"/>
      <c r="HON1053" s="103"/>
      <c r="HOZ1053" s="104"/>
      <c r="HPA1053" s="103"/>
      <c r="HPM1053" s="104"/>
      <c r="HPN1053" s="103"/>
      <c r="HPZ1053" s="104"/>
      <c r="HQA1053" s="103"/>
      <c r="HQM1053" s="104"/>
      <c r="HQN1053" s="103"/>
      <c r="HQZ1053" s="104"/>
      <c r="HRA1053" s="103"/>
      <c r="HRM1053" s="104"/>
      <c r="HRN1053" s="103"/>
      <c r="HRZ1053" s="104"/>
      <c r="HSA1053" s="103"/>
      <c r="HSM1053" s="104"/>
      <c r="HSN1053" s="103"/>
      <c r="HSZ1053" s="104"/>
      <c r="HTA1053" s="103"/>
      <c r="HTM1053" s="104"/>
      <c r="HTN1053" s="103"/>
      <c r="HTZ1053" s="104"/>
      <c r="HUA1053" s="103"/>
      <c r="HUM1053" s="104"/>
      <c r="HUN1053" s="103"/>
      <c r="HUZ1053" s="104"/>
      <c r="HVA1053" s="103"/>
      <c r="HVM1053" s="104"/>
      <c r="HVN1053" s="103"/>
      <c r="HVZ1053" s="104"/>
      <c r="HWA1053" s="103"/>
      <c r="HWM1053" s="104"/>
      <c r="HWN1053" s="103"/>
      <c r="HWZ1053" s="104"/>
      <c r="HXA1053" s="103"/>
      <c r="HXM1053" s="104"/>
      <c r="HXN1053" s="103"/>
      <c r="HXZ1053" s="104"/>
      <c r="HYA1053" s="103"/>
      <c r="HYM1053" s="104"/>
      <c r="HYN1053" s="103"/>
      <c r="HYZ1053" s="104"/>
      <c r="HZA1053" s="103"/>
      <c r="HZM1053" s="104"/>
      <c r="HZN1053" s="103"/>
      <c r="HZZ1053" s="104"/>
      <c r="IAA1053" s="103"/>
      <c r="IAM1053" s="104"/>
      <c r="IAN1053" s="103"/>
      <c r="IAZ1053" s="104"/>
      <c r="IBA1053" s="103"/>
      <c r="IBM1053" s="104"/>
      <c r="IBN1053" s="103"/>
      <c r="IBZ1053" s="104"/>
      <c r="ICA1053" s="103"/>
      <c r="ICM1053" s="104"/>
      <c r="ICN1053" s="103"/>
      <c r="ICZ1053" s="104"/>
      <c r="IDA1053" s="103"/>
      <c r="IDM1053" s="104"/>
      <c r="IDN1053" s="103"/>
      <c r="IDZ1053" s="104"/>
      <c r="IEA1053" s="103"/>
      <c r="IEM1053" s="104"/>
      <c r="IEN1053" s="103"/>
      <c r="IEZ1053" s="104"/>
      <c r="IFA1053" s="103"/>
      <c r="IFM1053" s="104"/>
      <c r="IFN1053" s="103"/>
      <c r="IFZ1053" s="104"/>
      <c r="IGA1053" s="103"/>
      <c r="IGM1053" s="104"/>
      <c r="IGN1053" s="103"/>
      <c r="IGZ1053" s="104"/>
      <c r="IHA1053" s="103"/>
      <c r="IHM1053" s="104"/>
      <c r="IHN1053" s="103"/>
      <c r="IHZ1053" s="104"/>
      <c r="IIA1053" s="103"/>
      <c r="IIM1053" s="104"/>
      <c r="IIN1053" s="103"/>
      <c r="IIZ1053" s="104"/>
      <c r="IJA1053" s="103"/>
      <c r="IJM1053" s="104"/>
      <c r="IJN1053" s="103"/>
      <c r="IJZ1053" s="104"/>
      <c r="IKA1053" s="103"/>
      <c r="IKM1053" s="104"/>
      <c r="IKN1053" s="103"/>
      <c r="IKZ1053" s="104"/>
      <c r="ILA1053" s="103"/>
      <c r="ILM1053" s="104"/>
      <c r="ILN1053" s="103"/>
      <c r="ILZ1053" s="104"/>
      <c r="IMA1053" s="103"/>
      <c r="IMM1053" s="104"/>
      <c r="IMN1053" s="103"/>
      <c r="IMZ1053" s="104"/>
      <c r="INA1053" s="103"/>
      <c r="INM1053" s="104"/>
      <c r="INN1053" s="103"/>
      <c r="INZ1053" s="104"/>
      <c r="IOA1053" s="103"/>
      <c r="IOM1053" s="104"/>
      <c r="ION1053" s="103"/>
      <c r="IOZ1053" s="104"/>
      <c r="IPA1053" s="103"/>
      <c r="IPM1053" s="104"/>
      <c r="IPN1053" s="103"/>
      <c r="IPZ1053" s="104"/>
      <c r="IQA1053" s="103"/>
      <c r="IQM1053" s="104"/>
      <c r="IQN1053" s="103"/>
      <c r="IQZ1053" s="104"/>
      <c r="IRA1053" s="103"/>
      <c r="IRM1053" s="104"/>
      <c r="IRN1053" s="103"/>
      <c r="IRZ1053" s="104"/>
      <c r="ISA1053" s="103"/>
      <c r="ISM1053" s="104"/>
      <c r="ISN1053" s="103"/>
      <c r="ISZ1053" s="104"/>
      <c r="ITA1053" s="103"/>
      <c r="ITM1053" s="104"/>
      <c r="ITN1053" s="103"/>
      <c r="ITZ1053" s="104"/>
      <c r="IUA1053" s="103"/>
      <c r="IUM1053" s="104"/>
      <c r="IUN1053" s="103"/>
      <c r="IUZ1053" s="104"/>
      <c r="IVA1053" s="103"/>
      <c r="IVM1053" s="104"/>
      <c r="IVN1053" s="103"/>
      <c r="IVZ1053" s="104"/>
      <c r="IWA1053" s="103"/>
      <c r="IWM1053" s="104"/>
      <c r="IWN1053" s="103"/>
      <c r="IWZ1053" s="104"/>
      <c r="IXA1053" s="103"/>
      <c r="IXM1053" s="104"/>
      <c r="IXN1053" s="103"/>
      <c r="IXZ1053" s="104"/>
      <c r="IYA1053" s="103"/>
      <c r="IYM1053" s="104"/>
      <c r="IYN1053" s="103"/>
      <c r="IYZ1053" s="104"/>
      <c r="IZA1053" s="103"/>
      <c r="IZM1053" s="104"/>
      <c r="IZN1053" s="103"/>
      <c r="IZZ1053" s="104"/>
      <c r="JAA1053" s="103"/>
      <c r="JAM1053" s="104"/>
      <c r="JAN1053" s="103"/>
      <c r="JAZ1053" s="104"/>
      <c r="JBA1053" s="103"/>
      <c r="JBM1053" s="104"/>
      <c r="JBN1053" s="103"/>
      <c r="JBZ1053" s="104"/>
      <c r="JCA1053" s="103"/>
      <c r="JCM1053" s="104"/>
      <c r="JCN1053" s="103"/>
      <c r="JCZ1053" s="104"/>
      <c r="JDA1053" s="103"/>
      <c r="JDM1053" s="104"/>
      <c r="JDN1053" s="103"/>
      <c r="JDZ1053" s="104"/>
      <c r="JEA1053" s="103"/>
      <c r="JEM1053" s="104"/>
      <c r="JEN1053" s="103"/>
      <c r="JEZ1053" s="104"/>
      <c r="JFA1053" s="103"/>
      <c r="JFM1053" s="104"/>
      <c r="JFN1053" s="103"/>
      <c r="JFZ1053" s="104"/>
      <c r="JGA1053" s="103"/>
      <c r="JGM1053" s="104"/>
      <c r="JGN1053" s="103"/>
      <c r="JGZ1053" s="104"/>
      <c r="JHA1053" s="103"/>
      <c r="JHM1053" s="104"/>
      <c r="JHN1053" s="103"/>
      <c r="JHZ1053" s="104"/>
      <c r="JIA1053" s="103"/>
      <c r="JIM1053" s="104"/>
      <c r="JIN1053" s="103"/>
      <c r="JIZ1053" s="104"/>
      <c r="JJA1053" s="103"/>
      <c r="JJM1053" s="104"/>
      <c r="JJN1053" s="103"/>
      <c r="JJZ1053" s="104"/>
      <c r="JKA1053" s="103"/>
      <c r="JKM1053" s="104"/>
      <c r="JKN1053" s="103"/>
      <c r="JKZ1053" s="104"/>
      <c r="JLA1053" s="103"/>
      <c r="JLM1053" s="104"/>
      <c r="JLN1053" s="103"/>
      <c r="JLZ1053" s="104"/>
      <c r="JMA1053" s="103"/>
      <c r="JMM1053" s="104"/>
      <c r="JMN1053" s="103"/>
      <c r="JMZ1053" s="104"/>
      <c r="JNA1053" s="103"/>
      <c r="JNM1053" s="104"/>
      <c r="JNN1053" s="103"/>
      <c r="JNZ1053" s="104"/>
      <c r="JOA1053" s="103"/>
      <c r="JOM1053" s="104"/>
      <c r="JON1053" s="103"/>
      <c r="JOZ1053" s="104"/>
      <c r="JPA1053" s="103"/>
      <c r="JPM1053" s="104"/>
      <c r="JPN1053" s="103"/>
      <c r="JPZ1053" s="104"/>
      <c r="JQA1053" s="103"/>
      <c r="JQM1053" s="104"/>
      <c r="JQN1053" s="103"/>
      <c r="JQZ1053" s="104"/>
      <c r="JRA1053" s="103"/>
      <c r="JRM1053" s="104"/>
      <c r="JRN1053" s="103"/>
      <c r="JRZ1053" s="104"/>
      <c r="JSA1053" s="103"/>
      <c r="JSM1053" s="104"/>
      <c r="JSN1053" s="103"/>
      <c r="JSZ1053" s="104"/>
      <c r="JTA1053" s="103"/>
      <c r="JTM1053" s="104"/>
      <c r="JTN1053" s="103"/>
      <c r="JTZ1053" s="104"/>
      <c r="JUA1053" s="103"/>
      <c r="JUM1053" s="104"/>
      <c r="JUN1053" s="103"/>
      <c r="JUZ1053" s="104"/>
      <c r="JVA1053" s="103"/>
      <c r="JVM1053" s="104"/>
      <c r="JVN1053" s="103"/>
      <c r="JVZ1053" s="104"/>
      <c r="JWA1053" s="103"/>
      <c r="JWM1053" s="104"/>
      <c r="JWN1053" s="103"/>
      <c r="JWZ1053" s="104"/>
      <c r="JXA1053" s="103"/>
      <c r="JXM1053" s="104"/>
      <c r="JXN1053" s="103"/>
      <c r="JXZ1053" s="104"/>
      <c r="JYA1053" s="103"/>
      <c r="JYM1053" s="104"/>
      <c r="JYN1053" s="103"/>
      <c r="JYZ1053" s="104"/>
      <c r="JZA1053" s="103"/>
      <c r="JZM1053" s="104"/>
      <c r="JZN1053" s="103"/>
      <c r="JZZ1053" s="104"/>
      <c r="KAA1053" s="103"/>
      <c r="KAM1053" s="104"/>
      <c r="KAN1053" s="103"/>
      <c r="KAZ1053" s="104"/>
      <c r="KBA1053" s="103"/>
      <c r="KBM1053" s="104"/>
      <c r="KBN1053" s="103"/>
      <c r="KBZ1053" s="104"/>
      <c r="KCA1053" s="103"/>
      <c r="KCM1053" s="104"/>
      <c r="KCN1053" s="103"/>
      <c r="KCZ1053" s="104"/>
      <c r="KDA1053" s="103"/>
      <c r="KDM1053" s="104"/>
      <c r="KDN1053" s="103"/>
      <c r="KDZ1053" s="104"/>
      <c r="KEA1053" s="103"/>
      <c r="KEM1053" s="104"/>
      <c r="KEN1053" s="103"/>
      <c r="KEZ1053" s="104"/>
      <c r="KFA1053" s="103"/>
      <c r="KFM1053" s="104"/>
      <c r="KFN1053" s="103"/>
      <c r="KFZ1053" s="104"/>
      <c r="KGA1053" s="103"/>
      <c r="KGM1053" s="104"/>
      <c r="KGN1053" s="103"/>
      <c r="KGZ1053" s="104"/>
      <c r="KHA1053" s="103"/>
      <c r="KHM1053" s="104"/>
      <c r="KHN1053" s="103"/>
      <c r="KHZ1053" s="104"/>
      <c r="KIA1053" s="103"/>
      <c r="KIM1053" s="104"/>
      <c r="KIN1053" s="103"/>
      <c r="KIZ1053" s="104"/>
      <c r="KJA1053" s="103"/>
      <c r="KJM1053" s="104"/>
      <c r="KJN1053" s="103"/>
      <c r="KJZ1053" s="104"/>
      <c r="KKA1053" s="103"/>
      <c r="KKM1053" s="104"/>
      <c r="KKN1053" s="103"/>
      <c r="KKZ1053" s="104"/>
      <c r="KLA1053" s="103"/>
      <c r="KLM1053" s="104"/>
      <c r="KLN1053" s="103"/>
      <c r="KLZ1053" s="104"/>
      <c r="KMA1053" s="103"/>
      <c r="KMM1053" s="104"/>
      <c r="KMN1053" s="103"/>
      <c r="KMZ1053" s="104"/>
      <c r="KNA1053" s="103"/>
      <c r="KNM1053" s="104"/>
      <c r="KNN1053" s="103"/>
      <c r="KNZ1053" s="104"/>
      <c r="KOA1053" s="103"/>
      <c r="KOM1053" s="104"/>
      <c r="KON1053" s="103"/>
      <c r="KOZ1053" s="104"/>
      <c r="KPA1053" s="103"/>
      <c r="KPM1053" s="104"/>
      <c r="KPN1053" s="103"/>
      <c r="KPZ1053" s="104"/>
      <c r="KQA1053" s="103"/>
      <c r="KQM1053" s="104"/>
      <c r="KQN1053" s="103"/>
      <c r="KQZ1053" s="104"/>
      <c r="KRA1053" s="103"/>
      <c r="KRM1053" s="104"/>
      <c r="KRN1053" s="103"/>
      <c r="KRZ1053" s="104"/>
      <c r="KSA1053" s="103"/>
      <c r="KSM1053" s="104"/>
      <c r="KSN1053" s="103"/>
      <c r="KSZ1053" s="104"/>
      <c r="KTA1053" s="103"/>
      <c r="KTM1053" s="104"/>
      <c r="KTN1053" s="103"/>
      <c r="KTZ1053" s="104"/>
      <c r="KUA1053" s="103"/>
      <c r="KUM1053" s="104"/>
      <c r="KUN1053" s="103"/>
      <c r="KUZ1053" s="104"/>
      <c r="KVA1053" s="103"/>
      <c r="KVM1053" s="104"/>
      <c r="KVN1053" s="103"/>
      <c r="KVZ1053" s="104"/>
      <c r="KWA1053" s="103"/>
      <c r="KWM1053" s="104"/>
      <c r="KWN1053" s="103"/>
      <c r="KWZ1053" s="104"/>
      <c r="KXA1053" s="103"/>
      <c r="KXM1053" s="104"/>
      <c r="KXN1053" s="103"/>
      <c r="KXZ1053" s="104"/>
      <c r="KYA1053" s="103"/>
      <c r="KYM1053" s="104"/>
      <c r="KYN1053" s="103"/>
      <c r="KYZ1053" s="104"/>
      <c r="KZA1053" s="103"/>
      <c r="KZM1053" s="104"/>
      <c r="KZN1053" s="103"/>
      <c r="KZZ1053" s="104"/>
      <c r="LAA1053" s="103"/>
      <c r="LAM1053" s="104"/>
      <c r="LAN1053" s="103"/>
      <c r="LAZ1053" s="104"/>
      <c r="LBA1053" s="103"/>
      <c r="LBM1053" s="104"/>
      <c r="LBN1053" s="103"/>
      <c r="LBZ1053" s="104"/>
      <c r="LCA1053" s="103"/>
      <c r="LCM1053" s="104"/>
      <c r="LCN1053" s="103"/>
      <c r="LCZ1053" s="104"/>
      <c r="LDA1053" s="103"/>
      <c r="LDM1053" s="104"/>
      <c r="LDN1053" s="103"/>
      <c r="LDZ1053" s="104"/>
      <c r="LEA1053" s="103"/>
      <c r="LEM1053" s="104"/>
      <c r="LEN1053" s="103"/>
      <c r="LEZ1053" s="104"/>
      <c r="LFA1053" s="103"/>
      <c r="LFM1053" s="104"/>
      <c r="LFN1053" s="103"/>
      <c r="LFZ1053" s="104"/>
      <c r="LGA1053" s="103"/>
      <c r="LGM1053" s="104"/>
      <c r="LGN1053" s="103"/>
      <c r="LGZ1053" s="104"/>
      <c r="LHA1053" s="103"/>
      <c r="LHM1053" s="104"/>
      <c r="LHN1053" s="103"/>
      <c r="LHZ1053" s="104"/>
      <c r="LIA1053" s="103"/>
      <c r="LIM1053" s="104"/>
      <c r="LIN1053" s="103"/>
      <c r="LIZ1053" s="104"/>
      <c r="LJA1053" s="103"/>
      <c r="LJM1053" s="104"/>
      <c r="LJN1053" s="103"/>
      <c r="LJZ1053" s="104"/>
      <c r="LKA1053" s="103"/>
      <c r="LKM1053" s="104"/>
      <c r="LKN1053" s="103"/>
      <c r="LKZ1053" s="104"/>
      <c r="LLA1053" s="103"/>
      <c r="LLM1053" s="104"/>
      <c r="LLN1053" s="103"/>
      <c r="LLZ1053" s="104"/>
      <c r="LMA1053" s="103"/>
      <c r="LMM1053" s="104"/>
      <c r="LMN1053" s="103"/>
      <c r="LMZ1053" s="104"/>
      <c r="LNA1053" s="103"/>
      <c r="LNM1053" s="104"/>
      <c r="LNN1053" s="103"/>
      <c r="LNZ1053" s="104"/>
      <c r="LOA1053" s="103"/>
      <c r="LOM1053" s="104"/>
      <c r="LON1053" s="103"/>
      <c r="LOZ1053" s="104"/>
      <c r="LPA1053" s="103"/>
      <c r="LPM1053" s="104"/>
      <c r="LPN1053" s="103"/>
      <c r="LPZ1053" s="104"/>
      <c r="LQA1053" s="103"/>
      <c r="LQM1053" s="104"/>
      <c r="LQN1053" s="103"/>
      <c r="LQZ1053" s="104"/>
      <c r="LRA1053" s="103"/>
      <c r="LRM1053" s="104"/>
      <c r="LRN1053" s="103"/>
      <c r="LRZ1053" s="104"/>
      <c r="LSA1053" s="103"/>
      <c r="LSM1053" s="104"/>
      <c r="LSN1053" s="103"/>
      <c r="LSZ1053" s="104"/>
      <c r="LTA1053" s="103"/>
      <c r="LTM1053" s="104"/>
      <c r="LTN1053" s="103"/>
      <c r="LTZ1053" s="104"/>
      <c r="LUA1053" s="103"/>
      <c r="LUM1053" s="104"/>
      <c r="LUN1053" s="103"/>
      <c r="LUZ1053" s="104"/>
      <c r="LVA1053" s="103"/>
      <c r="LVM1053" s="104"/>
      <c r="LVN1053" s="103"/>
      <c r="LVZ1053" s="104"/>
      <c r="LWA1053" s="103"/>
      <c r="LWM1053" s="104"/>
      <c r="LWN1053" s="103"/>
      <c r="LWZ1053" s="104"/>
      <c r="LXA1053" s="103"/>
      <c r="LXM1053" s="104"/>
      <c r="LXN1053" s="103"/>
      <c r="LXZ1053" s="104"/>
      <c r="LYA1053" s="103"/>
      <c r="LYM1053" s="104"/>
      <c r="LYN1053" s="103"/>
      <c r="LYZ1053" s="104"/>
      <c r="LZA1053" s="103"/>
      <c r="LZM1053" s="104"/>
      <c r="LZN1053" s="103"/>
      <c r="LZZ1053" s="104"/>
      <c r="MAA1053" s="103"/>
      <c r="MAM1053" s="104"/>
      <c r="MAN1053" s="103"/>
      <c r="MAZ1053" s="104"/>
      <c r="MBA1053" s="103"/>
      <c r="MBM1053" s="104"/>
      <c r="MBN1053" s="103"/>
      <c r="MBZ1053" s="104"/>
      <c r="MCA1053" s="103"/>
      <c r="MCM1053" s="104"/>
      <c r="MCN1053" s="103"/>
      <c r="MCZ1053" s="104"/>
      <c r="MDA1053" s="103"/>
      <c r="MDM1053" s="104"/>
      <c r="MDN1053" s="103"/>
      <c r="MDZ1053" s="104"/>
      <c r="MEA1053" s="103"/>
      <c r="MEM1053" s="104"/>
      <c r="MEN1053" s="103"/>
      <c r="MEZ1053" s="104"/>
      <c r="MFA1053" s="103"/>
      <c r="MFM1053" s="104"/>
      <c r="MFN1053" s="103"/>
      <c r="MFZ1053" s="104"/>
      <c r="MGA1053" s="103"/>
      <c r="MGM1053" s="104"/>
      <c r="MGN1053" s="103"/>
      <c r="MGZ1053" s="104"/>
      <c r="MHA1053" s="103"/>
      <c r="MHM1053" s="104"/>
      <c r="MHN1053" s="103"/>
      <c r="MHZ1053" s="104"/>
      <c r="MIA1053" s="103"/>
      <c r="MIM1053" s="104"/>
      <c r="MIN1053" s="103"/>
      <c r="MIZ1053" s="104"/>
      <c r="MJA1053" s="103"/>
      <c r="MJM1053" s="104"/>
      <c r="MJN1053" s="103"/>
      <c r="MJZ1053" s="104"/>
      <c r="MKA1053" s="103"/>
      <c r="MKM1053" s="104"/>
      <c r="MKN1053" s="103"/>
      <c r="MKZ1053" s="104"/>
      <c r="MLA1053" s="103"/>
      <c r="MLM1053" s="104"/>
      <c r="MLN1053" s="103"/>
      <c r="MLZ1053" s="104"/>
      <c r="MMA1053" s="103"/>
      <c r="MMM1053" s="104"/>
      <c r="MMN1053" s="103"/>
      <c r="MMZ1053" s="104"/>
      <c r="MNA1053" s="103"/>
      <c r="MNM1053" s="104"/>
      <c r="MNN1053" s="103"/>
      <c r="MNZ1053" s="104"/>
      <c r="MOA1053" s="103"/>
      <c r="MOM1053" s="104"/>
      <c r="MON1053" s="103"/>
      <c r="MOZ1053" s="104"/>
      <c r="MPA1053" s="103"/>
      <c r="MPM1053" s="104"/>
      <c r="MPN1053" s="103"/>
      <c r="MPZ1053" s="104"/>
      <c r="MQA1053" s="103"/>
      <c r="MQM1053" s="104"/>
      <c r="MQN1053" s="103"/>
      <c r="MQZ1053" s="104"/>
      <c r="MRA1053" s="103"/>
      <c r="MRM1053" s="104"/>
      <c r="MRN1053" s="103"/>
      <c r="MRZ1053" s="104"/>
      <c r="MSA1053" s="103"/>
      <c r="MSM1053" s="104"/>
      <c r="MSN1053" s="103"/>
      <c r="MSZ1053" s="104"/>
      <c r="MTA1053" s="103"/>
      <c r="MTM1053" s="104"/>
      <c r="MTN1053" s="103"/>
      <c r="MTZ1053" s="104"/>
      <c r="MUA1053" s="103"/>
      <c r="MUM1053" s="104"/>
      <c r="MUN1053" s="103"/>
      <c r="MUZ1053" s="104"/>
      <c r="MVA1053" s="103"/>
      <c r="MVM1053" s="104"/>
      <c r="MVN1053" s="103"/>
      <c r="MVZ1053" s="104"/>
      <c r="MWA1053" s="103"/>
      <c r="MWM1053" s="104"/>
      <c r="MWN1053" s="103"/>
      <c r="MWZ1053" s="104"/>
      <c r="MXA1053" s="103"/>
      <c r="MXM1053" s="104"/>
      <c r="MXN1053" s="103"/>
      <c r="MXZ1053" s="104"/>
      <c r="MYA1053" s="103"/>
      <c r="MYM1053" s="104"/>
      <c r="MYN1053" s="103"/>
      <c r="MYZ1053" s="104"/>
      <c r="MZA1053" s="103"/>
      <c r="MZM1053" s="104"/>
      <c r="MZN1053" s="103"/>
      <c r="MZZ1053" s="104"/>
      <c r="NAA1053" s="103"/>
      <c r="NAM1053" s="104"/>
      <c r="NAN1053" s="103"/>
      <c r="NAZ1053" s="104"/>
      <c r="NBA1053" s="103"/>
      <c r="NBM1053" s="104"/>
      <c r="NBN1053" s="103"/>
      <c r="NBZ1053" s="104"/>
      <c r="NCA1053" s="103"/>
      <c r="NCM1053" s="104"/>
      <c r="NCN1053" s="103"/>
      <c r="NCZ1053" s="104"/>
      <c r="NDA1053" s="103"/>
      <c r="NDM1053" s="104"/>
      <c r="NDN1053" s="103"/>
      <c r="NDZ1053" s="104"/>
      <c r="NEA1053" s="103"/>
      <c r="NEM1053" s="104"/>
      <c r="NEN1053" s="103"/>
      <c r="NEZ1053" s="104"/>
      <c r="NFA1053" s="103"/>
      <c r="NFM1053" s="104"/>
      <c r="NFN1053" s="103"/>
      <c r="NFZ1053" s="104"/>
      <c r="NGA1053" s="103"/>
      <c r="NGM1053" s="104"/>
      <c r="NGN1053" s="103"/>
      <c r="NGZ1053" s="104"/>
      <c r="NHA1053" s="103"/>
      <c r="NHM1053" s="104"/>
      <c r="NHN1053" s="103"/>
      <c r="NHZ1053" s="104"/>
      <c r="NIA1053" s="103"/>
      <c r="NIM1053" s="104"/>
      <c r="NIN1053" s="103"/>
      <c r="NIZ1053" s="104"/>
      <c r="NJA1053" s="103"/>
      <c r="NJM1053" s="104"/>
      <c r="NJN1053" s="103"/>
      <c r="NJZ1053" s="104"/>
      <c r="NKA1053" s="103"/>
      <c r="NKM1053" s="104"/>
      <c r="NKN1053" s="103"/>
      <c r="NKZ1053" s="104"/>
      <c r="NLA1053" s="103"/>
      <c r="NLM1053" s="104"/>
      <c r="NLN1053" s="103"/>
      <c r="NLZ1053" s="104"/>
      <c r="NMA1053" s="103"/>
      <c r="NMM1053" s="104"/>
      <c r="NMN1053" s="103"/>
      <c r="NMZ1053" s="104"/>
      <c r="NNA1053" s="103"/>
      <c r="NNM1053" s="104"/>
      <c r="NNN1053" s="103"/>
      <c r="NNZ1053" s="104"/>
      <c r="NOA1053" s="103"/>
      <c r="NOM1053" s="104"/>
      <c r="NON1053" s="103"/>
      <c r="NOZ1053" s="104"/>
      <c r="NPA1053" s="103"/>
      <c r="NPM1053" s="104"/>
      <c r="NPN1053" s="103"/>
      <c r="NPZ1053" s="104"/>
      <c r="NQA1053" s="103"/>
      <c r="NQM1053" s="104"/>
      <c r="NQN1053" s="103"/>
      <c r="NQZ1053" s="104"/>
      <c r="NRA1053" s="103"/>
      <c r="NRM1053" s="104"/>
      <c r="NRN1053" s="103"/>
      <c r="NRZ1053" s="104"/>
      <c r="NSA1053" s="103"/>
      <c r="NSM1053" s="104"/>
      <c r="NSN1053" s="103"/>
      <c r="NSZ1053" s="104"/>
      <c r="NTA1053" s="103"/>
      <c r="NTM1053" s="104"/>
      <c r="NTN1053" s="103"/>
      <c r="NTZ1053" s="104"/>
      <c r="NUA1053" s="103"/>
      <c r="NUM1053" s="104"/>
      <c r="NUN1053" s="103"/>
      <c r="NUZ1053" s="104"/>
      <c r="NVA1053" s="103"/>
      <c r="NVM1053" s="104"/>
      <c r="NVN1053" s="103"/>
      <c r="NVZ1053" s="104"/>
      <c r="NWA1053" s="103"/>
      <c r="NWM1053" s="104"/>
      <c r="NWN1053" s="103"/>
      <c r="NWZ1053" s="104"/>
      <c r="NXA1053" s="103"/>
      <c r="NXM1053" s="104"/>
      <c r="NXN1053" s="103"/>
      <c r="NXZ1053" s="104"/>
      <c r="NYA1053" s="103"/>
      <c r="NYM1053" s="104"/>
      <c r="NYN1053" s="103"/>
      <c r="NYZ1053" s="104"/>
      <c r="NZA1053" s="103"/>
      <c r="NZM1053" s="104"/>
      <c r="NZN1053" s="103"/>
      <c r="NZZ1053" s="104"/>
      <c r="OAA1053" s="103"/>
      <c r="OAM1053" s="104"/>
      <c r="OAN1053" s="103"/>
      <c r="OAZ1053" s="104"/>
      <c r="OBA1053" s="103"/>
      <c r="OBM1053" s="104"/>
      <c r="OBN1053" s="103"/>
      <c r="OBZ1053" s="104"/>
      <c r="OCA1053" s="103"/>
      <c r="OCM1053" s="104"/>
      <c r="OCN1053" s="103"/>
      <c r="OCZ1053" s="104"/>
      <c r="ODA1053" s="103"/>
      <c r="ODM1053" s="104"/>
      <c r="ODN1053" s="103"/>
      <c r="ODZ1053" s="104"/>
      <c r="OEA1053" s="103"/>
      <c r="OEM1053" s="104"/>
      <c r="OEN1053" s="103"/>
      <c r="OEZ1053" s="104"/>
      <c r="OFA1053" s="103"/>
      <c r="OFM1053" s="104"/>
      <c r="OFN1053" s="103"/>
      <c r="OFZ1053" s="104"/>
      <c r="OGA1053" s="103"/>
      <c r="OGM1053" s="104"/>
      <c r="OGN1053" s="103"/>
      <c r="OGZ1053" s="104"/>
      <c r="OHA1053" s="103"/>
      <c r="OHM1053" s="104"/>
      <c r="OHN1053" s="103"/>
      <c r="OHZ1053" s="104"/>
      <c r="OIA1053" s="103"/>
      <c r="OIM1053" s="104"/>
      <c r="OIN1053" s="103"/>
      <c r="OIZ1053" s="104"/>
      <c r="OJA1053" s="103"/>
      <c r="OJM1053" s="104"/>
      <c r="OJN1053" s="103"/>
      <c r="OJZ1053" s="104"/>
      <c r="OKA1053" s="103"/>
      <c r="OKM1053" s="104"/>
      <c r="OKN1053" s="103"/>
      <c r="OKZ1053" s="104"/>
      <c r="OLA1053" s="103"/>
      <c r="OLM1053" s="104"/>
      <c r="OLN1053" s="103"/>
      <c r="OLZ1053" s="104"/>
      <c r="OMA1053" s="103"/>
      <c r="OMM1053" s="104"/>
      <c r="OMN1053" s="103"/>
      <c r="OMZ1053" s="104"/>
      <c r="ONA1053" s="103"/>
      <c r="ONM1053" s="104"/>
      <c r="ONN1053" s="103"/>
      <c r="ONZ1053" s="104"/>
      <c r="OOA1053" s="103"/>
      <c r="OOM1053" s="104"/>
      <c r="OON1053" s="103"/>
      <c r="OOZ1053" s="104"/>
      <c r="OPA1053" s="103"/>
      <c r="OPM1053" s="104"/>
      <c r="OPN1053" s="103"/>
      <c r="OPZ1053" s="104"/>
      <c r="OQA1053" s="103"/>
      <c r="OQM1053" s="104"/>
      <c r="OQN1053" s="103"/>
      <c r="OQZ1053" s="104"/>
      <c r="ORA1053" s="103"/>
      <c r="ORM1053" s="104"/>
      <c r="ORN1053" s="103"/>
      <c r="ORZ1053" s="104"/>
      <c r="OSA1053" s="103"/>
      <c r="OSM1053" s="104"/>
      <c r="OSN1053" s="103"/>
      <c r="OSZ1053" s="104"/>
      <c r="OTA1053" s="103"/>
      <c r="OTM1053" s="104"/>
      <c r="OTN1053" s="103"/>
      <c r="OTZ1053" s="104"/>
      <c r="OUA1053" s="103"/>
      <c r="OUM1053" s="104"/>
      <c r="OUN1053" s="103"/>
      <c r="OUZ1053" s="104"/>
      <c r="OVA1053" s="103"/>
      <c r="OVM1053" s="104"/>
      <c r="OVN1053" s="103"/>
      <c r="OVZ1053" s="104"/>
      <c r="OWA1053" s="103"/>
      <c r="OWM1053" s="104"/>
      <c r="OWN1053" s="103"/>
      <c r="OWZ1053" s="104"/>
      <c r="OXA1053" s="103"/>
      <c r="OXM1053" s="104"/>
      <c r="OXN1053" s="103"/>
      <c r="OXZ1053" s="104"/>
      <c r="OYA1053" s="103"/>
      <c r="OYM1053" s="104"/>
      <c r="OYN1053" s="103"/>
      <c r="OYZ1053" s="104"/>
      <c r="OZA1053" s="103"/>
      <c r="OZM1053" s="104"/>
      <c r="OZN1053" s="103"/>
      <c r="OZZ1053" s="104"/>
      <c r="PAA1053" s="103"/>
      <c r="PAM1053" s="104"/>
      <c r="PAN1053" s="103"/>
      <c r="PAZ1053" s="104"/>
      <c r="PBA1053" s="103"/>
      <c r="PBM1053" s="104"/>
      <c r="PBN1053" s="103"/>
      <c r="PBZ1053" s="104"/>
      <c r="PCA1053" s="103"/>
      <c r="PCM1053" s="104"/>
      <c r="PCN1053" s="103"/>
      <c r="PCZ1053" s="104"/>
      <c r="PDA1053" s="103"/>
      <c r="PDM1053" s="104"/>
      <c r="PDN1053" s="103"/>
      <c r="PDZ1053" s="104"/>
      <c r="PEA1053" s="103"/>
      <c r="PEM1053" s="104"/>
      <c r="PEN1053" s="103"/>
      <c r="PEZ1053" s="104"/>
      <c r="PFA1053" s="103"/>
      <c r="PFM1053" s="104"/>
      <c r="PFN1053" s="103"/>
      <c r="PFZ1053" s="104"/>
      <c r="PGA1053" s="103"/>
      <c r="PGM1053" s="104"/>
      <c r="PGN1053" s="103"/>
      <c r="PGZ1053" s="104"/>
      <c r="PHA1053" s="103"/>
      <c r="PHM1053" s="104"/>
      <c r="PHN1053" s="103"/>
      <c r="PHZ1053" s="104"/>
      <c r="PIA1053" s="103"/>
      <c r="PIM1053" s="104"/>
      <c r="PIN1053" s="103"/>
      <c r="PIZ1053" s="104"/>
      <c r="PJA1053" s="103"/>
      <c r="PJM1053" s="104"/>
      <c r="PJN1053" s="103"/>
      <c r="PJZ1053" s="104"/>
      <c r="PKA1053" s="103"/>
      <c r="PKM1053" s="104"/>
      <c r="PKN1053" s="103"/>
      <c r="PKZ1053" s="104"/>
      <c r="PLA1053" s="103"/>
      <c r="PLM1053" s="104"/>
      <c r="PLN1053" s="103"/>
      <c r="PLZ1053" s="104"/>
      <c r="PMA1053" s="103"/>
      <c r="PMM1053" s="104"/>
      <c r="PMN1053" s="103"/>
      <c r="PMZ1053" s="104"/>
      <c r="PNA1053" s="103"/>
      <c r="PNM1053" s="104"/>
      <c r="PNN1053" s="103"/>
      <c r="PNZ1053" s="104"/>
      <c r="POA1053" s="103"/>
      <c r="POM1053" s="104"/>
      <c r="PON1053" s="103"/>
      <c r="POZ1053" s="104"/>
      <c r="PPA1053" s="103"/>
      <c r="PPM1053" s="104"/>
      <c r="PPN1053" s="103"/>
      <c r="PPZ1053" s="104"/>
      <c r="PQA1053" s="103"/>
      <c r="PQM1053" s="104"/>
      <c r="PQN1053" s="103"/>
      <c r="PQZ1053" s="104"/>
      <c r="PRA1053" s="103"/>
      <c r="PRM1053" s="104"/>
      <c r="PRN1053" s="103"/>
      <c r="PRZ1053" s="104"/>
      <c r="PSA1053" s="103"/>
      <c r="PSM1053" s="104"/>
      <c r="PSN1053" s="103"/>
      <c r="PSZ1053" s="104"/>
      <c r="PTA1053" s="103"/>
      <c r="PTM1053" s="104"/>
      <c r="PTN1053" s="103"/>
      <c r="PTZ1053" s="104"/>
      <c r="PUA1053" s="103"/>
      <c r="PUM1053" s="104"/>
      <c r="PUN1053" s="103"/>
      <c r="PUZ1053" s="104"/>
      <c r="PVA1053" s="103"/>
      <c r="PVM1053" s="104"/>
      <c r="PVN1053" s="103"/>
      <c r="PVZ1053" s="104"/>
      <c r="PWA1053" s="103"/>
      <c r="PWM1053" s="104"/>
      <c r="PWN1053" s="103"/>
      <c r="PWZ1053" s="104"/>
      <c r="PXA1053" s="103"/>
      <c r="PXM1053" s="104"/>
      <c r="PXN1053" s="103"/>
      <c r="PXZ1053" s="104"/>
      <c r="PYA1053" s="103"/>
      <c r="PYM1053" s="104"/>
      <c r="PYN1053" s="103"/>
      <c r="PYZ1053" s="104"/>
      <c r="PZA1053" s="103"/>
      <c r="PZM1053" s="104"/>
      <c r="PZN1053" s="103"/>
      <c r="PZZ1053" s="104"/>
      <c r="QAA1053" s="103"/>
      <c r="QAM1053" s="104"/>
      <c r="QAN1053" s="103"/>
      <c r="QAZ1053" s="104"/>
      <c r="QBA1053" s="103"/>
      <c r="QBM1053" s="104"/>
      <c r="QBN1053" s="103"/>
      <c r="QBZ1053" s="104"/>
      <c r="QCA1053" s="103"/>
      <c r="QCM1053" s="104"/>
      <c r="QCN1053" s="103"/>
      <c r="QCZ1053" s="104"/>
      <c r="QDA1053" s="103"/>
      <c r="QDM1053" s="104"/>
      <c r="QDN1053" s="103"/>
      <c r="QDZ1053" s="104"/>
      <c r="QEA1053" s="103"/>
      <c r="QEM1053" s="104"/>
      <c r="QEN1053" s="103"/>
      <c r="QEZ1053" s="104"/>
      <c r="QFA1053" s="103"/>
      <c r="QFM1053" s="104"/>
      <c r="QFN1053" s="103"/>
      <c r="QFZ1053" s="104"/>
      <c r="QGA1053" s="103"/>
      <c r="QGM1053" s="104"/>
      <c r="QGN1053" s="103"/>
      <c r="QGZ1053" s="104"/>
      <c r="QHA1053" s="103"/>
      <c r="QHM1053" s="104"/>
      <c r="QHN1053" s="103"/>
      <c r="QHZ1053" s="104"/>
      <c r="QIA1053" s="103"/>
      <c r="QIM1053" s="104"/>
      <c r="QIN1053" s="103"/>
      <c r="QIZ1053" s="104"/>
      <c r="QJA1053" s="103"/>
      <c r="QJM1053" s="104"/>
      <c r="QJN1053" s="103"/>
      <c r="QJZ1053" s="104"/>
      <c r="QKA1053" s="103"/>
      <c r="QKM1053" s="104"/>
      <c r="QKN1053" s="103"/>
      <c r="QKZ1053" s="104"/>
      <c r="QLA1053" s="103"/>
      <c r="QLM1053" s="104"/>
      <c r="QLN1053" s="103"/>
      <c r="QLZ1053" s="104"/>
      <c r="QMA1053" s="103"/>
      <c r="QMM1053" s="104"/>
      <c r="QMN1053" s="103"/>
      <c r="QMZ1053" s="104"/>
      <c r="QNA1053" s="103"/>
      <c r="QNM1053" s="104"/>
      <c r="QNN1053" s="103"/>
      <c r="QNZ1053" s="104"/>
      <c r="QOA1053" s="103"/>
      <c r="QOM1053" s="104"/>
      <c r="QON1053" s="103"/>
      <c r="QOZ1053" s="104"/>
      <c r="QPA1053" s="103"/>
      <c r="QPM1053" s="104"/>
      <c r="QPN1053" s="103"/>
      <c r="QPZ1053" s="104"/>
      <c r="QQA1053" s="103"/>
      <c r="QQM1053" s="104"/>
      <c r="QQN1053" s="103"/>
      <c r="QQZ1053" s="104"/>
      <c r="QRA1053" s="103"/>
      <c r="QRM1053" s="104"/>
      <c r="QRN1053" s="103"/>
      <c r="QRZ1053" s="104"/>
      <c r="QSA1053" s="103"/>
      <c r="QSM1053" s="104"/>
      <c r="QSN1053" s="103"/>
      <c r="QSZ1053" s="104"/>
      <c r="QTA1053" s="103"/>
      <c r="QTM1053" s="104"/>
      <c r="QTN1053" s="103"/>
      <c r="QTZ1053" s="104"/>
      <c r="QUA1053" s="103"/>
      <c r="QUM1053" s="104"/>
      <c r="QUN1053" s="103"/>
      <c r="QUZ1053" s="104"/>
      <c r="QVA1053" s="103"/>
      <c r="QVM1053" s="104"/>
      <c r="QVN1053" s="103"/>
      <c r="QVZ1053" s="104"/>
      <c r="QWA1053" s="103"/>
      <c r="QWM1053" s="104"/>
      <c r="QWN1053" s="103"/>
      <c r="QWZ1053" s="104"/>
      <c r="QXA1053" s="103"/>
      <c r="QXM1053" s="104"/>
      <c r="QXN1053" s="103"/>
      <c r="QXZ1053" s="104"/>
      <c r="QYA1053" s="103"/>
      <c r="QYM1053" s="104"/>
      <c r="QYN1053" s="103"/>
      <c r="QYZ1053" s="104"/>
      <c r="QZA1053" s="103"/>
      <c r="QZM1053" s="104"/>
      <c r="QZN1053" s="103"/>
      <c r="QZZ1053" s="104"/>
      <c r="RAA1053" s="103"/>
      <c r="RAM1053" s="104"/>
      <c r="RAN1053" s="103"/>
      <c r="RAZ1053" s="104"/>
      <c r="RBA1053" s="103"/>
      <c r="RBM1053" s="104"/>
      <c r="RBN1053" s="103"/>
      <c r="RBZ1053" s="104"/>
      <c r="RCA1053" s="103"/>
      <c r="RCM1053" s="104"/>
      <c r="RCN1053" s="103"/>
      <c r="RCZ1053" s="104"/>
      <c r="RDA1053" s="103"/>
      <c r="RDM1053" s="104"/>
      <c r="RDN1053" s="103"/>
      <c r="RDZ1053" s="104"/>
      <c r="REA1053" s="103"/>
      <c r="REM1053" s="104"/>
      <c r="REN1053" s="103"/>
      <c r="REZ1053" s="104"/>
      <c r="RFA1053" s="103"/>
      <c r="RFM1053" s="104"/>
      <c r="RFN1053" s="103"/>
      <c r="RFZ1053" s="104"/>
      <c r="RGA1053" s="103"/>
      <c r="RGM1053" s="104"/>
      <c r="RGN1053" s="103"/>
      <c r="RGZ1053" s="104"/>
      <c r="RHA1053" s="103"/>
      <c r="RHM1053" s="104"/>
      <c r="RHN1053" s="103"/>
      <c r="RHZ1053" s="104"/>
      <c r="RIA1053" s="103"/>
      <c r="RIM1053" s="104"/>
      <c r="RIN1053" s="103"/>
      <c r="RIZ1053" s="104"/>
      <c r="RJA1053" s="103"/>
      <c r="RJM1053" s="104"/>
      <c r="RJN1053" s="103"/>
      <c r="RJZ1053" s="104"/>
      <c r="RKA1053" s="103"/>
      <c r="RKM1053" s="104"/>
      <c r="RKN1053" s="103"/>
      <c r="RKZ1053" s="104"/>
      <c r="RLA1053" s="103"/>
      <c r="RLM1053" s="104"/>
      <c r="RLN1053" s="103"/>
      <c r="RLZ1053" s="104"/>
      <c r="RMA1053" s="103"/>
      <c r="RMM1053" s="104"/>
      <c r="RMN1053" s="103"/>
      <c r="RMZ1053" s="104"/>
      <c r="RNA1053" s="103"/>
      <c r="RNM1053" s="104"/>
      <c r="RNN1053" s="103"/>
      <c r="RNZ1053" s="104"/>
      <c r="ROA1053" s="103"/>
      <c r="ROM1053" s="104"/>
      <c r="RON1053" s="103"/>
      <c r="ROZ1053" s="104"/>
      <c r="RPA1053" s="103"/>
      <c r="RPM1053" s="104"/>
      <c r="RPN1053" s="103"/>
      <c r="RPZ1053" s="104"/>
      <c r="RQA1053" s="103"/>
      <c r="RQM1053" s="104"/>
      <c r="RQN1053" s="103"/>
      <c r="RQZ1053" s="104"/>
      <c r="RRA1053" s="103"/>
      <c r="RRM1053" s="104"/>
      <c r="RRN1053" s="103"/>
      <c r="RRZ1053" s="104"/>
      <c r="RSA1053" s="103"/>
      <c r="RSM1053" s="104"/>
      <c r="RSN1053" s="103"/>
      <c r="RSZ1053" s="104"/>
      <c r="RTA1053" s="103"/>
      <c r="RTM1053" s="104"/>
      <c r="RTN1053" s="103"/>
      <c r="RTZ1053" s="104"/>
      <c r="RUA1053" s="103"/>
      <c r="RUM1053" s="104"/>
      <c r="RUN1053" s="103"/>
      <c r="RUZ1053" s="104"/>
      <c r="RVA1053" s="103"/>
      <c r="RVM1053" s="104"/>
      <c r="RVN1053" s="103"/>
      <c r="RVZ1053" s="104"/>
      <c r="RWA1053" s="103"/>
      <c r="RWM1053" s="104"/>
      <c r="RWN1053" s="103"/>
      <c r="RWZ1053" s="104"/>
      <c r="RXA1053" s="103"/>
      <c r="RXM1053" s="104"/>
      <c r="RXN1053" s="103"/>
      <c r="RXZ1053" s="104"/>
      <c r="RYA1053" s="103"/>
      <c r="RYM1053" s="104"/>
      <c r="RYN1053" s="103"/>
      <c r="RYZ1053" s="104"/>
      <c r="RZA1053" s="103"/>
      <c r="RZM1053" s="104"/>
      <c r="RZN1053" s="103"/>
      <c r="RZZ1053" s="104"/>
      <c r="SAA1053" s="103"/>
      <c r="SAM1053" s="104"/>
      <c r="SAN1053" s="103"/>
      <c r="SAZ1053" s="104"/>
      <c r="SBA1053" s="103"/>
      <c r="SBM1053" s="104"/>
      <c r="SBN1053" s="103"/>
      <c r="SBZ1053" s="104"/>
      <c r="SCA1053" s="103"/>
      <c r="SCM1053" s="104"/>
      <c r="SCN1053" s="103"/>
      <c r="SCZ1053" s="104"/>
      <c r="SDA1053" s="103"/>
      <c r="SDM1053" s="104"/>
      <c r="SDN1053" s="103"/>
      <c r="SDZ1053" s="104"/>
      <c r="SEA1053" s="103"/>
      <c r="SEM1053" s="104"/>
      <c r="SEN1053" s="103"/>
      <c r="SEZ1053" s="104"/>
      <c r="SFA1053" s="103"/>
      <c r="SFM1053" s="104"/>
      <c r="SFN1053" s="103"/>
      <c r="SFZ1053" s="104"/>
      <c r="SGA1053" s="103"/>
      <c r="SGM1053" s="104"/>
      <c r="SGN1053" s="103"/>
      <c r="SGZ1053" s="104"/>
      <c r="SHA1053" s="103"/>
      <c r="SHM1053" s="104"/>
      <c r="SHN1053" s="103"/>
      <c r="SHZ1053" s="104"/>
      <c r="SIA1053" s="103"/>
      <c r="SIM1053" s="104"/>
      <c r="SIN1053" s="103"/>
      <c r="SIZ1053" s="104"/>
      <c r="SJA1053" s="103"/>
      <c r="SJM1053" s="104"/>
      <c r="SJN1053" s="103"/>
      <c r="SJZ1053" s="104"/>
      <c r="SKA1053" s="103"/>
      <c r="SKM1053" s="104"/>
      <c r="SKN1053" s="103"/>
      <c r="SKZ1053" s="104"/>
      <c r="SLA1053" s="103"/>
      <c r="SLM1053" s="104"/>
      <c r="SLN1053" s="103"/>
      <c r="SLZ1053" s="104"/>
      <c r="SMA1053" s="103"/>
      <c r="SMM1053" s="104"/>
      <c r="SMN1053" s="103"/>
      <c r="SMZ1053" s="104"/>
      <c r="SNA1053" s="103"/>
      <c r="SNM1053" s="104"/>
      <c r="SNN1053" s="103"/>
      <c r="SNZ1053" s="104"/>
      <c r="SOA1053" s="103"/>
      <c r="SOM1053" s="104"/>
      <c r="SON1053" s="103"/>
      <c r="SOZ1053" s="104"/>
      <c r="SPA1053" s="103"/>
      <c r="SPM1053" s="104"/>
      <c r="SPN1053" s="103"/>
      <c r="SPZ1053" s="104"/>
      <c r="SQA1053" s="103"/>
      <c r="SQM1053" s="104"/>
      <c r="SQN1053" s="103"/>
      <c r="SQZ1053" s="104"/>
      <c r="SRA1053" s="103"/>
      <c r="SRM1053" s="104"/>
      <c r="SRN1053" s="103"/>
      <c r="SRZ1053" s="104"/>
      <c r="SSA1053" s="103"/>
      <c r="SSM1053" s="104"/>
      <c r="SSN1053" s="103"/>
      <c r="SSZ1053" s="104"/>
      <c r="STA1053" s="103"/>
      <c r="STM1053" s="104"/>
      <c r="STN1053" s="103"/>
      <c r="STZ1053" s="104"/>
      <c r="SUA1053" s="103"/>
      <c r="SUM1053" s="104"/>
      <c r="SUN1053" s="103"/>
      <c r="SUZ1053" s="104"/>
      <c r="SVA1053" s="103"/>
      <c r="SVM1053" s="104"/>
      <c r="SVN1053" s="103"/>
      <c r="SVZ1053" s="104"/>
      <c r="SWA1053" s="103"/>
      <c r="SWM1053" s="104"/>
      <c r="SWN1053" s="103"/>
      <c r="SWZ1053" s="104"/>
      <c r="SXA1053" s="103"/>
      <c r="SXM1053" s="104"/>
      <c r="SXN1053" s="103"/>
      <c r="SXZ1053" s="104"/>
      <c r="SYA1053" s="103"/>
      <c r="SYM1053" s="104"/>
      <c r="SYN1053" s="103"/>
      <c r="SYZ1053" s="104"/>
      <c r="SZA1053" s="103"/>
      <c r="SZM1053" s="104"/>
      <c r="SZN1053" s="103"/>
      <c r="SZZ1053" s="104"/>
      <c r="TAA1053" s="103"/>
      <c r="TAM1053" s="104"/>
      <c r="TAN1053" s="103"/>
      <c r="TAZ1053" s="104"/>
      <c r="TBA1053" s="103"/>
      <c r="TBM1053" s="104"/>
      <c r="TBN1053" s="103"/>
      <c r="TBZ1053" s="104"/>
      <c r="TCA1053" s="103"/>
      <c r="TCM1053" s="104"/>
      <c r="TCN1053" s="103"/>
      <c r="TCZ1053" s="104"/>
      <c r="TDA1053" s="103"/>
      <c r="TDM1053" s="104"/>
      <c r="TDN1053" s="103"/>
      <c r="TDZ1053" s="104"/>
      <c r="TEA1053" s="103"/>
      <c r="TEM1053" s="104"/>
      <c r="TEN1053" s="103"/>
      <c r="TEZ1053" s="104"/>
      <c r="TFA1053" s="103"/>
      <c r="TFM1053" s="104"/>
      <c r="TFN1053" s="103"/>
      <c r="TFZ1053" s="104"/>
      <c r="TGA1053" s="103"/>
      <c r="TGM1053" s="104"/>
      <c r="TGN1053" s="103"/>
      <c r="TGZ1053" s="104"/>
      <c r="THA1053" s="103"/>
      <c r="THM1053" s="104"/>
      <c r="THN1053" s="103"/>
      <c r="THZ1053" s="104"/>
      <c r="TIA1053" s="103"/>
      <c r="TIM1053" s="104"/>
      <c r="TIN1053" s="103"/>
      <c r="TIZ1053" s="104"/>
      <c r="TJA1053" s="103"/>
      <c r="TJM1053" s="104"/>
      <c r="TJN1053" s="103"/>
      <c r="TJZ1053" s="104"/>
      <c r="TKA1053" s="103"/>
      <c r="TKM1053" s="104"/>
      <c r="TKN1053" s="103"/>
      <c r="TKZ1053" s="104"/>
      <c r="TLA1053" s="103"/>
      <c r="TLM1053" s="104"/>
      <c r="TLN1053" s="103"/>
      <c r="TLZ1053" s="104"/>
      <c r="TMA1053" s="103"/>
      <c r="TMM1053" s="104"/>
      <c r="TMN1053" s="103"/>
      <c r="TMZ1053" s="104"/>
      <c r="TNA1053" s="103"/>
      <c r="TNM1053" s="104"/>
      <c r="TNN1053" s="103"/>
      <c r="TNZ1053" s="104"/>
      <c r="TOA1053" s="103"/>
      <c r="TOM1053" s="104"/>
      <c r="TON1053" s="103"/>
      <c r="TOZ1053" s="104"/>
      <c r="TPA1053" s="103"/>
      <c r="TPM1053" s="104"/>
      <c r="TPN1053" s="103"/>
      <c r="TPZ1053" s="104"/>
      <c r="TQA1053" s="103"/>
      <c r="TQM1053" s="104"/>
      <c r="TQN1053" s="103"/>
      <c r="TQZ1053" s="104"/>
      <c r="TRA1053" s="103"/>
      <c r="TRM1053" s="104"/>
      <c r="TRN1053" s="103"/>
      <c r="TRZ1053" s="104"/>
      <c r="TSA1053" s="103"/>
      <c r="TSM1053" s="104"/>
      <c r="TSN1053" s="103"/>
      <c r="TSZ1053" s="104"/>
      <c r="TTA1053" s="103"/>
      <c r="TTM1053" s="104"/>
      <c r="TTN1053" s="103"/>
      <c r="TTZ1053" s="104"/>
      <c r="TUA1053" s="103"/>
      <c r="TUM1053" s="104"/>
      <c r="TUN1053" s="103"/>
      <c r="TUZ1053" s="104"/>
      <c r="TVA1053" s="103"/>
      <c r="TVM1053" s="104"/>
      <c r="TVN1053" s="103"/>
      <c r="TVZ1053" s="104"/>
      <c r="TWA1053" s="103"/>
      <c r="TWM1053" s="104"/>
      <c r="TWN1053" s="103"/>
      <c r="TWZ1053" s="104"/>
      <c r="TXA1053" s="103"/>
      <c r="TXM1053" s="104"/>
      <c r="TXN1053" s="103"/>
      <c r="TXZ1053" s="104"/>
      <c r="TYA1053" s="103"/>
      <c r="TYM1053" s="104"/>
      <c r="TYN1053" s="103"/>
      <c r="TYZ1053" s="104"/>
      <c r="TZA1053" s="103"/>
      <c r="TZM1053" s="104"/>
      <c r="TZN1053" s="103"/>
      <c r="TZZ1053" s="104"/>
      <c r="UAA1053" s="103"/>
      <c r="UAM1053" s="104"/>
      <c r="UAN1053" s="103"/>
      <c r="UAZ1053" s="104"/>
      <c r="UBA1053" s="103"/>
      <c r="UBM1053" s="104"/>
      <c r="UBN1053" s="103"/>
      <c r="UBZ1053" s="104"/>
      <c r="UCA1053" s="103"/>
      <c r="UCM1053" s="104"/>
      <c r="UCN1053" s="103"/>
      <c r="UCZ1053" s="104"/>
      <c r="UDA1053" s="103"/>
      <c r="UDM1053" s="104"/>
      <c r="UDN1053" s="103"/>
      <c r="UDZ1053" s="104"/>
      <c r="UEA1053" s="103"/>
      <c r="UEM1053" s="104"/>
      <c r="UEN1053" s="103"/>
      <c r="UEZ1053" s="104"/>
      <c r="UFA1053" s="103"/>
      <c r="UFM1053" s="104"/>
      <c r="UFN1053" s="103"/>
      <c r="UFZ1053" s="104"/>
      <c r="UGA1053" s="103"/>
      <c r="UGM1053" s="104"/>
      <c r="UGN1053" s="103"/>
      <c r="UGZ1053" s="104"/>
      <c r="UHA1053" s="103"/>
      <c r="UHM1053" s="104"/>
      <c r="UHN1053" s="103"/>
      <c r="UHZ1053" s="104"/>
      <c r="UIA1053" s="103"/>
      <c r="UIM1053" s="104"/>
      <c r="UIN1053" s="103"/>
      <c r="UIZ1053" s="104"/>
      <c r="UJA1053" s="103"/>
      <c r="UJM1053" s="104"/>
      <c r="UJN1053" s="103"/>
      <c r="UJZ1053" s="104"/>
      <c r="UKA1053" s="103"/>
      <c r="UKM1053" s="104"/>
      <c r="UKN1053" s="103"/>
      <c r="UKZ1053" s="104"/>
      <c r="ULA1053" s="103"/>
      <c r="ULM1053" s="104"/>
      <c r="ULN1053" s="103"/>
      <c r="ULZ1053" s="104"/>
      <c r="UMA1053" s="103"/>
      <c r="UMM1053" s="104"/>
      <c r="UMN1053" s="103"/>
      <c r="UMZ1053" s="104"/>
      <c r="UNA1053" s="103"/>
      <c r="UNM1053" s="104"/>
      <c r="UNN1053" s="103"/>
      <c r="UNZ1053" s="104"/>
      <c r="UOA1053" s="103"/>
      <c r="UOM1053" s="104"/>
      <c r="UON1053" s="103"/>
      <c r="UOZ1053" s="104"/>
      <c r="UPA1053" s="103"/>
      <c r="UPM1053" s="104"/>
      <c r="UPN1053" s="103"/>
      <c r="UPZ1053" s="104"/>
      <c r="UQA1053" s="103"/>
      <c r="UQM1053" s="104"/>
      <c r="UQN1053" s="103"/>
      <c r="UQZ1053" s="104"/>
      <c r="URA1053" s="103"/>
      <c r="URM1053" s="104"/>
      <c r="URN1053" s="103"/>
      <c r="URZ1053" s="104"/>
      <c r="USA1053" s="103"/>
      <c r="USM1053" s="104"/>
      <c r="USN1053" s="103"/>
      <c r="USZ1053" s="104"/>
      <c r="UTA1053" s="103"/>
      <c r="UTM1053" s="104"/>
      <c r="UTN1053" s="103"/>
      <c r="UTZ1053" s="104"/>
      <c r="UUA1053" s="103"/>
      <c r="UUM1053" s="104"/>
      <c r="UUN1053" s="103"/>
      <c r="UUZ1053" s="104"/>
      <c r="UVA1053" s="103"/>
      <c r="UVM1053" s="104"/>
      <c r="UVN1053" s="103"/>
      <c r="UVZ1053" s="104"/>
      <c r="UWA1053" s="103"/>
      <c r="UWM1053" s="104"/>
      <c r="UWN1053" s="103"/>
      <c r="UWZ1053" s="104"/>
      <c r="UXA1053" s="103"/>
      <c r="UXM1053" s="104"/>
      <c r="UXN1053" s="103"/>
      <c r="UXZ1053" s="104"/>
      <c r="UYA1053" s="103"/>
      <c r="UYM1053" s="104"/>
      <c r="UYN1053" s="103"/>
      <c r="UYZ1053" s="104"/>
      <c r="UZA1053" s="103"/>
      <c r="UZM1053" s="104"/>
      <c r="UZN1053" s="103"/>
      <c r="UZZ1053" s="104"/>
      <c r="VAA1053" s="103"/>
      <c r="VAM1053" s="104"/>
      <c r="VAN1053" s="103"/>
      <c r="VAZ1053" s="104"/>
      <c r="VBA1053" s="103"/>
      <c r="VBM1053" s="104"/>
      <c r="VBN1053" s="103"/>
      <c r="VBZ1053" s="104"/>
      <c r="VCA1053" s="103"/>
      <c r="VCM1053" s="104"/>
      <c r="VCN1053" s="103"/>
      <c r="VCZ1053" s="104"/>
      <c r="VDA1053" s="103"/>
      <c r="VDM1053" s="104"/>
      <c r="VDN1053" s="103"/>
      <c r="VDZ1053" s="104"/>
      <c r="VEA1053" s="103"/>
      <c r="VEM1053" s="104"/>
      <c r="VEN1053" s="103"/>
      <c r="VEZ1053" s="104"/>
      <c r="VFA1053" s="103"/>
      <c r="VFM1053" s="104"/>
      <c r="VFN1053" s="103"/>
      <c r="VFZ1053" s="104"/>
      <c r="VGA1053" s="103"/>
      <c r="VGM1053" s="104"/>
      <c r="VGN1053" s="103"/>
      <c r="VGZ1053" s="104"/>
      <c r="VHA1053" s="103"/>
      <c r="VHM1053" s="104"/>
      <c r="VHN1053" s="103"/>
      <c r="VHZ1053" s="104"/>
      <c r="VIA1053" s="103"/>
      <c r="VIM1053" s="104"/>
      <c r="VIN1053" s="103"/>
      <c r="VIZ1053" s="104"/>
      <c r="VJA1053" s="103"/>
      <c r="VJM1053" s="104"/>
      <c r="VJN1053" s="103"/>
      <c r="VJZ1053" s="104"/>
      <c r="VKA1053" s="103"/>
      <c r="VKM1053" s="104"/>
      <c r="VKN1053" s="103"/>
      <c r="VKZ1053" s="104"/>
      <c r="VLA1053" s="103"/>
      <c r="VLM1053" s="104"/>
      <c r="VLN1053" s="103"/>
      <c r="VLZ1053" s="104"/>
      <c r="VMA1053" s="103"/>
      <c r="VMM1053" s="104"/>
      <c r="VMN1053" s="103"/>
      <c r="VMZ1053" s="104"/>
      <c r="VNA1053" s="103"/>
      <c r="VNM1053" s="104"/>
      <c r="VNN1053" s="103"/>
      <c r="VNZ1053" s="104"/>
      <c r="VOA1053" s="103"/>
      <c r="VOM1053" s="104"/>
      <c r="VON1053" s="103"/>
      <c r="VOZ1053" s="104"/>
      <c r="VPA1053" s="103"/>
      <c r="VPM1053" s="104"/>
      <c r="VPN1053" s="103"/>
      <c r="VPZ1053" s="104"/>
      <c r="VQA1053" s="103"/>
      <c r="VQM1053" s="104"/>
      <c r="VQN1053" s="103"/>
      <c r="VQZ1053" s="104"/>
      <c r="VRA1053" s="103"/>
      <c r="VRM1053" s="104"/>
      <c r="VRN1053" s="103"/>
      <c r="VRZ1053" s="104"/>
      <c r="VSA1053" s="103"/>
      <c r="VSM1053" s="104"/>
      <c r="VSN1053" s="103"/>
      <c r="VSZ1053" s="104"/>
      <c r="VTA1053" s="103"/>
      <c r="VTM1053" s="104"/>
      <c r="VTN1053" s="103"/>
      <c r="VTZ1053" s="104"/>
      <c r="VUA1053" s="103"/>
      <c r="VUM1053" s="104"/>
      <c r="VUN1053" s="103"/>
      <c r="VUZ1053" s="104"/>
      <c r="VVA1053" s="103"/>
      <c r="VVM1053" s="104"/>
      <c r="VVN1053" s="103"/>
      <c r="VVZ1053" s="104"/>
      <c r="VWA1053" s="103"/>
      <c r="VWM1053" s="104"/>
      <c r="VWN1053" s="103"/>
      <c r="VWZ1053" s="104"/>
      <c r="VXA1053" s="103"/>
      <c r="VXM1053" s="104"/>
      <c r="VXN1053" s="103"/>
      <c r="VXZ1053" s="104"/>
      <c r="VYA1053" s="103"/>
      <c r="VYM1053" s="104"/>
      <c r="VYN1053" s="103"/>
      <c r="VYZ1053" s="104"/>
      <c r="VZA1053" s="103"/>
      <c r="VZM1053" s="104"/>
      <c r="VZN1053" s="103"/>
      <c r="VZZ1053" s="104"/>
      <c r="WAA1053" s="103"/>
      <c r="WAM1053" s="104"/>
      <c r="WAN1053" s="103"/>
      <c r="WAZ1053" s="104"/>
      <c r="WBA1053" s="103"/>
      <c r="WBM1053" s="104"/>
      <c r="WBN1053" s="103"/>
      <c r="WBZ1053" s="104"/>
      <c r="WCA1053" s="103"/>
      <c r="WCM1053" s="104"/>
      <c r="WCN1053" s="103"/>
      <c r="WCZ1053" s="104"/>
      <c r="WDA1053" s="103"/>
      <c r="WDM1053" s="104"/>
      <c r="WDN1053" s="103"/>
      <c r="WDZ1053" s="104"/>
      <c r="WEA1053" s="103"/>
      <c r="WEM1053" s="104"/>
      <c r="WEN1053" s="103"/>
      <c r="WEZ1053" s="104"/>
      <c r="WFA1053" s="103"/>
      <c r="WFM1053" s="104"/>
      <c r="WFN1053" s="103"/>
      <c r="WFZ1053" s="104"/>
      <c r="WGA1053" s="103"/>
      <c r="WGM1053" s="104"/>
      <c r="WGN1053" s="103"/>
      <c r="WGZ1053" s="104"/>
      <c r="WHA1053" s="103"/>
      <c r="WHM1053" s="104"/>
      <c r="WHN1053" s="103"/>
      <c r="WHZ1053" s="104"/>
      <c r="WIA1053" s="103"/>
      <c r="WIM1053" s="104"/>
      <c r="WIN1053" s="103"/>
      <c r="WIZ1053" s="104"/>
      <c r="WJA1053" s="103"/>
      <c r="WJM1053" s="104"/>
      <c r="WJN1053" s="103"/>
      <c r="WJZ1053" s="104"/>
      <c r="WKA1053" s="103"/>
      <c r="WKM1053" s="104"/>
      <c r="WKN1053" s="103"/>
      <c r="WKZ1053" s="104"/>
      <c r="WLA1053" s="103"/>
      <c r="WLM1053" s="104"/>
      <c r="WLN1053" s="103"/>
      <c r="WLZ1053" s="104"/>
      <c r="WMA1053" s="103"/>
      <c r="WMM1053" s="104"/>
      <c r="WMN1053" s="103"/>
      <c r="WMZ1053" s="104"/>
      <c r="WNA1053" s="103"/>
      <c r="WNM1053" s="104"/>
      <c r="WNN1053" s="103"/>
      <c r="WNZ1053" s="104"/>
      <c r="WOA1053" s="103"/>
      <c r="WOM1053" s="104"/>
      <c r="WON1053" s="103"/>
      <c r="WOZ1053" s="104"/>
      <c r="WPA1053" s="103"/>
      <c r="WPM1053" s="104"/>
      <c r="WPN1053" s="103"/>
      <c r="WPZ1053" s="104"/>
      <c r="WQA1053" s="103"/>
      <c r="WQM1053" s="104"/>
      <c r="WQN1053" s="103"/>
      <c r="WQZ1053" s="104"/>
      <c r="WRA1053" s="103"/>
      <c r="WRM1053" s="104"/>
      <c r="WRN1053" s="103"/>
      <c r="WRZ1053" s="104"/>
      <c r="WSA1053" s="103"/>
      <c r="WSM1053" s="104"/>
      <c r="WSN1053" s="103"/>
      <c r="WSZ1053" s="104"/>
      <c r="WTA1053" s="103"/>
      <c r="WTM1053" s="104"/>
      <c r="WTN1053" s="103"/>
      <c r="WTZ1053" s="104"/>
      <c r="WUA1053" s="103"/>
      <c r="WUM1053" s="104"/>
      <c r="WUN1053" s="103"/>
      <c r="WUZ1053" s="104"/>
      <c r="WVA1053" s="103"/>
      <c r="WVM1053" s="104"/>
      <c r="WVN1053" s="103"/>
      <c r="WVZ1053" s="104"/>
      <c r="WWA1053" s="103"/>
      <c r="WWM1053" s="104"/>
      <c r="WWN1053" s="103"/>
      <c r="WWZ1053" s="104"/>
      <c r="WXA1053" s="103"/>
      <c r="WXM1053" s="104"/>
      <c r="WXN1053" s="103"/>
      <c r="WXZ1053" s="104"/>
      <c r="WYA1053" s="103"/>
      <c r="WYM1053" s="104"/>
      <c r="WYN1053" s="103"/>
      <c r="WYZ1053" s="104"/>
      <c r="WZA1053" s="103"/>
      <c r="WZM1053" s="104"/>
      <c r="WZN1053" s="103"/>
      <c r="WZZ1053" s="104"/>
      <c r="XAA1053" s="103"/>
      <c r="XAM1053" s="104"/>
      <c r="XAN1053" s="103"/>
      <c r="XAZ1053" s="104"/>
      <c r="XBA1053" s="103"/>
      <c r="XBM1053" s="104"/>
      <c r="XBN1053" s="103"/>
      <c r="XBZ1053" s="104"/>
      <c r="XCA1053" s="103"/>
      <c r="XCM1053" s="104"/>
      <c r="XCN1053" s="103"/>
      <c r="XCZ1053" s="104"/>
      <c r="XDA1053" s="103"/>
      <c r="XDM1053" s="104"/>
      <c r="XDN1053" s="103"/>
      <c r="XDZ1053" s="104"/>
      <c r="XEA1053" s="103"/>
      <c r="XEM1053" s="104"/>
      <c r="XEN1053" s="103"/>
      <c r="XEZ1053" s="104"/>
      <c r="XFA1053" s="103"/>
    </row>
    <row r="1054" spans="1:1015 1027:2042 2054:3069 3081:4096 4108:5110 5122:6137 6149:7164 7176:8191 8203:9205 9217:10232 10244:11259 11271:12286 12298:14327 14339:15354 15366:16381">
      <c r="Z1054" s="104"/>
      <c r="AA1054" s="103"/>
      <c r="AM1054" s="104"/>
      <c r="AN1054" s="103"/>
      <c r="AZ1054" s="104"/>
      <c r="BA1054" s="103"/>
      <c r="BM1054" s="104"/>
      <c r="BN1054" s="103"/>
      <c r="BZ1054" s="104"/>
      <c r="CA1054" s="103"/>
      <c r="CM1054" s="104"/>
      <c r="CN1054" s="103"/>
      <c r="CZ1054" s="104"/>
      <c r="DA1054" s="103"/>
      <c r="DM1054" s="104"/>
      <c r="DN1054" s="103"/>
      <c r="DZ1054" s="104"/>
      <c r="EA1054" s="103"/>
      <c r="EM1054" s="104"/>
      <c r="EN1054" s="103"/>
      <c r="EZ1054" s="104"/>
      <c r="FA1054" s="103"/>
      <c r="FM1054" s="104"/>
      <c r="FN1054" s="103"/>
      <c r="FZ1054" s="104"/>
      <c r="GA1054" s="103"/>
      <c r="GM1054" s="104"/>
      <c r="GN1054" s="103"/>
      <c r="GZ1054" s="104"/>
      <c r="HA1054" s="103"/>
      <c r="HM1054" s="104"/>
      <c r="HN1054" s="103"/>
      <c r="HZ1054" s="104"/>
      <c r="IA1054" s="103"/>
      <c r="IM1054" s="104"/>
      <c r="IN1054" s="103"/>
      <c r="IZ1054" s="104"/>
      <c r="JA1054" s="103"/>
      <c r="JM1054" s="104"/>
      <c r="JN1054" s="103"/>
      <c r="JZ1054" s="104"/>
      <c r="KA1054" s="103"/>
      <c r="KM1054" s="104"/>
      <c r="KN1054" s="103"/>
      <c r="KZ1054" s="104"/>
      <c r="LA1054" s="103"/>
      <c r="LM1054" s="104"/>
      <c r="LN1054" s="103"/>
      <c r="LZ1054" s="104"/>
      <c r="MA1054" s="103"/>
      <c r="MM1054" s="104"/>
      <c r="MN1054" s="103"/>
      <c r="MZ1054" s="104"/>
      <c r="NA1054" s="103"/>
      <c r="NM1054" s="104"/>
      <c r="NN1054" s="103"/>
      <c r="NZ1054" s="104"/>
      <c r="OA1054" s="103"/>
      <c r="OM1054" s="104"/>
      <c r="ON1054" s="103"/>
      <c r="OZ1054" s="104"/>
      <c r="PA1054" s="103"/>
      <c r="PM1054" s="104"/>
      <c r="PN1054" s="103"/>
      <c r="PZ1054" s="104"/>
      <c r="QA1054" s="103"/>
      <c r="QM1054" s="104"/>
      <c r="QN1054" s="103"/>
      <c r="QZ1054" s="104"/>
      <c r="RA1054" s="103"/>
      <c r="RM1054" s="104"/>
      <c r="RN1054" s="103"/>
      <c r="RZ1054" s="104"/>
      <c r="SA1054" s="103"/>
      <c r="SM1054" s="104"/>
      <c r="SN1054" s="103"/>
      <c r="SZ1054" s="104"/>
      <c r="TA1054" s="103"/>
      <c r="TM1054" s="104"/>
      <c r="TN1054" s="103"/>
      <c r="TZ1054" s="104"/>
      <c r="UA1054" s="103"/>
      <c r="UM1054" s="104"/>
      <c r="UN1054" s="103"/>
      <c r="UZ1054" s="104"/>
      <c r="VA1054" s="103"/>
      <c r="VM1054" s="104"/>
      <c r="VN1054" s="103"/>
      <c r="VZ1054" s="104"/>
      <c r="WA1054" s="103"/>
      <c r="WM1054" s="104"/>
      <c r="WN1054" s="103"/>
      <c r="WZ1054" s="104"/>
      <c r="XA1054" s="103"/>
      <c r="XM1054" s="104"/>
      <c r="XN1054" s="103"/>
      <c r="XZ1054" s="104"/>
      <c r="YA1054" s="103"/>
      <c r="YM1054" s="104"/>
      <c r="YN1054" s="103"/>
      <c r="YZ1054" s="104"/>
      <c r="ZA1054" s="103"/>
      <c r="ZM1054" s="104"/>
      <c r="ZN1054" s="103"/>
      <c r="ZZ1054" s="104"/>
      <c r="AAA1054" s="103"/>
      <c r="AAM1054" s="104"/>
      <c r="AAN1054" s="103"/>
      <c r="AAZ1054" s="104"/>
      <c r="ABA1054" s="103"/>
      <c r="ABM1054" s="104"/>
      <c r="ABN1054" s="103"/>
      <c r="ABZ1054" s="104"/>
      <c r="ACA1054" s="103"/>
      <c r="ACM1054" s="104"/>
      <c r="ACN1054" s="103"/>
      <c r="ACZ1054" s="104"/>
      <c r="ADA1054" s="103"/>
      <c r="ADM1054" s="104"/>
      <c r="ADN1054" s="103"/>
      <c r="ADZ1054" s="104"/>
      <c r="AEA1054" s="103"/>
      <c r="AEM1054" s="104"/>
      <c r="AEN1054" s="103"/>
      <c r="AEZ1054" s="104"/>
      <c r="AFA1054" s="103"/>
      <c r="AFM1054" s="104"/>
      <c r="AFN1054" s="103"/>
      <c r="AFZ1054" s="104"/>
      <c r="AGA1054" s="103"/>
      <c r="AGM1054" s="104"/>
      <c r="AGN1054" s="103"/>
      <c r="AGZ1054" s="104"/>
      <c r="AHA1054" s="103"/>
      <c r="AHM1054" s="104"/>
      <c r="AHN1054" s="103"/>
      <c r="AHZ1054" s="104"/>
      <c r="AIA1054" s="103"/>
      <c r="AIM1054" s="104"/>
      <c r="AIN1054" s="103"/>
      <c r="AIZ1054" s="104"/>
      <c r="AJA1054" s="103"/>
      <c r="AJM1054" s="104"/>
      <c r="AJN1054" s="103"/>
      <c r="AJZ1054" s="104"/>
      <c r="AKA1054" s="103"/>
      <c r="AKM1054" s="104"/>
      <c r="AKN1054" s="103"/>
      <c r="AKZ1054" s="104"/>
      <c r="ALA1054" s="103"/>
      <c r="ALM1054" s="104"/>
      <c r="ALN1054" s="103"/>
      <c r="ALZ1054" s="104"/>
      <c r="AMA1054" s="103"/>
      <c r="AMM1054" s="104"/>
      <c r="AMN1054" s="103"/>
      <c r="AMZ1054" s="104"/>
      <c r="ANA1054" s="103"/>
      <c r="ANM1054" s="104"/>
      <c r="ANN1054" s="103"/>
      <c r="ANZ1054" s="104"/>
      <c r="AOA1054" s="103"/>
      <c r="AOM1054" s="104"/>
      <c r="AON1054" s="103"/>
      <c r="AOZ1054" s="104"/>
      <c r="APA1054" s="103"/>
      <c r="APM1054" s="104"/>
      <c r="APN1054" s="103"/>
      <c r="APZ1054" s="104"/>
      <c r="AQA1054" s="103"/>
      <c r="AQM1054" s="104"/>
      <c r="AQN1054" s="103"/>
      <c r="AQZ1054" s="104"/>
      <c r="ARA1054" s="103"/>
      <c r="ARM1054" s="104"/>
      <c r="ARN1054" s="103"/>
      <c r="ARZ1054" s="104"/>
      <c r="ASA1054" s="103"/>
      <c r="ASM1054" s="104"/>
      <c r="ASN1054" s="103"/>
      <c r="ASZ1054" s="104"/>
      <c r="ATA1054" s="103"/>
      <c r="ATM1054" s="104"/>
      <c r="ATN1054" s="103"/>
      <c r="ATZ1054" s="104"/>
      <c r="AUA1054" s="103"/>
      <c r="AUM1054" s="104"/>
      <c r="AUN1054" s="103"/>
      <c r="AUZ1054" s="104"/>
      <c r="AVA1054" s="103"/>
      <c r="AVM1054" s="104"/>
      <c r="AVN1054" s="103"/>
      <c r="AVZ1054" s="104"/>
      <c r="AWA1054" s="103"/>
      <c r="AWM1054" s="104"/>
      <c r="AWN1054" s="103"/>
      <c r="AWZ1054" s="104"/>
      <c r="AXA1054" s="103"/>
      <c r="AXM1054" s="104"/>
      <c r="AXN1054" s="103"/>
      <c r="AXZ1054" s="104"/>
      <c r="AYA1054" s="103"/>
      <c r="AYM1054" s="104"/>
      <c r="AYN1054" s="103"/>
      <c r="AYZ1054" s="104"/>
      <c r="AZA1054" s="103"/>
      <c r="AZM1054" s="104"/>
      <c r="AZN1054" s="103"/>
      <c r="AZZ1054" s="104"/>
      <c r="BAA1054" s="103"/>
      <c r="BAM1054" s="104"/>
      <c r="BAN1054" s="103"/>
      <c r="BAZ1054" s="104"/>
      <c r="BBA1054" s="103"/>
      <c r="BBM1054" s="104"/>
      <c r="BBN1054" s="103"/>
      <c r="BBZ1054" s="104"/>
      <c r="BCA1054" s="103"/>
      <c r="BCM1054" s="104"/>
      <c r="BCN1054" s="103"/>
      <c r="BCZ1054" s="104"/>
      <c r="BDA1054" s="103"/>
      <c r="BDM1054" s="104"/>
      <c r="BDN1054" s="103"/>
      <c r="BDZ1054" s="104"/>
      <c r="BEA1054" s="103"/>
      <c r="BEM1054" s="104"/>
      <c r="BEN1054" s="103"/>
      <c r="BEZ1054" s="104"/>
      <c r="BFA1054" s="103"/>
      <c r="BFM1054" s="104"/>
      <c r="BFN1054" s="103"/>
      <c r="BFZ1054" s="104"/>
      <c r="BGA1054" s="103"/>
      <c r="BGM1054" s="104"/>
      <c r="BGN1054" s="103"/>
      <c r="BGZ1054" s="104"/>
      <c r="BHA1054" s="103"/>
      <c r="BHM1054" s="104"/>
      <c r="BHN1054" s="103"/>
      <c r="BHZ1054" s="104"/>
      <c r="BIA1054" s="103"/>
      <c r="BIM1054" s="104"/>
      <c r="BIN1054" s="103"/>
      <c r="BIZ1054" s="104"/>
      <c r="BJA1054" s="103"/>
      <c r="BJM1054" s="104"/>
      <c r="BJN1054" s="103"/>
      <c r="BJZ1054" s="104"/>
      <c r="BKA1054" s="103"/>
      <c r="BKM1054" s="104"/>
      <c r="BKN1054" s="103"/>
      <c r="BKZ1054" s="104"/>
      <c r="BLA1054" s="103"/>
      <c r="BLM1054" s="104"/>
      <c r="BLN1054" s="103"/>
      <c r="BLZ1054" s="104"/>
      <c r="BMA1054" s="103"/>
      <c r="BMM1054" s="104"/>
      <c r="BMN1054" s="103"/>
      <c r="BMZ1054" s="104"/>
      <c r="BNA1054" s="103"/>
      <c r="BNM1054" s="104"/>
      <c r="BNN1054" s="103"/>
      <c r="BNZ1054" s="104"/>
      <c r="BOA1054" s="103"/>
      <c r="BOM1054" s="104"/>
      <c r="BON1054" s="103"/>
      <c r="BOZ1054" s="104"/>
      <c r="BPA1054" s="103"/>
      <c r="BPM1054" s="104"/>
      <c r="BPN1054" s="103"/>
      <c r="BPZ1054" s="104"/>
      <c r="BQA1054" s="103"/>
      <c r="BQM1054" s="104"/>
      <c r="BQN1054" s="103"/>
      <c r="BQZ1054" s="104"/>
      <c r="BRA1054" s="103"/>
      <c r="BRM1054" s="104"/>
      <c r="BRN1054" s="103"/>
      <c r="BRZ1054" s="104"/>
      <c r="BSA1054" s="103"/>
      <c r="BSM1054" s="104"/>
      <c r="BSN1054" s="103"/>
      <c r="BSZ1054" s="104"/>
      <c r="BTA1054" s="103"/>
      <c r="BTM1054" s="104"/>
      <c r="BTN1054" s="103"/>
      <c r="BTZ1054" s="104"/>
      <c r="BUA1054" s="103"/>
      <c r="BUM1054" s="104"/>
      <c r="BUN1054" s="103"/>
      <c r="BUZ1054" s="104"/>
      <c r="BVA1054" s="103"/>
      <c r="BVM1054" s="104"/>
      <c r="BVN1054" s="103"/>
      <c r="BVZ1054" s="104"/>
      <c r="BWA1054" s="103"/>
      <c r="BWM1054" s="104"/>
      <c r="BWN1054" s="103"/>
      <c r="BWZ1054" s="104"/>
      <c r="BXA1054" s="103"/>
      <c r="BXM1054" s="104"/>
      <c r="BXN1054" s="103"/>
      <c r="BXZ1054" s="104"/>
      <c r="BYA1054" s="103"/>
      <c r="BYM1054" s="104"/>
      <c r="BYN1054" s="103"/>
      <c r="BYZ1054" s="104"/>
      <c r="BZA1054" s="103"/>
      <c r="BZM1054" s="104"/>
      <c r="BZN1054" s="103"/>
      <c r="BZZ1054" s="104"/>
      <c r="CAA1054" s="103"/>
      <c r="CAM1054" s="104"/>
      <c r="CAN1054" s="103"/>
      <c r="CAZ1054" s="104"/>
      <c r="CBA1054" s="103"/>
      <c r="CBM1054" s="104"/>
      <c r="CBN1054" s="103"/>
      <c r="CBZ1054" s="104"/>
      <c r="CCA1054" s="103"/>
      <c r="CCM1054" s="104"/>
      <c r="CCN1054" s="103"/>
      <c r="CCZ1054" s="104"/>
      <c r="CDA1054" s="103"/>
      <c r="CDM1054" s="104"/>
      <c r="CDN1054" s="103"/>
      <c r="CDZ1054" s="104"/>
      <c r="CEA1054" s="103"/>
      <c r="CEM1054" s="104"/>
      <c r="CEN1054" s="103"/>
      <c r="CEZ1054" s="104"/>
      <c r="CFA1054" s="103"/>
      <c r="CFM1054" s="104"/>
      <c r="CFN1054" s="103"/>
      <c r="CFZ1054" s="104"/>
      <c r="CGA1054" s="103"/>
      <c r="CGM1054" s="104"/>
      <c r="CGN1054" s="103"/>
      <c r="CGZ1054" s="104"/>
      <c r="CHA1054" s="103"/>
      <c r="CHM1054" s="104"/>
      <c r="CHN1054" s="103"/>
      <c r="CHZ1054" s="104"/>
      <c r="CIA1054" s="103"/>
      <c r="CIM1054" s="104"/>
      <c r="CIN1054" s="103"/>
      <c r="CIZ1054" s="104"/>
      <c r="CJA1054" s="103"/>
      <c r="CJM1054" s="104"/>
      <c r="CJN1054" s="103"/>
      <c r="CJZ1054" s="104"/>
      <c r="CKA1054" s="103"/>
      <c r="CKM1054" s="104"/>
      <c r="CKN1054" s="103"/>
      <c r="CKZ1054" s="104"/>
      <c r="CLA1054" s="103"/>
      <c r="CLM1054" s="104"/>
      <c r="CLN1054" s="103"/>
      <c r="CLZ1054" s="104"/>
      <c r="CMA1054" s="103"/>
      <c r="CMM1054" s="104"/>
      <c r="CMN1054" s="103"/>
      <c r="CMZ1054" s="104"/>
      <c r="CNA1054" s="103"/>
      <c r="CNM1054" s="104"/>
      <c r="CNN1054" s="103"/>
      <c r="CNZ1054" s="104"/>
      <c r="COA1054" s="103"/>
      <c r="COM1054" s="104"/>
      <c r="CON1054" s="103"/>
      <c r="COZ1054" s="104"/>
      <c r="CPA1054" s="103"/>
      <c r="CPM1054" s="104"/>
      <c r="CPN1054" s="103"/>
      <c r="CPZ1054" s="104"/>
      <c r="CQA1054" s="103"/>
      <c r="CQM1054" s="104"/>
      <c r="CQN1054" s="103"/>
      <c r="CQZ1054" s="104"/>
      <c r="CRA1054" s="103"/>
      <c r="CRM1054" s="104"/>
      <c r="CRN1054" s="103"/>
      <c r="CRZ1054" s="104"/>
      <c r="CSA1054" s="103"/>
      <c r="CSM1054" s="104"/>
      <c r="CSN1054" s="103"/>
      <c r="CSZ1054" s="104"/>
      <c r="CTA1054" s="103"/>
      <c r="CTM1054" s="104"/>
      <c r="CTN1054" s="103"/>
      <c r="CTZ1054" s="104"/>
      <c r="CUA1054" s="103"/>
      <c r="CUM1054" s="104"/>
      <c r="CUN1054" s="103"/>
      <c r="CUZ1054" s="104"/>
      <c r="CVA1054" s="103"/>
      <c r="CVM1054" s="104"/>
      <c r="CVN1054" s="103"/>
      <c r="CVZ1054" s="104"/>
      <c r="CWA1054" s="103"/>
      <c r="CWM1054" s="104"/>
      <c r="CWN1054" s="103"/>
      <c r="CWZ1054" s="104"/>
      <c r="CXA1054" s="103"/>
      <c r="CXM1054" s="104"/>
      <c r="CXN1054" s="103"/>
      <c r="CXZ1054" s="104"/>
      <c r="CYA1054" s="103"/>
      <c r="CYM1054" s="104"/>
      <c r="CYN1054" s="103"/>
      <c r="CYZ1054" s="104"/>
      <c r="CZA1054" s="103"/>
      <c r="CZM1054" s="104"/>
      <c r="CZN1054" s="103"/>
      <c r="CZZ1054" s="104"/>
      <c r="DAA1054" s="103"/>
      <c r="DAM1054" s="104"/>
      <c r="DAN1054" s="103"/>
      <c r="DAZ1054" s="104"/>
      <c r="DBA1054" s="103"/>
      <c r="DBM1054" s="104"/>
      <c r="DBN1054" s="103"/>
      <c r="DBZ1054" s="104"/>
      <c r="DCA1054" s="103"/>
      <c r="DCM1054" s="104"/>
      <c r="DCN1054" s="103"/>
      <c r="DCZ1054" s="104"/>
      <c r="DDA1054" s="103"/>
      <c r="DDM1054" s="104"/>
      <c r="DDN1054" s="103"/>
      <c r="DDZ1054" s="104"/>
      <c r="DEA1054" s="103"/>
      <c r="DEM1054" s="104"/>
      <c r="DEN1054" s="103"/>
      <c r="DEZ1054" s="104"/>
      <c r="DFA1054" s="103"/>
      <c r="DFM1054" s="104"/>
      <c r="DFN1054" s="103"/>
      <c r="DFZ1054" s="104"/>
      <c r="DGA1054" s="103"/>
      <c r="DGM1054" s="104"/>
      <c r="DGN1054" s="103"/>
      <c r="DGZ1054" s="104"/>
      <c r="DHA1054" s="103"/>
      <c r="DHM1054" s="104"/>
      <c r="DHN1054" s="103"/>
      <c r="DHZ1054" s="104"/>
      <c r="DIA1054" s="103"/>
      <c r="DIM1054" s="104"/>
      <c r="DIN1054" s="103"/>
      <c r="DIZ1054" s="104"/>
      <c r="DJA1054" s="103"/>
      <c r="DJM1054" s="104"/>
      <c r="DJN1054" s="103"/>
      <c r="DJZ1054" s="104"/>
      <c r="DKA1054" s="103"/>
      <c r="DKM1054" s="104"/>
      <c r="DKN1054" s="103"/>
      <c r="DKZ1054" s="104"/>
      <c r="DLA1054" s="103"/>
      <c r="DLM1054" s="104"/>
      <c r="DLN1054" s="103"/>
      <c r="DLZ1054" s="104"/>
      <c r="DMA1054" s="103"/>
      <c r="DMM1054" s="104"/>
      <c r="DMN1054" s="103"/>
      <c r="DMZ1054" s="104"/>
      <c r="DNA1054" s="103"/>
      <c r="DNM1054" s="104"/>
      <c r="DNN1054" s="103"/>
      <c r="DNZ1054" s="104"/>
      <c r="DOA1054" s="103"/>
      <c r="DOM1054" s="104"/>
      <c r="DON1054" s="103"/>
      <c r="DOZ1054" s="104"/>
      <c r="DPA1054" s="103"/>
      <c r="DPM1054" s="104"/>
      <c r="DPN1054" s="103"/>
      <c r="DPZ1054" s="104"/>
      <c r="DQA1054" s="103"/>
      <c r="DQM1054" s="104"/>
      <c r="DQN1054" s="103"/>
      <c r="DQZ1054" s="104"/>
      <c r="DRA1054" s="103"/>
      <c r="DRM1054" s="104"/>
      <c r="DRN1054" s="103"/>
      <c r="DRZ1054" s="104"/>
      <c r="DSA1054" s="103"/>
      <c r="DSM1054" s="104"/>
      <c r="DSN1054" s="103"/>
      <c r="DSZ1054" s="104"/>
      <c r="DTA1054" s="103"/>
      <c r="DTM1054" s="104"/>
      <c r="DTN1054" s="103"/>
      <c r="DTZ1054" s="104"/>
      <c r="DUA1054" s="103"/>
      <c r="DUM1054" s="104"/>
      <c r="DUN1054" s="103"/>
      <c r="DUZ1054" s="104"/>
      <c r="DVA1054" s="103"/>
      <c r="DVM1054" s="104"/>
      <c r="DVN1054" s="103"/>
      <c r="DVZ1054" s="104"/>
      <c r="DWA1054" s="103"/>
      <c r="DWM1054" s="104"/>
      <c r="DWN1054" s="103"/>
      <c r="DWZ1054" s="104"/>
      <c r="DXA1054" s="103"/>
      <c r="DXM1054" s="104"/>
      <c r="DXN1054" s="103"/>
      <c r="DXZ1054" s="104"/>
      <c r="DYA1054" s="103"/>
      <c r="DYM1054" s="104"/>
      <c r="DYN1054" s="103"/>
      <c r="DYZ1054" s="104"/>
      <c r="DZA1054" s="103"/>
      <c r="DZM1054" s="104"/>
      <c r="DZN1054" s="103"/>
      <c r="DZZ1054" s="104"/>
      <c r="EAA1054" s="103"/>
      <c r="EAM1054" s="104"/>
      <c r="EAN1054" s="103"/>
      <c r="EAZ1054" s="104"/>
      <c r="EBA1054" s="103"/>
      <c r="EBM1054" s="104"/>
      <c r="EBN1054" s="103"/>
      <c r="EBZ1054" s="104"/>
      <c r="ECA1054" s="103"/>
      <c r="ECM1054" s="104"/>
      <c r="ECN1054" s="103"/>
      <c r="ECZ1054" s="104"/>
      <c r="EDA1054" s="103"/>
      <c r="EDM1054" s="104"/>
      <c r="EDN1054" s="103"/>
      <c r="EDZ1054" s="104"/>
      <c r="EEA1054" s="103"/>
      <c r="EEM1054" s="104"/>
      <c r="EEN1054" s="103"/>
      <c r="EEZ1054" s="104"/>
      <c r="EFA1054" s="103"/>
      <c r="EFM1054" s="104"/>
      <c r="EFN1054" s="103"/>
      <c r="EFZ1054" s="104"/>
      <c r="EGA1054" s="103"/>
      <c r="EGM1054" s="104"/>
      <c r="EGN1054" s="103"/>
      <c r="EGZ1054" s="104"/>
      <c r="EHA1054" s="103"/>
      <c r="EHM1054" s="104"/>
      <c r="EHN1054" s="103"/>
      <c r="EHZ1054" s="104"/>
      <c r="EIA1054" s="103"/>
      <c r="EIM1054" s="104"/>
      <c r="EIN1054" s="103"/>
      <c r="EIZ1054" s="104"/>
      <c r="EJA1054" s="103"/>
      <c r="EJM1054" s="104"/>
      <c r="EJN1054" s="103"/>
      <c r="EJZ1054" s="104"/>
      <c r="EKA1054" s="103"/>
      <c r="EKM1054" s="104"/>
      <c r="EKN1054" s="103"/>
      <c r="EKZ1054" s="104"/>
      <c r="ELA1054" s="103"/>
      <c r="ELM1054" s="104"/>
      <c r="ELN1054" s="103"/>
      <c r="ELZ1054" s="104"/>
      <c r="EMA1054" s="103"/>
      <c r="EMM1054" s="104"/>
      <c r="EMN1054" s="103"/>
      <c r="EMZ1054" s="104"/>
      <c r="ENA1054" s="103"/>
      <c r="ENM1054" s="104"/>
      <c r="ENN1054" s="103"/>
      <c r="ENZ1054" s="104"/>
      <c r="EOA1054" s="103"/>
      <c r="EOM1054" s="104"/>
      <c r="EON1054" s="103"/>
      <c r="EOZ1054" s="104"/>
      <c r="EPA1054" s="103"/>
      <c r="EPM1054" s="104"/>
      <c r="EPN1054" s="103"/>
      <c r="EPZ1054" s="104"/>
      <c r="EQA1054" s="103"/>
      <c r="EQM1054" s="104"/>
      <c r="EQN1054" s="103"/>
      <c r="EQZ1054" s="104"/>
      <c r="ERA1054" s="103"/>
      <c r="ERM1054" s="104"/>
      <c r="ERN1054" s="103"/>
      <c r="ERZ1054" s="104"/>
      <c r="ESA1054" s="103"/>
      <c r="ESM1054" s="104"/>
      <c r="ESN1054" s="103"/>
      <c r="ESZ1054" s="104"/>
      <c r="ETA1054" s="103"/>
      <c r="ETM1054" s="104"/>
      <c r="ETN1054" s="103"/>
      <c r="ETZ1054" s="104"/>
      <c r="EUA1054" s="103"/>
      <c r="EUM1054" s="104"/>
      <c r="EUN1054" s="103"/>
      <c r="EUZ1054" s="104"/>
      <c r="EVA1054" s="103"/>
      <c r="EVM1054" s="104"/>
      <c r="EVN1054" s="103"/>
      <c r="EVZ1054" s="104"/>
      <c r="EWA1054" s="103"/>
      <c r="EWM1054" s="104"/>
      <c r="EWN1054" s="103"/>
      <c r="EWZ1054" s="104"/>
      <c r="EXA1054" s="103"/>
      <c r="EXM1054" s="104"/>
      <c r="EXN1054" s="103"/>
      <c r="EXZ1054" s="104"/>
      <c r="EYA1054" s="103"/>
      <c r="EYM1054" s="104"/>
      <c r="EYN1054" s="103"/>
      <c r="EYZ1054" s="104"/>
      <c r="EZA1054" s="103"/>
      <c r="EZM1054" s="104"/>
      <c r="EZN1054" s="103"/>
      <c r="EZZ1054" s="104"/>
      <c r="FAA1054" s="103"/>
      <c r="FAM1054" s="104"/>
      <c r="FAN1054" s="103"/>
      <c r="FAZ1054" s="104"/>
      <c r="FBA1054" s="103"/>
      <c r="FBM1054" s="104"/>
      <c r="FBN1054" s="103"/>
      <c r="FBZ1054" s="104"/>
      <c r="FCA1054" s="103"/>
      <c r="FCM1054" s="104"/>
      <c r="FCN1054" s="103"/>
      <c r="FCZ1054" s="104"/>
      <c r="FDA1054" s="103"/>
      <c r="FDM1054" s="104"/>
      <c r="FDN1054" s="103"/>
      <c r="FDZ1054" s="104"/>
      <c r="FEA1054" s="103"/>
      <c r="FEM1054" s="104"/>
      <c r="FEN1054" s="103"/>
      <c r="FEZ1054" s="104"/>
      <c r="FFA1054" s="103"/>
      <c r="FFM1054" s="104"/>
      <c r="FFN1054" s="103"/>
      <c r="FFZ1054" s="104"/>
      <c r="FGA1054" s="103"/>
      <c r="FGM1054" s="104"/>
      <c r="FGN1054" s="103"/>
      <c r="FGZ1054" s="104"/>
      <c r="FHA1054" s="103"/>
      <c r="FHM1054" s="104"/>
      <c r="FHN1054" s="103"/>
      <c r="FHZ1054" s="104"/>
      <c r="FIA1054" s="103"/>
      <c r="FIM1054" s="104"/>
      <c r="FIN1054" s="103"/>
      <c r="FIZ1054" s="104"/>
      <c r="FJA1054" s="103"/>
      <c r="FJM1054" s="104"/>
      <c r="FJN1054" s="103"/>
      <c r="FJZ1054" s="104"/>
      <c r="FKA1054" s="103"/>
      <c r="FKM1054" s="104"/>
      <c r="FKN1054" s="103"/>
      <c r="FKZ1054" s="104"/>
      <c r="FLA1054" s="103"/>
      <c r="FLM1054" s="104"/>
      <c r="FLN1054" s="103"/>
      <c r="FLZ1054" s="104"/>
      <c r="FMA1054" s="103"/>
      <c r="FMM1054" s="104"/>
      <c r="FMN1054" s="103"/>
      <c r="FMZ1054" s="104"/>
      <c r="FNA1054" s="103"/>
      <c r="FNM1054" s="104"/>
      <c r="FNN1054" s="103"/>
      <c r="FNZ1054" s="104"/>
      <c r="FOA1054" s="103"/>
      <c r="FOM1054" s="104"/>
      <c r="FON1054" s="103"/>
      <c r="FOZ1054" s="104"/>
      <c r="FPA1054" s="103"/>
      <c r="FPM1054" s="104"/>
      <c r="FPN1054" s="103"/>
      <c r="FPZ1054" s="104"/>
      <c r="FQA1054" s="103"/>
      <c r="FQM1054" s="104"/>
      <c r="FQN1054" s="103"/>
      <c r="FQZ1054" s="104"/>
      <c r="FRA1054" s="103"/>
      <c r="FRM1054" s="104"/>
      <c r="FRN1054" s="103"/>
      <c r="FRZ1054" s="104"/>
      <c r="FSA1054" s="103"/>
      <c r="FSM1054" s="104"/>
      <c r="FSN1054" s="103"/>
      <c r="FSZ1054" s="104"/>
      <c r="FTA1054" s="103"/>
      <c r="FTM1054" s="104"/>
      <c r="FTN1054" s="103"/>
      <c r="FTZ1054" s="104"/>
      <c r="FUA1054" s="103"/>
      <c r="FUM1054" s="104"/>
      <c r="FUN1054" s="103"/>
      <c r="FUZ1054" s="104"/>
      <c r="FVA1054" s="103"/>
      <c r="FVM1054" s="104"/>
      <c r="FVN1054" s="103"/>
      <c r="FVZ1054" s="104"/>
      <c r="FWA1054" s="103"/>
      <c r="FWM1054" s="104"/>
      <c r="FWN1054" s="103"/>
      <c r="FWZ1054" s="104"/>
      <c r="FXA1054" s="103"/>
      <c r="FXM1054" s="104"/>
      <c r="FXN1054" s="103"/>
      <c r="FXZ1054" s="104"/>
      <c r="FYA1054" s="103"/>
      <c r="FYM1054" s="104"/>
      <c r="FYN1054" s="103"/>
      <c r="FYZ1054" s="104"/>
      <c r="FZA1054" s="103"/>
      <c r="FZM1054" s="104"/>
      <c r="FZN1054" s="103"/>
      <c r="FZZ1054" s="104"/>
      <c r="GAA1054" s="103"/>
      <c r="GAM1054" s="104"/>
      <c r="GAN1054" s="103"/>
      <c r="GAZ1054" s="104"/>
      <c r="GBA1054" s="103"/>
      <c r="GBM1054" s="104"/>
      <c r="GBN1054" s="103"/>
      <c r="GBZ1054" s="104"/>
      <c r="GCA1054" s="103"/>
      <c r="GCM1054" s="104"/>
      <c r="GCN1054" s="103"/>
      <c r="GCZ1054" s="104"/>
      <c r="GDA1054" s="103"/>
      <c r="GDM1054" s="104"/>
      <c r="GDN1054" s="103"/>
      <c r="GDZ1054" s="104"/>
      <c r="GEA1054" s="103"/>
      <c r="GEM1054" s="104"/>
      <c r="GEN1054" s="103"/>
      <c r="GEZ1054" s="104"/>
      <c r="GFA1054" s="103"/>
      <c r="GFM1054" s="104"/>
      <c r="GFN1054" s="103"/>
      <c r="GFZ1054" s="104"/>
      <c r="GGA1054" s="103"/>
      <c r="GGM1054" s="104"/>
      <c r="GGN1054" s="103"/>
      <c r="GGZ1054" s="104"/>
      <c r="GHA1054" s="103"/>
      <c r="GHM1054" s="104"/>
      <c r="GHN1054" s="103"/>
      <c r="GHZ1054" s="104"/>
      <c r="GIA1054" s="103"/>
      <c r="GIM1054" s="104"/>
      <c r="GIN1054" s="103"/>
      <c r="GIZ1054" s="104"/>
      <c r="GJA1054" s="103"/>
      <c r="GJM1054" s="104"/>
      <c r="GJN1054" s="103"/>
      <c r="GJZ1054" s="104"/>
      <c r="GKA1054" s="103"/>
      <c r="GKM1054" s="104"/>
      <c r="GKN1054" s="103"/>
      <c r="GKZ1054" s="104"/>
      <c r="GLA1054" s="103"/>
      <c r="GLM1054" s="104"/>
      <c r="GLN1054" s="103"/>
      <c r="GLZ1054" s="104"/>
      <c r="GMA1054" s="103"/>
      <c r="GMM1054" s="104"/>
      <c r="GMN1054" s="103"/>
      <c r="GMZ1054" s="104"/>
      <c r="GNA1054" s="103"/>
      <c r="GNM1054" s="104"/>
      <c r="GNN1054" s="103"/>
      <c r="GNZ1054" s="104"/>
      <c r="GOA1054" s="103"/>
      <c r="GOM1054" s="104"/>
      <c r="GON1054" s="103"/>
      <c r="GOZ1054" s="104"/>
      <c r="GPA1054" s="103"/>
      <c r="GPM1054" s="104"/>
      <c r="GPN1054" s="103"/>
      <c r="GPZ1054" s="104"/>
      <c r="GQA1054" s="103"/>
      <c r="GQM1054" s="104"/>
      <c r="GQN1054" s="103"/>
      <c r="GQZ1054" s="104"/>
      <c r="GRA1054" s="103"/>
      <c r="GRM1054" s="104"/>
      <c r="GRN1054" s="103"/>
      <c r="GRZ1054" s="104"/>
      <c r="GSA1054" s="103"/>
      <c r="GSM1054" s="104"/>
      <c r="GSN1054" s="103"/>
      <c r="GSZ1054" s="104"/>
      <c r="GTA1054" s="103"/>
      <c r="GTM1054" s="104"/>
      <c r="GTN1054" s="103"/>
      <c r="GTZ1054" s="104"/>
      <c r="GUA1054" s="103"/>
      <c r="GUM1054" s="104"/>
      <c r="GUN1054" s="103"/>
      <c r="GUZ1054" s="104"/>
      <c r="GVA1054" s="103"/>
      <c r="GVM1054" s="104"/>
      <c r="GVN1054" s="103"/>
      <c r="GVZ1054" s="104"/>
      <c r="GWA1054" s="103"/>
      <c r="GWM1054" s="104"/>
      <c r="GWN1054" s="103"/>
      <c r="GWZ1054" s="104"/>
      <c r="GXA1054" s="103"/>
      <c r="GXM1054" s="104"/>
      <c r="GXN1054" s="103"/>
      <c r="GXZ1054" s="104"/>
      <c r="GYA1054" s="103"/>
      <c r="GYM1054" s="104"/>
      <c r="GYN1054" s="103"/>
      <c r="GYZ1054" s="104"/>
      <c r="GZA1054" s="103"/>
      <c r="GZM1054" s="104"/>
      <c r="GZN1054" s="103"/>
      <c r="GZZ1054" s="104"/>
      <c r="HAA1054" s="103"/>
      <c r="HAM1054" s="104"/>
      <c r="HAN1054" s="103"/>
      <c r="HAZ1054" s="104"/>
      <c r="HBA1054" s="103"/>
      <c r="HBM1054" s="104"/>
      <c r="HBN1054" s="103"/>
      <c r="HBZ1054" s="104"/>
      <c r="HCA1054" s="103"/>
      <c r="HCM1054" s="104"/>
      <c r="HCN1054" s="103"/>
      <c r="HCZ1054" s="104"/>
      <c r="HDA1054" s="103"/>
      <c r="HDM1054" s="104"/>
      <c r="HDN1054" s="103"/>
      <c r="HDZ1054" s="104"/>
      <c r="HEA1054" s="103"/>
      <c r="HEM1054" s="104"/>
      <c r="HEN1054" s="103"/>
      <c r="HEZ1054" s="104"/>
      <c r="HFA1054" s="103"/>
      <c r="HFM1054" s="104"/>
      <c r="HFN1054" s="103"/>
      <c r="HFZ1054" s="104"/>
      <c r="HGA1054" s="103"/>
      <c r="HGM1054" s="104"/>
      <c r="HGN1054" s="103"/>
      <c r="HGZ1054" s="104"/>
      <c r="HHA1054" s="103"/>
      <c r="HHM1054" s="104"/>
      <c r="HHN1054" s="103"/>
      <c r="HHZ1054" s="104"/>
      <c r="HIA1054" s="103"/>
      <c r="HIM1054" s="104"/>
      <c r="HIN1054" s="103"/>
      <c r="HIZ1054" s="104"/>
      <c r="HJA1054" s="103"/>
      <c r="HJM1054" s="104"/>
      <c r="HJN1054" s="103"/>
      <c r="HJZ1054" s="104"/>
      <c r="HKA1054" s="103"/>
      <c r="HKM1054" s="104"/>
      <c r="HKN1054" s="103"/>
      <c r="HKZ1054" s="104"/>
      <c r="HLA1054" s="103"/>
      <c r="HLM1054" s="104"/>
      <c r="HLN1054" s="103"/>
      <c r="HLZ1054" s="104"/>
      <c r="HMA1054" s="103"/>
      <c r="HMM1054" s="104"/>
      <c r="HMN1054" s="103"/>
      <c r="HMZ1054" s="104"/>
      <c r="HNA1054" s="103"/>
      <c r="HNM1054" s="104"/>
      <c r="HNN1054" s="103"/>
      <c r="HNZ1054" s="104"/>
      <c r="HOA1054" s="103"/>
      <c r="HOM1054" s="104"/>
      <c r="HON1054" s="103"/>
      <c r="HOZ1054" s="104"/>
      <c r="HPA1054" s="103"/>
      <c r="HPM1054" s="104"/>
      <c r="HPN1054" s="103"/>
      <c r="HPZ1054" s="104"/>
      <c r="HQA1054" s="103"/>
      <c r="HQM1054" s="104"/>
      <c r="HQN1054" s="103"/>
      <c r="HQZ1054" s="104"/>
      <c r="HRA1054" s="103"/>
      <c r="HRM1054" s="104"/>
      <c r="HRN1054" s="103"/>
      <c r="HRZ1054" s="104"/>
      <c r="HSA1054" s="103"/>
      <c r="HSM1054" s="104"/>
      <c r="HSN1054" s="103"/>
      <c r="HSZ1054" s="104"/>
      <c r="HTA1054" s="103"/>
      <c r="HTM1054" s="104"/>
      <c r="HTN1054" s="103"/>
      <c r="HTZ1054" s="104"/>
      <c r="HUA1054" s="103"/>
      <c r="HUM1054" s="104"/>
      <c r="HUN1054" s="103"/>
      <c r="HUZ1054" s="104"/>
      <c r="HVA1054" s="103"/>
      <c r="HVM1054" s="104"/>
      <c r="HVN1054" s="103"/>
      <c r="HVZ1054" s="104"/>
      <c r="HWA1054" s="103"/>
      <c r="HWM1054" s="104"/>
      <c r="HWN1054" s="103"/>
      <c r="HWZ1054" s="104"/>
      <c r="HXA1054" s="103"/>
      <c r="HXM1054" s="104"/>
      <c r="HXN1054" s="103"/>
      <c r="HXZ1054" s="104"/>
      <c r="HYA1054" s="103"/>
      <c r="HYM1054" s="104"/>
      <c r="HYN1054" s="103"/>
      <c r="HYZ1054" s="104"/>
      <c r="HZA1054" s="103"/>
      <c r="HZM1054" s="104"/>
      <c r="HZN1054" s="103"/>
      <c r="HZZ1054" s="104"/>
      <c r="IAA1054" s="103"/>
      <c r="IAM1054" s="104"/>
      <c r="IAN1054" s="103"/>
      <c r="IAZ1054" s="104"/>
      <c r="IBA1054" s="103"/>
      <c r="IBM1054" s="104"/>
      <c r="IBN1054" s="103"/>
      <c r="IBZ1054" s="104"/>
      <c r="ICA1054" s="103"/>
      <c r="ICM1054" s="104"/>
      <c r="ICN1054" s="103"/>
      <c r="ICZ1054" s="104"/>
      <c r="IDA1054" s="103"/>
      <c r="IDM1054" s="104"/>
      <c r="IDN1054" s="103"/>
      <c r="IDZ1054" s="104"/>
      <c r="IEA1054" s="103"/>
      <c r="IEM1054" s="104"/>
      <c r="IEN1054" s="103"/>
      <c r="IEZ1054" s="104"/>
      <c r="IFA1054" s="103"/>
      <c r="IFM1054" s="104"/>
      <c r="IFN1054" s="103"/>
      <c r="IFZ1054" s="104"/>
      <c r="IGA1054" s="103"/>
      <c r="IGM1054" s="104"/>
      <c r="IGN1054" s="103"/>
      <c r="IGZ1054" s="104"/>
      <c r="IHA1054" s="103"/>
      <c r="IHM1054" s="104"/>
      <c r="IHN1054" s="103"/>
      <c r="IHZ1054" s="104"/>
      <c r="IIA1054" s="103"/>
      <c r="IIM1054" s="104"/>
      <c r="IIN1054" s="103"/>
      <c r="IIZ1054" s="104"/>
      <c r="IJA1054" s="103"/>
      <c r="IJM1054" s="104"/>
      <c r="IJN1054" s="103"/>
      <c r="IJZ1054" s="104"/>
      <c r="IKA1054" s="103"/>
      <c r="IKM1054" s="104"/>
      <c r="IKN1054" s="103"/>
      <c r="IKZ1054" s="104"/>
      <c r="ILA1054" s="103"/>
      <c r="ILM1054" s="104"/>
      <c r="ILN1054" s="103"/>
      <c r="ILZ1054" s="104"/>
      <c r="IMA1054" s="103"/>
      <c r="IMM1054" s="104"/>
      <c r="IMN1054" s="103"/>
      <c r="IMZ1054" s="104"/>
      <c r="INA1054" s="103"/>
      <c r="INM1054" s="104"/>
      <c r="INN1054" s="103"/>
      <c r="INZ1054" s="104"/>
      <c r="IOA1054" s="103"/>
      <c r="IOM1054" s="104"/>
      <c r="ION1054" s="103"/>
      <c r="IOZ1054" s="104"/>
      <c r="IPA1054" s="103"/>
      <c r="IPM1054" s="104"/>
      <c r="IPN1054" s="103"/>
      <c r="IPZ1054" s="104"/>
      <c r="IQA1054" s="103"/>
      <c r="IQM1054" s="104"/>
      <c r="IQN1054" s="103"/>
      <c r="IQZ1054" s="104"/>
      <c r="IRA1054" s="103"/>
      <c r="IRM1054" s="104"/>
      <c r="IRN1054" s="103"/>
      <c r="IRZ1054" s="104"/>
      <c r="ISA1054" s="103"/>
      <c r="ISM1054" s="104"/>
      <c r="ISN1054" s="103"/>
      <c r="ISZ1054" s="104"/>
      <c r="ITA1054" s="103"/>
      <c r="ITM1054" s="104"/>
      <c r="ITN1054" s="103"/>
      <c r="ITZ1054" s="104"/>
      <c r="IUA1054" s="103"/>
      <c r="IUM1054" s="104"/>
      <c r="IUN1054" s="103"/>
      <c r="IUZ1054" s="104"/>
      <c r="IVA1054" s="103"/>
      <c r="IVM1054" s="104"/>
      <c r="IVN1054" s="103"/>
      <c r="IVZ1054" s="104"/>
      <c r="IWA1054" s="103"/>
      <c r="IWM1054" s="104"/>
      <c r="IWN1054" s="103"/>
      <c r="IWZ1054" s="104"/>
      <c r="IXA1054" s="103"/>
      <c r="IXM1054" s="104"/>
      <c r="IXN1054" s="103"/>
      <c r="IXZ1054" s="104"/>
      <c r="IYA1054" s="103"/>
      <c r="IYM1054" s="104"/>
      <c r="IYN1054" s="103"/>
      <c r="IYZ1054" s="104"/>
      <c r="IZA1054" s="103"/>
      <c r="IZM1054" s="104"/>
      <c r="IZN1054" s="103"/>
      <c r="IZZ1054" s="104"/>
      <c r="JAA1054" s="103"/>
      <c r="JAM1054" s="104"/>
      <c r="JAN1054" s="103"/>
      <c r="JAZ1054" s="104"/>
      <c r="JBA1054" s="103"/>
      <c r="JBM1054" s="104"/>
      <c r="JBN1054" s="103"/>
      <c r="JBZ1054" s="104"/>
      <c r="JCA1054" s="103"/>
      <c r="JCM1054" s="104"/>
      <c r="JCN1054" s="103"/>
      <c r="JCZ1054" s="104"/>
      <c r="JDA1054" s="103"/>
      <c r="JDM1054" s="104"/>
      <c r="JDN1054" s="103"/>
      <c r="JDZ1054" s="104"/>
      <c r="JEA1054" s="103"/>
      <c r="JEM1054" s="104"/>
      <c r="JEN1054" s="103"/>
      <c r="JEZ1054" s="104"/>
      <c r="JFA1054" s="103"/>
      <c r="JFM1054" s="104"/>
      <c r="JFN1054" s="103"/>
      <c r="JFZ1054" s="104"/>
      <c r="JGA1054" s="103"/>
      <c r="JGM1054" s="104"/>
      <c r="JGN1054" s="103"/>
      <c r="JGZ1054" s="104"/>
      <c r="JHA1054" s="103"/>
      <c r="JHM1054" s="104"/>
      <c r="JHN1054" s="103"/>
      <c r="JHZ1054" s="104"/>
      <c r="JIA1054" s="103"/>
      <c r="JIM1054" s="104"/>
      <c r="JIN1054" s="103"/>
      <c r="JIZ1054" s="104"/>
      <c r="JJA1054" s="103"/>
      <c r="JJM1054" s="104"/>
      <c r="JJN1054" s="103"/>
      <c r="JJZ1054" s="104"/>
      <c r="JKA1054" s="103"/>
      <c r="JKM1054" s="104"/>
      <c r="JKN1054" s="103"/>
      <c r="JKZ1054" s="104"/>
      <c r="JLA1054" s="103"/>
      <c r="JLM1054" s="104"/>
      <c r="JLN1054" s="103"/>
      <c r="JLZ1054" s="104"/>
      <c r="JMA1054" s="103"/>
      <c r="JMM1054" s="104"/>
      <c r="JMN1054" s="103"/>
      <c r="JMZ1054" s="104"/>
      <c r="JNA1054" s="103"/>
      <c r="JNM1054" s="104"/>
      <c r="JNN1054" s="103"/>
      <c r="JNZ1054" s="104"/>
      <c r="JOA1054" s="103"/>
      <c r="JOM1054" s="104"/>
      <c r="JON1054" s="103"/>
      <c r="JOZ1054" s="104"/>
      <c r="JPA1054" s="103"/>
      <c r="JPM1054" s="104"/>
      <c r="JPN1054" s="103"/>
      <c r="JPZ1054" s="104"/>
      <c r="JQA1054" s="103"/>
      <c r="JQM1054" s="104"/>
      <c r="JQN1054" s="103"/>
      <c r="JQZ1054" s="104"/>
      <c r="JRA1054" s="103"/>
      <c r="JRM1054" s="104"/>
      <c r="JRN1054" s="103"/>
      <c r="JRZ1054" s="104"/>
      <c r="JSA1054" s="103"/>
      <c r="JSM1054" s="104"/>
      <c r="JSN1054" s="103"/>
      <c r="JSZ1054" s="104"/>
      <c r="JTA1054" s="103"/>
      <c r="JTM1054" s="104"/>
      <c r="JTN1054" s="103"/>
      <c r="JTZ1054" s="104"/>
      <c r="JUA1054" s="103"/>
      <c r="JUM1054" s="104"/>
      <c r="JUN1054" s="103"/>
      <c r="JUZ1054" s="104"/>
      <c r="JVA1054" s="103"/>
      <c r="JVM1054" s="104"/>
      <c r="JVN1054" s="103"/>
      <c r="JVZ1054" s="104"/>
      <c r="JWA1054" s="103"/>
      <c r="JWM1054" s="104"/>
      <c r="JWN1054" s="103"/>
      <c r="JWZ1054" s="104"/>
      <c r="JXA1054" s="103"/>
      <c r="JXM1054" s="104"/>
      <c r="JXN1054" s="103"/>
      <c r="JXZ1054" s="104"/>
      <c r="JYA1054" s="103"/>
      <c r="JYM1054" s="104"/>
      <c r="JYN1054" s="103"/>
      <c r="JYZ1054" s="104"/>
      <c r="JZA1054" s="103"/>
      <c r="JZM1054" s="104"/>
      <c r="JZN1054" s="103"/>
      <c r="JZZ1054" s="104"/>
      <c r="KAA1054" s="103"/>
      <c r="KAM1054" s="104"/>
      <c r="KAN1054" s="103"/>
      <c r="KAZ1054" s="104"/>
      <c r="KBA1054" s="103"/>
      <c r="KBM1054" s="104"/>
      <c r="KBN1054" s="103"/>
      <c r="KBZ1054" s="104"/>
      <c r="KCA1054" s="103"/>
      <c r="KCM1054" s="104"/>
      <c r="KCN1054" s="103"/>
      <c r="KCZ1054" s="104"/>
      <c r="KDA1054" s="103"/>
      <c r="KDM1054" s="104"/>
      <c r="KDN1054" s="103"/>
      <c r="KDZ1054" s="104"/>
      <c r="KEA1054" s="103"/>
      <c r="KEM1054" s="104"/>
      <c r="KEN1054" s="103"/>
      <c r="KEZ1054" s="104"/>
      <c r="KFA1054" s="103"/>
      <c r="KFM1054" s="104"/>
      <c r="KFN1054" s="103"/>
      <c r="KFZ1054" s="104"/>
      <c r="KGA1054" s="103"/>
      <c r="KGM1054" s="104"/>
      <c r="KGN1054" s="103"/>
      <c r="KGZ1054" s="104"/>
      <c r="KHA1054" s="103"/>
      <c r="KHM1054" s="104"/>
      <c r="KHN1054" s="103"/>
      <c r="KHZ1054" s="104"/>
      <c r="KIA1054" s="103"/>
      <c r="KIM1054" s="104"/>
      <c r="KIN1054" s="103"/>
      <c r="KIZ1054" s="104"/>
      <c r="KJA1054" s="103"/>
      <c r="KJM1054" s="104"/>
      <c r="KJN1054" s="103"/>
      <c r="KJZ1054" s="104"/>
      <c r="KKA1054" s="103"/>
      <c r="KKM1054" s="104"/>
      <c r="KKN1054" s="103"/>
      <c r="KKZ1054" s="104"/>
      <c r="KLA1054" s="103"/>
      <c r="KLM1054" s="104"/>
      <c r="KLN1054" s="103"/>
      <c r="KLZ1054" s="104"/>
      <c r="KMA1054" s="103"/>
      <c r="KMM1054" s="104"/>
      <c r="KMN1054" s="103"/>
      <c r="KMZ1054" s="104"/>
      <c r="KNA1054" s="103"/>
      <c r="KNM1054" s="104"/>
      <c r="KNN1054" s="103"/>
      <c r="KNZ1054" s="104"/>
      <c r="KOA1054" s="103"/>
      <c r="KOM1054" s="104"/>
      <c r="KON1054" s="103"/>
      <c r="KOZ1054" s="104"/>
      <c r="KPA1054" s="103"/>
      <c r="KPM1054" s="104"/>
      <c r="KPN1054" s="103"/>
      <c r="KPZ1054" s="104"/>
      <c r="KQA1054" s="103"/>
      <c r="KQM1054" s="104"/>
      <c r="KQN1054" s="103"/>
      <c r="KQZ1054" s="104"/>
      <c r="KRA1054" s="103"/>
      <c r="KRM1054" s="104"/>
      <c r="KRN1054" s="103"/>
      <c r="KRZ1054" s="104"/>
      <c r="KSA1054" s="103"/>
      <c r="KSM1054" s="104"/>
      <c r="KSN1054" s="103"/>
      <c r="KSZ1054" s="104"/>
      <c r="KTA1054" s="103"/>
      <c r="KTM1054" s="104"/>
      <c r="KTN1054" s="103"/>
      <c r="KTZ1054" s="104"/>
      <c r="KUA1054" s="103"/>
      <c r="KUM1054" s="104"/>
      <c r="KUN1054" s="103"/>
      <c r="KUZ1054" s="104"/>
      <c r="KVA1054" s="103"/>
      <c r="KVM1054" s="104"/>
      <c r="KVN1054" s="103"/>
      <c r="KVZ1054" s="104"/>
      <c r="KWA1054" s="103"/>
      <c r="KWM1054" s="104"/>
      <c r="KWN1054" s="103"/>
      <c r="KWZ1054" s="104"/>
      <c r="KXA1054" s="103"/>
      <c r="KXM1054" s="104"/>
      <c r="KXN1054" s="103"/>
      <c r="KXZ1054" s="104"/>
      <c r="KYA1054" s="103"/>
      <c r="KYM1054" s="104"/>
      <c r="KYN1054" s="103"/>
      <c r="KYZ1054" s="104"/>
      <c r="KZA1054" s="103"/>
      <c r="KZM1054" s="104"/>
      <c r="KZN1054" s="103"/>
      <c r="KZZ1054" s="104"/>
      <c r="LAA1054" s="103"/>
      <c r="LAM1054" s="104"/>
      <c r="LAN1054" s="103"/>
      <c r="LAZ1054" s="104"/>
      <c r="LBA1054" s="103"/>
      <c r="LBM1054" s="104"/>
      <c r="LBN1054" s="103"/>
      <c r="LBZ1054" s="104"/>
      <c r="LCA1054" s="103"/>
      <c r="LCM1054" s="104"/>
      <c r="LCN1054" s="103"/>
      <c r="LCZ1054" s="104"/>
      <c r="LDA1054" s="103"/>
      <c r="LDM1054" s="104"/>
      <c r="LDN1054" s="103"/>
      <c r="LDZ1054" s="104"/>
      <c r="LEA1054" s="103"/>
      <c r="LEM1054" s="104"/>
      <c r="LEN1054" s="103"/>
      <c r="LEZ1054" s="104"/>
      <c r="LFA1054" s="103"/>
      <c r="LFM1054" s="104"/>
      <c r="LFN1054" s="103"/>
      <c r="LFZ1054" s="104"/>
      <c r="LGA1054" s="103"/>
      <c r="LGM1054" s="104"/>
      <c r="LGN1054" s="103"/>
      <c r="LGZ1054" s="104"/>
      <c r="LHA1054" s="103"/>
      <c r="LHM1054" s="104"/>
      <c r="LHN1054" s="103"/>
      <c r="LHZ1054" s="104"/>
      <c r="LIA1054" s="103"/>
      <c r="LIM1054" s="104"/>
      <c r="LIN1054" s="103"/>
      <c r="LIZ1054" s="104"/>
      <c r="LJA1054" s="103"/>
      <c r="LJM1054" s="104"/>
      <c r="LJN1054" s="103"/>
      <c r="LJZ1054" s="104"/>
      <c r="LKA1054" s="103"/>
      <c r="LKM1054" s="104"/>
      <c r="LKN1054" s="103"/>
      <c r="LKZ1054" s="104"/>
      <c r="LLA1054" s="103"/>
      <c r="LLM1054" s="104"/>
      <c r="LLN1054" s="103"/>
      <c r="LLZ1054" s="104"/>
      <c r="LMA1054" s="103"/>
      <c r="LMM1054" s="104"/>
      <c r="LMN1054" s="103"/>
      <c r="LMZ1054" s="104"/>
      <c r="LNA1054" s="103"/>
      <c r="LNM1054" s="104"/>
      <c r="LNN1054" s="103"/>
      <c r="LNZ1054" s="104"/>
      <c r="LOA1054" s="103"/>
      <c r="LOM1054" s="104"/>
      <c r="LON1054" s="103"/>
      <c r="LOZ1054" s="104"/>
      <c r="LPA1054" s="103"/>
      <c r="LPM1054" s="104"/>
      <c r="LPN1054" s="103"/>
      <c r="LPZ1054" s="104"/>
      <c r="LQA1054" s="103"/>
      <c r="LQM1054" s="104"/>
      <c r="LQN1054" s="103"/>
      <c r="LQZ1054" s="104"/>
      <c r="LRA1054" s="103"/>
      <c r="LRM1054" s="104"/>
      <c r="LRN1054" s="103"/>
      <c r="LRZ1054" s="104"/>
      <c r="LSA1054" s="103"/>
      <c r="LSM1054" s="104"/>
      <c r="LSN1054" s="103"/>
      <c r="LSZ1054" s="104"/>
      <c r="LTA1054" s="103"/>
      <c r="LTM1054" s="104"/>
      <c r="LTN1054" s="103"/>
      <c r="LTZ1054" s="104"/>
      <c r="LUA1054" s="103"/>
      <c r="LUM1054" s="104"/>
      <c r="LUN1054" s="103"/>
      <c r="LUZ1054" s="104"/>
      <c r="LVA1054" s="103"/>
      <c r="LVM1054" s="104"/>
      <c r="LVN1054" s="103"/>
      <c r="LVZ1054" s="104"/>
      <c r="LWA1054" s="103"/>
      <c r="LWM1054" s="104"/>
      <c r="LWN1054" s="103"/>
      <c r="LWZ1054" s="104"/>
      <c r="LXA1054" s="103"/>
      <c r="LXM1054" s="104"/>
      <c r="LXN1054" s="103"/>
      <c r="LXZ1054" s="104"/>
      <c r="LYA1054" s="103"/>
      <c r="LYM1054" s="104"/>
      <c r="LYN1054" s="103"/>
      <c r="LYZ1054" s="104"/>
      <c r="LZA1054" s="103"/>
      <c r="LZM1054" s="104"/>
      <c r="LZN1054" s="103"/>
      <c r="LZZ1054" s="104"/>
      <c r="MAA1054" s="103"/>
      <c r="MAM1054" s="104"/>
      <c r="MAN1054" s="103"/>
      <c r="MAZ1054" s="104"/>
      <c r="MBA1054" s="103"/>
      <c r="MBM1054" s="104"/>
      <c r="MBN1054" s="103"/>
      <c r="MBZ1054" s="104"/>
      <c r="MCA1054" s="103"/>
      <c r="MCM1054" s="104"/>
      <c r="MCN1054" s="103"/>
      <c r="MCZ1054" s="104"/>
      <c r="MDA1054" s="103"/>
      <c r="MDM1054" s="104"/>
      <c r="MDN1054" s="103"/>
      <c r="MDZ1054" s="104"/>
      <c r="MEA1054" s="103"/>
      <c r="MEM1054" s="104"/>
      <c r="MEN1054" s="103"/>
      <c r="MEZ1054" s="104"/>
      <c r="MFA1054" s="103"/>
      <c r="MFM1054" s="104"/>
      <c r="MFN1054" s="103"/>
      <c r="MFZ1054" s="104"/>
      <c r="MGA1054" s="103"/>
      <c r="MGM1054" s="104"/>
      <c r="MGN1054" s="103"/>
      <c r="MGZ1054" s="104"/>
      <c r="MHA1054" s="103"/>
      <c r="MHM1054" s="104"/>
      <c r="MHN1054" s="103"/>
      <c r="MHZ1054" s="104"/>
      <c r="MIA1054" s="103"/>
      <c r="MIM1054" s="104"/>
      <c r="MIN1054" s="103"/>
      <c r="MIZ1054" s="104"/>
      <c r="MJA1054" s="103"/>
      <c r="MJM1054" s="104"/>
      <c r="MJN1054" s="103"/>
      <c r="MJZ1054" s="104"/>
      <c r="MKA1054" s="103"/>
      <c r="MKM1054" s="104"/>
      <c r="MKN1054" s="103"/>
      <c r="MKZ1054" s="104"/>
      <c r="MLA1054" s="103"/>
      <c r="MLM1054" s="104"/>
      <c r="MLN1054" s="103"/>
      <c r="MLZ1054" s="104"/>
      <c r="MMA1054" s="103"/>
      <c r="MMM1054" s="104"/>
      <c r="MMN1054" s="103"/>
      <c r="MMZ1054" s="104"/>
      <c r="MNA1054" s="103"/>
      <c r="MNM1054" s="104"/>
      <c r="MNN1054" s="103"/>
      <c r="MNZ1054" s="104"/>
      <c r="MOA1054" s="103"/>
      <c r="MOM1054" s="104"/>
      <c r="MON1054" s="103"/>
      <c r="MOZ1054" s="104"/>
      <c r="MPA1054" s="103"/>
      <c r="MPM1054" s="104"/>
      <c r="MPN1054" s="103"/>
      <c r="MPZ1054" s="104"/>
      <c r="MQA1054" s="103"/>
      <c r="MQM1054" s="104"/>
      <c r="MQN1054" s="103"/>
      <c r="MQZ1054" s="104"/>
      <c r="MRA1054" s="103"/>
      <c r="MRM1054" s="104"/>
      <c r="MRN1054" s="103"/>
      <c r="MRZ1054" s="104"/>
      <c r="MSA1054" s="103"/>
      <c r="MSM1054" s="104"/>
      <c r="MSN1054" s="103"/>
      <c r="MSZ1054" s="104"/>
      <c r="MTA1054" s="103"/>
      <c r="MTM1054" s="104"/>
      <c r="MTN1054" s="103"/>
      <c r="MTZ1054" s="104"/>
      <c r="MUA1054" s="103"/>
      <c r="MUM1054" s="104"/>
      <c r="MUN1054" s="103"/>
      <c r="MUZ1054" s="104"/>
      <c r="MVA1054" s="103"/>
      <c r="MVM1054" s="104"/>
      <c r="MVN1054" s="103"/>
      <c r="MVZ1054" s="104"/>
      <c r="MWA1054" s="103"/>
      <c r="MWM1054" s="104"/>
      <c r="MWN1054" s="103"/>
      <c r="MWZ1054" s="104"/>
      <c r="MXA1054" s="103"/>
      <c r="MXM1054" s="104"/>
      <c r="MXN1054" s="103"/>
      <c r="MXZ1054" s="104"/>
      <c r="MYA1054" s="103"/>
      <c r="MYM1054" s="104"/>
      <c r="MYN1054" s="103"/>
      <c r="MYZ1054" s="104"/>
      <c r="MZA1054" s="103"/>
      <c r="MZM1054" s="104"/>
      <c r="MZN1054" s="103"/>
      <c r="MZZ1054" s="104"/>
      <c r="NAA1054" s="103"/>
      <c r="NAM1054" s="104"/>
      <c r="NAN1054" s="103"/>
      <c r="NAZ1054" s="104"/>
      <c r="NBA1054" s="103"/>
      <c r="NBM1054" s="104"/>
      <c r="NBN1054" s="103"/>
      <c r="NBZ1054" s="104"/>
      <c r="NCA1054" s="103"/>
      <c r="NCM1054" s="104"/>
      <c r="NCN1054" s="103"/>
      <c r="NCZ1054" s="104"/>
      <c r="NDA1054" s="103"/>
      <c r="NDM1054" s="104"/>
      <c r="NDN1054" s="103"/>
      <c r="NDZ1054" s="104"/>
      <c r="NEA1054" s="103"/>
      <c r="NEM1054" s="104"/>
      <c r="NEN1054" s="103"/>
      <c r="NEZ1054" s="104"/>
      <c r="NFA1054" s="103"/>
      <c r="NFM1054" s="104"/>
      <c r="NFN1054" s="103"/>
      <c r="NFZ1054" s="104"/>
      <c r="NGA1054" s="103"/>
      <c r="NGM1054" s="104"/>
      <c r="NGN1054" s="103"/>
      <c r="NGZ1054" s="104"/>
      <c r="NHA1054" s="103"/>
      <c r="NHM1054" s="104"/>
      <c r="NHN1054" s="103"/>
      <c r="NHZ1054" s="104"/>
      <c r="NIA1054" s="103"/>
      <c r="NIM1054" s="104"/>
      <c r="NIN1054" s="103"/>
      <c r="NIZ1054" s="104"/>
      <c r="NJA1054" s="103"/>
      <c r="NJM1054" s="104"/>
      <c r="NJN1054" s="103"/>
      <c r="NJZ1054" s="104"/>
      <c r="NKA1054" s="103"/>
      <c r="NKM1054" s="104"/>
      <c r="NKN1054" s="103"/>
      <c r="NKZ1054" s="104"/>
      <c r="NLA1054" s="103"/>
      <c r="NLM1054" s="104"/>
      <c r="NLN1054" s="103"/>
      <c r="NLZ1054" s="104"/>
      <c r="NMA1054" s="103"/>
      <c r="NMM1054" s="104"/>
      <c r="NMN1054" s="103"/>
      <c r="NMZ1054" s="104"/>
      <c r="NNA1054" s="103"/>
      <c r="NNM1054" s="104"/>
      <c r="NNN1054" s="103"/>
      <c r="NNZ1054" s="104"/>
      <c r="NOA1054" s="103"/>
      <c r="NOM1054" s="104"/>
      <c r="NON1054" s="103"/>
      <c r="NOZ1054" s="104"/>
      <c r="NPA1054" s="103"/>
      <c r="NPM1054" s="104"/>
      <c r="NPN1054" s="103"/>
      <c r="NPZ1054" s="104"/>
      <c r="NQA1054" s="103"/>
      <c r="NQM1054" s="104"/>
      <c r="NQN1054" s="103"/>
      <c r="NQZ1054" s="104"/>
      <c r="NRA1054" s="103"/>
      <c r="NRM1054" s="104"/>
      <c r="NRN1054" s="103"/>
      <c r="NRZ1054" s="104"/>
      <c r="NSA1054" s="103"/>
      <c r="NSM1054" s="104"/>
      <c r="NSN1054" s="103"/>
      <c r="NSZ1054" s="104"/>
      <c r="NTA1054" s="103"/>
      <c r="NTM1054" s="104"/>
      <c r="NTN1054" s="103"/>
      <c r="NTZ1054" s="104"/>
      <c r="NUA1054" s="103"/>
      <c r="NUM1054" s="104"/>
      <c r="NUN1054" s="103"/>
      <c r="NUZ1054" s="104"/>
      <c r="NVA1054" s="103"/>
      <c r="NVM1054" s="104"/>
      <c r="NVN1054" s="103"/>
      <c r="NVZ1054" s="104"/>
      <c r="NWA1054" s="103"/>
      <c r="NWM1054" s="104"/>
      <c r="NWN1054" s="103"/>
      <c r="NWZ1054" s="104"/>
      <c r="NXA1054" s="103"/>
      <c r="NXM1054" s="104"/>
      <c r="NXN1054" s="103"/>
      <c r="NXZ1054" s="104"/>
      <c r="NYA1054" s="103"/>
      <c r="NYM1054" s="104"/>
      <c r="NYN1054" s="103"/>
      <c r="NYZ1054" s="104"/>
      <c r="NZA1054" s="103"/>
      <c r="NZM1054" s="104"/>
      <c r="NZN1054" s="103"/>
      <c r="NZZ1054" s="104"/>
      <c r="OAA1054" s="103"/>
      <c r="OAM1054" s="104"/>
      <c r="OAN1054" s="103"/>
      <c r="OAZ1054" s="104"/>
      <c r="OBA1054" s="103"/>
      <c r="OBM1054" s="104"/>
      <c r="OBN1054" s="103"/>
      <c r="OBZ1054" s="104"/>
      <c r="OCA1054" s="103"/>
      <c r="OCM1054" s="104"/>
      <c r="OCN1054" s="103"/>
      <c r="OCZ1054" s="104"/>
      <c r="ODA1054" s="103"/>
      <c r="ODM1054" s="104"/>
      <c r="ODN1054" s="103"/>
      <c r="ODZ1054" s="104"/>
      <c r="OEA1054" s="103"/>
      <c r="OEM1054" s="104"/>
      <c r="OEN1054" s="103"/>
      <c r="OEZ1054" s="104"/>
      <c r="OFA1054" s="103"/>
      <c r="OFM1054" s="104"/>
      <c r="OFN1054" s="103"/>
      <c r="OFZ1054" s="104"/>
      <c r="OGA1054" s="103"/>
      <c r="OGM1054" s="104"/>
      <c r="OGN1054" s="103"/>
      <c r="OGZ1054" s="104"/>
      <c r="OHA1054" s="103"/>
      <c r="OHM1054" s="104"/>
      <c r="OHN1054" s="103"/>
      <c r="OHZ1054" s="104"/>
      <c r="OIA1054" s="103"/>
      <c r="OIM1054" s="104"/>
      <c r="OIN1054" s="103"/>
      <c r="OIZ1054" s="104"/>
      <c r="OJA1054" s="103"/>
      <c r="OJM1054" s="104"/>
      <c r="OJN1054" s="103"/>
      <c r="OJZ1054" s="104"/>
      <c r="OKA1054" s="103"/>
      <c r="OKM1054" s="104"/>
      <c r="OKN1054" s="103"/>
      <c r="OKZ1054" s="104"/>
      <c r="OLA1054" s="103"/>
      <c r="OLM1054" s="104"/>
      <c r="OLN1054" s="103"/>
      <c r="OLZ1054" s="104"/>
      <c r="OMA1054" s="103"/>
      <c r="OMM1054" s="104"/>
      <c r="OMN1054" s="103"/>
      <c r="OMZ1054" s="104"/>
      <c r="ONA1054" s="103"/>
      <c r="ONM1054" s="104"/>
      <c r="ONN1054" s="103"/>
      <c r="ONZ1054" s="104"/>
      <c r="OOA1054" s="103"/>
      <c r="OOM1054" s="104"/>
      <c r="OON1054" s="103"/>
      <c r="OOZ1054" s="104"/>
      <c r="OPA1054" s="103"/>
      <c r="OPM1054" s="104"/>
      <c r="OPN1054" s="103"/>
      <c r="OPZ1054" s="104"/>
      <c r="OQA1054" s="103"/>
      <c r="OQM1054" s="104"/>
      <c r="OQN1054" s="103"/>
      <c r="OQZ1054" s="104"/>
      <c r="ORA1054" s="103"/>
      <c r="ORM1054" s="104"/>
      <c r="ORN1054" s="103"/>
      <c r="ORZ1054" s="104"/>
      <c r="OSA1054" s="103"/>
      <c r="OSM1054" s="104"/>
      <c r="OSN1054" s="103"/>
      <c r="OSZ1054" s="104"/>
      <c r="OTA1054" s="103"/>
      <c r="OTM1054" s="104"/>
      <c r="OTN1054" s="103"/>
      <c r="OTZ1054" s="104"/>
      <c r="OUA1054" s="103"/>
      <c r="OUM1054" s="104"/>
      <c r="OUN1054" s="103"/>
      <c r="OUZ1054" s="104"/>
      <c r="OVA1054" s="103"/>
      <c r="OVM1054" s="104"/>
      <c r="OVN1054" s="103"/>
      <c r="OVZ1054" s="104"/>
      <c r="OWA1054" s="103"/>
      <c r="OWM1054" s="104"/>
      <c r="OWN1054" s="103"/>
      <c r="OWZ1054" s="104"/>
      <c r="OXA1054" s="103"/>
      <c r="OXM1054" s="104"/>
      <c r="OXN1054" s="103"/>
      <c r="OXZ1054" s="104"/>
      <c r="OYA1054" s="103"/>
      <c r="OYM1054" s="104"/>
      <c r="OYN1054" s="103"/>
      <c r="OYZ1054" s="104"/>
      <c r="OZA1054" s="103"/>
      <c r="OZM1054" s="104"/>
      <c r="OZN1054" s="103"/>
      <c r="OZZ1054" s="104"/>
      <c r="PAA1054" s="103"/>
      <c r="PAM1054" s="104"/>
      <c r="PAN1054" s="103"/>
      <c r="PAZ1054" s="104"/>
      <c r="PBA1054" s="103"/>
      <c r="PBM1054" s="104"/>
      <c r="PBN1054" s="103"/>
      <c r="PBZ1054" s="104"/>
      <c r="PCA1054" s="103"/>
      <c r="PCM1054" s="104"/>
      <c r="PCN1054" s="103"/>
      <c r="PCZ1054" s="104"/>
      <c r="PDA1054" s="103"/>
      <c r="PDM1054" s="104"/>
      <c r="PDN1054" s="103"/>
      <c r="PDZ1054" s="104"/>
      <c r="PEA1054" s="103"/>
      <c r="PEM1054" s="104"/>
      <c r="PEN1054" s="103"/>
      <c r="PEZ1054" s="104"/>
      <c r="PFA1054" s="103"/>
      <c r="PFM1054" s="104"/>
      <c r="PFN1054" s="103"/>
      <c r="PFZ1054" s="104"/>
      <c r="PGA1054" s="103"/>
      <c r="PGM1054" s="104"/>
      <c r="PGN1054" s="103"/>
      <c r="PGZ1054" s="104"/>
      <c r="PHA1054" s="103"/>
      <c r="PHM1054" s="104"/>
      <c r="PHN1054" s="103"/>
      <c r="PHZ1054" s="104"/>
      <c r="PIA1054" s="103"/>
      <c r="PIM1054" s="104"/>
      <c r="PIN1054" s="103"/>
      <c r="PIZ1054" s="104"/>
      <c r="PJA1054" s="103"/>
      <c r="PJM1054" s="104"/>
      <c r="PJN1054" s="103"/>
      <c r="PJZ1054" s="104"/>
      <c r="PKA1054" s="103"/>
      <c r="PKM1054" s="104"/>
      <c r="PKN1054" s="103"/>
      <c r="PKZ1054" s="104"/>
      <c r="PLA1054" s="103"/>
      <c r="PLM1054" s="104"/>
      <c r="PLN1054" s="103"/>
      <c r="PLZ1054" s="104"/>
      <c r="PMA1054" s="103"/>
      <c r="PMM1054" s="104"/>
      <c r="PMN1054" s="103"/>
      <c r="PMZ1054" s="104"/>
      <c r="PNA1054" s="103"/>
      <c r="PNM1054" s="104"/>
      <c r="PNN1054" s="103"/>
      <c r="PNZ1054" s="104"/>
      <c r="POA1054" s="103"/>
      <c r="POM1054" s="104"/>
      <c r="PON1054" s="103"/>
      <c r="POZ1054" s="104"/>
      <c r="PPA1054" s="103"/>
      <c r="PPM1054" s="104"/>
      <c r="PPN1054" s="103"/>
      <c r="PPZ1054" s="104"/>
      <c r="PQA1054" s="103"/>
      <c r="PQM1054" s="104"/>
      <c r="PQN1054" s="103"/>
      <c r="PQZ1054" s="104"/>
      <c r="PRA1054" s="103"/>
      <c r="PRM1054" s="104"/>
      <c r="PRN1054" s="103"/>
      <c r="PRZ1054" s="104"/>
      <c r="PSA1054" s="103"/>
      <c r="PSM1054" s="104"/>
      <c r="PSN1054" s="103"/>
      <c r="PSZ1054" s="104"/>
      <c r="PTA1054" s="103"/>
      <c r="PTM1054" s="104"/>
      <c r="PTN1054" s="103"/>
      <c r="PTZ1054" s="104"/>
      <c r="PUA1054" s="103"/>
      <c r="PUM1054" s="104"/>
      <c r="PUN1054" s="103"/>
      <c r="PUZ1054" s="104"/>
      <c r="PVA1054" s="103"/>
      <c r="PVM1054" s="104"/>
      <c r="PVN1054" s="103"/>
      <c r="PVZ1054" s="104"/>
      <c r="PWA1054" s="103"/>
      <c r="PWM1054" s="104"/>
      <c r="PWN1054" s="103"/>
      <c r="PWZ1054" s="104"/>
      <c r="PXA1054" s="103"/>
      <c r="PXM1054" s="104"/>
      <c r="PXN1054" s="103"/>
      <c r="PXZ1054" s="104"/>
      <c r="PYA1054" s="103"/>
      <c r="PYM1054" s="104"/>
      <c r="PYN1054" s="103"/>
      <c r="PYZ1054" s="104"/>
      <c r="PZA1054" s="103"/>
      <c r="PZM1054" s="104"/>
      <c r="PZN1054" s="103"/>
      <c r="PZZ1054" s="104"/>
      <c r="QAA1054" s="103"/>
      <c r="QAM1054" s="104"/>
      <c r="QAN1054" s="103"/>
      <c r="QAZ1054" s="104"/>
      <c r="QBA1054" s="103"/>
      <c r="QBM1054" s="104"/>
      <c r="QBN1054" s="103"/>
      <c r="QBZ1054" s="104"/>
      <c r="QCA1054" s="103"/>
      <c r="QCM1054" s="104"/>
      <c r="QCN1054" s="103"/>
      <c r="QCZ1054" s="104"/>
      <c r="QDA1054" s="103"/>
      <c r="QDM1054" s="104"/>
      <c r="QDN1054" s="103"/>
      <c r="QDZ1054" s="104"/>
      <c r="QEA1054" s="103"/>
      <c r="QEM1054" s="104"/>
      <c r="QEN1054" s="103"/>
      <c r="QEZ1054" s="104"/>
      <c r="QFA1054" s="103"/>
      <c r="QFM1054" s="104"/>
      <c r="QFN1054" s="103"/>
      <c r="QFZ1054" s="104"/>
      <c r="QGA1054" s="103"/>
      <c r="QGM1054" s="104"/>
      <c r="QGN1054" s="103"/>
      <c r="QGZ1054" s="104"/>
      <c r="QHA1054" s="103"/>
      <c r="QHM1054" s="104"/>
      <c r="QHN1054" s="103"/>
      <c r="QHZ1054" s="104"/>
      <c r="QIA1054" s="103"/>
      <c r="QIM1054" s="104"/>
      <c r="QIN1054" s="103"/>
      <c r="QIZ1054" s="104"/>
      <c r="QJA1054" s="103"/>
      <c r="QJM1054" s="104"/>
      <c r="QJN1054" s="103"/>
      <c r="QJZ1054" s="104"/>
      <c r="QKA1054" s="103"/>
      <c r="QKM1054" s="104"/>
      <c r="QKN1054" s="103"/>
      <c r="QKZ1054" s="104"/>
      <c r="QLA1054" s="103"/>
      <c r="QLM1054" s="104"/>
      <c r="QLN1054" s="103"/>
      <c r="QLZ1054" s="104"/>
      <c r="QMA1054" s="103"/>
      <c r="QMM1054" s="104"/>
      <c r="QMN1054" s="103"/>
      <c r="QMZ1054" s="104"/>
      <c r="QNA1054" s="103"/>
      <c r="QNM1054" s="104"/>
      <c r="QNN1054" s="103"/>
      <c r="QNZ1054" s="104"/>
      <c r="QOA1054" s="103"/>
      <c r="QOM1054" s="104"/>
      <c r="QON1054" s="103"/>
      <c r="QOZ1054" s="104"/>
      <c r="QPA1054" s="103"/>
      <c r="QPM1054" s="104"/>
      <c r="QPN1054" s="103"/>
      <c r="QPZ1054" s="104"/>
      <c r="QQA1054" s="103"/>
      <c r="QQM1054" s="104"/>
      <c r="QQN1054" s="103"/>
      <c r="QQZ1054" s="104"/>
      <c r="QRA1054" s="103"/>
      <c r="QRM1054" s="104"/>
      <c r="QRN1054" s="103"/>
      <c r="QRZ1054" s="104"/>
      <c r="QSA1054" s="103"/>
      <c r="QSM1054" s="104"/>
      <c r="QSN1054" s="103"/>
      <c r="QSZ1054" s="104"/>
      <c r="QTA1054" s="103"/>
      <c r="QTM1054" s="104"/>
      <c r="QTN1054" s="103"/>
      <c r="QTZ1054" s="104"/>
      <c r="QUA1054" s="103"/>
      <c r="QUM1054" s="104"/>
      <c r="QUN1054" s="103"/>
      <c r="QUZ1054" s="104"/>
      <c r="QVA1054" s="103"/>
      <c r="QVM1054" s="104"/>
      <c r="QVN1054" s="103"/>
      <c r="QVZ1054" s="104"/>
      <c r="QWA1054" s="103"/>
      <c r="QWM1054" s="104"/>
      <c r="QWN1054" s="103"/>
      <c r="QWZ1054" s="104"/>
      <c r="QXA1054" s="103"/>
      <c r="QXM1054" s="104"/>
      <c r="QXN1054" s="103"/>
      <c r="QXZ1054" s="104"/>
      <c r="QYA1054" s="103"/>
      <c r="QYM1054" s="104"/>
      <c r="QYN1054" s="103"/>
      <c r="QYZ1054" s="104"/>
      <c r="QZA1054" s="103"/>
      <c r="QZM1054" s="104"/>
      <c r="QZN1054" s="103"/>
      <c r="QZZ1054" s="104"/>
      <c r="RAA1054" s="103"/>
      <c r="RAM1054" s="104"/>
      <c r="RAN1054" s="103"/>
      <c r="RAZ1054" s="104"/>
      <c r="RBA1054" s="103"/>
      <c r="RBM1054" s="104"/>
      <c r="RBN1054" s="103"/>
      <c r="RBZ1054" s="104"/>
      <c r="RCA1054" s="103"/>
      <c r="RCM1054" s="104"/>
      <c r="RCN1054" s="103"/>
      <c r="RCZ1054" s="104"/>
      <c r="RDA1054" s="103"/>
      <c r="RDM1054" s="104"/>
      <c r="RDN1054" s="103"/>
      <c r="RDZ1054" s="104"/>
      <c r="REA1054" s="103"/>
      <c r="REM1054" s="104"/>
      <c r="REN1054" s="103"/>
      <c r="REZ1054" s="104"/>
      <c r="RFA1054" s="103"/>
      <c r="RFM1054" s="104"/>
      <c r="RFN1054" s="103"/>
      <c r="RFZ1054" s="104"/>
      <c r="RGA1054" s="103"/>
      <c r="RGM1054" s="104"/>
      <c r="RGN1054" s="103"/>
      <c r="RGZ1054" s="104"/>
      <c r="RHA1054" s="103"/>
      <c r="RHM1054" s="104"/>
      <c r="RHN1054" s="103"/>
      <c r="RHZ1054" s="104"/>
      <c r="RIA1054" s="103"/>
      <c r="RIM1054" s="104"/>
      <c r="RIN1054" s="103"/>
      <c r="RIZ1054" s="104"/>
      <c r="RJA1054" s="103"/>
      <c r="RJM1054" s="104"/>
      <c r="RJN1054" s="103"/>
      <c r="RJZ1054" s="104"/>
      <c r="RKA1054" s="103"/>
      <c r="RKM1054" s="104"/>
      <c r="RKN1054" s="103"/>
      <c r="RKZ1054" s="104"/>
      <c r="RLA1054" s="103"/>
      <c r="RLM1054" s="104"/>
      <c r="RLN1054" s="103"/>
      <c r="RLZ1054" s="104"/>
      <c r="RMA1054" s="103"/>
      <c r="RMM1054" s="104"/>
      <c r="RMN1054" s="103"/>
      <c r="RMZ1054" s="104"/>
      <c r="RNA1054" s="103"/>
      <c r="RNM1054" s="104"/>
      <c r="RNN1054" s="103"/>
      <c r="RNZ1054" s="104"/>
      <c r="ROA1054" s="103"/>
      <c r="ROM1054" s="104"/>
      <c r="RON1054" s="103"/>
      <c r="ROZ1054" s="104"/>
      <c r="RPA1054" s="103"/>
      <c r="RPM1054" s="104"/>
      <c r="RPN1054" s="103"/>
      <c r="RPZ1054" s="104"/>
      <c r="RQA1054" s="103"/>
      <c r="RQM1054" s="104"/>
      <c r="RQN1054" s="103"/>
      <c r="RQZ1054" s="104"/>
      <c r="RRA1054" s="103"/>
      <c r="RRM1054" s="104"/>
      <c r="RRN1054" s="103"/>
      <c r="RRZ1054" s="104"/>
      <c r="RSA1054" s="103"/>
      <c r="RSM1054" s="104"/>
      <c r="RSN1054" s="103"/>
      <c r="RSZ1054" s="104"/>
      <c r="RTA1054" s="103"/>
      <c r="RTM1054" s="104"/>
      <c r="RTN1054" s="103"/>
      <c r="RTZ1054" s="104"/>
      <c r="RUA1054" s="103"/>
      <c r="RUM1054" s="104"/>
      <c r="RUN1054" s="103"/>
      <c r="RUZ1054" s="104"/>
      <c r="RVA1054" s="103"/>
      <c r="RVM1054" s="104"/>
      <c r="RVN1054" s="103"/>
      <c r="RVZ1054" s="104"/>
      <c r="RWA1054" s="103"/>
      <c r="RWM1054" s="104"/>
      <c r="RWN1054" s="103"/>
      <c r="RWZ1054" s="104"/>
      <c r="RXA1054" s="103"/>
      <c r="RXM1054" s="104"/>
      <c r="RXN1054" s="103"/>
      <c r="RXZ1054" s="104"/>
      <c r="RYA1054" s="103"/>
      <c r="RYM1054" s="104"/>
      <c r="RYN1054" s="103"/>
      <c r="RYZ1054" s="104"/>
      <c r="RZA1054" s="103"/>
      <c r="RZM1054" s="104"/>
      <c r="RZN1054" s="103"/>
      <c r="RZZ1054" s="104"/>
      <c r="SAA1054" s="103"/>
      <c r="SAM1054" s="104"/>
      <c r="SAN1054" s="103"/>
      <c r="SAZ1054" s="104"/>
      <c r="SBA1054" s="103"/>
      <c r="SBM1054" s="104"/>
      <c r="SBN1054" s="103"/>
      <c r="SBZ1054" s="104"/>
      <c r="SCA1054" s="103"/>
      <c r="SCM1054" s="104"/>
      <c r="SCN1054" s="103"/>
      <c r="SCZ1054" s="104"/>
      <c r="SDA1054" s="103"/>
      <c r="SDM1054" s="104"/>
      <c r="SDN1054" s="103"/>
      <c r="SDZ1054" s="104"/>
      <c r="SEA1054" s="103"/>
      <c r="SEM1054" s="104"/>
      <c r="SEN1054" s="103"/>
      <c r="SEZ1054" s="104"/>
      <c r="SFA1054" s="103"/>
      <c r="SFM1054" s="104"/>
      <c r="SFN1054" s="103"/>
      <c r="SFZ1054" s="104"/>
      <c r="SGA1054" s="103"/>
      <c r="SGM1054" s="104"/>
      <c r="SGN1054" s="103"/>
      <c r="SGZ1054" s="104"/>
      <c r="SHA1054" s="103"/>
      <c r="SHM1054" s="104"/>
      <c r="SHN1054" s="103"/>
      <c r="SHZ1054" s="104"/>
      <c r="SIA1054" s="103"/>
      <c r="SIM1054" s="104"/>
      <c r="SIN1054" s="103"/>
      <c r="SIZ1054" s="104"/>
      <c r="SJA1054" s="103"/>
      <c r="SJM1054" s="104"/>
      <c r="SJN1054" s="103"/>
      <c r="SJZ1054" s="104"/>
      <c r="SKA1054" s="103"/>
      <c r="SKM1054" s="104"/>
      <c r="SKN1054" s="103"/>
      <c r="SKZ1054" s="104"/>
      <c r="SLA1054" s="103"/>
      <c r="SLM1054" s="104"/>
      <c r="SLN1054" s="103"/>
      <c r="SLZ1054" s="104"/>
      <c r="SMA1054" s="103"/>
      <c r="SMM1054" s="104"/>
      <c r="SMN1054" s="103"/>
      <c r="SMZ1054" s="104"/>
      <c r="SNA1054" s="103"/>
      <c r="SNM1054" s="104"/>
      <c r="SNN1054" s="103"/>
      <c r="SNZ1054" s="104"/>
      <c r="SOA1054" s="103"/>
      <c r="SOM1054" s="104"/>
      <c r="SON1054" s="103"/>
      <c r="SOZ1054" s="104"/>
      <c r="SPA1054" s="103"/>
      <c r="SPM1054" s="104"/>
      <c r="SPN1054" s="103"/>
      <c r="SPZ1054" s="104"/>
      <c r="SQA1054" s="103"/>
      <c r="SQM1054" s="104"/>
      <c r="SQN1054" s="103"/>
      <c r="SQZ1054" s="104"/>
      <c r="SRA1054" s="103"/>
      <c r="SRM1054" s="104"/>
      <c r="SRN1054" s="103"/>
      <c r="SRZ1054" s="104"/>
      <c r="SSA1054" s="103"/>
      <c r="SSM1054" s="104"/>
      <c r="SSN1054" s="103"/>
      <c r="SSZ1054" s="104"/>
      <c r="STA1054" s="103"/>
      <c r="STM1054" s="104"/>
      <c r="STN1054" s="103"/>
      <c r="STZ1054" s="104"/>
      <c r="SUA1054" s="103"/>
      <c r="SUM1054" s="104"/>
      <c r="SUN1054" s="103"/>
      <c r="SUZ1054" s="104"/>
      <c r="SVA1054" s="103"/>
      <c r="SVM1054" s="104"/>
      <c r="SVN1054" s="103"/>
      <c r="SVZ1054" s="104"/>
      <c r="SWA1054" s="103"/>
      <c r="SWM1054" s="104"/>
      <c r="SWN1054" s="103"/>
      <c r="SWZ1054" s="104"/>
      <c r="SXA1054" s="103"/>
      <c r="SXM1054" s="104"/>
      <c r="SXN1054" s="103"/>
      <c r="SXZ1054" s="104"/>
      <c r="SYA1054" s="103"/>
      <c r="SYM1054" s="104"/>
      <c r="SYN1054" s="103"/>
      <c r="SYZ1054" s="104"/>
      <c r="SZA1054" s="103"/>
      <c r="SZM1054" s="104"/>
      <c r="SZN1054" s="103"/>
      <c r="SZZ1054" s="104"/>
      <c r="TAA1054" s="103"/>
      <c r="TAM1054" s="104"/>
      <c r="TAN1054" s="103"/>
      <c r="TAZ1054" s="104"/>
      <c r="TBA1054" s="103"/>
      <c r="TBM1054" s="104"/>
      <c r="TBN1054" s="103"/>
      <c r="TBZ1054" s="104"/>
      <c r="TCA1054" s="103"/>
      <c r="TCM1054" s="104"/>
      <c r="TCN1054" s="103"/>
      <c r="TCZ1054" s="104"/>
      <c r="TDA1054" s="103"/>
      <c r="TDM1054" s="104"/>
      <c r="TDN1054" s="103"/>
      <c r="TDZ1054" s="104"/>
      <c r="TEA1054" s="103"/>
      <c r="TEM1054" s="104"/>
      <c r="TEN1054" s="103"/>
      <c r="TEZ1054" s="104"/>
      <c r="TFA1054" s="103"/>
      <c r="TFM1054" s="104"/>
      <c r="TFN1054" s="103"/>
      <c r="TFZ1054" s="104"/>
      <c r="TGA1054" s="103"/>
      <c r="TGM1054" s="104"/>
      <c r="TGN1054" s="103"/>
      <c r="TGZ1054" s="104"/>
      <c r="THA1054" s="103"/>
      <c r="THM1054" s="104"/>
      <c r="THN1054" s="103"/>
      <c r="THZ1054" s="104"/>
      <c r="TIA1054" s="103"/>
      <c r="TIM1054" s="104"/>
      <c r="TIN1054" s="103"/>
      <c r="TIZ1054" s="104"/>
      <c r="TJA1054" s="103"/>
      <c r="TJM1054" s="104"/>
      <c r="TJN1054" s="103"/>
      <c r="TJZ1054" s="104"/>
      <c r="TKA1054" s="103"/>
      <c r="TKM1054" s="104"/>
      <c r="TKN1054" s="103"/>
      <c r="TKZ1054" s="104"/>
      <c r="TLA1054" s="103"/>
      <c r="TLM1054" s="104"/>
      <c r="TLN1054" s="103"/>
      <c r="TLZ1054" s="104"/>
      <c r="TMA1054" s="103"/>
      <c r="TMM1054" s="104"/>
      <c r="TMN1054" s="103"/>
      <c r="TMZ1054" s="104"/>
      <c r="TNA1054" s="103"/>
      <c r="TNM1054" s="104"/>
      <c r="TNN1054" s="103"/>
      <c r="TNZ1054" s="104"/>
      <c r="TOA1054" s="103"/>
      <c r="TOM1054" s="104"/>
      <c r="TON1054" s="103"/>
      <c r="TOZ1054" s="104"/>
      <c r="TPA1054" s="103"/>
      <c r="TPM1054" s="104"/>
      <c r="TPN1054" s="103"/>
      <c r="TPZ1054" s="104"/>
      <c r="TQA1054" s="103"/>
      <c r="TQM1054" s="104"/>
      <c r="TQN1054" s="103"/>
      <c r="TQZ1054" s="104"/>
      <c r="TRA1054" s="103"/>
      <c r="TRM1054" s="104"/>
      <c r="TRN1054" s="103"/>
      <c r="TRZ1054" s="104"/>
      <c r="TSA1054" s="103"/>
      <c r="TSM1054" s="104"/>
      <c r="TSN1054" s="103"/>
      <c r="TSZ1054" s="104"/>
      <c r="TTA1054" s="103"/>
      <c r="TTM1054" s="104"/>
      <c r="TTN1054" s="103"/>
      <c r="TTZ1054" s="104"/>
      <c r="TUA1054" s="103"/>
      <c r="TUM1054" s="104"/>
      <c r="TUN1054" s="103"/>
      <c r="TUZ1054" s="104"/>
      <c r="TVA1054" s="103"/>
      <c r="TVM1054" s="104"/>
      <c r="TVN1054" s="103"/>
      <c r="TVZ1054" s="104"/>
      <c r="TWA1054" s="103"/>
      <c r="TWM1054" s="104"/>
      <c r="TWN1054" s="103"/>
      <c r="TWZ1054" s="104"/>
      <c r="TXA1054" s="103"/>
      <c r="TXM1054" s="104"/>
      <c r="TXN1054" s="103"/>
      <c r="TXZ1054" s="104"/>
      <c r="TYA1054" s="103"/>
      <c r="TYM1054" s="104"/>
      <c r="TYN1054" s="103"/>
      <c r="TYZ1054" s="104"/>
      <c r="TZA1054" s="103"/>
      <c r="TZM1054" s="104"/>
      <c r="TZN1054" s="103"/>
      <c r="TZZ1054" s="104"/>
      <c r="UAA1054" s="103"/>
      <c r="UAM1054" s="104"/>
      <c r="UAN1054" s="103"/>
      <c r="UAZ1054" s="104"/>
      <c r="UBA1054" s="103"/>
      <c r="UBM1054" s="104"/>
      <c r="UBN1054" s="103"/>
      <c r="UBZ1054" s="104"/>
      <c r="UCA1054" s="103"/>
      <c r="UCM1054" s="104"/>
      <c r="UCN1054" s="103"/>
      <c r="UCZ1054" s="104"/>
      <c r="UDA1054" s="103"/>
      <c r="UDM1054" s="104"/>
      <c r="UDN1054" s="103"/>
      <c r="UDZ1054" s="104"/>
      <c r="UEA1054" s="103"/>
      <c r="UEM1054" s="104"/>
      <c r="UEN1054" s="103"/>
      <c r="UEZ1054" s="104"/>
      <c r="UFA1054" s="103"/>
      <c r="UFM1054" s="104"/>
      <c r="UFN1054" s="103"/>
      <c r="UFZ1054" s="104"/>
      <c r="UGA1054" s="103"/>
      <c r="UGM1054" s="104"/>
      <c r="UGN1054" s="103"/>
      <c r="UGZ1054" s="104"/>
      <c r="UHA1054" s="103"/>
      <c r="UHM1054" s="104"/>
      <c r="UHN1054" s="103"/>
      <c r="UHZ1054" s="104"/>
      <c r="UIA1054" s="103"/>
      <c r="UIM1054" s="104"/>
      <c r="UIN1054" s="103"/>
      <c r="UIZ1054" s="104"/>
      <c r="UJA1054" s="103"/>
      <c r="UJM1054" s="104"/>
      <c r="UJN1054" s="103"/>
      <c r="UJZ1054" s="104"/>
      <c r="UKA1054" s="103"/>
      <c r="UKM1054" s="104"/>
      <c r="UKN1054" s="103"/>
      <c r="UKZ1054" s="104"/>
      <c r="ULA1054" s="103"/>
      <c r="ULM1054" s="104"/>
      <c r="ULN1054" s="103"/>
      <c r="ULZ1054" s="104"/>
      <c r="UMA1054" s="103"/>
      <c r="UMM1054" s="104"/>
      <c r="UMN1054" s="103"/>
      <c r="UMZ1054" s="104"/>
      <c r="UNA1054" s="103"/>
      <c r="UNM1054" s="104"/>
      <c r="UNN1054" s="103"/>
      <c r="UNZ1054" s="104"/>
      <c r="UOA1054" s="103"/>
      <c r="UOM1054" s="104"/>
      <c r="UON1054" s="103"/>
      <c r="UOZ1054" s="104"/>
      <c r="UPA1054" s="103"/>
      <c r="UPM1054" s="104"/>
      <c r="UPN1054" s="103"/>
      <c r="UPZ1054" s="104"/>
      <c r="UQA1054" s="103"/>
      <c r="UQM1054" s="104"/>
      <c r="UQN1054" s="103"/>
      <c r="UQZ1054" s="104"/>
      <c r="URA1054" s="103"/>
      <c r="URM1054" s="104"/>
      <c r="URN1054" s="103"/>
      <c r="URZ1054" s="104"/>
      <c r="USA1054" s="103"/>
      <c r="USM1054" s="104"/>
      <c r="USN1054" s="103"/>
      <c r="USZ1054" s="104"/>
      <c r="UTA1054" s="103"/>
      <c r="UTM1054" s="104"/>
      <c r="UTN1054" s="103"/>
      <c r="UTZ1054" s="104"/>
      <c r="UUA1054" s="103"/>
      <c r="UUM1054" s="104"/>
      <c r="UUN1054" s="103"/>
      <c r="UUZ1054" s="104"/>
      <c r="UVA1054" s="103"/>
      <c r="UVM1054" s="104"/>
      <c r="UVN1054" s="103"/>
      <c r="UVZ1054" s="104"/>
      <c r="UWA1054" s="103"/>
      <c r="UWM1054" s="104"/>
      <c r="UWN1054" s="103"/>
      <c r="UWZ1054" s="104"/>
      <c r="UXA1054" s="103"/>
      <c r="UXM1054" s="104"/>
      <c r="UXN1054" s="103"/>
      <c r="UXZ1054" s="104"/>
      <c r="UYA1054" s="103"/>
      <c r="UYM1054" s="104"/>
      <c r="UYN1054" s="103"/>
      <c r="UYZ1054" s="104"/>
      <c r="UZA1054" s="103"/>
      <c r="UZM1054" s="104"/>
      <c r="UZN1054" s="103"/>
      <c r="UZZ1054" s="104"/>
      <c r="VAA1054" s="103"/>
      <c r="VAM1054" s="104"/>
      <c r="VAN1054" s="103"/>
      <c r="VAZ1054" s="104"/>
      <c r="VBA1054" s="103"/>
      <c r="VBM1054" s="104"/>
      <c r="VBN1054" s="103"/>
      <c r="VBZ1054" s="104"/>
      <c r="VCA1054" s="103"/>
      <c r="VCM1054" s="104"/>
      <c r="VCN1054" s="103"/>
      <c r="VCZ1054" s="104"/>
      <c r="VDA1054" s="103"/>
      <c r="VDM1054" s="104"/>
      <c r="VDN1054" s="103"/>
      <c r="VDZ1054" s="104"/>
      <c r="VEA1054" s="103"/>
      <c r="VEM1054" s="104"/>
      <c r="VEN1054" s="103"/>
      <c r="VEZ1054" s="104"/>
      <c r="VFA1054" s="103"/>
      <c r="VFM1054" s="104"/>
      <c r="VFN1054" s="103"/>
      <c r="VFZ1054" s="104"/>
      <c r="VGA1054" s="103"/>
      <c r="VGM1054" s="104"/>
      <c r="VGN1054" s="103"/>
      <c r="VGZ1054" s="104"/>
      <c r="VHA1054" s="103"/>
      <c r="VHM1054" s="104"/>
      <c r="VHN1054" s="103"/>
      <c r="VHZ1054" s="104"/>
      <c r="VIA1054" s="103"/>
      <c r="VIM1054" s="104"/>
      <c r="VIN1054" s="103"/>
      <c r="VIZ1054" s="104"/>
      <c r="VJA1054" s="103"/>
      <c r="VJM1054" s="104"/>
      <c r="VJN1054" s="103"/>
      <c r="VJZ1054" s="104"/>
      <c r="VKA1054" s="103"/>
      <c r="VKM1054" s="104"/>
      <c r="VKN1054" s="103"/>
      <c r="VKZ1054" s="104"/>
      <c r="VLA1054" s="103"/>
      <c r="VLM1054" s="104"/>
      <c r="VLN1054" s="103"/>
      <c r="VLZ1054" s="104"/>
      <c r="VMA1054" s="103"/>
      <c r="VMM1054" s="104"/>
      <c r="VMN1054" s="103"/>
      <c r="VMZ1054" s="104"/>
      <c r="VNA1054" s="103"/>
      <c r="VNM1054" s="104"/>
      <c r="VNN1054" s="103"/>
      <c r="VNZ1054" s="104"/>
      <c r="VOA1054" s="103"/>
      <c r="VOM1054" s="104"/>
      <c r="VON1054" s="103"/>
      <c r="VOZ1054" s="104"/>
      <c r="VPA1054" s="103"/>
      <c r="VPM1054" s="104"/>
      <c r="VPN1054" s="103"/>
      <c r="VPZ1054" s="104"/>
      <c r="VQA1054" s="103"/>
      <c r="VQM1054" s="104"/>
      <c r="VQN1054" s="103"/>
      <c r="VQZ1054" s="104"/>
      <c r="VRA1054" s="103"/>
      <c r="VRM1054" s="104"/>
      <c r="VRN1054" s="103"/>
      <c r="VRZ1054" s="104"/>
      <c r="VSA1054" s="103"/>
      <c r="VSM1054" s="104"/>
      <c r="VSN1054" s="103"/>
      <c r="VSZ1054" s="104"/>
      <c r="VTA1054" s="103"/>
      <c r="VTM1054" s="104"/>
      <c r="VTN1054" s="103"/>
      <c r="VTZ1054" s="104"/>
      <c r="VUA1054" s="103"/>
      <c r="VUM1054" s="104"/>
      <c r="VUN1054" s="103"/>
      <c r="VUZ1054" s="104"/>
      <c r="VVA1054" s="103"/>
      <c r="VVM1054" s="104"/>
      <c r="VVN1054" s="103"/>
      <c r="VVZ1054" s="104"/>
      <c r="VWA1054" s="103"/>
      <c r="VWM1054" s="104"/>
      <c r="VWN1054" s="103"/>
      <c r="VWZ1054" s="104"/>
      <c r="VXA1054" s="103"/>
      <c r="VXM1054" s="104"/>
      <c r="VXN1054" s="103"/>
      <c r="VXZ1054" s="104"/>
      <c r="VYA1054" s="103"/>
      <c r="VYM1054" s="104"/>
      <c r="VYN1054" s="103"/>
      <c r="VYZ1054" s="104"/>
      <c r="VZA1054" s="103"/>
      <c r="VZM1054" s="104"/>
      <c r="VZN1054" s="103"/>
      <c r="VZZ1054" s="104"/>
      <c r="WAA1054" s="103"/>
      <c r="WAM1054" s="104"/>
      <c r="WAN1054" s="103"/>
      <c r="WAZ1054" s="104"/>
      <c r="WBA1054" s="103"/>
      <c r="WBM1054" s="104"/>
      <c r="WBN1054" s="103"/>
      <c r="WBZ1054" s="104"/>
      <c r="WCA1054" s="103"/>
      <c r="WCM1054" s="104"/>
      <c r="WCN1054" s="103"/>
      <c r="WCZ1054" s="104"/>
      <c r="WDA1054" s="103"/>
      <c r="WDM1054" s="104"/>
      <c r="WDN1054" s="103"/>
      <c r="WDZ1054" s="104"/>
      <c r="WEA1054" s="103"/>
      <c r="WEM1054" s="104"/>
      <c r="WEN1054" s="103"/>
      <c r="WEZ1054" s="104"/>
      <c r="WFA1054" s="103"/>
      <c r="WFM1054" s="104"/>
      <c r="WFN1054" s="103"/>
      <c r="WFZ1054" s="104"/>
      <c r="WGA1054" s="103"/>
      <c r="WGM1054" s="104"/>
      <c r="WGN1054" s="103"/>
      <c r="WGZ1054" s="104"/>
      <c r="WHA1054" s="103"/>
      <c r="WHM1054" s="104"/>
      <c r="WHN1054" s="103"/>
      <c r="WHZ1054" s="104"/>
      <c r="WIA1054" s="103"/>
      <c r="WIM1054" s="104"/>
      <c r="WIN1054" s="103"/>
      <c r="WIZ1054" s="104"/>
      <c r="WJA1054" s="103"/>
      <c r="WJM1054" s="104"/>
      <c r="WJN1054" s="103"/>
      <c r="WJZ1054" s="104"/>
      <c r="WKA1054" s="103"/>
      <c r="WKM1054" s="104"/>
      <c r="WKN1054" s="103"/>
      <c r="WKZ1054" s="104"/>
      <c r="WLA1054" s="103"/>
      <c r="WLM1054" s="104"/>
      <c r="WLN1054" s="103"/>
      <c r="WLZ1054" s="104"/>
      <c r="WMA1054" s="103"/>
      <c r="WMM1054" s="104"/>
      <c r="WMN1054" s="103"/>
      <c r="WMZ1054" s="104"/>
      <c r="WNA1054" s="103"/>
      <c r="WNM1054" s="104"/>
      <c r="WNN1054" s="103"/>
      <c r="WNZ1054" s="104"/>
      <c r="WOA1054" s="103"/>
      <c r="WOM1054" s="104"/>
      <c r="WON1054" s="103"/>
      <c r="WOZ1054" s="104"/>
      <c r="WPA1054" s="103"/>
      <c r="WPM1054" s="104"/>
      <c r="WPN1054" s="103"/>
      <c r="WPZ1054" s="104"/>
      <c r="WQA1054" s="103"/>
      <c r="WQM1054" s="104"/>
      <c r="WQN1054" s="103"/>
      <c r="WQZ1054" s="104"/>
      <c r="WRA1054" s="103"/>
      <c r="WRM1054" s="104"/>
      <c r="WRN1054" s="103"/>
      <c r="WRZ1054" s="104"/>
      <c r="WSA1054" s="103"/>
      <c r="WSM1054" s="104"/>
      <c r="WSN1054" s="103"/>
      <c r="WSZ1054" s="104"/>
      <c r="WTA1054" s="103"/>
      <c r="WTM1054" s="104"/>
      <c r="WTN1054" s="103"/>
      <c r="WTZ1054" s="104"/>
      <c r="WUA1054" s="103"/>
      <c r="WUM1054" s="104"/>
      <c r="WUN1054" s="103"/>
      <c r="WUZ1054" s="104"/>
      <c r="WVA1054" s="103"/>
      <c r="WVM1054" s="104"/>
      <c r="WVN1054" s="103"/>
      <c r="WVZ1054" s="104"/>
      <c r="WWA1054" s="103"/>
      <c r="WWM1054" s="104"/>
      <c r="WWN1054" s="103"/>
      <c r="WWZ1054" s="104"/>
      <c r="WXA1054" s="103"/>
      <c r="WXM1054" s="104"/>
      <c r="WXN1054" s="103"/>
      <c r="WXZ1054" s="104"/>
      <c r="WYA1054" s="103"/>
      <c r="WYM1054" s="104"/>
      <c r="WYN1054" s="103"/>
      <c r="WYZ1054" s="104"/>
      <c r="WZA1054" s="103"/>
      <c r="WZM1054" s="104"/>
      <c r="WZN1054" s="103"/>
      <c r="WZZ1054" s="104"/>
      <c r="XAA1054" s="103"/>
      <c r="XAM1054" s="104"/>
      <c r="XAN1054" s="103"/>
      <c r="XAZ1054" s="104"/>
      <c r="XBA1054" s="103"/>
      <c r="XBM1054" s="104"/>
      <c r="XBN1054" s="103"/>
      <c r="XBZ1054" s="104"/>
      <c r="XCA1054" s="103"/>
      <c r="XCM1054" s="104"/>
      <c r="XCN1054" s="103"/>
      <c r="XCZ1054" s="104"/>
      <c r="XDA1054" s="103"/>
      <c r="XDM1054" s="104"/>
      <c r="XDN1054" s="103"/>
      <c r="XDZ1054" s="104"/>
      <c r="XEA1054" s="103"/>
      <c r="XEM1054" s="104"/>
      <c r="XEN1054" s="103"/>
      <c r="XEZ1054" s="104"/>
      <c r="XFA1054" s="103"/>
    </row>
    <row r="1055" spans="1:1015 1027:2042 2054:3069 3081:4096 4108:5110 5122:6137 6149:7164 7176:8191 8203:9205 9217:10232 10244:11259 11271:12286 12298:14327 14339:15354 15366:16381">
      <c r="A1055" s="103" t="s">
        <v>177</v>
      </c>
      <c r="M1055" s="104" t="s">
        <v>178</v>
      </c>
      <c r="N1055" s="106">
        <f>1/Model!AE202</f>
        <v>1.9264110961279137E-2</v>
      </c>
      <c r="Z1055" s="104"/>
      <c r="AA1055" s="103"/>
      <c r="AM1055" s="104"/>
      <c r="AN1055" s="103"/>
      <c r="AZ1055" s="104"/>
      <c r="BA1055" s="103"/>
      <c r="BM1055" s="104"/>
      <c r="BN1055" s="103"/>
      <c r="BZ1055" s="104"/>
      <c r="CA1055" s="103"/>
      <c r="CM1055" s="104"/>
      <c r="CN1055" s="103"/>
      <c r="CZ1055" s="104"/>
      <c r="DA1055" s="103"/>
      <c r="DM1055" s="104"/>
      <c r="DN1055" s="103"/>
      <c r="DZ1055" s="104"/>
      <c r="EA1055" s="103"/>
      <c r="EM1055" s="104"/>
      <c r="EN1055" s="103"/>
      <c r="EZ1055" s="104"/>
      <c r="FA1055" s="103"/>
      <c r="FM1055" s="104"/>
      <c r="FN1055" s="103"/>
      <c r="FZ1055" s="104"/>
      <c r="GA1055" s="103"/>
      <c r="GM1055" s="104"/>
      <c r="GN1055" s="103"/>
      <c r="GZ1055" s="104"/>
      <c r="HA1055" s="103"/>
      <c r="HM1055" s="104"/>
      <c r="HN1055" s="103"/>
      <c r="HZ1055" s="104"/>
      <c r="IA1055" s="103"/>
      <c r="IM1055" s="104"/>
      <c r="IN1055" s="103"/>
      <c r="IZ1055" s="104"/>
      <c r="JA1055" s="103"/>
      <c r="JM1055" s="104"/>
      <c r="JN1055" s="103"/>
      <c r="JZ1055" s="104"/>
      <c r="KA1055" s="103"/>
      <c r="KM1055" s="104"/>
      <c r="KN1055" s="103"/>
      <c r="KZ1055" s="104"/>
      <c r="LA1055" s="103"/>
      <c r="LM1055" s="104"/>
      <c r="LN1055" s="103"/>
      <c r="LZ1055" s="104"/>
      <c r="MA1055" s="103"/>
      <c r="MM1055" s="104"/>
      <c r="MN1055" s="103"/>
      <c r="MZ1055" s="104"/>
      <c r="NA1055" s="103"/>
      <c r="NM1055" s="104"/>
      <c r="NN1055" s="103"/>
      <c r="NZ1055" s="104"/>
      <c r="OA1055" s="103"/>
      <c r="OM1055" s="104"/>
      <c r="ON1055" s="103"/>
      <c r="OZ1055" s="104"/>
      <c r="PA1055" s="103"/>
      <c r="PM1055" s="104"/>
      <c r="PN1055" s="103"/>
      <c r="PZ1055" s="104"/>
      <c r="QA1055" s="103"/>
      <c r="QM1055" s="104"/>
      <c r="QN1055" s="103"/>
      <c r="QZ1055" s="104"/>
      <c r="RA1055" s="103"/>
      <c r="RM1055" s="104"/>
      <c r="RN1055" s="103"/>
      <c r="RZ1055" s="104"/>
      <c r="SA1055" s="103"/>
      <c r="SM1055" s="104"/>
      <c r="SN1055" s="103"/>
      <c r="SZ1055" s="104"/>
      <c r="TA1055" s="103"/>
      <c r="TM1055" s="104"/>
      <c r="TN1055" s="103"/>
      <c r="TZ1055" s="104"/>
      <c r="UA1055" s="103"/>
      <c r="UM1055" s="104"/>
      <c r="UN1055" s="103"/>
      <c r="UZ1055" s="104"/>
      <c r="VA1055" s="103"/>
      <c r="VM1055" s="104"/>
      <c r="VN1055" s="103"/>
      <c r="VZ1055" s="104"/>
      <c r="WA1055" s="103"/>
      <c r="WM1055" s="104"/>
      <c r="WN1055" s="103"/>
      <c r="WZ1055" s="104"/>
      <c r="XA1055" s="103"/>
      <c r="XM1055" s="104"/>
      <c r="XN1055" s="103"/>
      <c r="XZ1055" s="104"/>
      <c r="YA1055" s="103"/>
      <c r="YM1055" s="104"/>
      <c r="YN1055" s="103"/>
      <c r="YZ1055" s="104"/>
      <c r="ZA1055" s="103"/>
      <c r="ZM1055" s="104"/>
      <c r="ZN1055" s="103"/>
      <c r="ZZ1055" s="104"/>
      <c r="AAA1055" s="103"/>
      <c r="AAM1055" s="104"/>
      <c r="AAN1055" s="103"/>
      <c r="AAZ1055" s="104"/>
      <c r="ABA1055" s="103"/>
      <c r="ABM1055" s="104"/>
      <c r="ABN1055" s="103"/>
      <c r="ABZ1055" s="104"/>
      <c r="ACA1055" s="103"/>
      <c r="ACM1055" s="104"/>
      <c r="ACN1055" s="103"/>
      <c r="ACZ1055" s="104"/>
      <c r="ADA1055" s="103"/>
      <c r="ADM1055" s="104"/>
      <c r="ADN1055" s="103"/>
      <c r="ADZ1055" s="104"/>
      <c r="AEA1055" s="103"/>
      <c r="AEM1055" s="104"/>
      <c r="AEN1055" s="103"/>
      <c r="AEZ1055" s="104"/>
      <c r="AFA1055" s="103"/>
      <c r="AFM1055" s="104"/>
      <c r="AFN1055" s="103"/>
      <c r="AFZ1055" s="104"/>
      <c r="AGA1055" s="103"/>
      <c r="AGM1055" s="104"/>
      <c r="AGN1055" s="103"/>
      <c r="AGZ1055" s="104"/>
      <c r="AHA1055" s="103"/>
      <c r="AHM1055" s="104"/>
      <c r="AHN1055" s="103"/>
      <c r="AHZ1055" s="104"/>
      <c r="AIA1055" s="103"/>
      <c r="AIM1055" s="104"/>
      <c r="AIN1055" s="103"/>
      <c r="AIZ1055" s="104"/>
      <c r="AJA1055" s="103"/>
      <c r="AJM1055" s="104"/>
      <c r="AJN1055" s="103"/>
      <c r="AJZ1055" s="104"/>
      <c r="AKA1055" s="103"/>
      <c r="AKM1055" s="104"/>
      <c r="AKN1055" s="103"/>
      <c r="AKZ1055" s="104"/>
      <c r="ALA1055" s="103"/>
      <c r="ALM1055" s="104"/>
      <c r="ALN1055" s="103"/>
      <c r="ALZ1055" s="104"/>
      <c r="AMA1055" s="103"/>
      <c r="AMM1055" s="104"/>
      <c r="AMN1055" s="103"/>
      <c r="AMZ1055" s="104"/>
      <c r="ANA1055" s="103"/>
      <c r="ANM1055" s="104"/>
      <c r="ANN1055" s="103"/>
      <c r="ANZ1055" s="104"/>
      <c r="AOA1055" s="103"/>
      <c r="AOM1055" s="104"/>
      <c r="AON1055" s="103"/>
      <c r="AOZ1055" s="104"/>
      <c r="APA1055" s="103"/>
      <c r="APM1055" s="104"/>
      <c r="APN1055" s="103"/>
      <c r="APZ1055" s="104"/>
      <c r="AQA1055" s="103"/>
      <c r="AQM1055" s="104"/>
      <c r="AQN1055" s="103"/>
      <c r="AQZ1055" s="104"/>
      <c r="ARA1055" s="103"/>
      <c r="ARM1055" s="104"/>
      <c r="ARN1055" s="103"/>
      <c r="ARZ1055" s="104"/>
      <c r="ASA1055" s="103"/>
      <c r="ASM1055" s="104"/>
      <c r="ASN1055" s="103"/>
      <c r="ASZ1055" s="104"/>
      <c r="ATA1055" s="103"/>
      <c r="ATM1055" s="104"/>
      <c r="ATN1055" s="103"/>
      <c r="ATZ1055" s="104"/>
      <c r="AUA1055" s="103"/>
      <c r="AUM1055" s="104"/>
      <c r="AUN1055" s="103"/>
      <c r="AUZ1055" s="104"/>
      <c r="AVA1055" s="103"/>
      <c r="AVM1055" s="104"/>
      <c r="AVN1055" s="103"/>
      <c r="AVZ1055" s="104"/>
      <c r="AWA1055" s="103"/>
      <c r="AWM1055" s="104"/>
      <c r="AWN1055" s="103"/>
      <c r="AWZ1055" s="104"/>
      <c r="AXA1055" s="103"/>
      <c r="AXM1055" s="104"/>
      <c r="AXN1055" s="103"/>
      <c r="AXZ1055" s="104"/>
      <c r="AYA1055" s="103"/>
      <c r="AYM1055" s="104"/>
      <c r="AYN1055" s="103"/>
      <c r="AYZ1055" s="104"/>
      <c r="AZA1055" s="103"/>
      <c r="AZM1055" s="104"/>
      <c r="AZN1055" s="103"/>
      <c r="AZZ1055" s="104"/>
      <c r="BAA1055" s="103"/>
      <c r="BAM1055" s="104"/>
      <c r="BAN1055" s="103"/>
      <c r="BAZ1055" s="104"/>
      <c r="BBA1055" s="103"/>
      <c r="BBM1055" s="104"/>
      <c r="BBN1055" s="103"/>
      <c r="BBZ1055" s="104"/>
      <c r="BCA1055" s="103"/>
      <c r="BCM1055" s="104"/>
      <c r="BCN1055" s="103"/>
      <c r="BCZ1055" s="104"/>
      <c r="BDA1055" s="103"/>
      <c r="BDM1055" s="104"/>
      <c r="BDN1055" s="103"/>
      <c r="BDZ1055" s="104"/>
      <c r="BEA1055" s="103"/>
      <c r="BEM1055" s="104"/>
      <c r="BEN1055" s="103"/>
      <c r="BEZ1055" s="104"/>
      <c r="BFA1055" s="103"/>
      <c r="BFM1055" s="104"/>
      <c r="BFN1055" s="103"/>
      <c r="BFZ1055" s="104"/>
      <c r="BGA1055" s="103"/>
      <c r="BGM1055" s="104"/>
      <c r="BGN1055" s="103"/>
      <c r="BGZ1055" s="104"/>
      <c r="BHA1055" s="103"/>
      <c r="BHM1055" s="104"/>
      <c r="BHN1055" s="103"/>
      <c r="BHZ1055" s="104"/>
      <c r="BIA1055" s="103"/>
      <c r="BIM1055" s="104"/>
      <c r="BIN1055" s="103"/>
      <c r="BIZ1055" s="104"/>
      <c r="BJA1055" s="103"/>
      <c r="BJM1055" s="104"/>
      <c r="BJN1055" s="103"/>
      <c r="BJZ1055" s="104"/>
      <c r="BKA1055" s="103"/>
      <c r="BKM1055" s="104"/>
      <c r="BKN1055" s="103"/>
      <c r="BKZ1055" s="104"/>
      <c r="BLA1055" s="103"/>
      <c r="BLM1055" s="104"/>
      <c r="BLN1055" s="103"/>
      <c r="BLZ1055" s="104"/>
      <c r="BMA1055" s="103"/>
      <c r="BMM1055" s="104"/>
      <c r="BMN1055" s="103"/>
      <c r="BMZ1055" s="104"/>
      <c r="BNA1055" s="103"/>
      <c r="BNM1055" s="104"/>
      <c r="BNN1055" s="103"/>
      <c r="BNZ1055" s="104"/>
      <c r="BOA1055" s="103"/>
      <c r="BOM1055" s="104"/>
      <c r="BON1055" s="103"/>
      <c r="BOZ1055" s="104"/>
      <c r="BPA1055" s="103"/>
      <c r="BPM1055" s="104"/>
      <c r="BPN1055" s="103"/>
      <c r="BPZ1055" s="104"/>
      <c r="BQA1055" s="103"/>
      <c r="BQM1055" s="104"/>
      <c r="BQN1055" s="103"/>
      <c r="BQZ1055" s="104"/>
      <c r="BRA1055" s="103"/>
      <c r="BRM1055" s="104"/>
      <c r="BRN1055" s="103"/>
      <c r="BRZ1055" s="104"/>
      <c r="BSA1055" s="103"/>
      <c r="BSM1055" s="104"/>
      <c r="BSN1055" s="103"/>
      <c r="BSZ1055" s="104"/>
      <c r="BTA1055" s="103"/>
      <c r="BTM1055" s="104"/>
      <c r="BTN1055" s="103"/>
      <c r="BTZ1055" s="104"/>
      <c r="BUA1055" s="103"/>
      <c r="BUM1055" s="104"/>
      <c r="BUN1055" s="103"/>
      <c r="BUZ1055" s="104"/>
      <c r="BVA1055" s="103"/>
      <c r="BVM1055" s="104"/>
      <c r="BVN1055" s="103"/>
      <c r="BVZ1055" s="104"/>
      <c r="BWA1055" s="103"/>
      <c r="BWM1055" s="104"/>
      <c r="BWN1055" s="103"/>
      <c r="BWZ1055" s="104"/>
      <c r="BXA1055" s="103"/>
      <c r="BXM1055" s="104"/>
      <c r="BXN1055" s="103"/>
      <c r="BXZ1055" s="104"/>
      <c r="BYA1055" s="103"/>
      <c r="BYM1055" s="104"/>
      <c r="BYN1055" s="103"/>
      <c r="BYZ1055" s="104"/>
      <c r="BZA1055" s="103"/>
      <c r="BZM1055" s="104"/>
      <c r="BZN1055" s="103"/>
      <c r="BZZ1055" s="104"/>
      <c r="CAA1055" s="103"/>
      <c r="CAM1055" s="104"/>
      <c r="CAN1055" s="103"/>
      <c r="CAZ1055" s="104"/>
      <c r="CBA1055" s="103"/>
      <c r="CBM1055" s="104"/>
      <c r="CBN1055" s="103"/>
      <c r="CBZ1055" s="104"/>
      <c r="CCA1055" s="103"/>
      <c r="CCM1055" s="104"/>
      <c r="CCN1055" s="103"/>
      <c r="CCZ1055" s="104"/>
      <c r="CDA1055" s="103"/>
      <c r="CDM1055" s="104"/>
      <c r="CDN1055" s="103"/>
      <c r="CDZ1055" s="104"/>
      <c r="CEA1055" s="103"/>
      <c r="CEM1055" s="104"/>
      <c r="CEN1055" s="103"/>
      <c r="CEZ1055" s="104"/>
      <c r="CFA1055" s="103"/>
      <c r="CFM1055" s="104"/>
      <c r="CFN1055" s="103"/>
      <c r="CFZ1055" s="104"/>
      <c r="CGA1055" s="103"/>
      <c r="CGM1055" s="104"/>
      <c r="CGN1055" s="103"/>
      <c r="CGZ1055" s="104"/>
      <c r="CHA1055" s="103"/>
      <c r="CHM1055" s="104"/>
      <c r="CHN1055" s="103"/>
      <c r="CHZ1055" s="104"/>
      <c r="CIA1055" s="103"/>
      <c r="CIM1055" s="104"/>
      <c r="CIN1055" s="103"/>
      <c r="CIZ1055" s="104"/>
      <c r="CJA1055" s="103"/>
      <c r="CJM1055" s="104"/>
      <c r="CJN1055" s="103"/>
      <c r="CJZ1055" s="104"/>
      <c r="CKA1055" s="103"/>
      <c r="CKM1055" s="104"/>
      <c r="CKN1055" s="103"/>
      <c r="CKZ1055" s="104"/>
      <c r="CLA1055" s="103"/>
      <c r="CLM1055" s="104"/>
      <c r="CLN1055" s="103"/>
      <c r="CLZ1055" s="104"/>
      <c r="CMA1055" s="103"/>
      <c r="CMM1055" s="104"/>
      <c r="CMN1055" s="103"/>
      <c r="CMZ1055" s="104"/>
      <c r="CNA1055" s="103"/>
      <c r="CNM1055" s="104"/>
      <c r="CNN1055" s="103"/>
      <c r="CNZ1055" s="104"/>
      <c r="COA1055" s="103"/>
      <c r="COM1055" s="104"/>
      <c r="CON1055" s="103"/>
      <c r="COZ1055" s="104"/>
      <c r="CPA1055" s="103"/>
      <c r="CPM1055" s="104"/>
      <c r="CPN1055" s="103"/>
      <c r="CPZ1055" s="104"/>
      <c r="CQA1055" s="103"/>
      <c r="CQM1055" s="104"/>
      <c r="CQN1055" s="103"/>
      <c r="CQZ1055" s="104"/>
      <c r="CRA1055" s="103"/>
      <c r="CRM1055" s="104"/>
      <c r="CRN1055" s="103"/>
      <c r="CRZ1055" s="104"/>
      <c r="CSA1055" s="103"/>
      <c r="CSM1055" s="104"/>
      <c r="CSN1055" s="103"/>
      <c r="CSZ1055" s="104"/>
      <c r="CTA1055" s="103"/>
      <c r="CTM1055" s="104"/>
      <c r="CTN1055" s="103"/>
      <c r="CTZ1055" s="104"/>
      <c r="CUA1055" s="103"/>
      <c r="CUM1055" s="104"/>
      <c r="CUN1055" s="103"/>
      <c r="CUZ1055" s="104"/>
      <c r="CVA1055" s="103"/>
      <c r="CVM1055" s="104"/>
      <c r="CVN1055" s="103"/>
      <c r="CVZ1055" s="104"/>
      <c r="CWA1055" s="103"/>
      <c r="CWM1055" s="104"/>
      <c r="CWN1055" s="103"/>
      <c r="CWZ1055" s="104"/>
      <c r="CXA1055" s="103"/>
      <c r="CXM1055" s="104"/>
      <c r="CXN1055" s="103"/>
      <c r="CXZ1055" s="104"/>
      <c r="CYA1055" s="103"/>
      <c r="CYM1055" s="104"/>
      <c r="CYN1055" s="103"/>
      <c r="CYZ1055" s="104"/>
      <c r="CZA1055" s="103"/>
      <c r="CZM1055" s="104"/>
      <c r="CZN1055" s="103"/>
      <c r="CZZ1055" s="104"/>
      <c r="DAA1055" s="103"/>
      <c r="DAM1055" s="104"/>
      <c r="DAN1055" s="103"/>
      <c r="DAZ1055" s="104"/>
      <c r="DBA1055" s="103"/>
      <c r="DBM1055" s="104"/>
      <c r="DBN1055" s="103"/>
      <c r="DBZ1055" s="104"/>
      <c r="DCA1055" s="103"/>
      <c r="DCM1055" s="104"/>
      <c r="DCN1055" s="103"/>
      <c r="DCZ1055" s="104"/>
      <c r="DDA1055" s="103"/>
      <c r="DDM1055" s="104"/>
      <c r="DDN1055" s="103"/>
      <c r="DDZ1055" s="104"/>
      <c r="DEA1055" s="103"/>
      <c r="DEM1055" s="104"/>
      <c r="DEN1055" s="103"/>
      <c r="DEZ1055" s="104"/>
      <c r="DFA1055" s="103"/>
      <c r="DFM1055" s="104"/>
      <c r="DFN1055" s="103"/>
      <c r="DFZ1055" s="104"/>
      <c r="DGA1055" s="103"/>
      <c r="DGM1055" s="104"/>
      <c r="DGN1055" s="103"/>
      <c r="DGZ1055" s="104"/>
      <c r="DHA1055" s="103"/>
      <c r="DHM1055" s="104"/>
      <c r="DHN1055" s="103"/>
      <c r="DHZ1055" s="104"/>
      <c r="DIA1055" s="103"/>
      <c r="DIM1055" s="104"/>
      <c r="DIN1055" s="103"/>
      <c r="DIZ1055" s="104"/>
      <c r="DJA1055" s="103"/>
      <c r="DJM1055" s="104"/>
      <c r="DJN1055" s="103"/>
      <c r="DJZ1055" s="104"/>
      <c r="DKA1055" s="103"/>
      <c r="DKM1055" s="104"/>
      <c r="DKN1055" s="103"/>
      <c r="DKZ1055" s="104"/>
      <c r="DLA1055" s="103"/>
      <c r="DLM1055" s="104"/>
      <c r="DLN1055" s="103"/>
      <c r="DLZ1055" s="104"/>
      <c r="DMA1055" s="103"/>
      <c r="DMM1055" s="104"/>
      <c r="DMN1055" s="103"/>
      <c r="DMZ1055" s="104"/>
      <c r="DNA1055" s="103"/>
      <c r="DNM1055" s="104"/>
      <c r="DNN1055" s="103"/>
      <c r="DNZ1055" s="104"/>
      <c r="DOA1055" s="103"/>
      <c r="DOM1055" s="104"/>
      <c r="DON1055" s="103"/>
      <c r="DOZ1055" s="104"/>
      <c r="DPA1055" s="103"/>
      <c r="DPM1055" s="104"/>
      <c r="DPN1055" s="103"/>
      <c r="DPZ1055" s="104"/>
      <c r="DQA1055" s="103"/>
      <c r="DQM1055" s="104"/>
      <c r="DQN1055" s="103"/>
      <c r="DQZ1055" s="104"/>
      <c r="DRA1055" s="103"/>
      <c r="DRM1055" s="104"/>
      <c r="DRN1055" s="103"/>
      <c r="DRZ1055" s="104"/>
      <c r="DSA1055" s="103"/>
      <c r="DSM1055" s="104"/>
      <c r="DSN1055" s="103"/>
      <c r="DSZ1055" s="104"/>
      <c r="DTA1055" s="103"/>
      <c r="DTM1055" s="104"/>
      <c r="DTN1055" s="103"/>
      <c r="DTZ1055" s="104"/>
      <c r="DUA1055" s="103"/>
      <c r="DUM1055" s="104"/>
      <c r="DUN1055" s="103"/>
      <c r="DUZ1055" s="104"/>
      <c r="DVA1055" s="103"/>
      <c r="DVM1055" s="104"/>
      <c r="DVN1055" s="103"/>
      <c r="DVZ1055" s="104"/>
      <c r="DWA1055" s="103"/>
      <c r="DWM1055" s="104"/>
      <c r="DWN1055" s="103"/>
      <c r="DWZ1055" s="104"/>
      <c r="DXA1055" s="103"/>
      <c r="DXM1055" s="104"/>
      <c r="DXN1055" s="103"/>
      <c r="DXZ1055" s="104"/>
      <c r="DYA1055" s="103"/>
      <c r="DYM1055" s="104"/>
      <c r="DYN1055" s="103"/>
      <c r="DYZ1055" s="104"/>
      <c r="DZA1055" s="103"/>
      <c r="DZM1055" s="104"/>
      <c r="DZN1055" s="103"/>
      <c r="DZZ1055" s="104"/>
      <c r="EAA1055" s="103"/>
      <c r="EAM1055" s="104"/>
      <c r="EAN1055" s="103"/>
      <c r="EAZ1055" s="104"/>
      <c r="EBA1055" s="103"/>
      <c r="EBM1055" s="104"/>
      <c r="EBN1055" s="103"/>
      <c r="EBZ1055" s="104"/>
      <c r="ECA1055" s="103"/>
      <c r="ECM1055" s="104"/>
      <c r="ECN1055" s="103"/>
      <c r="ECZ1055" s="104"/>
      <c r="EDA1055" s="103"/>
      <c r="EDM1055" s="104"/>
      <c r="EDN1055" s="103"/>
      <c r="EDZ1055" s="104"/>
      <c r="EEA1055" s="103"/>
      <c r="EEM1055" s="104"/>
      <c r="EEN1055" s="103"/>
      <c r="EEZ1055" s="104"/>
      <c r="EFA1055" s="103"/>
      <c r="EFM1055" s="104"/>
      <c r="EFN1055" s="103"/>
      <c r="EFZ1055" s="104"/>
      <c r="EGA1055" s="103"/>
      <c r="EGM1055" s="104"/>
      <c r="EGN1055" s="103"/>
      <c r="EGZ1055" s="104"/>
      <c r="EHA1055" s="103"/>
      <c r="EHM1055" s="104"/>
      <c r="EHN1055" s="103"/>
      <c r="EHZ1055" s="104"/>
      <c r="EIA1055" s="103"/>
      <c r="EIM1055" s="104"/>
      <c r="EIN1055" s="103"/>
      <c r="EIZ1055" s="104"/>
      <c r="EJA1055" s="103"/>
      <c r="EJM1055" s="104"/>
      <c r="EJN1055" s="103"/>
      <c r="EJZ1055" s="104"/>
      <c r="EKA1055" s="103"/>
      <c r="EKM1055" s="104"/>
      <c r="EKN1055" s="103"/>
      <c r="EKZ1055" s="104"/>
      <c r="ELA1055" s="103"/>
      <c r="ELM1055" s="104"/>
      <c r="ELN1055" s="103"/>
      <c r="ELZ1055" s="104"/>
      <c r="EMA1055" s="103"/>
      <c r="EMM1055" s="104"/>
      <c r="EMN1055" s="103"/>
      <c r="EMZ1055" s="104"/>
      <c r="ENA1055" s="103"/>
      <c r="ENM1055" s="104"/>
      <c r="ENN1055" s="103"/>
      <c r="ENZ1055" s="104"/>
      <c r="EOA1055" s="103"/>
      <c r="EOM1055" s="104"/>
      <c r="EON1055" s="103"/>
      <c r="EOZ1055" s="104"/>
      <c r="EPA1055" s="103"/>
      <c r="EPM1055" s="104"/>
      <c r="EPN1055" s="103"/>
      <c r="EPZ1055" s="104"/>
      <c r="EQA1055" s="103"/>
      <c r="EQM1055" s="104"/>
      <c r="EQN1055" s="103"/>
      <c r="EQZ1055" s="104"/>
      <c r="ERA1055" s="103"/>
      <c r="ERM1055" s="104"/>
      <c r="ERN1055" s="103"/>
      <c r="ERZ1055" s="104"/>
      <c r="ESA1055" s="103"/>
      <c r="ESM1055" s="104"/>
      <c r="ESN1055" s="103"/>
      <c r="ESZ1055" s="104"/>
      <c r="ETA1055" s="103"/>
      <c r="ETM1055" s="104"/>
      <c r="ETN1055" s="103"/>
      <c r="ETZ1055" s="104"/>
      <c r="EUA1055" s="103"/>
      <c r="EUM1055" s="104"/>
      <c r="EUN1055" s="103"/>
      <c r="EUZ1055" s="104"/>
      <c r="EVA1055" s="103"/>
      <c r="EVM1055" s="104"/>
      <c r="EVN1055" s="103"/>
      <c r="EVZ1055" s="104"/>
      <c r="EWA1055" s="103"/>
      <c r="EWM1055" s="104"/>
      <c r="EWN1055" s="103"/>
      <c r="EWZ1055" s="104"/>
      <c r="EXA1055" s="103"/>
      <c r="EXM1055" s="104"/>
      <c r="EXN1055" s="103"/>
      <c r="EXZ1055" s="104"/>
      <c r="EYA1055" s="103"/>
      <c r="EYM1055" s="104"/>
      <c r="EYN1055" s="103"/>
      <c r="EYZ1055" s="104"/>
      <c r="EZA1055" s="103"/>
      <c r="EZM1055" s="104"/>
      <c r="EZN1055" s="103"/>
      <c r="EZZ1055" s="104"/>
      <c r="FAA1055" s="103"/>
      <c r="FAM1055" s="104"/>
      <c r="FAN1055" s="103"/>
      <c r="FAZ1055" s="104"/>
      <c r="FBA1055" s="103"/>
      <c r="FBM1055" s="104"/>
      <c r="FBN1055" s="103"/>
      <c r="FBZ1055" s="104"/>
      <c r="FCA1055" s="103"/>
      <c r="FCM1055" s="104"/>
      <c r="FCN1055" s="103"/>
      <c r="FCZ1055" s="104"/>
      <c r="FDA1055" s="103"/>
      <c r="FDM1055" s="104"/>
      <c r="FDN1055" s="103"/>
      <c r="FDZ1055" s="104"/>
      <c r="FEA1055" s="103"/>
      <c r="FEM1055" s="104"/>
      <c r="FEN1055" s="103"/>
      <c r="FEZ1055" s="104"/>
      <c r="FFA1055" s="103"/>
      <c r="FFM1055" s="104"/>
      <c r="FFN1055" s="103"/>
      <c r="FFZ1055" s="104"/>
      <c r="FGA1055" s="103"/>
      <c r="FGM1055" s="104"/>
      <c r="FGN1055" s="103"/>
      <c r="FGZ1055" s="104"/>
      <c r="FHA1055" s="103"/>
      <c r="FHM1055" s="104"/>
      <c r="FHN1055" s="103"/>
      <c r="FHZ1055" s="104"/>
      <c r="FIA1055" s="103"/>
      <c r="FIM1055" s="104"/>
      <c r="FIN1055" s="103"/>
      <c r="FIZ1055" s="104"/>
      <c r="FJA1055" s="103"/>
      <c r="FJM1055" s="104"/>
      <c r="FJN1055" s="103"/>
      <c r="FJZ1055" s="104"/>
      <c r="FKA1055" s="103"/>
      <c r="FKM1055" s="104"/>
      <c r="FKN1055" s="103"/>
      <c r="FKZ1055" s="104"/>
      <c r="FLA1055" s="103"/>
      <c r="FLM1055" s="104"/>
      <c r="FLN1055" s="103"/>
      <c r="FLZ1055" s="104"/>
      <c r="FMA1055" s="103"/>
      <c r="FMM1055" s="104"/>
      <c r="FMN1055" s="103"/>
      <c r="FMZ1055" s="104"/>
      <c r="FNA1055" s="103"/>
      <c r="FNM1055" s="104"/>
      <c r="FNN1055" s="103"/>
      <c r="FNZ1055" s="104"/>
      <c r="FOA1055" s="103"/>
      <c r="FOM1055" s="104"/>
      <c r="FON1055" s="103"/>
      <c r="FOZ1055" s="104"/>
      <c r="FPA1055" s="103"/>
      <c r="FPM1055" s="104"/>
      <c r="FPN1055" s="103"/>
      <c r="FPZ1055" s="104"/>
      <c r="FQA1055" s="103"/>
      <c r="FQM1055" s="104"/>
      <c r="FQN1055" s="103"/>
      <c r="FQZ1055" s="104"/>
      <c r="FRA1055" s="103"/>
      <c r="FRM1055" s="104"/>
      <c r="FRN1055" s="103"/>
      <c r="FRZ1055" s="104"/>
      <c r="FSA1055" s="103"/>
      <c r="FSM1055" s="104"/>
      <c r="FSN1055" s="103"/>
      <c r="FSZ1055" s="104"/>
      <c r="FTA1055" s="103"/>
      <c r="FTM1055" s="104"/>
      <c r="FTN1055" s="103"/>
      <c r="FTZ1055" s="104"/>
      <c r="FUA1055" s="103"/>
      <c r="FUM1055" s="104"/>
      <c r="FUN1055" s="103"/>
      <c r="FUZ1055" s="104"/>
      <c r="FVA1055" s="103"/>
      <c r="FVM1055" s="104"/>
      <c r="FVN1055" s="103"/>
      <c r="FVZ1055" s="104"/>
      <c r="FWA1055" s="103"/>
      <c r="FWM1055" s="104"/>
      <c r="FWN1055" s="103"/>
      <c r="FWZ1055" s="104"/>
      <c r="FXA1055" s="103"/>
      <c r="FXM1055" s="104"/>
      <c r="FXN1055" s="103"/>
      <c r="FXZ1055" s="104"/>
      <c r="FYA1055" s="103"/>
      <c r="FYM1055" s="104"/>
      <c r="FYN1055" s="103"/>
      <c r="FYZ1055" s="104"/>
      <c r="FZA1055" s="103"/>
      <c r="FZM1055" s="104"/>
      <c r="FZN1055" s="103"/>
      <c r="FZZ1055" s="104"/>
      <c r="GAA1055" s="103"/>
      <c r="GAM1055" s="104"/>
      <c r="GAN1055" s="103"/>
      <c r="GAZ1055" s="104"/>
      <c r="GBA1055" s="103"/>
      <c r="GBM1055" s="104"/>
      <c r="GBN1055" s="103"/>
      <c r="GBZ1055" s="104"/>
      <c r="GCA1055" s="103"/>
      <c r="GCM1055" s="104"/>
      <c r="GCN1055" s="103"/>
      <c r="GCZ1055" s="104"/>
      <c r="GDA1055" s="103"/>
      <c r="GDM1055" s="104"/>
      <c r="GDN1055" s="103"/>
      <c r="GDZ1055" s="104"/>
      <c r="GEA1055" s="103"/>
      <c r="GEM1055" s="104"/>
      <c r="GEN1055" s="103"/>
      <c r="GEZ1055" s="104"/>
      <c r="GFA1055" s="103"/>
      <c r="GFM1055" s="104"/>
      <c r="GFN1055" s="103"/>
      <c r="GFZ1055" s="104"/>
      <c r="GGA1055" s="103"/>
      <c r="GGM1055" s="104"/>
      <c r="GGN1055" s="103"/>
      <c r="GGZ1055" s="104"/>
      <c r="GHA1055" s="103"/>
      <c r="GHM1055" s="104"/>
      <c r="GHN1055" s="103"/>
      <c r="GHZ1055" s="104"/>
      <c r="GIA1055" s="103"/>
      <c r="GIM1055" s="104"/>
      <c r="GIN1055" s="103"/>
      <c r="GIZ1055" s="104"/>
      <c r="GJA1055" s="103"/>
      <c r="GJM1055" s="104"/>
      <c r="GJN1055" s="103"/>
      <c r="GJZ1055" s="104"/>
      <c r="GKA1055" s="103"/>
      <c r="GKM1055" s="104"/>
      <c r="GKN1055" s="103"/>
      <c r="GKZ1055" s="104"/>
      <c r="GLA1055" s="103"/>
      <c r="GLM1055" s="104"/>
      <c r="GLN1055" s="103"/>
      <c r="GLZ1055" s="104"/>
      <c r="GMA1055" s="103"/>
      <c r="GMM1055" s="104"/>
      <c r="GMN1055" s="103"/>
      <c r="GMZ1055" s="104"/>
      <c r="GNA1055" s="103"/>
      <c r="GNM1055" s="104"/>
      <c r="GNN1055" s="103"/>
      <c r="GNZ1055" s="104"/>
      <c r="GOA1055" s="103"/>
      <c r="GOM1055" s="104"/>
      <c r="GON1055" s="103"/>
      <c r="GOZ1055" s="104"/>
      <c r="GPA1055" s="103"/>
      <c r="GPM1055" s="104"/>
      <c r="GPN1055" s="103"/>
      <c r="GPZ1055" s="104"/>
      <c r="GQA1055" s="103"/>
      <c r="GQM1055" s="104"/>
      <c r="GQN1055" s="103"/>
      <c r="GQZ1055" s="104"/>
      <c r="GRA1055" s="103"/>
      <c r="GRM1055" s="104"/>
      <c r="GRN1055" s="103"/>
      <c r="GRZ1055" s="104"/>
      <c r="GSA1055" s="103"/>
      <c r="GSM1055" s="104"/>
      <c r="GSN1055" s="103"/>
      <c r="GSZ1055" s="104"/>
      <c r="GTA1055" s="103"/>
      <c r="GTM1055" s="104"/>
      <c r="GTN1055" s="103"/>
      <c r="GTZ1055" s="104"/>
      <c r="GUA1055" s="103"/>
      <c r="GUM1055" s="104"/>
      <c r="GUN1055" s="103"/>
      <c r="GUZ1055" s="104"/>
      <c r="GVA1055" s="103"/>
      <c r="GVM1055" s="104"/>
      <c r="GVN1055" s="103"/>
      <c r="GVZ1055" s="104"/>
      <c r="GWA1055" s="103"/>
      <c r="GWM1055" s="104"/>
      <c r="GWN1055" s="103"/>
      <c r="GWZ1055" s="104"/>
      <c r="GXA1055" s="103"/>
      <c r="GXM1055" s="104"/>
      <c r="GXN1055" s="103"/>
      <c r="GXZ1055" s="104"/>
      <c r="GYA1055" s="103"/>
      <c r="GYM1055" s="104"/>
      <c r="GYN1055" s="103"/>
      <c r="GYZ1055" s="104"/>
      <c r="GZA1055" s="103"/>
      <c r="GZM1055" s="104"/>
      <c r="GZN1055" s="103"/>
      <c r="GZZ1055" s="104"/>
      <c r="HAA1055" s="103"/>
      <c r="HAM1055" s="104"/>
      <c r="HAN1055" s="103"/>
      <c r="HAZ1055" s="104"/>
      <c r="HBA1055" s="103"/>
      <c r="HBM1055" s="104"/>
      <c r="HBN1055" s="103"/>
      <c r="HBZ1055" s="104"/>
      <c r="HCA1055" s="103"/>
      <c r="HCM1055" s="104"/>
      <c r="HCN1055" s="103"/>
      <c r="HCZ1055" s="104"/>
      <c r="HDA1055" s="103"/>
      <c r="HDM1055" s="104"/>
      <c r="HDN1055" s="103"/>
      <c r="HDZ1055" s="104"/>
      <c r="HEA1055" s="103"/>
      <c r="HEM1055" s="104"/>
      <c r="HEN1055" s="103"/>
      <c r="HEZ1055" s="104"/>
      <c r="HFA1055" s="103"/>
      <c r="HFM1055" s="104"/>
      <c r="HFN1055" s="103"/>
      <c r="HFZ1055" s="104"/>
      <c r="HGA1055" s="103"/>
      <c r="HGM1055" s="104"/>
      <c r="HGN1055" s="103"/>
      <c r="HGZ1055" s="104"/>
      <c r="HHA1055" s="103"/>
      <c r="HHM1055" s="104"/>
      <c r="HHN1055" s="103"/>
      <c r="HHZ1055" s="104"/>
      <c r="HIA1055" s="103"/>
      <c r="HIM1055" s="104"/>
      <c r="HIN1055" s="103"/>
      <c r="HIZ1055" s="104"/>
      <c r="HJA1055" s="103"/>
      <c r="HJM1055" s="104"/>
      <c r="HJN1055" s="103"/>
      <c r="HJZ1055" s="104"/>
      <c r="HKA1055" s="103"/>
      <c r="HKM1055" s="104"/>
      <c r="HKN1055" s="103"/>
      <c r="HKZ1055" s="104"/>
      <c r="HLA1055" s="103"/>
      <c r="HLM1055" s="104"/>
      <c r="HLN1055" s="103"/>
      <c r="HLZ1055" s="104"/>
      <c r="HMA1055" s="103"/>
      <c r="HMM1055" s="104"/>
      <c r="HMN1055" s="103"/>
      <c r="HMZ1055" s="104"/>
      <c r="HNA1055" s="103"/>
      <c r="HNM1055" s="104"/>
      <c r="HNN1055" s="103"/>
      <c r="HNZ1055" s="104"/>
      <c r="HOA1055" s="103"/>
      <c r="HOM1055" s="104"/>
      <c r="HON1055" s="103"/>
      <c r="HOZ1055" s="104"/>
      <c r="HPA1055" s="103"/>
      <c r="HPM1055" s="104"/>
      <c r="HPN1055" s="103"/>
      <c r="HPZ1055" s="104"/>
      <c r="HQA1055" s="103"/>
      <c r="HQM1055" s="104"/>
      <c r="HQN1055" s="103"/>
      <c r="HQZ1055" s="104"/>
      <c r="HRA1055" s="103"/>
      <c r="HRM1055" s="104"/>
      <c r="HRN1055" s="103"/>
      <c r="HRZ1055" s="104"/>
      <c r="HSA1055" s="103"/>
      <c r="HSM1055" s="104"/>
      <c r="HSN1055" s="103"/>
      <c r="HSZ1055" s="104"/>
      <c r="HTA1055" s="103"/>
      <c r="HTM1055" s="104"/>
      <c r="HTN1055" s="103"/>
      <c r="HTZ1055" s="104"/>
      <c r="HUA1055" s="103"/>
      <c r="HUM1055" s="104"/>
      <c r="HUN1055" s="103"/>
      <c r="HUZ1055" s="104"/>
      <c r="HVA1055" s="103"/>
      <c r="HVM1055" s="104"/>
      <c r="HVN1055" s="103"/>
      <c r="HVZ1055" s="104"/>
      <c r="HWA1055" s="103"/>
      <c r="HWM1055" s="104"/>
      <c r="HWN1055" s="103"/>
      <c r="HWZ1055" s="104"/>
      <c r="HXA1055" s="103"/>
      <c r="HXM1055" s="104"/>
      <c r="HXN1055" s="103"/>
      <c r="HXZ1055" s="104"/>
      <c r="HYA1055" s="103"/>
      <c r="HYM1055" s="104"/>
      <c r="HYN1055" s="103"/>
      <c r="HYZ1055" s="104"/>
      <c r="HZA1055" s="103"/>
      <c r="HZM1055" s="104"/>
      <c r="HZN1055" s="103"/>
      <c r="HZZ1055" s="104"/>
      <c r="IAA1055" s="103"/>
      <c r="IAM1055" s="104"/>
      <c r="IAN1055" s="103"/>
      <c r="IAZ1055" s="104"/>
      <c r="IBA1055" s="103"/>
      <c r="IBM1055" s="104"/>
      <c r="IBN1055" s="103"/>
      <c r="IBZ1055" s="104"/>
      <c r="ICA1055" s="103"/>
      <c r="ICM1055" s="104"/>
      <c r="ICN1055" s="103"/>
      <c r="ICZ1055" s="104"/>
      <c r="IDA1055" s="103"/>
      <c r="IDM1055" s="104"/>
      <c r="IDN1055" s="103"/>
      <c r="IDZ1055" s="104"/>
      <c r="IEA1055" s="103"/>
      <c r="IEM1055" s="104"/>
      <c r="IEN1055" s="103"/>
      <c r="IEZ1055" s="104"/>
      <c r="IFA1055" s="103"/>
      <c r="IFM1055" s="104"/>
      <c r="IFN1055" s="103"/>
      <c r="IFZ1055" s="104"/>
      <c r="IGA1055" s="103"/>
      <c r="IGM1055" s="104"/>
      <c r="IGN1055" s="103"/>
      <c r="IGZ1055" s="104"/>
      <c r="IHA1055" s="103"/>
      <c r="IHM1055" s="104"/>
      <c r="IHN1055" s="103"/>
      <c r="IHZ1055" s="104"/>
      <c r="IIA1055" s="103"/>
      <c r="IIM1055" s="104"/>
      <c r="IIN1055" s="103"/>
      <c r="IIZ1055" s="104"/>
      <c r="IJA1055" s="103"/>
      <c r="IJM1055" s="104"/>
      <c r="IJN1055" s="103"/>
      <c r="IJZ1055" s="104"/>
      <c r="IKA1055" s="103"/>
      <c r="IKM1055" s="104"/>
      <c r="IKN1055" s="103"/>
      <c r="IKZ1055" s="104"/>
      <c r="ILA1055" s="103"/>
      <c r="ILM1055" s="104"/>
      <c r="ILN1055" s="103"/>
      <c r="ILZ1055" s="104"/>
      <c r="IMA1055" s="103"/>
      <c r="IMM1055" s="104"/>
      <c r="IMN1055" s="103"/>
      <c r="IMZ1055" s="104"/>
      <c r="INA1055" s="103"/>
      <c r="INM1055" s="104"/>
      <c r="INN1055" s="103"/>
      <c r="INZ1055" s="104"/>
      <c r="IOA1055" s="103"/>
      <c r="IOM1055" s="104"/>
      <c r="ION1055" s="103"/>
      <c r="IOZ1055" s="104"/>
      <c r="IPA1055" s="103"/>
      <c r="IPM1055" s="104"/>
      <c r="IPN1055" s="103"/>
      <c r="IPZ1055" s="104"/>
      <c r="IQA1055" s="103"/>
      <c r="IQM1055" s="104"/>
      <c r="IQN1055" s="103"/>
      <c r="IQZ1055" s="104"/>
      <c r="IRA1055" s="103"/>
      <c r="IRM1055" s="104"/>
      <c r="IRN1055" s="103"/>
      <c r="IRZ1055" s="104"/>
      <c r="ISA1055" s="103"/>
      <c r="ISM1055" s="104"/>
      <c r="ISN1055" s="103"/>
      <c r="ISZ1055" s="104"/>
      <c r="ITA1055" s="103"/>
      <c r="ITM1055" s="104"/>
      <c r="ITN1055" s="103"/>
      <c r="ITZ1055" s="104"/>
      <c r="IUA1055" s="103"/>
      <c r="IUM1055" s="104"/>
      <c r="IUN1055" s="103"/>
      <c r="IUZ1055" s="104"/>
      <c r="IVA1055" s="103"/>
      <c r="IVM1055" s="104"/>
      <c r="IVN1055" s="103"/>
      <c r="IVZ1055" s="104"/>
      <c r="IWA1055" s="103"/>
      <c r="IWM1055" s="104"/>
      <c r="IWN1055" s="103"/>
      <c r="IWZ1055" s="104"/>
      <c r="IXA1055" s="103"/>
      <c r="IXM1055" s="104"/>
      <c r="IXN1055" s="103"/>
      <c r="IXZ1055" s="104"/>
      <c r="IYA1055" s="103"/>
      <c r="IYM1055" s="104"/>
      <c r="IYN1055" s="103"/>
      <c r="IYZ1055" s="104"/>
      <c r="IZA1055" s="103"/>
      <c r="IZM1055" s="104"/>
      <c r="IZN1055" s="103"/>
      <c r="IZZ1055" s="104"/>
      <c r="JAA1055" s="103"/>
      <c r="JAM1055" s="104"/>
      <c r="JAN1055" s="103"/>
      <c r="JAZ1055" s="104"/>
      <c r="JBA1055" s="103"/>
      <c r="JBM1055" s="104"/>
      <c r="JBN1055" s="103"/>
      <c r="JBZ1055" s="104"/>
      <c r="JCA1055" s="103"/>
      <c r="JCM1055" s="104"/>
      <c r="JCN1055" s="103"/>
      <c r="JCZ1055" s="104"/>
      <c r="JDA1055" s="103"/>
      <c r="JDM1055" s="104"/>
      <c r="JDN1055" s="103"/>
      <c r="JDZ1055" s="104"/>
      <c r="JEA1055" s="103"/>
      <c r="JEM1055" s="104"/>
      <c r="JEN1055" s="103"/>
      <c r="JEZ1055" s="104"/>
      <c r="JFA1055" s="103"/>
      <c r="JFM1055" s="104"/>
      <c r="JFN1055" s="103"/>
      <c r="JFZ1055" s="104"/>
      <c r="JGA1055" s="103"/>
      <c r="JGM1055" s="104"/>
      <c r="JGN1055" s="103"/>
      <c r="JGZ1055" s="104"/>
      <c r="JHA1055" s="103"/>
      <c r="JHM1055" s="104"/>
      <c r="JHN1055" s="103"/>
      <c r="JHZ1055" s="104"/>
      <c r="JIA1055" s="103"/>
      <c r="JIM1055" s="104"/>
      <c r="JIN1055" s="103"/>
      <c r="JIZ1055" s="104"/>
      <c r="JJA1055" s="103"/>
      <c r="JJM1055" s="104"/>
      <c r="JJN1055" s="103"/>
      <c r="JJZ1055" s="104"/>
      <c r="JKA1055" s="103"/>
      <c r="JKM1055" s="104"/>
      <c r="JKN1055" s="103"/>
      <c r="JKZ1055" s="104"/>
      <c r="JLA1055" s="103"/>
      <c r="JLM1055" s="104"/>
      <c r="JLN1055" s="103"/>
      <c r="JLZ1055" s="104"/>
      <c r="JMA1055" s="103"/>
      <c r="JMM1055" s="104"/>
      <c r="JMN1055" s="103"/>
      <c r="JMZ1055" s="104"/>
      <c r="JNA1055" s="103"/>
      <c r="JNM1055" s="104"/>
      <c r="JNN1055" s="103"/>
      <c r="JNZ1055" s="104"/>
      <c r="JOA1055" s="103"/>
      <c r="JOM1055" s="104"/>
      <c r="JON1055" s="103"/>
      <c r="JOZ1055" s="104"/>
      <c r="JPA1055" s="103"/>
      <c r="JPM1055" s="104"/>
      <c r="JPN1055" s="103"/>
      <c r="JPZ1055" s="104"/>
      <c r="JQA1055" s="103"/>
      <c r="JQM1055" s="104"/>
      <c r="JQN1055" s="103"/>
      <c r="JQZ1055" s="104"/>
      <c r="JRA1055" s="103"/>
      <c r="JRM1055" s="104"/>
      <c r="JRN1055" s="103"/>
      <c r="JRZ1055" s="104"/>
      <c r="JSA1055" s="103"/>
      <c r="JSM1055" s="104"/>
      <c r="JSN1055" s="103"/>
      <c r="JSZ1055" s="104"/>
      <c r="JTA1055" s="103"/>
      <c r="JTM1055" s="104"/>
      <c r="JTN1055" s="103"/>
      <c r="JTZ1055" s="104"/>
      <c r="JUA1055" s="103"/>
      <c r="JUM1055" s="104"/>
      <c r="JUN1055" s="103"/>
      <c r="JUZ1055" s="104"/>
      <c r="JVA1055" s="103"/>
      <c r="JVM1055" s="104"/>
      <c r="JVN1055" s="103"/>
      <c r="JVZ1055" s="104"/>
      <c r="JWA1055" s="103"/>
      <c r="JWM1055" s="104"/>
      <c r="JWN1055" s="103"/>
      <c r="JWZ1055" s="104"/>
      <c r="JXA1055" s="103"/>
      <c r="JXM1055" s="104"/>
      <c r="JXN1055" s="103"/>
      <c r="JXZ1055" s="104"/>
      <c r="JYA1055" s="103"/>
      <c r="JYM1055" s="104"/>
      <c r="JYN1055" s="103"/>
      <c r="JYZ1055" s="104"/>
      <c r="JZA1055" s="103"/>
      <c r="JZM1055" s="104"/>
      <c r="JZN1055" s="103"/>
      <c r="JZZ1055" s="104"/>
      <c r="KAA1055" s="103"/>
      <c r="KAM1055" s="104"/>
      <c r="KAN1055" s="103"/>
      <c r="KAZ1055" s="104"/>
      <c r="KBA1055" s="103"/>
      <c r="KBM1055" s="104"/>
      <c r="KBN1055" s="103"/>
      <c r="KBZ1055" s="104"/>
      <c r="KCA1055" s="103"/>
      <c r="KCM1055" s="104"/>
      <c r="KCN1055" s="103"/>
      <c r="KCZ1055" s="104"/>
      <c r="KDA1055" s="103"/>
      <c r="KDM1055" s="104"/>
      <c r="KDN1055" s="103"/>
      <c r="KDZ1055" s="104"/>
      <c r="KEA1055" s="103"/>
      <c r="KEM1055" s="104"/>
      <c r="KEN1055" s="103"/>
      <c r="KEZ1055" s="104"/>
      <c r="KFA1055" s="103"/>
      <c r="KFM1055" s="104"/>
      <c r="KFN1055" s="103"/>
      <c r="KFZ1055" s="104"/>
      <c r="KGA1055" s="103"/>
      <c r="KGM1055" s="104"/>
      <c r="KGN1055" s="103"/>
      <c r="KGZ1055" s="104"/>
      <c r="KHA1055" s="103"/>
      <c r="KHM1055" s="104"/>
      <c r="KHN1055" s="103"/>
      <c r="KHZ1055" s="104"/>
      <c r="KIA1055" s="103"/>
      <c r="KIM1055" s="104"/>
      <c r="KIN1055" s="103"/>
      <c r="KIZ1055" s="104"/>
      <c r="KJA1055" s="103"/>
      <c r="KJM1055" s="104"/>
      <c r="KJN1055" s="103"/>
      <c r="KJZ1055" s="104"/>
      <c r="KKA1055" s="103"/>
      <c r="KKM1055" s="104"/>
      <c r="KKN1055" s="103"/>
      <c r="KKZ1055" s="104"/>
      <c r="KLA1055" s="103"/>
      <c r="KLM1055" s="104"/>
      <c r="KLN1055" s="103"/>
      <c r="KLZ1055" s="104"/>
      <c r="KMA1055" s="103"/>
      <c r="KMM1055" s="104"/>
      <c r="KMN1055" s="103"/>
      <c r="KMZ1055" s="104"/>
      <c r="KNA1055" s="103"/>
      <c r="KNM1055" s="104"/>
      <c r="KNN1055" s="103"/>
      <c r="KNZ1055" s="104"/>
      <c r="KOA1055" s="103"/>
      <c r="KOM1055" s="104"/>
      <c r="KON1055" s="103"/>
      <c r="KOZ1055" s="104"/>
      <c r="KPA1055" s="103"/>
      <c r="KPM1055" s="104"/>
      <c r="KPN1055" s="103"/>
      <c r="KPZ1055" s="104"/>
      <c r="KQA1055" s="103"/>
      <c r="KQM1055" s="104"/>
      <c r="KQN1055" s="103"/>
      <c r="KQZ1055" s="104"/>
      <c r="KRA1055" s="103"/>
      <c r="KRM1055" s="104"/>
      <c r="KRN1055" s="103"/>
      <c r="KRZ1055" s="104"/>
      <c r="KSA1055" s="103"/>
      <c r="KSM1055" s="104"/>
      <c r="KSN1055" s="103"/>
      <c r="KSZ1055" s="104"/>
      <c r="KTA1055" s="103"/>
      <c r="KTM1055" s="104"/>
      <c r="KTN1055" s="103"/>
      <c r="KTZ1055" s="104"/>
      <c r="KUA1055" s="103"/>
      <c r="KUM1055" s="104"/>
      <c r="KUN1055" s="103"/>
      <c r="KUZ1055" s="104"/>
      <c r="KVA1055" s="103"/>
      <c r="KVM1055" s="104"/>
      <c r="KVN1055" s="103"/>
      <c r="KVZ1055" s="104"/>
      <c r="KWA1055" s="103"/>
      <c r="KWM1055" s="104"/>
      <c r="KWN1055" s="103"/>
      <c r="KWZ1055" s="104"/>
      <c r="KXA1055" s="103"/>
      <c r="KXM1055" s="104"/>
      <c r="KXN1055" s="103"/>
      <c r="KXZ1055" s="104"/>
      <c r="KYA1055" s="103"/>
      <c r="KYM1055" s="104"/>
      <c r="KYN1055" s="103"/>
      <c r="KYZ1055" s="104"/>
      <c r="KZA1055" s="103"/>
      <c r="KZM1055" s="104"/>
      <c r="KZN1055" s="103"/>
      <c r="KZZ1055" s="104"/>
      <c r="LAA1055" s="103"/>
      <c r="LAM1055" s="104"/>
      <c r="LAN1055" s="103"/>
      <c r="LAZ1055" s="104"/>
      <c r="LBA1055" s="103"/>
      <c r="LBM1055" s="104"/>
      <c r="LBN1055" s="103"/>
      <c r="LBZ1055" s="104"/>
      <c r="LCA1055" s="103"/>
      <c r="LCM1055" s="104"/>
      <c r="LCN1055" s="103"/>
      <c r="LCZ1055" s="104"/>
      <c r="LDA1055" s="103"/>
      <c r="LDM1055" s="104"/>
      <c r="LDN1055" s="103"/>
      <c r="LDZ1055" s="104"/>
      <c r="LEA1055" s="103"/>
      <c r="LEM1055" s="104"/>
      <c r="LEN1055" s="103"/>
      <c r="LEZ1055" s="104"/>
      <c r="LFA1055" s="103"/>
      <c r="LFM1055" s="104"/>
      <c r="LFN1055" s="103"/>
      <c r="LFZ1055" s="104"/>
      <c r="LGA1055" s="103"/>
      <c r="LGM1055" s="104"/>
      <c r="LGN1055" s="103"/>
      <c r="LGZ1055" s="104"/>
      <c r="LHA1055" s="103"/>
      <c r="LHM1055" s="104"/>
      <c r="LHN1055" s="103"/>
      <c r="LHZ1055" s="104"/>
      <c r="LIA1055" s="103"/>
      <c r="LIM1055" s="104"/>
      <c r="LIN1055" s="103"/>
      <c r="LIZ1055" s="104"/>
      <c r="LJA1055" s="103"/>
      <c r="LJM1055" s="104"/>
      <c r="LJN1055" s="103"/>
      <c r="LJZ1055" s="104"/>
      <c r="LKA1055" s="103"/>
      <c r="LKM1055" s="104"/>
      <c r="LKN1055" s="103"/>
      <c r="LKZ1055" s="104"/>
      <c r="LLA1055" s="103"/>
      <c r="LLM1055" s="104"/>
      <c r="LLN1055" s="103"/>
      <c r="LLZ1055" s="104"/>
      <c r="LMA1055" s="103"/>
      <c r="LMM1055" s="104"/>
      <c r="LMN1055" s="103"/>
      <c r="LMZ1055" s="104"/>
      <c r="LNA1055" s="103"/>
      <c r="LNM1055" s="104"/>
      <c r="LNN1055" s="103"/>
      <c r="LNZ1055" s="104"/>
      <c r="LOA1055" s="103"/>
      <c r="LOM1055" s="104"/>
      <c r="LON1055" s="103"/>
      <c r="LOZ1055" s="104"/>
      <c r="LPA1055" s="103"/>
      <c r="LPM1055" s="104"/>
      <c r="LPN1055" s="103"/>
      <c r="LPZ1055" s="104"/>
      <c r="LQA1055" s="103"/>
      <c r="LQM1055" s="104"/>
      <c r="LQN1055" s="103"/>
      <c r="LQZ1055" s="104"/>
      <c r="LRA1055" s="103"/>
      <c r="LRM1055" s="104"/>
      <c r="LRN1055" s="103"/>
      <c r="LRZ1055" s="104"/>
      <c r="LSA1055" s="103"/>
      <c r="LSM1055" s="104"/>
      <c r="LSN1055" s="103"/>
      <c r="LSZ1055" s="104"/>
      <c r="LTA1055" s="103"/>
      <c r="LTM1055" s="104"/>
      <c r="LTN1055" s="103"/>
      <c r="LTZ1055" s="104"/>
      <c r="LUA1055" s="103"/>
      <c r="LUM1055" s="104"/>
      <c r="LUN1055" s="103"/>
      <c r="LUZ1055" s="104"/>
      <c r="LVA1055" s="103"/>
      <c r="LVM1055" s="104"/>
      <c r="LVN1055" s="103"/>
      <c r="LVZ1055" s="104"/>
      <c r="LWA1055" s="103"/>
      <c r="LWM1055" s="104"/>
      <c r="LWN1055" s="103"/>
      <c r="LWZ1055" s="104"/>
      <c r="LXA1055" s="103"/>
      <c r="LXM1055" s="104"/>
      <c r="LXN1055" s="103"/>
      <c r="LXZ1055" s="104"/>
      <c r="LYA1055" s="103"/>
      <c r="LYM1055" s="104"/>
      <c r="LYN1055" s="103"/>
      <c r="LYZ1055" s="104"/>
      <c r="LZA1055" s="103"/>
      <c r="LZM1055" s="104"/>
      <c r="LZN1055" s="103"/>
      <c r="LZZ1055" s="104"/>
      <c r="MAA1055" s="103"/>
      <c r="MAM1055" s="104"/>
      <c r="MAN1055" s="103"/>
      <c r="MAZ1055" s="104"/>
      <c r="MBA1055" s="103"/>
      <c r="MBM1055" s="104"/>
      <c r="MBN1055" s="103"/>
      <c r="MBZ1055" s="104"/>
      <c r="MCA1055" s="103"/>
      <c r="MCM1055" s="104"/>
      <c r="MCN1055" s="103"/>
      <c r="MCZ1055" s="104"/>
      <c r="MDA1055" s="103"/>
      <c r="MDM1055" s="104"/>
      <c r="MDN1055" s="103"/>
      <c r="MDZ1055" s="104"/>
      <c r="MEA1055" s="103"/>
      <c r="MEM1055" s="104"/>
      <c r="MEN1055" s="103"/>
      <c r="MEZ1055" s="104"/>
      <c r="MFA1055" s="103"/>
      <c r="MFM1055" s="104"/>
      <c r="MFN1055" s="103"/>
      <c r="MFZ1055" s="104"/>
      <c r="MGA1055" s="103"/>
      <c r="MGM1055" s="104"/>
      <c r="MGN1055" s="103"/>
      <c r="MGZ1055" s="104"/>
      <c r="MHA1055" s="103"/>
      <c r="MHM1055" s="104"/>
      <c r="MHN1055" s="103"/>
      <c r="MHZ1055" s="104"/>
      <c r="MIA1055" s="103"/>
      <c r="MIM1055" s="104"/>
      <c r="MIN1055" s="103"/>
      <c r="MIZ1055" s="104"/>
      <c r="MJA1055" s="103"/>
      <c r="MJM1055" s="104"/>
      <c r="MJN1055" s="103"/>
      <c r="MJZ1055" s="104"/>
      <c r="MKA1055" s="103"/>
      <c r="MKM1055" s="104"/>
      <c r="MKN1055" s="103"/>
      <c r="MKZ1055" s="104"/>
      <c r="MLA1055" s="103"/>
      <c r="MLM1055" s="104"/>
      <c r="MLN1055" s="103"/>
      <c r="MLZ1055" s="104"/>
      <c r="MMA1055" s="103"/>
      <c r="MMM1055" s="104"/>
      <c r="MMN1055" s="103"/>
      <c r="MMZ1055" s="104"/>
      <c r="MNA1055" s="103"/>
      <c r="MNM1055" s="104"/>
      <c r="MNN1055" s="103"/>
      <c r="MNZ1055" s="104"/>
      <c r="MOA1055" s="103"/>
      <c r="MOM1055" s="104"/>
      <c r="MON1055" s="103"/>
      <c r="MOZ1055" s="104"/>
      <c r="MPA1055" s="103"/>
      <c r="MPM1055" s="104"/>
      <c r="MPN1055" s="103"/>
      <c r="MPZ1055" s="104"/>
      <c r="MQA1055" s="103"/>
      <c r="MQM1055" s="104"/>
      <c r="MQN1055" s="103"/>
      <c r="MQZ1055" s="104"/>
      <c r="MRA1055" s="103"/>
      <c r="MRM1055" s="104"/>
      <c r="MRN1055" s="103"/>
      <c r="MRZ1055" s="104"/>
      <c r="MSA1055" s="103"/>
      <c r="MSM1055" s="104"/>
      <c r="MSN1055" s="103"/>
      <c r="MSZ1055" s="104"/>
      <c r="MTA1055" s="103"/>
      <c r="MTM1055" s="104"/>
      <c r="MTN1055" s="103"/>
      <c r="MTZ1055" s="104"/>
      <c r="MUA1055" s="103"/>
      <c r="MUM1055" s="104"/>
      <c r="MUN1055" s="103"/>
      <c r="MUZ1055" s="104"/>
      <c r="MVA1055" s="103"/>
      <c r="MVM1055" s="104"/>
      <c r="MVN1055" s="103"/>
      <c r="MVZ1055" s="104"/>
      <c r="MWA1055" s="103"/>
      <c r="MWM1055" s="104"/>
      <c r="MWN1055" s="103"/>
      <c r="MWZ1055" s="104"/>
      <c r="MXA1055" s="103"/>
      <c r="MXM1055" s="104"/>
      <c r="MXN1055" s="103"/>
      <c r="MXZ1055" s="104"/>
      <c r="MYA1055" s="103"/>
      <c r="MYM1055" s="104"/>
      <c r="MYN1055" s="103"/>
      <c r="MYZ1055" s="104"/>
      <c r="MZA1055" s="103"/>
      <c r="MZM1055" s="104"/>
      <c r="MZN1055" s="103"/>
      <c r="MZZ1055" s="104"/>
      <c r="NAA1055" s="103"/>
      <c r="NAM1055" s="104"/>
      <c r="NAN1055" s="103"/>
      <c r="NAZ1055" s="104"/>
      <c r="NBA1055" s="103"/>
      <c r="NBM1055" s="104"/>
      <c r="NBN1055" s="103"/>
      <c r="NBZ1055" s="104"/>
      <c r="NCA1055" s="103"/>
      <c r="NCM1055" s="104"/>
      <c r="NCN1055" s="103"/>
      <c r="NCZ1055" s="104"/>
      <c r="NDA1055" s="103"/>
      <c r="NDM1055" s="104"/>
      <c r="NDN1055" s="103"/>
      <c r="NDZ1055" s="104"/>
      <c r="NEA1055" s="103"/>
      <c r="NEM1055" s="104"/>
      <c r="NEN1055" s="103"/>
      <c r="NEZ1055" s="104"/>
      <c r="NFA1055" s="103"/>
      <c r="NFM1055" s="104"/>
      <c r="NFN1055" s="103"/>
      <c r="NFZ1055" s="104"/>
      <c r="NGA1055" s="103"/>
      <c r="NGM1055" s="104"/>
      <c r="NGN1055" s="103"/>
      <c r="NGZ1055" s="104"/>
      <c r="NHA1055" s="103"/>
      <c r="NHM1055" s="104"/>
      <c r="NHN1055" s="103"/>
      <c r="NHZ1055" s="104"/>
      <c r="NIA1055" s="103"/>
      <c r="NIM1055" s="104"/>
      <c r="NIN1055" s="103"/>
      <c r="NIZ1055" s="104"/>
      <c r="NJA1055" s="103"/>
      <c r="NJM1055" s="104"/>
      <c r="NJN1055" s="103"/>
      <c r="NJZ1055" s="104"/>
      <c r="NKA1055" s="103"/>
      <c r="NKM1055" s="104"/>
      <c r="NKN1055" s="103"/>
      <c r="NKZ1055" s="104"/>
      <c r="NLA1055" s="103"/>
      <c r="NLM1055" s="104"/>
      <c r="NLN1055" s="103"/>
      <c r="NLZ1055" s="104"/>
      <c r="NMA1055" s="103"/>
      <c r="NMM1055" s="104"/>
      <c r="NMN1055" s="103"/>
      <c r="NMZ1055" s="104"/>
      <c r="NNA1055" s="103"/>
      <c r="NNM1055" s="104"/>
      <c r="NNN1055" s="103"/>
      <c r="NNZ1055" s="104"/>
      <c r="NOA1055" s="103"/>
      <c r="NOM1055" s="104"/>
      <c r="NON1055" s="103"/>
      <c r="NOZ1055" s="104"/>
      <c r="NPA1055" s="103"/>
      <c r="NPM1055" s="104"/>
      <c r="NPN1055" s="103"/>
      <c r="NPZ1055" s="104"/>
      <c r="NQA1055" s="103"/>
      <c r="NQM1055" s="104"/>
      <c r="NQN1055" s="103"/>
      <c r="NQZ1055" s="104"/>
      <c r="NRA1055" s="103"/>
      <c r="NRM1055" s="104"/>
      <c r="NRN1055" s="103"/>
      <c r="NRZ1055" s="104"/>
      <c r="NSA1055" s="103"/>
      <c r="NSM1055" s="104"/>
      <c r="NSN1055" s="103"/>
      <c r="NSZ1055" s="104"/>
      <c r="NTA1055" s="103"/>
      <c r="NTM1055" s="104"/>
      <c r="NTN1055" s="103"/>
      <c r="NTZ1055" s="104"/>
      <c r="NUA1055" s="103"/>
      <c r="NUM1055" s="104"/>
      <c r="NUN1055" s="103"/>
      <c r="NUZ1055" s="104"/>
      <c r="NVA1055" s="103"/>
      <c r="NVM1055" s="104"/>
      <c r="NVN1055" s="103"/>
      <c r="NVZ1055" s="104"/>
      <c r="NWA1055" s="103"/>
      <c r="NWM1055" s="104"/>
      <c r="NWN1055" s="103"/>
      <c r="NWZ1055" s="104"/>
      <c r="NXA1055" s="103"/>
      <c r="NXM1055" s="104"/>
      <c r="NXN1055" s="103"/>
      <c r="NXZ1055" s="104"/>
      <c r="NYA1055" s="103"/>
      <c r="NYM1055" s="104"/>
      <c r="NYN1055" s="103"/>
      <c r="NYZ1055" s="104"/>
      <c r="NZA1055" s="103"/>
      <c r="NZM1055" s="104"/>
      <c r="NZN1055" s="103"/>
      <c r="NZZ1055" s="104"/>
      <c r="OAA1055" s="103"/>
      <c r="OAM1055" s="104"/>
      <c r="OAN1055" s="103"/>
      <c r="OAZ1055" s="104"/>
      <c r="OBA1055" s="103"/>
      <c r="OBM1055" s="104"/>
      <c r="OBN1055" s="103"/>
      <c r="OBZ1055" s="104"/>
      <c r="OCA1055" s="103"/>
      <c r="OCM1055" s="104"/>
      <c r="OCN1055" s="103"/>
      <c r="OCZ1055" s="104"/>
      <c r="ODA1055" s="103"/>
      <c r="ODM1055" s="104"/>
      <c r="ODN1055" s="103"/>
      <c r="ODZ1055" s="104"/>
      <c r="OEA1055" s="103"/>
      <c r="OEM1055" s="104"/>
      <c r="OEN1055" s="103"/>
      <c r="OEZ1055" s="104"/>
      <c r="OFA1055" s="103"/>
      <c r="OFM1055" s="104"/>
      <c r="OFN1055" s="103"/>
      <c r="OFZ1055" s="104"/>
      <c r="OGA1055" s="103"/>
      <c r="OGM1055" s="104"/>
      <c r="OGN1055" s="103"/>
      <c r="OGZ1055" s="104"/>
      <c r="OHA1055" s="103"/>
      <c r="OHM1055" s="104"/>
      <c r="OHN1055" s="103"/>
      <c r="OHZ1055" s="104"/>
      <c r="OIA1055" s="103"/>
      <c r="OIM1055" s="104"/>
      <c r="OIN1055" s="103"/>
      <c r="OIZ1055" s="104"/>
      <c r="OJA1055" s="103"/>
      <c r="OJM1055" s="104"/>
      <c r="OJN1055" s="103"/>
      <c r="OJZ1055" s="104"/>
      <c r="OKA1055" s="103"/>
      <c r="OKM1055" s="104"/>
      <c r="OKN1055" s="103"/>
      <c r="OKZ1055" s="104"/>
      <c r="OLA1055" s="103"/>
      <c r="OLM1055" s="104"/>
      <c r="OLN1055" s="103"/>
      <c r="OLZ1055" s="104"/>
      <c r="OMA1055" s="103"/>
      <c r="OMM1055" s="104"/>
      <c r="OMN1055" s="103"/>
      <c r="OMZ1055" s="104"/>
      <c r="ONA1055" s="103"/>
      <c r="ONM1055" s="104"/>
      <c r="ONN1055" s="103"/>
      <c r="ONZ1055" s="104"/>
      <c r="OOA1055" s="103"/>
      <c r="OOM1055" s="104"/>
      <c r="OON1055" s="103"/>
      <c r="OOZ1055" s="104"/>
      <c r="OPA1055" s="103"/>
      <c r="OPM1055" s="104"/>
      <c r="OPN1055" s="103"/>
      <c r="OPZ1055" s="104"/>
      <c r="OQA1055" s="103"/>
      <c r="OQM1055" s="104"/>
      <c r="OQN1055" s="103"/>
      <c r="OQZ1055" s="104"/>
      <c r="ORA1055" s="103"/>
      <c r="ORM1055" s="104"/>
      <c r="ORN1055" s="103"/>
      <c r="ORZ1055" s="104"/>
      <c r="OSA1055" s="103"/>
      <c r="OSM1055" s="104"/>
      <c r="OSN1055" s="103"/>
      <c r="OSZ1055" s="104"/>
      <c r="OTA1055" s="103"/>
      <c r="OTM1055" s="104"/>
      <c r="OTN1055" s="103"/>
      <c r="OTZ1055" s="104"/>
      <c r="OUA1055" s="103"/>
      <c r="OUM1055" s="104"/>
      <c r="OUN1055" s="103"/>
      <c r="OUZ1055" s="104"/>
      <c r="OVA1055" s="103"/>
      <c r="OVM1055" s="104"/>
      <c r="OVN1055" s="103"/>
      <c r="OVZ1055" s="104"/>
      <c r="OWA1055" s="103"/>
      <c r="OWM1055" s="104"/>
      <c r="OWN1055" s="103"/>
      <c r="OWZ1055" s="104"/>
      <c r="OXA1055" s="103"/>
      <c r="OXM1055" s="104"/>
      <c r="OXN1055" s="103"/>
      <c r="OXZ1055" s="104"/>
      <c r="OYA1055" s="103"/>
      <c r="OYM1055" s="104"/>
      <c r="OYN1055" s="103"/>
      <c r="OYZ1055" s="104"/>
      <c r="OZA1055" s="103"/>
      <c r="OZM1055" s="104"/>
      <c r="OZN1055" s="103"/>
      <c r="OZZ1055" s="104"/>
      <c r="PAA1055" s="103"/>
      <c r="PAM1055" s="104"/>
      <c r="PAN1055" s="103"/>
      <c r="PAZ1055" s="104"/>
      <c r="PBA1055" s="103"/>
      <c r="PBM1055" s="104"/>
      <c r="PBN1055" s="103"/>
      <c r="PBZ1055" s="104"/>
      <c r="PCA1055" s="103"/>
      <c r="PCM1055" s="104"/>
      <c r="PCN1055" s="103"/>
      <c r="PCZ1055" s="104"/>
      <c r="PDA1055" s="103"/>
      <c r="PDM1055" s="104"/>
      <c r="PDN1055" s="103"/>
      <c r="PDZ1055" s="104"/>
      <c r="PEA1055" s="103"/>
      <c r="PEM1055" s="104"/>
      <c r="PEN1055" s="103"/>
      <c r="PEZ1055" s="104"/>
      <c r="PFA1055" s="103"/>
      <c r="PFM1055" s="104"/>
      <c r="PFN1055" s="103"/>
      <c r="PFZ1055" s="104"/>
      <c r="PGA1055" s="103"/>
      <c r="PGM1055" s="104"/>
      <c r="PGN1055" s="103"/>
      <c r="PGZ1055" s="104"/>
      <c r="PHA1055" s="103"/>
      <c r="PHM1055" s="104"/>
      <c r="PHN1055" s="103"/>
      <c r="PHZ1055" s="104"/>
      <c r="PIA1055" s="103"/>
      <c r="PIM1055" s="104"/>
      <c r="PIN1055" s="103"/>
      <c r="PIZ1055" s="104"/>
      <c r="PJA1055" s="103"/>
      <c r="PJM1055" s="104"/>
      <c r="PJN1055" s="103"/>
      <c r="PJZ1055" s="104"/>
      <c r="PKA1055" s="103"/>
      <c r="PKM1055" s="104"/>
      <c r="PKN1055" s="103"/>
      <c r="PKZ1055" s="104"/>
      <c r="PLA1055" s="103"/>
      <c r="PLM1055" s="104"/>
      <c r="PLN1055" s="103"/>
      <c r="PLZ1055" s="104"/>
      <c r="PMA1055" s="103"/>
      <c r="PMM1055" s="104"/>
      <c r="PMN1055" s="103"/>
      <c r="PMZ1055" s="104"/>
      <c r="PNA1055" s="103"/>
      <c r="PNM1055" s="104"/>
      <c r="PNN1055" s="103"/>
      <c r="PNZ1055" s="104"/>
      <c r="POA1055" s="103"/>
      <c r="POM1055" s="104"/>
      <c r="PON1055" s="103"/>
      <c r="POZ1055" s="104"/>
      <c r="PPA1055" s="103"/>
      <c r="PPM1055" s="104"/>
      <c r="PPN1055" s="103"/>
      <c r="PPZ1055" s="104"/>
      <c r="PQA1055" s="103"/>
      <c r="PQM1055" s="104"/>
      <c r="PQN1055" s="103"/>
      <c r="PQZ1055" s="104"/>
      <c r="PRA1055" s="103"/>
      <c r="PRM1055" s="104"/>
      <c r="PRN1055" s="103"/>
      <c r="PRZ1055" s="104"/>
      <c r="PSA1055" s="103"/>
      <c r="PSM1055" s="104"/>
      <c r="PSN1055" s="103"/>
      <c r="PSZ1055" s="104"/>
      <c r="PTA1055" s="103"/>
      <c r="PTM1055" s="104"/>
      <c r="PTN1055" s="103"/>
      <c r="PTZ1055" s="104"/>
      <c r="PUA1055" s="103"/>
      <c r="PUM1055" s="104"/>
      <c r="PUN1055" s="103"/>
      <c r="PUZ1055" s="104"/>
      <c r="PVA1055" s="103"/>
      <c r="PVM1055" s="104"/>
      <c r="PVN1055" s="103"/>
      <c r="PVZ1055" s="104"/>
      <c r="PWA1055" s="103"/>
      <c r="PWM1055" s="104"/>
      <c r="PWN1055" s="103"/>
      <c r="PWZ1055" s="104"/>
      <c r="PXA1055" s="103"/>
      <c r="PXM1055" s="104"/>
      <c r="PXN1055" s="103"/>
      <c r="PXZ1055" s="104"/>
      <c r="PYA1055" s="103"/>
      <c r="PYM1055" s="104"/>
      <c r="PYN1055" s="103"/>
      <c r="PYZ1055" s="104"/>
      <c r="PZA1055" s="103"/>
      <c r="PZM1055" s="104"/>
      <c r="PZN1055" s="103"/>
      <c r="PZZ1055" s="104"/>
      <c r="QAA1055" s="103"/>
      <c r="QAM1055" s="104"/>
      <c r="QAN1055" s="103"/>
      <c r="QAZ1055" s="104"/>
      <c r="QBA1055" s="103"/>
      <c r="QBM1055" s="104"/>
      <c r="QBN1055" s="103"/>
      <c r="QBZ1055" s="104"/>
      <c r="QCA1055" s="103"/>
      <c r="QCM1055" s="104"/>
      <c r="QCN1055" s="103"/>
      <c r="QCZ1055" s="104"/>
      <c r="QDA1055" s="103"/>
      <c r="QDM1055" s="104"/>
      <c r="QDN1055" s="103"/>
      <c r="QDZ1055" s="104"/>
      <c r="QEA1055" s="103"/>
      <c r="QEM1055" s="104"/>
      <c r="QEN1055" s="103"/>
      <c r="QEZ1055" s="104"/>
      <c r="QFA1055" s="103"/>
      <c r="QFM1055" s="104"/>
      <c r="QFN1055" s="103"/>
      <c r="QFZ1055" s="104"/>
      <c r="QGA1055" s="103"/>
      <c r="QGM1055" s="104"/>
      <c r="QGN1055" s="103"/>
      <c r="QGZ1055" s="104"/>
      <c r="QHA1055" s="103"/>
      <c r="QHM1055" s="104"/>
      <c r="QHN1055" s="103"/>
      <c r="QHZ1055" s="104"/>
      <c r="QIA1055" s="103"/>
      <c r="QIM1055" s="104"/>
      <c r="QIN1055" s="103"/>
      <c r="QIZ1055" s="104"/>
      <c r="QJA1055" s="103"/>
      <c r="QJM1055" s="104"/>
      <c r="QJN1055" s="103"/>
      <c r="QJZ1055" s="104"/>
      <c r="QKA1055" s="103"/>
      <c r="QKM1055" s="104"/>
      <c r="QKN1055" s="103"/>
      <c r="QKZ1055" s="104"/>
      <c r="QLA1055" s="103"/>
      <c r="QLM1055" s="104"/>
      <c r="QLN1055" s="103"/>
      <c r="QLZ1055" s="104"/>
      <c r="QMA1055" s="103"/>
      <c r="QMM1055" s="104"/>
      <c r="QMN1055" s="103"/>
      <c r="QMZ1055" s="104"/>
      <c r="QNA1055" s="103"/>
      <c r="QNM1055" s="104"/>
      <c r="QNN1055" s="103"/>
      <c r="QNZ1055" s="104"/>
      <c r="QOA1055" s="103"/>
      <c r="QOM1055" s="104"/>
      <c r="QON1055" s="103"/>
      <c r="QOZ1055" s="104"/>
      <c r="QPA1055" s="103"/>
      <c r="QPM1055" s="104"/>
      <c r="QPN1055" s="103"/>
      <c r="QPZ1055" s="104"/>
      <c r="QQA1055" s="103"/>
      <c r="QQM1055" s="104"/>
      <c r="QQN1055" s="103"/>
      <c r="QQZ1055" s="104"/>
      <c r="QRA1055" s="103"/>
      <c r="QRM1055" s="104"/>
      <c r="QRN1055" s="103"/>
      <c r="QRZ1055" s="104"/>
      <c r="QSA1055" s="103"/>
      <c r="QSM1055" s="104"/>
      <c r="QSN1055" s="103"/>
      <c r="QSZ1055" s="104"/>
      <c r="QTA1055" s="103"/>
      <c r="QTM1055" s="104"/>
      <c r="QTN1055" s="103"/>
      <c r="QTZ1055" s="104"/>
      <c r="QUA1055" s="103"/>
      <c r="QUM1055" s="104"/>
      <c r="QUN1055" s="103"/>
      <c r="QUZ1055" s="104"/>
      <c r="QVA1055" s="103"/>
      <c r="QVM1055" s="104"/>
      <c r="QVN1055" s="103"/>
      <c r="QVZ1055" s="104"/>
      <c r="QWA1055" s="103"/>
      <c r="QWM1055" s="104"/>
      <c r="QWN1055" s="103"/>
      <c r="QWZ1055" s="104"/>
      <c r="QXA1055" s="103"/>
      <c r="QXM1055" s="104"/>
      <c r="QXN1055" s="103"/>
      <c r="QXZ1055" s="104"/>
      <c r="QYA1055" s="103"/>
      <c r="QYM1055" s="104"/>
      <c r="QYN1055" s="103"/>
      <c r="QYZ1055" s="104"/>
      <c r="QZA1055" s="103"/>
      <c r="QZM1055" s="104"/>
      <c r="QZN1055" s="103"/>
      <c r="QZZ1055" s="104"/>
      <c r="RAA1055" s="103"/>
      <c r="RAM1055" s="104"/>
      <c r="RAN1055" s="103"/>
      <c r="RAZ1055" s="104"/>
      <c r="RBA1055" s="103"/>
      <c r="RBM1055" s="104"/>
      <c r="RBN1055" s="103"/>
      <c r="RBZ1055" s="104"/>
      <c r="RCA1055" s="103"/>
      <c r="RCM1055" s="104"/>
      <c r="RCN1055" s="103"/>
      <c r="RCZ1055" s="104"/>
      <c r="RDA1055" s="103"/>
      <c r="RDM1055" s="104"/>
      <c r="RDN1055" s="103"/>
      <c r="RDZ1055" s="104"/>
      <c r="REA1055" s="103"/>
      <c r="REM1055" s="104"/>
      <c r="REN1055" s="103"/>
      <c r="REZ1055" s="104"/>
      <c r="RFA1055" s="103"/>
      <c r="RFM1055" s="104"/>
      <c r="RFN1055" s="103"/>
      <c r="RFZ1055" s="104"/>
      <c r="RGA1055" s="103"/>
      <c r="RGM1055" s="104"/>
      <c r="RGN1055" s="103"/>
      <c r="RGZ1055" s="104"/>
      <c r="RHA1055" s="103"/>
      <c r="RHM1055" s="104"/>
      <c r="RHN1055" s="103"/>
      <c r="RHZ1055" s="104"/>
      <c r="RIA1055" s="103"/>
      <c r="RIM1055" s="104"/>
      <c r="RIN1055" s="103"/>
      <c r="RIZ1055" s="104"/>
      <c r="RJA1055" s="103"/>
      <c r="RJM1055" s="104"/>
      <c r="RJN1055" s="103"/>
      <c r="RJZ1055" s="104"/>
      <c r="RKA1055" s="103"/>
      <c r="RKM1055" s="104"/>
      <c r="RKN1055" s="103"/>
      <c r="RKZ1055" s="104"/>
      <c r="RLA1055" s="103"/>
      <c r="RLM1055" s="104"/>
      <c r="RLN1055" s="103"/>
      <c r="RLZ1055" s="104"/>
      <c r="RMA1055" s="103"/>
      <c r="RMM1055" s="104"/>
      <c r="RMN1055" s="103"/>
      <c r="RMZ1055" s="104"/>
      <c r="RNA1055" s="103"/>
      <c r="RNM1055" s="104"/>
      <c r="RNN1055" s="103"/>
      <c r="RNZ1055" s="104"/>
      <c r="ROA1055" s="103"/>
      <c r="ROM1055" s="104"/>
      <c r="RON1055" s="103"/>
      <c r="ROZ1055" s="104"/>
      <c r="RPA1055" s="103"/>
      <c r="RPM1055" s="104"/>
      <c r="RPN1055" s="103"/>
      <c r="RPZ1055" s="104"/>
      <c r="RQA1055" s="103"/>
      <c r="RQM1055" s="104"/>
      <c r="RQN1055" s="103"/>
      <c r="RQZ1055" s="104"/>
      <c r="RRA1055" s="103"/>
      <c r="RRM1055" s="104"/>
      <c r="RRN1055" s="103"/>
      <c r="RRZ1055" s="104"/>
      <c r="RSA1055" s="103"/>
      <c r="RSM1055" s="104"/>
      <c r="RSN1055" s="103"/>
      <c r="RSZ1055" s="104"/>
      <c r="RTA1055" s="103"/>
      <c r="RTM1055" s="104"/>
      <c r="RTN1055" s="103"/>
      <c r="RTZ1055" s="104"/>
      <c r="RUA1055" s="103"/>
      <c r="RUM1055" s="104"/>
      <c r="RUN1055" s="103"/>
      <c r="RUZ1055" s="104"/>
      <c r="RVA1055" s="103"/>
      <c r="RVM1055" s="104"/>
      <c r="RVN1055" s="103"/>
      <c r="RVZ1055" s="104"/>
      <c r="RWA1055" s="103"/>
      <c r="RWM1055" s="104"/>
      <c r="RWN1055" s="103"/>
      <c r="RWZ1055" s="104"/>
      <c r="RXA1055" s="103"/>
      <c r="RXM1055" s="104"/>
      <c r="RXN1055" s="103"/>
      <c r="RXZ1055" s="104"/>
      <c r="RYA1055" s="103"/>
      <c r="RYM1055" s="104"/>
      <c r="RYN1055" s="103"/>
      <c r="RYZ1055" s="104"/>
      <c r="RZA1055" s="103"/>
      <c r="RZM1055" s="104"/>
      <c r="RZN1055" s="103"/>
      <c r="RZZ1055" s="104"/>
      <c r="SAA1055" s="103"/>
      <c r="SAM1055" s="104"/>
      <c r="SAN1055" s="103"/>
      <c r="SAZ1055" s="104"/>
      <c r="SBA1055" s="103"/>
      <c r="SBM1055" s="104"/>
      <c r="SBN1055" s="103"/>
      <c r="SBZ1055" s="104"/>
      <c r="SCA1055" s="103"/>
      <c r="SCM1055" s="104"/>
      <c r="SCN1055" s="103"/>
      <c r="SCZ1055" s="104"/>
      <c r="SDA1055" s="103"/>
      <c r="SDM1055" s="104"/>
      <c r="SDN1055" s="103"/>
      <c r="SDZ1055" s="104"/>
      <c r="SEA1055" s="103"/>
      <c r="SEM1055" s="104"/>
      <c r="SEN1055" s="103"/>
      <c r="SEZ1055" s="104"/>
      <c r="SFA1055" s="103"/>
      <c r="SFM1055" s="104"/>
      <c r="SFN1055" s="103"/>
      <c r="SFZ1055" s="104"/>
      <c r="SGA1055" s="103"/>
      <c r="SGM1055" s="104"/>
      <c r="SGN1055" s="103"/>
      <c r="SGZ1055" s="104"/>
      <c r="SHA1055" s="103"/>
      <c r="SHM1055" s="104"/>
      <c r="SHN1055" s="103"/>
      <c r="SHZ1055" s="104"/>
      <c r="SIA1055" s="103"/>
      <c r="SIM1055" s="104"/>
      <c r="SIN1055" s="103"/>
      <c r="SIZ1055" s="104"/>
      <c r="SJA1055" s="103"/>
      <c r="SJM1055" s="104"/>
      <c r="SJN1055" s="103"/>
      <c r="SJZ1055" s="104"/>
      <c r="SKA1055" s="103"/>
      <c r="SKM1055" s="104"/>
      <c r="SKN1055" s="103"/>
      <c r="SKZ1055" s="104"/>
      <c r="SLA1055" s="103"/>
      <c r="SLM1055" s="104"/>
      <c r="SLN1055" s="103"/>
      <c r="SLZ1055" s="104"/>
      <c r="SMA1055" s="103"/>
      <c r="SMM1055" s="104"/>
      <c r="SMN1055" s="103"/>
      <c r="SMZ1055" s="104"/>
      <c r="SNA1055" s="103"/>
      <c r="SNM1055" s="104"/>
      <c r="SNN1055" s="103"/>
      <c r="SNZ1055" s="104"/>
      <c r="SOA1055" s="103"/>
      <c r="SOM1055" s="104"/>
      <c r="SON1055" s="103"/>
      <c r="SOZ1055" s="104"/>
      <c r="SPA1055" s="103"/>
      <c r="SPM1055" s="104"/>
      <c r="SPN1055" s="103"/>
      <c r="SPZ1055" s="104"/>
      <c r="SQA1055" s="103"/>
      <c r="SQM1055" s="104"/>
      <c r="SQN1055" s="103"/>
      <c r="SQZ1055" s="104"/>
      <c r="SRA1055" s="103"/>
      <c r="SRM1055" s="104"/>
      <c r="SRN1055" s="103"/>
      <c r="SRZ1055" s="104"/>
      <c r="SSA1055" s="103"/>
      <c r="SSM1055" s="104"/>
      <c r="SSN1055" s="103"/>
      <c r="SSZ1055" s="104"/>
      <c r="STA1055" s="103"/>
      <c r="STM1055" s="104"/>
      <c r="STN1055" s="103"/>
      <c r="STZ1055" s="104"/>
      <c r="SUA1055" s="103"/>
      <c r="SUM1055" s="104"/>
      <c r="SUN1055" s="103"/>
      <c r="SUZ1055" s="104"/>
      <c r="SVA1055" s="103"/>
      <c r="SVM1055" s="104"/>
      <c r="SVN1055" s="103"/>
      <c r="SVZ1055" s="104"/>
      <c r="SWA1055" s="103"/>
      <c r="SWM1055" s="104"/>
      <c r="SWN1055" s="103"/>
      <c r="SWZ1055" s="104"/>
      <c r="SXA1055" s="103"/>
      <c r="SXM1055" s="104"/>
      <c r="SXN1055" s="103"/>
      <c r="SXZ1055" s="104"/>
      <c r="SYA1055" s="103"/>
      <c r="SYM1055" s="104"/>
      <c r="SYN1055" s="103"/>
      <c r="SYZ1055" s="104"/>
      <c r="SZA1055" s="103"/>
      <c r="SZM1055" s="104"/>
      <c r="SZN1055" s="103"/>
      <c r="SZZ1055" s="104"/>
      <c r="TAA1055" s="103"/>
      <c r="TAM1055" s="104"/>
      <c r="TAN1055" s="103"/>
      <c r="TAZ1055" s="104"/>
      <c r="TBA1055" s="103"/>
      <c r="TBM1055" s="104"/>
      <c r="TBN1055" s="103"/>
      <c r="TBZ1055" s="104"/>
      <c r="TCA1055" s="103"/>
      <c r="TCM1055" s="104"/>
      <c r="TCN1055" s="103"/>
      <c r="TCZ1055" s="104"/>
      <c r="TDA1055" s="103"/>
      <c r="TDM1055" s="104"/>
      <c r="TDN1055" s="103"/>
      <c r="TDZ1055" s="104"/>
      <c r="TEA1055" s="103"/>
      <c r="TEM1055" s="104"/>
      <c r="TEN1055" s="103"/>
      <c r="TEZ1055" s="104"/>
      <c r="TFA1055" s="103"/>
      <c r="TFM1055" s="104"/>
      <c r="TFN1055" s="103"/>
      <c r="TFZ1055" s="104"/>
      <c r="TGA1055" s="103"/>
      <c r="TGM1055" s="104"/>
      <c r="TGN1055" s="103"/>
      <c r="TGZ1055" s="104"/>
      <c r="THA1055" s="103"/>
      <c r="THM1055" s="104"/>
      <c r="THN1055" s="103"/>
      <c r="THZ1055" s="104"/>
      <c r="TIA1055" s="103"/>
      <c r="TIM1055" s="104"/>
      <c r="TIN1055" s="103"/>
      <c r="TIZ1055" s="104"/>
      <c r="TJA1055" s="103"/>
      <c r="TJM1055" s="104"/>
      <c r="TJN1055" s="103"/>
      <c r="TJZ1055" s="104"/>
      <c r="TKA1055" s="103"/>
      <c r="TKM1055" s="104"/>
      <c r="TKN1055" s="103"/>
      <c r="TKZ1055" s="104"/>
      <c r="TLA1055" s="103"/>
      <c r="TLM1055" s="104"/>
      <c r="TLN1055" s="103"/>
      <c r="TLZ1055" s="104"/>
      <c r="TMA1055" s="103"/>
      <c r="TMM1055" s="104"/>
      <c r="TMN1055" s="103"/>
      <c r="TMZ1055" s="104"/>
      <c r="TNA1055" s="103"/>
      <c r="TNM1055" s="104"/>
      <c r="TNN1055" s="103"/>
      <c r="TNZ1055" s="104"/>
      <c r="TOA1055" s="103"/>
      <c r="TOM1055" s="104"/>
      <c r="TON1055" s="103"/>
      <c r="TOZ1055" s="104"/>
      <c r="TPA1055" s="103"/>
      <c r="TPM1055" s="104"/>
      <c r="TPN1055" s="103"/>
      <c r="TPZ1055" s="104"/>
      <c r="TQA1055" s="103"/>
      <c r="TQM1055" s="104"/>
      <c r="TQN1055" s="103"/>
      <c r="TQZ1055" s="104"/>
      <c r="TRA1055" s="103"/>
      <c r="TRM1055" s="104"/>
      <c r="TRN1055" s="103"/>
      <c r="TRZ1055" s="104"/>
      <c r="TSA1055" s="103"/>
      <c r="TSM1055" s="104"/>
      <c r="TSN1055" s="103"/>
      <c r="TSZ1055" s="104"/>
      <c r="TTA1055" s="103"/>
      <c r="TTM1055" s="104"/>
      <c r="TTN1055" s="103"/>
      <c r="TTZ1055" s="104"/>
      <c r="TUA1055" s="103"/>
      <c r="TUM1055" s="104"/>
      <c r="TUN1055" s="103"/>
      <c r="TUZ1055" s="104"/>
      <c r="TVA1055" s="103"/>
      <c r="TVM1055" s="104"/>
      <c r="TVN1055" s="103"/>
      <c r="TVZ1055" s="104"/>
      <c r="TWA1055" s="103"/>
      <c r="TWM1055" s="104"/>
      <c r="TWN1055" s="103"/>
      <c r="TWZ1055" s="104"/>
      <c r="TXA1055" s="103"/>
      <c r="TXM1055" s="104"/>
      <c r="TXN1055" s="103"/>
      <c r="TXZ1055" s="104"/>
      <c r="TYA1055" s="103"/>
      <c r="TYM1055" s="104"/>
      <c r="TYN1055" s="103"/>
      <c r="TYZ1055" s="104"/>
      <c r="TZA1055" s="103"/>
      <c r="TZM1055" s="104"/>
      <c r="TZN1055" s="103"/>
      <c r="TZZ1055" s="104"/>
      <c r="UAA1055" s="103"/>
      <c r="UAM1055" s="104"/>
      <c r="UAN1055" s="103"/>
      <c r="UAZ1055" s="104"/>
      <c r="UBA1055" s="103"/>
      <c r="UBM1055" s="104"/>
      <c r="UBN1055" s="103"/>
      <c r="UBZ1055" s="104"/>
      <c r="UCA1055" s="103"/>
      <c r="UCM1055" s="104"/>
      <c r="UCN1055" s="103"/>
      <c r="UCZ1055" s="104"/>
      <c r="UDA1055" s="103"/>
      <c r="UDM1055" s="104"/>
      <c r="UDN1055" s="103"/>
      <c r="UDZ1055" s="104"/>
      <c r="UEA1055" s="103"/>
      <c r="UEM1055" s="104"/>
      <c r="UEN1055" s="103"/>
      <c r="UEZ1055" s="104"/>
      <c r="UFA1055" s="103"/>
      <c r="UFM1055" s="104"/>
      <c r="UFN1055" s="103"/>
      <c r="UFZ1055" s="104"/>
      <c r="UGA1055" s="103"/>
      <c r="UGM1055" s="104"/>
      <c r="UGN1055" s="103"/>
      <c r="UGZ1055" s="104"/>
      <c r="UHA1055" s="103"/>
      <c r="UHM1055" s="104"/>
      <c r="UHN1055" s="103"/>
      <c r="UHZ1055" s="104"/>
      <c r="UIA1055" s="103"/>
      <c r="UIM1055" s="104"/>
      <c r="UIN1055" s="103"/>
      <c r="UIZ1055" s="104"/>
      <c r="UJA1055" s="103"/>
      <c r="UJM1055" s="104"/>
      <c r="UJN1055" s="103"/>
      <c r="UJZ1055" s="104"/>
      <c r="UKA1055" s="103"/>
      <c r="UKM1055" s="104"/>
      <c r="UKN1055" s="103"/>
      <c r="UKZ1055" s="104"/>
      <c r="ULA1055" s="103"/>
      <c r="ULM1055" s="104"/>
      <c r="ULN1055" s="103"/>
      <c r="ULZ1055" s="104"/>
      <c r="UMA1055" s="103"/>
      <c r="UMM1055" s="104"/>
      <c r="UMN1055" s="103"/>
      <c r="UMZ1055" s="104"/>
      <c r="UNA1055" s="103"/>
      <c r="UNM1055" s="104"/>
      <c r="UNN1055" s="103"/>
      <c r="UNZ1055" s="104"/>
      <c r="UOA1055" s="103"/>
      <c r="UOM1055" s="104"/>
      <c r="UON1055" s="103"/>
      <c r="UOZ1055" s="104"/>
      <c r="UPA1055" s="103"/>
      <c r="UPM1055" s="104"/>
      <c r="UPN1055" s="103"/>
      <c r="UPZ1055" s="104"/>
      <c r="UQA1055" s="103"/>
      <c r="UQM1055" s="104"/>
      <c r="UQN1055" s="103"/>
      <c r="UQZ1055" s="104"/>
      <c r="URA1055" s="103"/>
      <c r="URM1055" s="104"/>
      <c r="URN1055" s="103"/>
      <c r="URZ1055" s="104"/>
      <c r="USA1055" s="103"/>
      <c r="USM1055" s="104"/>
      <c r="USN1055" s="103"/>
      <c r="USZ1055" s="104"/>
      <c r="UTA1055" s="103"/>
      <c r="UTM1055" s="104"/>
      <c r="UTN1055" s="103"/>
      <c r="UTZ1055" s="104"/>
      <c r="UUA1055" s="103"/>
      <c r="UUM1055" s="104"/>
      <c r="UUN1055" s="103"/>
      <c r="UUZ1055" s="104"/>
      <c r="UVA1055" s="103"/>
      <c r="UVM1055" s="104"/>
      <c r="UVN1055" s="103"/>
      <c r="UVZ1055" s="104"/>
      <c r="UWA1055" s="103"/>
      <c r="UWM1055" s="104"/>
      <c r="UWN1055" s="103"/>
      <c r="UWZ1055" s="104"/>
      <c r="UXA1055" s="103"/>
      <c r="UXM1055" s="104"/>
      <c r="UXN1055" s="103"/>
      <c r="UXZ1055" s="104"/>
      <c r="UYA1055" s="103"/>
      <c r="UYM1055" s="104"/>
      <c r="UYN1055" s="103"/>
      <c r="UYZ1055" s="104"/>
      <c r="UZA1055" s="103"/>
      <c r="UZM1055" s="104"/>
      <c r="UZN1055" s="103"/>
      <c r="UZZ1055" s="104"/>
      <c r="VAA1055" s="103"/>
      <c r="VAM1055" s="104"/>
      <c r="VAN1055" s="103"/>
      <c r="VAZ1055" s="104"/>
      <c r="VBA1055" s="103"/>
      <c r="VBM1055" s="104"/>
      <c r="VBN1055" s="103"/>
      <c r="VBZ1055" s="104"/>
      <c r="VCA1055" s="103"/>
      <c r="VCM1055" s="104"/>
      <c r="VCN1055" s="103"/>
      <c r="VCZ1055" s="104"/>
      <c r="VDA1055" s="103"/>
      <c r="VDM1055" s="104"/>
      <c r="VDN1055" s="103"/>
      <c r="VDZ1055" s="104"/>
      <c r="VEA1055" s="103"/>
      <c r="VEM1055" s="104"/>
      <c r="VEN1055" s="103"/>
      <c r="VEZ1055" s="104"/>
      <c r="VFA1055" s="103"/>
      <c r="VFM1055" s="104"/>
      <c r="VFN1055" s="103"/>
      <c r="VFZ1055" s="104"/>
      <c r="VGA1055" s="103"/>
      <c r="VGM1055" s="104"/>
      <c r="VGN1055" s="103"/>
      <c r="VGZ1055" s="104"/>
      <c r="VHA1055" s="103"/>
      <c r="VHM1055" s="104"/>
      <c r="VHN1055" s="103"/>
      <c r="VHZ1055" s="104"/>
      <c r="VIA1055" s="103"/>
      <c r="VIM1055" s="104"/>
      <c r="VIN1055" s="103"/>
      <c r="VIZ1055" s="104"/>
      <c r="VJA1055" s="103"/>
      <c r="VJM1055" s="104"/>
      <c r="VJN1055" s="103"/>
      <c r="VJZ1055" s="104"/>
      <c r="VKA1055" s="103"/>
      <c r="VKM1055" s="104"/>
      <c r="VKN1055" s="103"/>
      <c r="VKZ1055" s="104"/>
      <c r="VLA1055" s="103"/>
      <c r="VLM1055" s="104"/>
      <c r="VLN1055" s="103"/>
      <c r="VLZ1055" s="104"/>
      <c r="VMA1055" s="103"/>
      <c r="VMM1055" s="104"/>
      <c r="VMN1055" s="103"/>
      <c r="VMZ1055" s="104"/>
      <c r="VNA1055" s="103"/>
      <c r="VNM1055" s="104"/>
      <c r="VNN1055" s="103"/>
      <c r="VNZ1055" s="104"/>
      <c r="VOA1055" s="103"/>
      <c r="VOM1055" s="104"/>
      <c r="VON1055" s="103"/>
      <c r="VOZ1055" s="104"/>
      <c r="VPA1055" s="103"/>
      <c r="VPM1055" s="104"/>
      <c r="VPN1055" s="103"/>
      <c r="VPZ1055" s="104"/>
      <c r="VQA1055" s="103"/>
      <c r="VQM1055" s="104"/>
      <c r="VQN1055" s="103"/>
      <c r="VQZ1055" s="104"/>
      <c r="VRA1055" s="103"/>
      <c r="VRM1055" s="104"/>
      <c r="VRN1055" s="103"/>
      <c r="VRZ1055" s="104"/>
      <c r="VSA1055" s="103"/>
      <c r="VSM1055" s="104"/>
      <c r="VSN1055" s="103"/>
      <c r="VSZ1055" s="104"/>
      <c r="VTA1055" s="103"/>
      <c r="VTM1055" s="104"/>
      <c r="VTN1055" s="103"/>
      <c r="VTZ1055" s="104"/>
      <c r="VUA1055" s="103"/>
      <c r="VUM1055" s="104"/>
      <c r="VUN1055" s="103"/>
      <c r="VUZ1055" s="104"/>
      <c r="VVA1055" s="103"/>
      <c r="VVM1055" s="104"/>
      <c r="VVN1055" s="103"/>
      <c r="VVZ1055" s="104"/>
      <c r="VWA1055" s="103"/>
      <c r="VWM1055" s="104"/>
      <c r="VWN1055" s="103"/>
      <c r="VWZ1055" s="104"/>
      <c r="VXA1055" s="103"/>
      <c r="VXM1055" s="104"/>
      <c r="VXN1055" s="103"/>
      <c r="VXZ1055" s="104"/>
      <c r="VYA1055" s="103"/>
      <c r="VYM1055" s="104"/>
      <c r="VYN1055" s="103"/>
      <c r="VYZ1055" s="104"/>
      <c r="VZA1055" s="103"/>
      <c r="VZM1055" s="104"/>
      <c r="VZN1055" s="103"/>
      <c r="VZZ1055" s="104"/>
      <c r="WAA1055" s="103"/>
      <c r="WAM1055" s="104"/>
      <c r="WAN1055" s="103"/>
      <c r="WAZ1055" s="104"/>
      <c r="WBA1055" s="103"/>
      <c r="WBM1055" s="104"/>
      <c r="WBN1055" s="103"/>
      <c r="WBZ1055" s="104"/>
      <c r="WCA1055" s="103"/>
      <c r="WCM1055" s="104"/>
      <c r="WCN1055" s="103"/>
      <c r="WCZ1055" s="104"/>
      <c r="WDA1055" s="103"/>
      <c r="WDM1055" s="104"/>
      <c r="WDN1055" s="103"/>
      <c r="WDZ1055" s="104"/>
      <c r="WEA1055" s="103"/>
      <c r="WEM1055" s="104"/>
      <c r="WEN1055" s="103"/>
      <c r="WEZ1055" s="104"/>
      <c r="WFA1055" s="103"/>
      <c r="WFM1055" s="104"/>
      <c r="WFN1055" s="103"/>
      <c r="WFZ1055" s="104"/>
      <c r="WGA1055" s="103"/>
      <c r="WGM1055" s="104"/>
      <c r="WGN1055" s="103"/>
      <c r="WGZ1055" s="104"/>
      <c r="WHA1055" s="103"/>
      <c r="WHM1055" s="104"/>
      <c r="WHN1055" s="103"/>
      <c r="WHZ1055" s="104"/>
      <c r="WIA1055" s="103"/>
      <c r="WIM1055" s="104"/>
      <c r="WIN1055" s="103"/>
      <c r="WIZ1055" s="104"/>
      <c r="WJA1055" s="103"/>
      <c r="WJM1055" s="104"/>
      <c r="WJN1055" s="103"/>
      <c r="WJZ1055" s="104"/>
      <c r="WKA1055" s="103"/>
      <c r="WKM1055" s="104"/>
      <c r="WKN1055" s="103"/>
      <c r="WKZ1055" s="104"/>
      <c r="WLA1055" s="103"/>
      <c r="WLM1055" s="104"/>
      <c r="WLN1055" s="103"/>
      <c r="WLZ1055" s="104"/>
      <c r="WMA1055" s="103"/>
      <c r="WMM1055" s="104"/>
      <c r="WMN1055" s="103"/>
      <c r="WMZ1055" s="104"/>
      <c r="WNA1055" s="103"/>
      <c r="WNM1055" s="104"/>
      <c r="WNN1055" s="103"/>
      <c r="WNZ1055" s="104"/>
      <c r="WOA1055" s="103"/>
      <c r="WOM1055" s="104"/>
      <c r="WON1055" s="103"/>
      <c r="WOZ1055" s="104"/>
      <c r="WPA1055" s="103"/>
      <c r="WPM1055" s="104"/>
      <c r="WPN1055" s="103"/>
      <c r="WPZ1055" s="104"/>
      <c r="WQA1055" s="103"/>
      <c r="WQM1055" s="104"/>
      <c r="WQN1055" s="103"/>
      <c r="WQZ1055" s="104"/>
      <c r="WRA1055" s="103"/>
      <c r="WRM1055" s="104"/>
      <c r="WRN1055" s="103"/>
      <c r="WRZ1055" s="104"/>
      <c r="WSA1055" s="103"/>
      <c r="WSM1055" s="104"/>
      <c r="WSN1055" s="103"/>
      <c r="WSZ1055" s="104"/>
      <c r="WTA1055" s="103"/>
      <c r="WTM1055" s="104"/>
      <c r="WTN1055" s="103"/>
      <c r="WTZ1055" s="104"/>
      <c r="WUA1055" s="103"/>
      <c r="WUM1055" s="104"/>
      <c r="WUN1055" s="103"/>
      <c r="WUZ1055" s="104"/>
      <c r="WVA1055" s="103"/>
      <c r="WVM1055" s="104"/>
      <c r="WVN1055" s="103"/>
      <c r="WVZ1055" s="104"/>
      <c r="WWA1055" s="103"/>
      <c r="WWM1055" s="104"/>
      <c r="WWN1055" s="103"/>
      <c r="WWZ1055" s="104"/>
      <c r="WXA1055" s="103"/>
      <c r="WXM1055" s="104"/>
      <c r="WXN1055" s="103"/>
      <c r="WXZ1055" s="104"/>
      <c r="WYA1055" s="103"/>
      <c r="WYM1055" s="104"/>
      <c r="WYN1055" s="103"/>
      <c r="WYZ1055" s="104"/>
      <c r="WZA1055" s="103"/>
      <c r="WZM1055" s="104"/>
      <c r="WZN1055" s="103"/>
      <c r="WZZ1055" s="104"/>
      <c r="XAA1055" s="103"/>
      <c r="XAM1055" s="104"/>
      <c r="XAN1055" s="103"/>
      <c r="XAZ1055" s="104"/>
      <c r="XBA1055" s="103"/>
      <c r="XBM1055" s="104"/>
      <c r="XBN1055" s="103"/>
      <c r="XBZ1055" s="104"/>
      <c r="XCA1055" s="103"/>
      <c r="XCM1055" s="104"/>
      <c r="XCN1055" s="103"/>
      <c r="XCZ1055" s="104"/>
      <c r="XDA1055" s="103"/>
      <c r="XDM1055" s="104"/>
      <c r="XDN1055" s="103"/>
      <c r="XDZ1055" s="104"/>
      <c r="XEA1055" s="103"/>
      <c r="XEM1055" s="104"/>
      <c r="XEN1055" s="103"/>
      <c r="XEZ1055" s="104"/>
      <c r="XFA1055" s="103"/>
    </row>
    <row r="1056" spans="1:1015 1027:2042 2054:3069 3081:4096 4108:5110 5122:6137 6149:7164 7176:8191 8203:9205 9217:10232 10244:11259 11271:12286 12298:14327 14339:15354 15366:16381">
      <c r="M1056" s="105" t="s">
        <v>179</v>
      </c>
      <c r="N1056" s="106">
        <f>1/AVERAGE(Model!AB201:AE201)</f>
        <v>1.996207206308015E-2</v>
      </c>
      <c r="Z1056" s="104"/>
      <c r="AA1056" s="103"/>
      <c r="AM1056" s="104"/>
      <c r="AN1056" s="103"/>
      <c r="AZ1056" s="104"/>
      <c r="BA1056" s="103"/>
      <c r="BM1056" s="104"/>
      <c r="BN1056" s="103"/>
      <c r="BZ1056" s="104"/>
      <c r="CA1056" s="103"/>
      <c r="CM1056" s="104"/>
      <c r="CN1056" s="103"/>
      <c r="CZ1056" s="104"/>
      <c r="DA1056" s="103"/>
      <c r="DM1056" s="104"/>
      <c r="DN1056" s="103"/>
      <c r="DZ1056" s="104"/>
      <c r="EA1056" s="103"/>
      <c r="EM1056" s="104"/>
      <c r="EN1056" s="103"/>
      <c r="EZ1056" s="104"/>
      <c r="FA1056" s="103"/>
      <c r="FM1056" s="104"/>
      <c r="FN1056" s="103"/>
      <c r="FZ1056" s="104"/>
      <c r="GA1056" s="103"/>
      <c r="GM1056" s="104"/>
      <c r="GN1056" s="103"/>
      <c r="GZ1056" s="104"/>
      <c r="HA1056" s="103"/>
      <c r="HM1056" s="104"/>
      <c r="HN1056" s="103"/>
      <c r="HZ1056" s="104"/>
      <c r="IA1056" s="103"/>
      <c r="IM1056" s="104"/>
      <c r="IN1056" s="103"/>
      <c r="IZ1056" s="104"/>
      <c r="JA1056" s="103"/>
      <c r="JM1056" s="104"/>
      <c r="JN1056" s="103"/>
      <c r="JZ1056" s="104"/>
      <c r="KA1056" s="103"/>
      <c r="KM1056" s="104"/>
      <c r="KN1056" s="103"/>
      <c r="KZ1056" s="104"/>
      <c r="LA1056" s="103"/>
      <c r="LM1056" s="104"/>
      <c r="LN1056" s="103"/>
      <c r="LZ1056" s="104"/>
      <c r="MA1056" s="103"/>
      <c r="MM1056" s="104"/>
      <c r="MN1056" s="103"/>
      <c r="MZ1056" s="104"/>
      <c r="NA1056" s="103"/>
      <c r="NM1056" s="104"/>
      <c r="NN1056" s="103"/>
      <c r="NZ1056" s="104"/>
      <c r="OA1056" s="103"/>
      <c r="OM1056" s="104"/>
      <c r="ON1056" s="103"/>
      <c r="OZ1056" s="104"/>
      <c r="PA1056" s="103"/>
      <c r="PM1056" s="104"/>
      <c r="PN1056" s="103"/>
      <c r="PZ1056" s="104"/>
      <c r="QA1056" s="103"/>
      <c r="QM1056" s="104"/>
      <c r="QN1056" s="103"/>
      <c r="QZ1056" s="104"/>
      <c r="RA1056" s="103"/>
      <c r="RM1056" s="104"/>
      <c r="RN1056" s="103"/>
      <c r="RZ1056" s="104"/>
      <c r="SA1056" s="103"/>
      <c r="SM1056" s="104"/>
      <c r="SN1056" s="103"/>
      <c r="SZ1056" s="104"/>
      <c r="TA1056" s="103"/>
      <c r="TM1056" s="104"/>
      <c r="TN1056" s="103"/>
      <c r="TZ1056" s="104"/>
      <c r="UA1056" s="103"/>
      <c r="UM1056" s="104"/>
      <c r="UN1056" s="103"/>
      <c r="UZ1056" s="104"/>
      <c r="VA1056" s="103"/>
      <c r="VM1056" s="104"/>
      <c r="VN1056" s="103"/>
      <c r="VZ1056" s="104"/>
      <c r="WA1056" s="103"/>
      <c r="WM1056" s="104"/>
      <c r="WN1056" s="103"/>
      <c r="WZ1056" s="104"/>
      <c r="XA1056" s="103"/>
      <c r="XM1056" s="104"/>
      <c r="XN1056" s="103"/>
      <c r="XZ1056" s="104"/>
      <c r="YA1056" s="103"/>
      <c r="YM1056" s="104"/>
      <c r="YN1056" s="103"/>
      <c r="YZ1056" s="104"/>
      <c r="ZA1056" s="103"/>
      <c r="ZM1056" s="104"/>
      <c r="ZN1056" s="103"/>
      <c r="ZZ1056" s="104"/>
      <c r="AAA1056" s="103"/>
      <c r="AAM1056" s="104"/>
      <c r="AAN1056" s="103"/>
      <c r="AAZ1056" s="104"/>
      <c r="ABA1056" s="103"/>
      <c r="ABM1056" s="104"/>
      <c r="ABN1056" s="103"/>
      <c r="ABZ1056" s="104"/>
      <c r="ACA1056" s="103"/>
      <c r="ACM1056" s="104"/>
      <c r="ACN1056" s="103"/>
      <c r="ACZ1056" s="104"/>
      <c r="ADA1056" s="103"/>
      <c r="ADM1056" s="104"/>
      <c r="ADN1056" s="103"/>
      <c r="ADZ1056" s="104"/>
      <c r="AEA1056" s="103"/>
      <c r="AEM1056" s="104"/>
      <c r="AEN1056" s="103"/>
      <c r="AEZ1056" s="104"/>
      <c r="AFA1056" s="103"/>
      <c r="AFM1056" s="104"/>
      <c r="AFN1056" s="103"/>
      <c r="AFZ1056" s="104"/>
      <c r="AGA1056" s="103"/>
      <c r="AGM1056" s="104"/>
      <c r="AGN1056" s="103"/>
      <c r="AGZ1056" s="104"/>
      <c r="AHA1056" s="103"/>
      <c r="AHM1056" s="104"/>
      <c r="AHN1056" s="103"/>
      <c r="AHZ1056" s="104"/>
      <c r="AIA1056" s="103"/>
      <c r="AIM1056" s="104"/>
      <c r="AIN1056" s="103"/>
      <c r="AIZ1056" s="104"/>
      <c r="AJA1056" s="103"/>
      <c r="AJM1056" s="104"/>
      <c r="AJN1056" s="103"/>
      <c r="AJZ1056" s="104"/>
      <c r="AKA1056" s="103"/>
      <c r="AKM1056" s="104"/>
      <c r="AKN1056" s="103"/>
      <c r="AKZ1056" s="104"/>
      <c r="ALA1056" s="103"/>
      <c r="ALM1056" s="104"/>
      <c r="ALN1056" s="103"/>
      <c r="ALZ1056" s="104"/>
      <c r="AMA1056" s="103"/>
      <c r="AMM1056" s="104"/>
      <c r="AMN1056" s="103"/>
      <c r="AMZ1056" s="104"/>
      <c r="ANA1056" s="103"/>
      <c r="ANM1056" s="104"/>
      <c r="ANN1056" s="103"/>
      <c r="ANZ1056" s="104"/>
      <c r="AOA1056" s="103"/>
      <c r="AOM1056" s="104"/>
      <c r="AON1056" s="103"/>
      <c r="AOZ1056" s="104"/>
      <c r="APA1056" s="103"/>
      <c r="APM1056" s="104"/>
      <c r="APN1056" s="103"/>
      <c r="APZ1056" s="104"/>
      <c r="AQA1056" s="103"/>
      <c r="AQM1056" s="104"/>
      <c r="AQN1056" s="103"/>
      <c r="AQZ1056" s="104"/>
      <c r="ARA1056" s="103"/>
      <c r="ARM1056" s="104"/>
      <c r="ARN1056" s="103"/>
      <c r="ARZ1056" s="104"/>
      <c r="ASA1056" s="103"/>
      <c r="ASM1056" s="104"/>
      <c r="ASN1056" s="103"/>
      <c r="ASZ1056" s="104"/>
      <c r="ATA1056" s="103"/>
      <c r="ATM1056" s="104"/>
      <c r="ATN1056" s="103"/>
      <c r="ATZ1056" s="104"/>
      <c r="AUA1056" s="103"/>
      <c r="AUM1056" s="104"/>
      <c r="AUN1056" s="103"/>
      <c r="AUZ1056" s="104"/>
      <c r="AVA1056" s="103"/>
      <c r="AVM1056" s="104"/>
      <c r="AVN1056" s="103"/>
      <c r="AVZ1056" s="104"/>
      <c r="AWA1056" s="103"/>
      <c r="AWM1056" s="104"/>
      <c r="AWN1056" s="103"/>
      <c r="AWZ1056" s="104"/>
      <c r="AXA1056" s="103"/>
      <c r="AXM1056" s="104"/>
      <c r="AXN1056" s="103"/>
      <c r="AXZ1056" s="104"/>
      <c r="AYA1056" s="103"/>
      <c r="AYM1056" s="104"/>
      <c r="AYN1056" s="103"/>
      <c r="AYZ1056" s="104"/>
      <c r="AZA1056" s="103"/>
      <c r="AZM1056" s="104"/>
      <c r="AZN1056" s="103"/>
      <c r="AZZ1056" s="104"/>
      <c r="BAA1056" s="103"/>
      <c r="BAM1056" s="104"/>
      <c r="BAN1056" s="103"/>
      <c r="BAZ1056" s="104"/>
      <c r="BBA1056" s="103"/>
      <c r="BBM1056" s="104"/>
      <c r="BBN1056" s="103"/>
      <c r="BBZ1056" s="104"/>
      <c r="BCA1056" s="103"/>
      <c r="BCM1056" s="104"/>
      <c r="BCN1056" s="103"/>
      <c r="BCZ1056" s="104"/>
      <c r="BDA1056" s="103"/>
      <c r="BDM1056" s="104"/>
      <c r="BDN1056" s="103"/>
      <c r="BDZ1056" s="104"/>
      <c r="BEA1056" s="103"/>
      <c r="BEM1056" s="104"/>
      <c r="BEN1056" s="103"/>
      <c r="BEZ1056" s="104"/>
      <c r="BFA1056" s="103"/>
      <c r="BFM1056" s="104"/>
      <c r="BFN1056" s="103"/>
      <c r="BFZ1056" s="104"/>
      <c r="BGA1056" s="103"/>
      <c r="BGM1056" s="104"/>
      <c r="BGN1056" s="103"/>
      <c r="BGZ1056" s="104"/>
      <c r="BHA1056" s="103"/>
      <c r="BHM1056" s="104"/>
      <c r="BHN1056" s="103"/>
      <c r="BHZ1056" s="104"/>
      <c r="BIA1056" s="103"/>
      <c r="BIM1056" s="104"/>
      <c r="BIN1056" s="103"/>
      <c r="BIZ1056" s="104"/>
      <c r="BJA1056" s="103"/>
      <c r="BJM1056" s="104"/>
      <c r="BJN1056" s="103"/>
      <c r="BJZ1056" s="104"/>
      <c r="BKA1056" s="103"/>
      <c r="BKM1056" s="104"/>
      <c r="BKN1056" s="103"/>
      <c r="BKZ1056" s="104"/>
      <c r="BLA1056" s="103"/>
      <c r="BLM1056" s="104"/>
      <c r="BLN1056" s="103"/>
      <c r="BLZ1056" s="104"/>
      <c r="BMA1056" s="103"/>
      <c r="BMM1056" s="104"/>
      <c r="BMN1056" s="103"/>
      <c r="BMZ1056" s="104"/>
      <c r="BNA1056" s="103"/>
      <c r="BNM1056" s="104"/>
      <c r="BNN1056" s="103"/>
      <c r="BNZ1056" s="104"/>
      <c r="BOA1056" s="103"/>
      <c r="BOM1056" s="104"/>
      <c r="BON1056" s="103"/>
      <c r="BOZ1056" s="104"/>
      <c r="BPA1056" s="103"/>
      <c r="BPM1056" s="104"/>
      <c r="BPN1056" s="103"/>
      <c r="BPZ1056" s="104"/>
      <c r="BQA1056" s="103"/>
      <c r="BQM1056" s="104"/>
      <c r="BQN1056" s="103"/>
      <c r="BQZ1056" s="104"/>
      <c r="BRA1056" s="103"/>
      <c r="BRM1056" s="104"/>
      <c r="BRN1056" s="103"/>
      <c r="BRZ1056" s="104"/>
      <c r="BSA1056" s="103"/>
      <c r="BSM1056" s="104"/>
      <c r="BSN1056" s="103"/>
      <c r="BSZ1056" s="104"/>
      <c r="BTA1056" s="103"/>
      <c r="BTM1056" s="104"/>
      <c r="BTN1056" s="103"/>
      <c r="BTZ1056" s="104"/>
      <c r="BUA1056" s="103"/>
      <c r="BUM1056" s="104"/>
      <c r="BUN1056" s="103"/>
      <c r="BUZ1056" s="104"/>
      <c r="BVA1056" s="103"/>
      <c r="BVM1056" s="104"/>
      <c r="BVN1056" s="103"/>
      <c r="BVZ1056" s="104"/>
      <c r="BWA1056" s="103"/>
      <c r="BWM1056" s="104"/>
      <c r="BWN1056" s="103"/>
      <c r="BWZ1056" s="104"/>
      <c r="BXA1056" s="103"/>
      <c r="BXM1056" s="104"/>
      <c r="BXN1056" s="103"/>
      <c r="BXZ1056" s="104"/>
      <c r="BYA1056" s="103"/>
      <c r="BYM1056" s="104"/>
      <c r="BYN1056" s="103"/>
      <c r="BYZ1056" s="104"/>
      <c r="BZA1056" s="103"/>
      <c r="BZM1056" s="104"/>
      <c r="BZN1056" s="103"/>
      <c r="BZZ1056" s="104"/>
      <c r="CAA1056" s="103"/>
      <c r="CAM1056" s="104"/>
      <c r="CAN1056" s="103"/>
      <c r="CAZ1056" s="104"/>
      <c r="CBA1056" s="103"/>
      <c r="CBM1056" s="104"/>
      <c r="CBN1056" s="103"/>
      <c r="CBZ1056" s="104"/>
      <c r="CCA1056" s="103"/>
      <c r="CCM1056" s="104"/>
      <c r="CCN1056" s="103"/>
      <c r="CCZ1056" s="104"/>
      <c r="CDA1056" s="103"/>
      <c r="CDM1056" s="104"/>
      <c r="CDN1056" s="103"/>
      <c r="CDZ1056" s="104"/>
      <c r="CEA1056" s="103"/>
      <c r="CEM1056" s="104"/>
      <c r="CEN1056" s="103"/>
      <c r="CEZ1056" s="104"/>
      <c r="CFA1056" s="103"/>
      <c r="CFM1056" s="104"/>
      <c r="CFN1056" s="103"/>
      <c r="CFZ1056" s="104"/>
      <c r="CGA1056" s="103"/>
      <c r="CGM1056" s="104"/>
      <c r="CGN1056" s="103"/>
      <c r="CGZ1056" s="104"/>
      <c r="CHA1056" s="103"/>
      <c r="CHM1056" s="104"/>
      <c r="CHN1056" s="103"/>
      <c r="CHZ1056" s="104"/>
      <c r="CIA1056" s="103"/>
      <c r="CIM1056" s="104"/>
      <c r="CIN1056" s="103"/>
      <c r="CIZ1056" s="104"/>
      <c r="CJA1056" s="103"/>
      <c r="CJM1056" s="104"/>
      <c r="CJN1056" s="103"/>
      <c r="CJZ1056" s="104"/>
      <c r="CKA1056" s="103"/>
      <c r="CKM1056" s="104"/>
      <c r="CKN1056" s="103"/>
      <c r="CKZ1056" s="104"/>
      <c r="CLA1056" s="103"/>
      <c r="CLM1056" s="104"/>
      <c r="CLN1056" s="103"/>
      <c r="CLZ1056" s="104"/>
      <c r="CMA1056" s="103"/>
      <c r="CMM1056" s="104"/>
      <c r="CMN1056" s="103"/>
      <c r="CMZ1056" s="104"/>
      <c r="CNA1056" s="103"/>
      <c r="CNM1056" s="104"/>
      <c r="CNN1056" s="103"/>
      <c r="CNZ1056" s="104"/>
      <c r="COA1056" s="103"/>
      <c r="COM1056" s="104"/>
      <c r="CON1056" s="103"/>
      <c r="COZ1056" s="104"/>
      <c r="CPA1056" s="103"/>
      <c r="CPM1056" s="104"/>
      <c r="CPN1056" s="103"/>
      <c r="CPZ1056" s="104"/>
      <c r="CQA1056" s="103"/>
      <c r="CQM1056" s="104"/>
      <c r="CQN1056" s="103"/>
      <c r="CQZ1056" s="104"/>
      <c r="CRA1056" s="103"/>
      <c r="CRM1056" s="104"/>
      <c r="CRN1056" s="103"/>
      <c r="CRZ1056" s="104"/>
      <c r="CSA1056" s="103"/>
      <c r="CSM1056" s="104"/>
      <c r="CSN1056" s="103"/>
      <c r="CSZ1056" s="104"/>
      <c r="CTA1056" s="103"/>
      <c r="CTM1056" s="104"/>
      <c r="CTN1056" s="103"/>
      <c r="CTZ1056" s="104"/>
      <c r="CUA1056" s="103"/>
      <c r="CUM1056" s="104"/>
      <c r="CUN1056" s="103"/>
      <c r="CUZ1056" s="104"/>
      <c r="CVA1056" s="103"/>
      <c r="CVM1056" s="104"/>
      <c r="CVN1056" s="103"/>
      <c r="CVZ1056" s="104"/>
      <c r="CWA1056" s="103"/>
      <c r="CWM1056" s="104"/>
      <c r="CWN1056" s="103"/>
      <c r="CWZ1056" s="104"/>
      <c r="CXA1056" s="103"/>
      <c r="CXM1056" s="104"/>
      <c r="CXN1056" s="103"/>
      <c r="CXZ1056" s="104"/>
      <c r="CYA1056" s="103"/>
      <c r="CYM1056" s="104"/>
      <c r="CYN1056" s="103"/>
      <c r="CYZ1056" s="104"/>
      <c r="CZA1056" s="103"/>
      <c r="CZM1056" s="104"/>
      <c r="CZN1056" s="103"/>
      <c r="CZZ1056" s="104"/>
      <c r="DAA1056" s="103"/>
      <c r="DAM1056" s="104"/>
      <c r="DAN1056" s="103"/>
      <c r="DAZ1056" s="104"/>
      <c r="DBA1056" s="103"/>
      <c r="DBM1056" s="104"/>
      <c r="DBN1056" s="103"/>
      <c r="DBZ1056" s="104"/>
      <c r="DCA1056" s="103"/>
      <c r="DCM1056" s="104"/>
      <c r="DCN1056" s="103"/>
      <c r="DCZ1056" s="104"/>
      <c r="DDA1056" s="103"/>
      <c r="DDM1056" s="104"/>
      <c r="DDN1056" s="103"/>
      <c r="DDZ1056" s="104"/>
      <c r="DEA1056" s="103"/>
      <c r="DEM1056" s="104"/>
      <c r="DEN1056" s="103"/>
      <c r="DEZ1056" s="104"/>
      <c r="DFA1056" s="103"/>
      <c r="DFM1056" s="104"/>
      <c r="DFN1056" s="103"/>
      <c r="DFZ1056" s="104"/>
      <c r="DGA1056" s="103"/>
      <c r="DGM1056" s="104"/>
      <c r="DGN1056" s="103"/>
      <c r="DGZ1056" s="104"/>
      <c r="DHA1056" s="103"/>
      <c r="DHM1056" s="104"/>
      <c r="DHN1056" s="103"/>
      <c r="DHZ1056" s="104"/>
      <c r="DIA1056" s="103"/>
      <c r="DIM1056" s="104"/>
      <c r="DIN1056" s="103"/>
      <c r="DIZ1056" s="104"/>
      <c r="DJA1056" s="103"/>
      <c r="DJM1056" s="104"/>
      <c r="DJN1056" s="103"/>
      <c r="DJZ1056" s="104"/>
      <c r="DKA1056" s="103"/>
      <c r="DKM1056" s="104"/>
      <c r="DKN1056" s="103"/>
      <c r="DKZ1056" s="104"/>
      <c r="DLA1056" s="103"/>
      <c r="DLM1056" s="104"/>
      <c r="DLN1056" s="103"/>
      <c r="DLZ1056" s="104"/>
      <c r="DMA1056" s="103"/>
      <c r="DMM1056" s="104"/>
      <c r="DMN1056" s="103"/>
      <c r="DMZ1056" s="104"/>
      <c r="DNA1056" s="103"/>
      <c r="DNM1056" s="104"/>
      <c r="DNN1056" s="103"/>
      <c r="DNZ1056" s="104"/>
      <c r="DOA1056" s="103"/>
      <c r="DOM1056" s="104"/>
      <c r="DON1056" s="103"/>
      <c r="DOZ1056" s="104"/>
      <c r="DPA1056" s="103"/>
      <c r="DPM1056" s="104"/>
      <c r="DPN1056" s="103"/>
      <c r="DPZ1056" s="104"/>
      <c r="DQA1056" s="103"/>
      <c r="DQM1056" s="104"/>
      <c r="DQN1056" s="103"/>
      <c r="DQZ1056" s="104"/>
      <c r="DRA1056" s="103"/>
      <c r="DRM1056" s="104"/>
      <c r="DRN1056" s="103"/>
      <c r="DRZ1056" s="104"/>
      <c r="DSA1056" s="103"/>
      <c r="DSM1056" s="104"/>
      <c r="DSN1056" s="103"/>
      <c r="DSZ1056" s="104"/>
      <c r="DTA1056" s="103"/>
      <c r="DTM1056" s="104"/>
      <c r="DTN1056" s="103"/>
      <c r="DTZ1056" s="104"/>
      <c r="DUA1056" s="103"/>
      <c r="DUM1056" s="104"/>
      <c r="DUN1056" s="103"/>
      <c r="DUZ1056" s="104"/>
      <c r="DVA1056" s="103"/>
      <c r="DVM1056" s="104"/>
      <c r="DVN1056" s="103"/>
      <c r="DVZ1056" s="104"/>
      <c r="DWA1056" s="103"/>
      <c r="DWM1056" s="104"/>
      <c r="DWN1056" s="103"/>
      <c r="DWZ1056" s="104"/>
      <c r="DXA1056" s="103"/>
      <c r="DXM1056" s="104"/>
      <c r="DXN1056" s="103"/>
      <c r="DXZ1056" s="104"/>
      <c r="DYA1056" s="103"/>
      <c r="DYM1056" s="104"/>
      <c r="DYN1056" s="103"/>
      <c r="DYZ1056" s="104"/>
      <c r="DZA1056" s="103"/>
      <c r="DZM1056" s="104"/>
      <c r="DZN1056" s="103"/>
      <c r="DZZ1056" s="104"/>
      <c r="EAA1056" s="103"/>
      <c r="EAM1056" s="104"/>
      <c r="EAN1056" s="103"/>
      <c r="EAZ1056" s="104"/>
      <c r="EBA1056" s="103"/>
      <c r="EBM1056" s="104"/>
      <c r="EBN1056" s="103"/>
      <c r="EBZ1056" s="104"/>
      <c r="ECA1056" s="103"/>
      <c r="ECM1056" s="104"/>
      <c r="ECN1056" s="103"/>
      <c r="ECZ1056" s="104"/>
      <c r="EDA1056" s="103"/>
      <c r="EDM1056" s="104"/>
      <c r="EDN1056" s="103"/>
      <c r="EDZ1056" s="104"/>
      <c r="EEA1056" s="103"/>
      <c r="EEM1056" s="104"/>
      <c r="EEN1056" s="103"/>
      <c r="EEZ1056" s="104"/>
      <c r="EFA1056" s="103"/>
      <c r="EFM1056" s="104"/>
      <c r="EFN1056" s="103"/>
      <c r="EFZ1056" s="104"/>
      <c r="EGA1056" s="103"/>
      <c r="EGM1056" s="104"/>
      <c r="EGN1056" s="103"/>
      <c r="EGZ1056" s="104"/>
      <c r="EHA1056" s="103"/>
      <c r="EHM1056" s="104"/>
      <c r="EHN1056" s="103"/>
      <c r="EHZ1056" s="104"/>
      <c r="EIA1056" s="103"/>
      <c r="EIM1056" s="104"/>
      <c r="EIN1056" s="103"/>
      <c r="EIZ1056" s="104"/>
      <c r="EJA1056" s="103"/>
      <c r="EJM1056" s="104"/>
      <c r="EJN1056" s="103"/>
      <c r="EJZ1056" s="104"/>
      <c r="EKA1056" s="103"/>
      <c r="EKM1056" s="104"/>
      <c r="EKN1056" s="103"/>
      <c r="EKZ1056" s="104"/>
      <c r="ELA1056" s="103"/>
      <c r="ELM1056" s="104"/>
      <c r="ELN1056" s="103"/>
      <c r="ELZ1056" s="104"/>
      <c r="EMA1056" s="103"/>
      <c r="EMM1056" s="104"/>
      <c r="EMN1056" s="103"/>
      <c r="EMZ1056" s="104"/>
      <c r="ENA1056" s="103"/>
      <c r="ENM1056" s="104"/>
      <c r="ENN1056" s="103"/>
      <c r="ENZ1056" s="104"/>
      <c r="EOA1056" s="103"/>
      <c r="EOM1056" s="104"/>
      <c r="EON1056" s="103"/>
      <c r="EOZ1056" s="104"/>
      <c r="EPA1056" s="103"/>
      <c r="EPM1056" s="104"/>
      <c r="EPN1056" s="103"/>
      <c r="EPZ1056" s="104"/>
      <c r="EQA1056" s="103"/>
      <c r="EQM1056" s="104"/>
      <c r="EQN1056" s="103"/>
      <c r="EQZ1056" s="104"/>
      <c r="ERA1056" s="103"/>
      <c r="ERM1056" s="104"/>
      <c r="ERN1056" s="103"/>
      <c r="ERZ1056" s="104"/>
      <c r="ESA1056" s="103"/>
      <c r="ESM1056" s="104"/>
      <c r="ESN1056" s="103"/>
      <c r="ESZ1056" s="104"/>
      <c r="ETA1056" s="103"/>
      <c r="ETM1056" s="104"/>
      <c r="ETN1056" s="103"/>
      <c r="ETZ1056" s="104"/>
      <c r="EUA1056" s="103"/>
      <c r="EUM1056" s="104"/>
      <c r="EUN1056" s="103"/>
      <c r="EUZ1056" s="104"/>
      <c r="EVA1056" s="103"/>
      <c r="EVM1056" s="104"/>
      <c r="EVN1056" s="103"/>
      <c r="EVZ1056" s="104"/>
      <c r="EWA1056" s="103"/>
      <c r="EWM1056" s="104"/>
      <c r="EWN1056" s="103"/>
      <c r="EWZ1056" s="104"/>
      <c r="EXA1056" s="103"/>
      <c r="EXM1056" s="104"/>
      <c r="EXN1056" s="103"/>
      <c r="EXZ1056" s="104"/>
      <c r="EYA1056" s="103"/>
      <c r="EYM1056" s="104"/>
      <c r="EYN1056" s="103"/>
      <c r="EYZ1056" s="104"/>
      <c r="EZA1056" s="103"/>
      <c r="EZM1056" s="104"/>
      <c r="EZN1056" s="103"/>
      <c r="EZZ1056" s="104"/>
      <c r="FAA1056" s="103"/>
      <c r="FAM1056" s="104"/>
      <c r="FAN1056" s="103"/>
      <c r="FAZ1056" s="104"/>
      <c r="FBA1056" s="103"/>
      <c r="FBM1056" s="104"/>
      <c r="FBN1056" s="103"/>
      <c r="FBZ1056" s="104"/>
      <c r="FCA1056" s="103"/>
      <c r="FCM1056" s="104"/>
      <c r="FCN1056" s="103"/>
      <c r="FCZ1056" s="104"/>
      <c r="FDA1056" s="103"/>
      <c r="FDM1056" s="104"/>
      <c r="FDN1056" s="103"/>
      <c r="FDZ1056" s="104"/>
      <c r="FEA1056" s="103"/>
      <c r="FEM1056" s="104"/>
      <c r="FEN1056" s="103"/>
      <c r="FEZ1056" s="104"/>
      <c r="FFA1056" s="103"/>
      <c r="FFM1056" s="104"/>
      <c r="FFN1056" s="103"/>
      <c r="FFZ1056" s="104"/>
      <c r="FGA1056" s="103"/>
      <c r="FGM1056" s="104"/>
      <c r="FGN1056" s="103"/>
      <c r="FGZ1056" s="104"/>
      <c r="FHA1056" s="103"/>
      <c r="FHM1056" s="104"/>
      <c r="FHN1056" s="103"/>
      <c r="FHZ1056" s="104"/>
      <c r="FIA1056" s="103"/>
      <c r="FIM1056" s="104"/>
      <c r="FIN1056" s="103"/>
      <c r="FIZ1056" s="104"/>
      <c r="FJA1056" s="103"/>
      <c r="FJM1056" s="104"/>
      <c r="FJN1056" s="103"/>
      <c r="FJZ1056" s="104"/>
      <c r="FKA1056" s="103"/>
      <c r="FKM1056" s="104"/>
      <c r="FKN1056" s="103"/>
      <c r="FKZ1056" s="104"/>
      <c r="FLA1056" s="103"/>
      <c r="FLM1056" s="104"/>
      <c r="FLN1056" s="103"/>
      <c r="FLZ1056" s="104"/>
      <c r="FMA1056" s="103"/>
      <c r="FMM1056" s="104"/>
      <c r="FMN1056" s="103"/>
      <c r="FMZ1056" s="104"/>
      <c r="FNA1056" s="103"/>
      <c r="FNM1056" s="104"/>
      <c r="FNN1056" s="103"/>
      <c r="FNZ1056" s="104"/>
      <c r="FOA1056" s="103"/>
      <c r="FOM1056" s="104"/>
      <c r="FON1056" s="103"/>
      <c r="FOZ1056" s="104"/>
      <c r="FPA1056" s="103"/>
      <c r="FPM1056" s="104"/>
      <c r="FPN1056" s="103"/>
      <c r="FPZ1056" s="104"/>
      <c r="FQA1056" s="103"/>
      <c r="FQM1056" s="104"/>
      <c r="FQN1056" s="103"/>
      <c r="FQZ1056" s="104"/>
      <c r="FRA1056" s="103"/>
      <c r="FRM1056" s="104"/>
      <c r="FRN1056" s="103"/>
      <c r="FRZ1056" s="104"/>
      <c r="FSA1056" s="103"/>
      <c r="FSM1056" s="104"/>
      <c r="FSN1056" s="103"/>
      <c r="FSZ1056" s="104"/>
      <c r="FTA1056" s="103"/>
      <c r="FTM1056" s="104"/>
      <c r="FTN1056" s="103"/>
      <c r="FTZ1056" s="104"/>
      <c r="FUA1056" s="103"/>
      <c r="FUM1056" s="104"/>
      <c r="FUN1056" s="103"/>
      <c r="FUZ1056" s="104"/>
      <c r="FVA1056" s="103"/>
      <c r="FVM1056" s="104"/>
      <c r="FVN1056" s="103"/>
      <c r="FVZ1056" s="104"/>
      <c r="FWA1056" s="103"/>
      <c r="FWM1056" s="104"/>
      <c r="FWN1056" s="103"/>
      <c r="FWZ1056" s="104"/>
      <c r="FXA1056" s="103"/>
      <c r="FXM1056" s="104"/>
      <c r="FXN1056" s="103"/>
      <c r="FXZ1056" s="104"/>
      <c r="FYA1056" s="103"/>
      <c r="FYM1056" s="104"/>
      <c r="FYN1056" s="103"/>
      <c r="FYZ1056" s="104"/>
      <c r="FZA1056" s="103"/>
      <c r="FZM1056" s="104"/>
      <c r="FZN1056" s="103"/>
      <c r="FZZ1056" s="104"/>
      <c r="GAA1056" s="103"/>
      <c r="GAM1056" s="104"/>
      <c r="GAN1056" s="103"/>
      <c r="GAZ1056" s="104"/>
      <c r="GBA1056" s="103"/>
      <c r="GBM1056" s="104"/>
      <c r="GBN1056" s="103"/>
      <c r="GBZ1056" s="104"/>
      <c r="GCA1056" s="103"/>
      <c r="GCM1056" s="104"/>
      <c r="GCN1056" s="103"/>
      <c r="GCZ1056" s="104"/>
      <c r="GDA1056" s="103"/>
      <c r="GDM1056" s="104"/>
      <c r="GDN1056" s="103"/>
      <c r="GDZ1056" s="104"/>
      <c r="GEA1056" s="103"/>
      <c r="GEM1056" s="104"/>
      <c r="GEN1056" s="103"/>
      <c r="GEZ1056" s="104"/>
      <c r="GFA1056" s="103"/>
      <c r="GFM1056" s="104"/>
      <c r="GFN1056" s="103"/>
      <c r="GFZ1056" s="104"/>
      <c r="GGA1056" s="103"/>
      <c r="GGM1056" s="104"/>
      <c r="GGN1056" s="103"/>
      <c r="GGZ1056" s="104"/>
      <c r="GHA1056" s="103"/>
      <c r="GHM1056" s="104"/>
      <c r="GHN1056" s="103"/>
      <c r="GHZ1056" s="104"/>
      <c r="GIA1056" s="103"/>
      <c r="GIM1056" s="104"/>
      <c r="GIN1056" s="103"/>
      <c r="GIZ1056" s="104"/>
      <c r="GJA1056" s="103"/>
      <c r="GJM1056" s="104"/>
      <c r="GJN1056" s="103"/>
      <c r="GJZ1056" s="104"/>
      <c r="GKA1056" s="103"/>
      <c r="GKM1056" s="104"/>
      <c r="GKN1056" s="103"/>
      <c r="GKZ1056" s="104"/>
      <c r="GLA1056" s="103"/>
      <c r="GLM1056" s="104"/>
      <c r="GLN1056" s="103"/>
      <c r="GLZ1056" s="104"/>
      <c r="GMA1056" s="103"/>
      <c r="GMM1056" s="104"/>
      <c r="GMN1056" s="103"/>
      <c r="GMZ1056" s="104"/>
      <c r="GNA1056" s="103"/>
      <c r="GNM1056" s="104"/>
      <c r="GNN1056" s="103"/>
      <c r="GNZ1056" s="104"/>
      <c r="GOA1056" s="103"/>
      <c r="GOM1056" s="104"/>
      <c r="GON1056" s="103"/>
      <c r="GOZ1056" s="104"/>
      <c r="GPA1056" s="103"/>
      <c r="GPM1056" s="104"/>
      <c r="GPN1056" s="103"/>
      <c r="GPZ1056" s="104"/>
      <c r="GQA1056" s="103"/>
      <c r="GQM1056" s="104"/>
      <c r="GQN1056" s="103"/>
      <c r="GQZ1056" s="104"/>
      <c r="GRA1056" s="103"/>
      <c r="GRM1056" s="104"/>
      <c r="GRN1056" s="103"/>
      <c r="GRZ1056" s="104"/>
      <c r="GSA1056" s="103"/>
      <c r="GSM1056" s="104"/>
      <c r="GSN1056" s="103"/>
      <c r="GSZ1056" s="104"/>
      <c r="GTA1056" s="103"/>
      <c r="GTM1056" s="104"/>
      <c r="GTN1056" s="103"/>
      <c r="GTZ1056" s="104"/>
      <c r="GUA1056" s="103"/>
      <c r="GUM1056" s="104"/>
      <c r="GUN1056" s="103"/>
      <c r="GUZ1056" s="104"/>
      <c r="GVA1056" s="103"/>
      <c r="GVM1056" s="104"/>
      <c r="GVN1056" s="103"/>
      <c r="GVZ1056" s="104"/>
      <c r="GWA1056" s="103"/>
      <c r="GWM1056" s="104"/>
      <c r="GWN1056" s="103"/>
      <c r="GWZ1056" s="104"/>
      <c r="GXA1056" s="103"/>
      <c r="GXM1056" s="104"/>
      <c r="GXN1056" s="103"/>
      <c r="GXZ1056" s="104"/>
      <c r="GYA1056" s="103"/>
      <c r="GYM1056" s="104"/>
      <c r="GYN1056" s="103"/>
      <c r="GYZ1056" s="104"/>
      <c r="GZA1056" s="103"/>
      <c r="GZM1056" s="104"/>
      <c r="GZN1056" s="103"/>
      <c r="GZZ1056" s="104"/>
      <c r="HAA1056" s="103"/>
      <c r="HAM1056" s="104"/>
      <c r="HAN1056" s="103"/>
      <c r="HAZ1056" s="104"/>
      <c r="HBA1056" s="103"/>
      <c r="HBM1056" s="104"/>
      <c r="HBN1056" s="103"/>
      <c r="HBZ1056" s="104"/>
      <c r="HCA1056" s="103"/>
      <c r="HCM1056" s="104"/>
      <c r="HCN1056" s="103"/>
      <c r="HCZ1056" s="104"/>
      <c r="HDA1056" s="103"/>
      <c r="HDM1056" s="104"/>
      <c r="HDN1056" s="103"/>
      <c r="HDZ1056" s="104"/>
      <c r="HEA1056" s="103"/>
      <c r="HEM1056" s="104"/>
      <c r="HEN1056" s="103"/>
      <c r="HEZ1056" s="104"/>
      <c r="HFA1056" s="103"/>
      <c r="HFM1056" s="104"/>
      <c r="HFN1056" s="103"/>
      <c r="HFZ1056" s="104"/>
      <c r="HGA1056" s="103"/>
      <c r="HGM1056" s="104"/>
      <c r="HGN1056" s="103"/>
      <c r="HGZ1056" s="104"/>
      <c r="HHA1056" s="103"/>
      <c r="HHM1056" s="104"/>
      <c r="HHN1056" s="103"/>
      <c r="HHZ1056" s="104"/>
      <c r="HIA1056" s="103"/>
      <c r="HIM1056" s="104"/>
      <c r="HIN1056" s="103"/>
      <c r="HIZ1056" s="104"/>
      <c r="HJA1056" s="103"/>
      <c r="HJM1056" s="104"/>
      <c r="HJN1056" s="103"/>
      <c r="HJZ1056" s="104"/>
      <c r="HKA1056" s="103"/>
      <c r="HKM1056" s="104"/>
      <c r="HKN1056" s="103"/>
      <c r="HKZ1056" s="104"/>
      <c r="HLA1056" s="103"/>
      <c r="HLM1056" s="104"/>
      <c r="HLN1056" s="103"/>
      <c r="HLZ1056" s="104"/>
      <c r="HMA1056" s="103"/>
      <c r="HMM1056" s="104"/>
      <c r="HMN1056" s="103"/>
      <c r="HMZ1056" s="104"/>
      <c r="HNA1056" s="103"/>
      <c r="HNM1056" s="104"/>
      <c r="HNN1056" s="103"/>
      <c r="HNZ1056" s="104"/>
      <c r="HOA1056" s="103"/>
      <c r="HOM1056" s="104"/>
      <c r="HON1056" s="103"/>
      <c r="HOZ1056" s="104"/>
      <c r="HPA1056" s="103"/>
      <c r="HPM1056" s="104"/>
      <c r="HPN1056" s="103"/>
      <c r="HPZ1056" s="104"/>
      <c r="HQA1056" s="103"/>
      <c r="HQM1056" s="104"/>
      <c r="HQN1056" s="103"/>
      <c r="HQZ1056" s="104"/>
      <c r="HRA1056" s="103"/>
      <c r="HRM1056" s="104"/>
      <c r="HRN1056" s="103"/>
      <c r="HRZ1056" s="104"/>
      <c r="HSA1056" s="103"/>
      <c r="HSM1056" s="104"/>
      <c r="HSN1056" s="103"/>
      <c r="HSZ1056" s="104"/>
      <c r="HTA1056" s="103"/>
      <c r="HTM1056" s="104"/>
      <c r="HTN1056" s="103"/>
      <c r="HTZ1056" s="104"/>
      <c r="HUA1056" s="103"/>
      <c r="HUM1056" s="104"/>
      <c r="HUN1056" s="103"/>
      <c r="HUZ1056" s="104"/>
      <c r="HVA1056" s="103"/>
      <c r="HVM1056" s="104"/>
      <c r="HVN1056" s="103"/>
      <c r="HVZ1056" s="104"/>
      <c r="HWA1056" s="103"/>
      <c r="HWM1056" s="104"/>
      <c r="HWN1056" s="103"/>
      <c r="HWZ1056" s="104"/>
      <c r="HXA1056" s="103"/>
      <c r="HXM1056" s="104"/>
      <c r="HXN1056" s="103"/>
      <c r="HXZ1056" s="104"/>
      <c r="HYA1056" s="103"/>
      <c r="HYM1056" s="104"/>
      <c r="HYN1056" s="103"/>
      <c r="HYZ1056" s="104"/>
      <c r="HZA1056" s="103"/>
      <c r="HZM1056" s="104"/>
      <c r="HZN1056" s="103"/>
      <c r="HZZ1056" s="104"/>
      <c r="IAA1056" s="103"/>
      <c r="IAM1056" s="104"/>
      <c r="IAN1056" s="103"/>
      <c r="IAZ1056" s="104"/>
      <c r="IBA1056" s="103"/>
      <c r="IBM1056" s="104"/>
      <c r="IBN1056" s="103"/>
      <c r="IBZ1056" s="104"/>
      <c r="ICA1056" s="103"/>
      <c r="ICM1056" s="104"/>
      <c r="ICN1056" s="103"/>
      <c r="ICZ1056" s="104"/>
      <c r="IDA1056" s="103"/>
      <c r="IDM1056" s="104"/>
      <c r="IDN1056" s="103"/>
      <c r="IDZ1056" s="104"/>
      <c r="IEA1056" s="103"/>
      <c r="IEM1056" s="104"/>
      <c r="IEN1056" s="103"/>
      <c r="IEZ1056" s="104"/>
      <c r="IFA1056" s="103"/>
      <c r="IFM1056" s="104"/>
      <c r="IFN1056" s="103"/>
      <c r="IFZ1056" s="104"/>
      <c r="IGA1056" s="103"/>
      <c r="IGM1056" s="104"/>
      <c r="IGN1056" s="103"/>
      <c r="IGZ1056" s="104"/>
      <c r="IHA1056" s="103"/>
      <c r="IHM1056" s="104"/>
      <c r="IHN1056" s="103"/>
      <c r="IHZ1056" s="104"/>
      <c r="IIA1056" s="103"/>
      <c r="IIM1056" s="104"/>
      <c r="IIN1056" s="103"/>
      <c r="IIZ1056" s="104"/>
      <c r="IJA1056" s="103"/>
      <c r="IJM1056" s="104"/>
      <c r="IJN1056" s="103"/>
      <c r="IJZ1056" s="104"/>
      <c r="IKA1056" s="103"/>
      <c r="IKM1056" s="104"/>
      <c r="IKN1056" s="103"/>
      <c r="IKZ1056" s="104"/>
      <c r="ILA1056" s="103"/>
      <c r="ILM1056" s="104"/>
      <c r="ILN1056" s="103"/>
      <c r="ILZ1056" s="104"/>
      <c r="IMA1056" s="103"/>
      <c r="IMM1056" s="104"/>
      <c r="IMN1056" s="103"/>
      <c r="IMZ1056" s="104"/>
      <c r="INA1056" s="103"/>
      <c r="INM1056" s="104"/>
      <c r="INN1056" s="103"/>
      <c r="INZ1056" s="104"/>
      <c r="IOA1056" s="103"/>
      <c r="IOM1056" s="104"/>
      <c r="ION1056" s="103"/>
      <c r="IOZ1056" s="104"/>
      <c r="IPA1056" s="103"/>
      <c r="IPM1056" s="104"/>
      <c r="IPN1056" s="103"/>
      <c r="IPZ1056" s="104"/>
      <c r="IQA1056" s="103"/>
      <c r="IQM1056" s="104"/>
      <c r="IQN1056" s="103"/>
      <c r="IQZ1056" s="104"/>
      <c r="IRA1056" s="103"/>
      <c r="IRM1056" s="104"/>
      <c r="IRN1056" s="103"/>
      <c r="IRZ1056" s="104"/>
      <c r="ISA1056" s="103"/>
      <c r="ISM1056" s="104"/>
      <c r="ISN1056" s="103"/>
      <c r="ISZ1056" s="104"/>
      <c r="ITA1056" s="103"/>
      <c r="ITM1056" s="104"/>
      <c r="ITN1056" s="103"/>
      <c r="ITZ1056" s="104"/>
      <c r="IUA1056" s="103"/>
      <c r="IUM1056" s="104"/>
      <c r="IUN1056" s="103"/>
      <c r="IUZ1056" s="104"/>
      <c r="IVA1056" s="103"/>
      <c r="IVM1056" s="104"/>
      <c r="IVN1056" s="103"/>
      <c r="IVZ1056" s="104"/>
      <c r="IWA1056" s="103"/>
      <c r="IWM1056" s="104"/>
      <c r="IWN1056" s="103"/>
      <c r="IWZ1056" s="104"/>
      <c r="IXA1056" s="103"/>
      <c r="IXM1056" s="104"/>
      <c r="IXN1056" s="103"/>
      <c r="IXZ1056" s="104"/>
      <c r="IYA1056" s="103"/>
      <c r="IYM1056" s="104"/>
      <c r="IYN1056" s="103"/>
      <c r="IYZ1056" s="104"/>
      <c r="IZA1056" s="103"/>
      <c r="IZM1056" s="104"/>
      <c r="IZN1056" s="103"/>
      <c r="IZZ1056" s="104"/>
      <c r="JAA1056" s="103"/>
      <c r="JAM1056" s="104"/>
      <c r="JAN1056" s="103"/>
      <c r="JAZ1056" s="104"/>
      <c r="JBA1056" s="103"/>
      <c r="JBM1056" s="104"/>
      <c r="JBN1056" s="103"/>
      <c r="JBZ1056" s="104"/>
      <c r="JCA1056" s="103"/>
      <c r="JCM1056" s="104"/>
      <c r="JCN1056" s="103"/>
      <c r="JCZ1056" s="104"/>
      <c r="JDA1056" s="103"/>
      <c r="JDM1056" s="104"/>
      <c r="JDN1056" s="103"/>
      <c r="JDZ1056" s="104"/>
      <c r="JEA1056" s="103"/>
      <c r="JEM1056" s="104"/>
      <c r="JEN1056" s="103"/>
      <c r="JEZ1056" s="104"/>
      <c r="JFA1056" s="103"/>
      <c r="JFM1056" s="104"/>
      <c r="JFN1056" s="103"/>
      <c r="JFZ1056" s="104"/>
      <c r="JGA1056" s="103"/>
      <c r="JGM1056" s="104"/>
      <c r="JGN1056" s="103"/>
      <c r="JGZ1056" s="104"/>
      <c r="JHA1056" s="103"/>
      <c r="JHM1056" s="104"/>
      <c r="JHN1056" s="103"/>
      <c r="JHZ1056" s="104"/>
      <c r="JIA1056" s="103"/>
      <c r="JIM1056" s="104"/>
      <c r="JIN1056" s="103"/>
      <c r="JIZ1056" s="104"/>
      <c r="JJA1056" s="103"/>
      <c r="JJM1056" s="104"/>
      <c r="JJN1056" s="103"/>
      <c r="JJZ1056" s="104"/>
      <c r="JKA1056" s="103"/>
      <c r="JKM1056" s="104"/>
      <c r="JKN1056" s="103"/>
      <c r="JKZ1056" s="104"/>
      <c r="JLA1056" s="103"/>
      <c r="JLM1056" s="104"/>
      <c r="JLN1056" s="103"/>
      <c r="JLZ1056" s="104"/>
      <c r="JMA1056" s="103"/>
      <c r="JMM1056" s="104"/>
      <c r="JMN1056" s="103"/>
      <c r="JMZ1056" s="104"/>
      <c r="JNA1056" s="103"/>
      <c r="JNM1056" s="104"/>
      <c r="JNN1056" s="103"/>
      <c r="JNZ1056" s="104"/>
      <c r="JOA1056" s="103"/>
      <c r="JOM1056" s="104"/>
      <c r="JON1056" s="103"/>
      <c r="JOZ1056" s="104"/>
      <c r="JPA1056" s="103"/>
      <c r="JPM1056" s="104"/>
      <c r="JPN1056" s="103"/>
      <c r="JPZ1056" s="104"/>
      <c r="JQA1056" s="103"/>
      <c r="JQM1056" s="104"/>
      <c r="JQN1056" s="103"/>
      <c r="JQZ1056" s="104"/>
      <c r="JRA1056" s="103"/>
      <c r="JRM1056" s="104"/>
      <c r="JRN1056" s="103"/>
      <c r="JRZ1056" s="104"/>
      <c r="JSA1056" s="103"/>
      <c r="JSM1056" s="104"/>
      <c r="JSN1056" s="103"/>
      <c r="JSZ1056" s="104"/>
      <c r="JTA1056" s="103"/>
      <c r="JTM1056" s="104"/>
      <c r="JTN1056" s="103"/>
      <c r="JTZ1056" s="104"/>
      <c r="JUA1056" s="103"/>
      <c r="JUM1056" s="104"/>
      <c r="JUN1056" s="103"/>
      <c r="JUZ1056" s="104"/>
      <c r="JVA1056" s="103"/>
      <c r="JVM1056" s="104"/>
      <c r="JVN1056" s="103"/>
      <c r="JVZ1056" s="104"/>
      <c r="JWA1056" s="103"/>
      <c r="JWM1056" s="104"/>
      <c r="JWN1056" s="103"/>
      <c r="JWZ1056" s="104"/>
      <c r="JXA1056" s="103"/>
      <c r="JXM1056" s="104"/>
      <c r="JXN1056" s="103"/>
      <c r="JXZ1056" s="104"/>
      <c r="JYA1056" s="103"/>
      <c r="JYM1056" s="104"/>
      <c r="JYN1056" s="103"/>
      <c r="JYZ1056" s="104"/>
      <c r="JZA1056" s="103"/>
      <c r="JZM1056" s="104"/>
      <c r="JZN1056" s="103"/>
      <c r="JZZ1056" s="104"/>
      <c r="KAA1056" s="103"/>
      <c r="KAM1056" s="104"/>
      <c r="KAN1056" s="103"/>
      <c r="KAZ1056" s="104"/>
      <c r="KBA1056" s="103"/>
      <c r="KBM1056" s="104"/>
      <c r="KBN1056" s="103"/>
      <c r="KBZ1056" s="104"/>
      <c r="KCA1056" s="103"/>
      <c r="KCM1056" s="104"/>
      <c r="KCN1056" s="103"/>
      <c r="KCZ1056" s="104"/>
      <c r="KDA1056" s="103"/>
      <c r="KDM1056" s="104"/>
      <c r="KDN1056" s="103"/>
      <c r="KDZ1056" s="104"/>
      <c r="KEA1056" s="103"/>
      <c r="KEM1056" s="104"/>
      <c r="KEN1056" s="103"/>
      <c r="KEZ1056" s="104"/>
      <c r="KFA1056" s="103"/>
      <c r="KFM1056" s="104"/>
      <c r="KFN1056" s="103"/>
      <c r="KFZ1056" s="104"/>
      <c r="KGA1056" s="103"/>
      <c r="KGM1056" s="104"/>
      <c r="KGN1056" s="103"/>
      <c r="KGZ1056" s="104"/>
      <c r="KHA1056" s="103"/>
      <c r="KHM1056" s="104"/>
      <c r="KHN1056" s="103"/>
      <c r="KHZ1056" s="104"/>
      <c r="KIA1056" s="103"/>
      <c r="KIM1056" s="104"/>
      <c r="KIN1056" s="103"/>
      <c r="KIZ1056" s="104"/>
      <c r="KJA1056" s="103"/>
      <c r="KJM1056" s="104"/>
      <c r="KJN1056" s="103"/>
      <c r="KJZ1056" s="104"/>
      <c r="KKA1056" s="103"/>
      <c r="KKM1056" s="104"/>
      <c r="KKN1056" s="103"/>
      <c r="KKZ1056" s="104"/>
      <c r="KLA1056" s="103"/>
      <c r="KLM1056" s="104"/>
      <c r="KLN1056" s="103"/>
      <c r="KLZ1056" s="104"/>
      <c r="KMA1056" s="103"/>
      <c r="KMM1056" s="104"/>
      <c r="KMN1056" s="103"/>
      <c r="KMZ1056" s="104"/>
      <c r="KNA1056" s="103"/>
      <c r="KNM1056" s="104"/>
      <c r="KNN1056" s="103"/>
      <c r="KNZ1056" s="104"/>
      <c r="KOA1056" s="103"/>
      <c r="KOM1056" s="104"/>
      <c r="KON1056" s="103"/>
      <c r="KOZ1056" s="104"/>
      <c r="KPA1056" s="103"/>
      <c r="KPM1056" s="104"/>
      <c r="KPN1056" s="103"/>
      <c r="KPZ1056" s="104"/>
      <c r="KQA1056" s="103"/>
      <c r="KQM1056" s="104"/>
      <c r="KQN1056" s="103"/>
      <c r="KQZ1056" s="104"/>
      <c r="KRA1056" s="103"/>
      <c r="KRM1056" s="104"/>
      <c r="KRN1056" s="103"/>
      <c r="KRZ1056" s="104"/>
      <c r="KSA1056" s="103"/>
      <c r="KSM1056" s="104"/>
      <c r="KSN1056" s="103"/>
      <c r="KSZ1056" s="104"/>
      <c r="KTA1056" s="103"/>
      <c r="KTM1056" s="104"/>
      <c r="KTN1056" s="103"/>
      <c r="KTZ1056" s="104"/>
      <c r="KUA1056" s="103"/>
      <c r="KUM1056" s="104"/>
      <c r="KUN1056" s="103"/>
      <c r="KUZ1056" s="104"/>
      <c r="KVA1056" s="103"/>
      <c r="KVM1056" s="104"/>
      <c r="KVN1056" s="103"/>
      <c r="KVZ1056" s="104"/>
      <c r="KWA1056" s="103"/>
      <c r="KWM1056" s="104"/>
      <c r="KWN1056" s="103"/>
      <c r="KWZ1056" s="104"/>
      <c r="KXA1056" s="103"/>
      <c r="KXM1056" s="104"/>
      <c r="KXN1056" s="103"/>
      <c r="KXZ1056" s="104"/>
      <c r="KYA1056" s="103"/>
      <c r="KYM1056" s="104"/>
      <c r="KYN1056" s="103"/>
      <c r="KYZ1056" s="104"/>
      <c r="KZA1056" s="103"/>
      <c r="KZM1056" s="104"/>
      <c r="KZN1056" s="103"/>
      <c r="KZZ1056" s="104"/>
      <c r="LAA1056" s="103"/>
      <c r="LAM1056" s="104"/>
      <c r="LAN1056" s="103"/>
      <c r="LAZ1056" s="104"/>
      <c r="LBA1056" s="103"/>
      <c r="LBM1056" s="104"/>
      <c r="LBN1056" s="103"/>
      <c r="LBZ1056" s="104"/>
      <c r="LCA1056" s="103"/>
      <c r="LCM1056" s="104"/>
      <c r="LCN1056" s="103"/>
      <c r="LCZ1056" s="104"/>
      <c r="LDA1056" s="103"/>
      <c r="LDM1056" s="104"/>
      <c r="LDN1056" s="103"/>
      <c r="LDZ1056" s="104"/>
      <c r="LEA1056" s="103"/>
      <c r="LEM1056" s="104"/>
      <c r="LEN1056" s="103"/>
      <c r="LEZ1056" s="104"/>
      <c r="LFA1056" s="103"/>
      <c r="LFM1056" s="104"/>
      <c r="LFN1056" s="103"/>
      <c r="LFZ1056" s="104"/>
      <c r="LGA1056" s="103"/>
      <c r="LGM1056" s="104"/>
      <c r="LGN1056" s="103"/>
      <c r="LGZ1056" s="104"/>
      <c r="LHA1056" s="103"/>
      <c r="LHM1056" s="104"/>
      <c r="LHN1056" s="103"/>
      <c r="LHZ1056" s="104"/>
      <c r="LIA1056" s="103"/>
      <c r="LIM1056" s="104"/>
      <c r="LIN1056" s="103"/>
      <c r="LIZ1056" s="104"/>
      <c r="LJA1056" s="103"/>
      <c r="LJM1056" s="104"/>
      <c r="LJN1056" s="103"/>
      <c r="LJZ1056" s="104"/>
      <c r="LKA1056" s="103"/>
      <c r="LKM1056" s="104"/>
      <c r="LKN1056" s="103"/>
      <c r="LKZ1056" s="104"/>
      <c r="LLA1056" s="103"/>
      <c r="LLM1056" s="104"/>
      <c r="LLN1056" s="103"/>
      <c r="LLZ1056" s="104"/>
      <c r="LMA1056" s="103"/>
      <c r="LMM1056" s="104"/>
      <c r="LMN1056" s="103"/>
      <c r="LMZ1056" s="104"/>
      <c r="LNA1056" s="103"/>
      <c r="LNM1056" s="104"/>
      <c r="LNN1056" s="103"/>
      <c r="LNZ1056" s="104"/>
      <c r="LOA1056" s="103"/>
      <c r="LOM1056" s="104"/>
      <c r="LON1056" s="103"/>
      <c r="LOZ1056" s="104"/>
      <c r="LPA1056" s="103"/>
      <c r="LPM1056" s="104"/>
      <c r="LPN1056" s="103"/>
      <c r="LPZ1056" s="104"/>
      <c r="LQA1056" s="103"/>
      <c r="LQM1056" s="104"/>
      <c r="LQN1056" s="103"/>
      <c r="LQZ1056" s="104"/>
      <c r="LRA1056" s="103"/>
      <c r="LRM1056" s="104"/>
      <c r="LRN1056" s="103"/>
      <c r="LRZ1056" s="104"/>
      <c r="LSA1056" s="103"/>
      <c r="LSM1056" s="104"/>
      <c r="LSN1056" s="103"/>
      <c r="LSZ1056" s="104"/>
      <c r="LTA1056" s="103"/>
      <c r="LTM1056" s="104"/>
      <c r="LTN1056" s="103"/>
      <c r="LTZ1056" s="104"/>
      <c r="LUA1056" s="103"/>
      <c r="LUM1056" s="104"/>
      <c r="LUN1056" s="103"/>
      <c r="LUZ1056" s="104"/>
      <c r="LVA1056" s="103"/>
      <c r="LVM1056" s="104"/>
      <c r="LVN1056" s="103"/>
      <c r="LVZ1056" s="104"/>
      <c r="LWA1056" s="103"/>
      <c r="LWM1056" s="104"/>
      <c r="LWN1056" s="103"/>
      <c r="LWZ1056" s="104"/>
      <c r="LXA1056" s="103"/>
      <c r="LXM1056" s="104"/>
      <c r="LXN1056" s="103"/>
      <c r="LXZ1056" s="104"/>
      <c r="LYA1056" s="103"/>
      <c r="LYM1056" s="104"/>
      <c r="LYN1056" s="103"/>
      <c r="LYZ1056" s="104"/>
      <c r="LZA1056" s="103"/>
      <c r="LZM1056" s="104"/>
      <c r="LZN1056" s="103"/>
      <c r="LZZ1056" s="104"/>
      <c r="MAA1056" s="103"/>
      <c r="MAM1056" s="104"/>
      <c r="MAN1056" s="103"/>
      <c r="MAZ1056" s="104"/>
      <c r="MBA1056" s="103"/>
      <c r="MBM1056" s="104"/>
      <c r="MBN1056" s="103"/>
      <c r="MBZ1056" s="104"/>
      <c r="MCA1056" s="103"/>
      <c r="MCM1056" s="104"/>
      <c r="MCN1056" s="103"/>
      <c r="MCZ1056" s="104"/>
      <c r="MDA1056" s="103"/>
      <c r="MDM1056" s="104"/>
      <c r="MDN1056" s="103"/>
      <c r="MDZ1056" s="104"/>
      <c r="MEA1056" s="103"/>
      <c r="MEM1056" s="104"/>
      <c r="MEN1056" s="103"/>
      <c r="MEZ1056" s="104"/>
      <c r="MFA1056" s="103"/>
      <c r="MFM1056" s="104"/>
      <c r="MFN1056" s="103"/>
      <c r="MFZ1056" s="104"/>
      <c r="MGA1056" s="103"/>
      <c r="MGM1056" s="104"/>
      <c r="MGN1056" s="103"/>
      <c r="MGZ1056" s="104"/>
      <c r="MHA1056" s="103"/>
      <c r="MHM1056" s="104"/>
      <c r="MHN1056" s="103"/>
      <c r="MHZ1056" s="104"/>
      <c r="MIA1056" s="103"/>
      <c r="MIM1056" s="104"/>
      <c r="MIN1056" s="103"/>
      <c r="MIZ1056" s="104"/>
      <c r="MJA1056" s="103"/>
      <c r="MJM1056" s="104"/>
      <c r="MJN1056" s="103"/>
      <c r="MJZ1056" s="104"/>
      <c r="MKA1056" s="103"/>
      <c r="MKM1056" s="104"/>
      <c r="MKN1056" s="103"/>
      <c r="MKZ1056" s="104"/>
      <c r="MLA1056" s="103"/>
      <c r="MLM1056" s="104"/>
      <c r="MLN1056" s="103"/>
      <c r="MLZ1056" s="104"/>
      <c r="MMA1056" s="103"/>
      <c r="MMM1056" s="104"/>
      <c r="MMN1056" s="103"/>
      <c r="MMZ1056" s="104"/>
      <c r="MNA1056" s="103"/>
      <c r="MNM1056" s="104"/>
      <c r="MNN1056" s="103"/>
      <c r="MNZ1056" s="104"/>
      <c r="MOA1056" s="103"/>
      <c r="MOM1056" s="104"/>
      <c r="MON1056" s="103"/>
      <c r="MOZ1056" s="104"/>
      <c r="MPA1056" s="103"/>
      <c r="MPM1056" s="104"/>
      <c r="MPN1056" s="103"/>
      <c r="MPZ1056" s="104"/>
      <c r="MQA1056" s="103"/>
      <c r="MQM1056" s="104"/>
      <c r="MQN1056" s="103"/>
      <c r="MQZ1056" s="104"/>
      <c r="MRA1056" s="103"/>
      <c r="MRM1056" s="104"/>
      <c r="MRN1056" s="103"/>
      <c r="MRZ1056" s="104"/>
      <c r="MSA1056" s="103"/>
      <c r="MSM1056" s="104"/>
      <c r="MSN1056" s="103"/>
      <c r="MSZ1056" s="104"/>
      <c r="MTA1056" s="103"/>
      <c r="MTM1056" s="104"/>
      <c r="MTN1056" s="103"/>
      <c r="MTZ1056" s="104"/>
      <c r="MUA1056" s="103"/>
      <c r="MUM1056" s="104"/>
      <c r="MUN1056" s="103"/>
      <c r="MUZ1056" s="104"/>
      <c r="MVA1056" s="103"/>
      <c r="MVM1056" s="104"/>
      <c r="MVN1056" s="103"/>
      <c r="MVZ1056" s="104"/>
      <c r="MWA1056" s="103"/>
      <c r="MWM1056" s="104"/>
      <c r="MWN1056" s="103"/>
      <c r="MWZ1056" s="104"/>
      <c r="MXA1056" s="103"/>
      <c r="MXM1056" s="104"/>
      <c r="MXN1056" s="103"/>
      <c r="MXZ1056" s="104"/>
      <c r="MYA1056" s="103"/>
      <c r="MYM1056" s="104"/>
      <c r="MYN1056" s="103"/>
      <c r="MYZ1056" s="104"/>
      <c r="MZA1056" s="103"/>
      <c r="MZM1056" s="104"/>
      <c r="MZN1056" s="103"/>
      <c r="MZZ1056" s="104"/>
      <c r="NAA1056" s="103"/>
      <c r="NAM1056" s="104"/>
      <c r="NAN1056" s="103"/>
      <c r="NAZ1056" s="104"/>
      <c r="NBA1056" s="103"/>
      <c r="NBM1056" s="104"/>
      <c r="NBN1056" s="103"/>
      <c r="NBZ1056" s="104"/>
      <c r="NCA1056" s="103"/>
      <c r="NCM1056" s="104"/>
      <c r="NCN1056" s="103"/>
      <c r="NCZ1056" s="104"/>
      <c r="NDA1056" s="103"/>
      <c r="NDM1056" s="104"/>
      <c r="NDN1056" s="103"/>
      <c r="NDZ1056" s="104"/>
      <c r="NEA1056" s="103"/>
      <c r="NEM1056" s="104"/>
      <c r="NEN1056" s="103"/>
      <c r="NEZ1056" s="104"/>
      <c r="NFA1056" s="103"/>
      <c r="NFM1056" s="104"/>
      <c r="NFN1056" s="103"/>
      <c r="NFZ1056" s="104"/>
      <c r="NGA1056" s="103"/>
      <c r="NGM1056" s="104"/>
      <c r="NGN1056" s="103"/>
      <c r="NGZ1056" s="104"/>
      <c r="NHA1056" s="103"/>
      <c r="NHM1056" s="104"/>
      <c r="NHN1056" s="103"/>
      <c r="NHZ1056" s="104"/>
      <c r="NIA1056" s="103"/>
      <c r="NIM1056" s="104"/>
      <c r="NIN1056" s="103"/>
      <c r="NIZ1056" s="104"/>
      <c r="NJA1056" s="103"/>
      <c r="NJM1056" s="104"/>
      <c r="NJN1056" s="103"/>
      <c r="NJZ1056" s="104"/>
      <c r="NKA1056" s="103"/>
      <c r="NKM1056" s="104"/>
      <c r="NKN1056" s="103"/>
      <c r="NKZ1056" s="104"/>
      <c r="NLA1056" s="103"/>
      <c r="NLM1056" s="104"/>
      <c r="NLN1056" s="103"/>
      <c r="NLZ1056" s="104"/>
      <c r="NMA1056" s="103"/>
      <c r="NMM1056" s="104"/>
      <c r="NMN1056" s="103"/>
      <c r="NMZ1056" s="104"/>
      <c r="NNA1056" s="103"/>
      <c r="NNM1056" s="104"/>
      <c r="NNN1056" s="103"/>
      <c r="NNZ1056" s="104"/>
      <c r="NOA1056" s="103"/>
      <c r="NOM1056" s="104"/>
      <c r="NON1056" s="103"/>
      <c r="NOZ1056" s="104"/>
      <c r="NPA1056" s="103"/>
      <c r="NPM1056" s="104"/>
      <c r="NPN1056" s="103"/>
      <c r="NPZ1056" s="104"/>
      <c r="NQA1056" s="103"/>
      <c r="NQM1056" s="104"/>
      <c r="NQN1056" s="103"/>
      <c r="NQZ1056" s="104"/>
      <c r="NRA1056" s="103"/>
      <c r="NRM1056" s="104"/>
      <c r="NRN1056" s="103"/>
      <c r="NRZ1056" s="104"/>
      <c r="NSA1056" s="103"/>
      <c r="NSM1056" s="104"/>
      <c r="NSN1056" s="103"/>
      <c r="NSZ1056" s="104"/>
      <c r="NTA1056" s="103"/>
      <c r="NTM1056" s="104"/>
      <c r="NTN1056" s="103"/>
      <c r="NTZ1056" s="104"/>
      <c r="NUA1056" s="103"/>
      <c r="NUM1056" s="104"/>
      <c r="NUN1056" s="103"/>
      <c r="NUZ1056" s="104"/>
      <c r="NVA1056" s="103"/>
      <c r="NVM1056" s="104"/>
      <c r="NVN1056" s="103"/>
      <c r="NVZ1056" s="104"/>
      <c r="NWA1056" s="103"/>
      <c r="NWM1056" s="104"/>
      <c r="NWN1056" s="103"/>
      <c r="NWZ1056" s="104"/>
      <c r="NXA1056" s="103"/>
      <c r="NXM1056" s="104"/>
      <c r="NXN1056" s="103"/>
      <c r="NXZ1056" s="104"/>
      <c r="NYA1056" s="103"/>
      <c r="NYM1056" s="104"/>
      <c r="NYN1056" s="103"/>
      <c r="NYZ1056" s="104"/>
      <c r="NZA1056" s="103"/>
      <c r="NZM1056" s="104"/>
      <c r="NZN1056" s="103"/>
      <c r="NZZ1056" s="104"/>
      <c r="OAA1056" s="103"/>
      <c r="OAM1056" s="104"/>
      <c r="OAN1056" s="103"/>
      <c r="OAZ1056" s="104"/>
      <c r="OBA1056" s="103"/>
      <c r="OBM1056" s="104"/>
      <c r="OBN1056" s="103"/>
      <c r="OBZ1056" s="104"/>
      <c r="OCA1056" s="103"/>
      <c r="OCM1056" s="104"/>
      <c r="OCN1056" s="103"/>
      <c r="OCZ1056" s="104"/>
      <c r="ODA1056" s="103"/>
      <c r="ODM1056" s="104"/>
      <c r="ODN1056" s="103"/>
      <c r="ODZ1056" s="104"/>
      <c r="OEA1056" s="103"/>
      <c r="OEM1056" s="104"/>
      <c r="OEN1056" s="103"/>
      <c r="OEZ1056" s="104"/>
      <c r="OFA1056" s="103"/>
      <c r="OFM1056" s="104"/>
      <c r="OFN1056" s="103"/>
      <c r="OFZ1056" s="104"/>
      <c r="OGA1056" s="103"/>
      <c r="OGM1056" s="104"/>
      <c r="OGN1056" s="103"/>
      <c r="OGZ1056" s="104"/>
      <c r="OHA1056" s="103"/>
      <c r="OHM1056" s="104"/>
      <c r="OHN1056" s="103"/>
      <c r="OHZ1056" s="104"/>
      <c r="OIA1056" s="103"/>
      <c r="OIM1056" s="104"/>
      <c r="OIN1056" s="103"/>
      <c r="OIZ1056" s="104"/>
      <c r="OJA1056" s="103"/>
      <c r="OJM1056" s="104"/>
      <c r="OJN1056" s="103"/>
      <c r="OJZ1056" s="104"/>
      <c r="OKA1056" s="103"/>
      <c r="OKM1056" s="104"/>
      <c r="OKN1056" s="103"/>
      <c r="OKZ1056" s="104"/>
      <c r="OLA1056" s="103"/>
      <c r="OLM1056" s="104"/>
      <c r="OLN1056" s="103"/>
      <c r="OLZ1056" s="104"/>
      <c r="OMA1056" s="103"/>
      <c r="OMM1056" s="104"/>
      <c r="OMN1056" s="103"/>
      <c r="OMZ1056" s="104"/>
      <c r="ONA1056" s="103"/>
      <c r="ONM1056" s="104"/>
      <c r="ONN1056" s="103"/>
      <c r="ONZ1056" s="104"/>
      <c r="OOA1056" s="103"/>
      <c r="OOM1056" s="104"/>
      <c r="OON1056" s="103"/>
      <c r="OOZ1056" s="104"/>
      <c r="OPA1056" s="103"/>
      <c r="OPM1056" s="104"/>
      <c r="OPN1056" s="103"/>
      <c r="OPZ1056" s="104"/>
      <c r="OQA1056" s="103"/>
      <c r="OQM1056" s="104"/>
      <c r="OQN1056" s="103"/>
      <c r="OQZ1056" s="104"/>
      <c r="ORA1056" s="103"/>
      <c r="ORM1056" s="104"/>
      <c r="ORN1056" s="103"/>
      <c r="ORZ1056" s="104"/>
      <c r="OSA1056" s="103"/>
      <c r="OSM1056" s="104"/>
      <c r="OSN1056" s="103"/>
      <c r="OSZ1056" s="104"/>
      <c r="OTA1056" s="103"/>
      <c r="OTM1056" s="104"/>
      <c r="OTN1056" s="103"/>
      <c r="OTZ1056" s="104"/>
      <c r="OUA1056" s="103"/>
      <c r="OUM1056" s="104"/>
      <c r="OUN1056" s="103"/>
      <c r="OUZ1056" s="104"/>
      <c r="OVA1056" s="103"/>
      <c r="OVM1056" s="104"/>
      <c r="OVN1056" s="103"/>
      <c r="OVZ1056" s="104"/>
      <c r="OWA1056" s="103"/>
      <c r="OWM1056" s="104"/>
      <c r="OWN1056" s="103"/>
      <c r="OWZ1056" s="104"/>
      <c r="OXA1056" s="103"/>
      <c r="OXM1056" s="104"/>
      <c r="OXN1056" s="103"/>
      <c r="OXZ1056" s="104"/>
      <c r="OYA1056" s="103"/>
      <c r="OYM1056" s="104"/>
      <c r="OYN1056" s="103"/>
      <c r="OYZ1056" s="104"/>
      <c r="OZA1056" s="103"/>
      <c r="OZM1056" s="104"/>
      <c r="OZN1056" s="103"/>
      <c r="OZZ1056" s="104"/>
      <c r="PAA1056" s="103"/>
      <c r="PAM1056" s="104"/>
      <c r="PAN1056" s="103"/>
      <c r="PAZ1056" s="104"/>
      <c r="PBA1056" s="103"/>
      <c r="PBM1056" s="104"/>
      <c r="PBN1056" s="103"/>
      <c r="PBZ1056" s="104"/>
      <c r="PCA1056" s="103"/>
      <c r="PCM1056" s="104"/>
      <c r="PCN1056" s="103"/>
      <c r="PCZ1056" s="104"/>
      <c r="PDA1056" s="103"/>
      <c r="PDM1056" s="104"/>
      <c r="PDN1056" s="103"/>
      <c r="PDZ1056" s="104"/>
      <c r="PEA1056" s="103"/>
      <c r="PEM1056" s="104"/>
      <c r="PEN1056" s="103"/>
      <c r="PEZ1056" s="104"/>
      <c r="PFA1056" s="103"/>
      <c r="PFM1056" s="104"/>
      <c r="PFN1056" s="103"/>
      <c r="PFZ1056" s="104"/>
      <c r="PGA1056" s="103"/>
      <c r="PGM1056" s="104"/>
      <c r="PGN1056" s="103"/>
      <c r="PGZ1056" s="104"/>
      <c r="PHA1056" s="103"/>
      <c r="PHM1056" s="104"/>
      <c r="PHN1056" s="103"/>
      <c r="PHZ1056" s="104"/>
      <c r="PIA1056" s="103"/>
      <c r="PIM1056" s="104"/>
      <c r="PIN1056" s="103"/>
      <c r="PIZ1056" s="104"/>
      <c r="PJA1056" s="103"/>
      <c r="PJM1056" s="104"/>
      <c r="PJN1056" s="103"/>
      <c r="PJZ1056" s="104"/>
      <c r="PKA1056" s="103"/>
      <c r="PKM1056" s="104"/>
      <c r="PKN1056" s="103"/>
      <c r="PKZ1056" s="104"/>
      <c r="PLA1056" s="103"/>
      <c r="PLM1056" s="104"/>
      <c r="PLN1056" s="103"/>
      <c r="PLZ1056" s="104"/>
      <c r="PMA1056" s="103"/>
      <c r="PMM1056" s="104"/>
      <c r="PMN1056" s="103"/>
      <c r="PMZ1056" s="104"/>
      <c r="PNA1056" s="103"/>
      <c r="PNM1056" s="104"/>
      <c r="PNN1056" s="103"/>
      <c r="PNZ1056" s="104"/>
      <c r="POA1056" s="103"/>
      <c r="POM1056" s="104"/>
      <c r="PON1056" s="103"/>
      <c r="POZ1056" s="104"/>
      <c r="PPA1056" s="103"/>
      <c r="PPM1056" s="104"/>
      <c r="PPN1056" s="103"/>
      <c r="PPZ1056" s="104"/>
      <c r="PQA1056" s="103"/>
      <c r="PQM1056" s="104"/>
      <c r="PQN1056" s="103"/>
      <c r="PQZ1056" s="104"/>
      <c r="PRA1056" s="103"/>
      <c r="PRM1056" s="104"/>
      <c r="PRN1056" s="103"/>
      <c r="PRZ1056" s="104"/>
      <c r="PSA1056" s="103"/>
      <c r="PSM1056" s="104"/>
      <c r="PSN1056" s="103"/>
      <c r="PSZ1056" s="104"/>
      <c r="PTA1056" s="103"/>
      <c r="PTM1056" s="104"/>
      <c r="PTN1056" s="103"/>
      <c r="PTZ1056" s="104"/>
      <c r="PUA1056" s="103"/>
      <c r="PUM1056" s="104"/>
      <c r="PUN1056" s="103"/>
      <c r="PUZ1056" s="104"/>
      <c r="PVA1056" s="103"/>
      <c r="PVM1056" s="104"/>
      <c r="PVN1056" s="103"/>
      <c r="PVZ1056" s="104"/>
      <c r="PWA1056" s="103"/>
      <c r="PWM1056" s="104"/>
      <c r="PWN1056" s="103"/>
      <c r="PWZ1056" s="104"/>
      <c r="PXA1056" s="103"/>
      <c r="PXM1056" s="104"/>
      <c r="PXN1056" s="103"/>
      <c r="PXZ1056" s="104"/>
      <c r="PYA1056" s="103"/>
      <c r="PYM1056" s="104"/>
      <c r="PYN1056" s="103"/>
      <c r="PYZ1056" s="104"/>
      <c r="PZA1056" s="103"/>
      <c r="PZM1056" s="104"/>
      <c r="PZN1056" s="103"/>
      <c r="PZZ1056" s="104"/>
      <c r="QAA1056" s="103"/>
      <c r="QAM1056" s="104"/>
      <c r="QAN1056" s="103"/>
      <c r="QAZ1056" s="104"/>
      <c r="QBA1056" s="103"/>
      <c r="QBM1056" s="104"/>
      <c r="QBN1056" s="103"/>
      <c r="QBZ1056" s="104"/>
      <c r="QCA1056" s="103"/>
      <c r="QCM1056" s="104"/>
      <c r="QCN1056" s="103"/>
      <c r="QCZ1056" s="104"/>
      <c r="QDA1056" s="103"/>
      <c r="QDM1056" s="104"/>
      <c r="QDN1056" s="103"/>
      <c r="QDZ1056" s="104"/>
      <c r="QEA1056" s="103"/>
      <c r="QEM1056" s="104"/>
      <c r="QEN1056" s="103"/>
      <c r="QEZ1056" s="104"/>
      <c r="QFA1056" s="103"/>
      <c r="QFM1056" s="104"/>
      <c r="QFN1056" s="103"/>
      <c r="QFZ1056" s="104"/>
      <c r="QGA1056" s="103"/>
      <c r="QGM1056" s="104"/>
      <c r="QGN1056" s="103"/>
      <c r="QGZ1056" s="104"/>
      <c r="QHA1056" s="103"/>
      <c r="QHM1056" s="104"/>
      <c r="QHN1056" s="103"/>
      <c r="QHZ1056" s="104"/>
      <c r="QIA1056" s="103"/>
      <c r="QIM1056" s="104"/>
      <c r="QIN1056" s="103"/>
      <c r="QIZ1056" s="104"/>
      <c r="QJA1056" s="103"/>
      <c r="QJM1056" s="104"/>
      <c r="QJN1056" s="103"/>
      <c r="QJZ1056" s="104"/>
      <c r="QKA1056" s="103"/>
      <c r="QKM1056" s="104"/>
      <c r="QKN1056" s="103"/>
      <c r="QKZ1056" s="104"/>
      <c r="QLA1056" s="103"/>
      <c r="QLM1056" s="104"/>
      <c r="QLN1056" s="103"/>
      <c r="QLZ1056" s="104"/>
      <c r="QMA1056" s="103"/>
      <c r="QMM1056" s="104"/>
      <c r="QMN1056" s="103"/>
      <c r="QMZ1056" s="104"/>
      <c r="QNA1056" s="103"/>
      <c r="QNM1056" s="104"/>
      <c r="QNN1056" s="103"/>
      <c r="QNZ1056" s="104"/>
      <c r="QOA1056" s="103"/>
      <c r="QOM1056" s="104"/>
      <c r="QON1056" s="103"/>
      <c r="QOZ1056" s="104"/>
      <c r="QPA1056" s="103"/>
      <c r="QPM1056" s="104"/>
      <c r="QPN1056" s="103"/>
      <c r="QPZ1056" s="104"/>
      <c r="QQA1056" s="103"/>
      <c r="QQM1056" s="104"/>
      <c r="QQN1056" s="103"/>
      <c r="QQZ1056" s="104"/>
      <c r="QRA1056" s="103"/>
      <c r="QRM1056" s="104"/>
      <c r="QRN1056" s="103"/>
      <c r="QRZ1056" s="104"/>
      <c r="QSA1056" s="103"/>
      <c r="QSM1056" s="104"/>
      <c r="QSN1056" s="103"/>
      <c r="QSZ1056" s="104"/>
      <c r="QTA1056" s="103"/>
      <c r="QTM1056" s="104"/>
      <c r="QTN1056" s="103"/>
      <c r="QTZ1056" s="104"/>
      <c r="QUA1056" s="103"/>
      <c r="QUM1056" s="104"/>
      <c r="QUN1056" s="103"/>
      <c r="QUZ1056" s="104"/>
      <c r="QVA1056" s="103"/>
      <c r="QVM1056" s="104"/>
      <c r="QVN1056" s="103"/>
      <c r="QVZ1056" s="104"/>
      <c r="QWA1056" s="103"/>
      <c r="QWM1056" s="104"/>
      <c r="QWN1056" s="103"/>
      <c r="QWZ1056" s="104"/>
      <c r="QXA1056" s="103"/>
      <c r="QXM1056" s="104"/>
      <c r="QXN1056" s="103"/>
      <c r="QXZ1056" s="104"/>
      <c r="QYA1056" s="103"/>
      <c r="QYM1056" s="104"/>
      <c r="QYN1056" s="103"/>
      <c r="QYZ1056" s="104"/>
      <c r="QZA1056" s="103"/>
      <c r="QZM1056" s="104"/>
      <c r="QZN1056" s="103"/>
      <c r="QZZ1056" s="104"/>
      <c r="RAA1056" s="103"/>
      <c r="RAM1056" s="104"/>
      <c r="RAN1056" s="103"/>
      <c r="RAZ1056" s="104"/>
      <c r="RBA1056" s="103"/>
      <c r="RBM1056" s="104"/>
      <c r="RBN1056" s="103"/>
      <c r="RBZ1056" s="104"/>
      <c r="RCA1056" s="103"/>
      <c r="RCM1056" s="104"/>
      <c r="RCN1056" s="103"/>
      <c r="RCZ1056" s="104"/>
      <c r="RDA1056" s="103"/>
      <c r="RDM1056" s="104"/>
      <c r="RDN1056" s="103"/>
      <c r="RDZ1056" s="104"/>
      <c r="REA1056" s="103"/>
      <c r="REM1056" s="104"/>
      <c r="REN1056" s="103"/>
      <c r="REZ1056" s="104"/>
      <c r="RFA1056" s="103"/>
      <c r="RFM1056" s="104"/>
      <c r="RFN1056" s="103"/>
      <c r="RFZ1056" s="104"/>
      <c r="RGA1056" s="103"/>
      <c r="RGM1056" s="104"/>
      <c r="RGN1056" s="103"/>
      <c r="RGZ1056" s="104"/>
      <c r="RHA1056" s="103"/>
      <c r="RHM1056" s="104"/>
      <c r="RHN1056" s="103"/>
      <c r="RHZ1056" s="104"/>
      <c r="RIA1056" s="103"/>
      <c r="RIM1056" s="104"/>
      <c r="RIN1056" s="103"/>
      <c r="RIZ1056" s="104"/>
      <c r="RJA1056" s="103"/>
      <c r="RJM1056" s="104"/>
      <c r="RJN1056" s="103"/>
      <c r="RJZ1056" s="104"/>
      <c r="RKA1056" s="103"/>
      <c r="RKM1056" s="104"/>
      <c r="RKN1056" s="103"/>
      <c r="RKZ1056" s="104"/>
      <c r="RLA1056" s="103"/>
      <c r="RLM1056" s="104"/>
      <c r="RLN1056" s="103"/>
      <c r="RLZ1056" s="104"/>
      <c r="RMA1056" s="103"/>
      <c r="RMM1056" s="104"/>
      <c r="RMN1056" s="103"/>
      <c r="RMZ1056" s="104"/>
      <c r="RNA1056" s="103"/>
      <c r="RNM1056" s="104"/>
      <c r="RNN1056" s="103"/>
      <c r="RNZ1056" s="104"/>
      <c r="ROA1056" s="103"/>
      <c r="ROM1056" s="104"/>
      <c r="RON1056" s="103"/>
      <c r="ROZ1056" s="104"/>
      <c r="RPA1056" s="103"/>
      <c r="RPM1056" s="104"/>
      <c r="RPN1056" s="103"/>
      <c r="RPZ1056" s="104"/>
      <c r="RQA1056" s="103"/>
      <c r="RQM1056" s="104"/>
      <c r="RQN1056" s="103"/>
      <c r="RQZ1056" s="104"/>
      <c r="RRA1056" s="103"/>
      <c r="RRM1056" s="104"/>
      <c r="RRN1056" s="103"/>
      <c r="RRZ1056" s="104"/>
      <c r="RSA1056" s="103"/>
      <c r="RSM1056" s="104"/>
      <c r="RSN1056" s="103"/>
      <c r="RSZ1056" s="104"/>
      <c r="RTA1056" s="103"/>
      <c r="RTM1056" s="104"/>
      <c r="RTN1056" s="103"/>
      <c r="RTZ1056" s="104"/>
      <c r="RUA1056" s="103"/>
      <c r="RUM1056" s="104"/>
      <c r="RUN1056" s="103"/>
      <c r="RUZ1056" s="104"/>
      <c r="RVA1056" s="103"/>
      <c r="RVM1056" s="104"/>
      <c r="RVN1056" s="103"/>
      <c r="RVZ1056" s="104"/>
      <c r="RWA1056" s="103"/>
      <c r="RWM1056" s="104"/>
      <c r="RWN1056" s="103"/>
      <c r="RWZ1056" s="104"/>
      <c r="RXA1056" s="103"/>
      <c r="RXM1056" s="104"/>
      <c r="RXN1056" s="103"/>
      <c r="RXZ1056" s="104"/>
      <c r="RYA1056" s="103"/>
      <c r="RYM1056" s="104"/>
      <c r="RYN1056" s="103"/>
      <c r="RYZ1056" s="104"/>
      <c r="RZA1056" s="103"/>
      <c r="RZM1056" s="104"/>
      <c r="RZN1056" s="103"/>
      <c r="RZZ1056" s="104"/>
      <c r="SAA1056" s="103"/>
      <c r="SAM1056" s="104"/>
      <c r="SAN1056" s="103"/>
      <c r="SAZ1056" s="104"/>
      <c r="SBA1056" s="103"/>
      <c r="SBM1056" s="104"/>
      <c r="SBN1056" s="103"/>
      <c r="SBZ1056" s="104"/>
      <c r="SCA1056" s="103"/>
      <c r="SCM1056" s="104"/>
      <c r="SCN1056" s="103"/>
      <c r="SCZ1056" s="104"/>
      <c r="SDA1056" s="103"/>
      <c r="SDM1056" s="104"/>
      <c r="SDN1056" s="103"/>
      <c r="SDZ1056" s="104"/>
      <c r="SEA1056" s="103"/>
      <c r="SEM1056" s="104"/>
      <c r="SEN1056" s="103"/>
      <c r="SEZ1056" s="104"/>
      <c r="SFA1056" s="103"/>
      <c r="SFM1056" s="104"/>
      <c r="SFN1056" s="103"/>
      <c r="SFZ1056" s="104"/>
      <c r="SGA1056" s="103"/>
      <c r="SGM1056" s="104"/>
      <c r="SGN1056" s="103"/>
      <c r="SGZ1056" s="104"/>
      <c r="SHA1056" s="103"/>
      <c r="SHM1056" s="104"/>
      <c r="SHN1056" s="103"/>
      <c r="SHZ1056" s="104"/>
      <c r="SIA1056" s="103"/>
      <c r="SIM1056" s="104"/>
      <c r="SIN1056" s="103"/>
      <c r="SIZ1056" s="104"/>
      <c r="SJA1056" s="103"/>
      <c r="SJM1056" s="104"/>
      <c r="SJN1056" s="103"/>
      <c r="SJZ1056" s="104"/>
      <c r="SKA1056" s="103"/>
      <c r="SKM1056" s="104"/>
      <c r="SKN1056" s="103"/>
      <c r="SKZ1056" s="104"/>
      <c r="SLA1056" s="103"/>
      <c r="SLM1056" s="104"/>
      <c r="SLN1056" s="103"/>
      <c r="SLZ1056" s="104"/>
      <c r="SMA1056" s="103"/>
      <c r="SMM1056" s="104"/>
      <c r="SMN1056" s="103"/>
      <c r="SMZ1056" s="104"/>
      <c r="SNA1056" s="103"/>
      <c r="SNM1056" s="104"/>
      <c r="SNN1056" s="103"/>
      <c r="SNZ1056" s="104"/>
      <c r="SOA1056" s="103"/>
      <c r="SOM1056" s="104"/>
      <c r="SON1056" s="103"/>
      <c r="SOZ1056" s="104"/>
      <c r="SPA1056" s="103"/>
      <c r="SPM1056" s="104"/>
      <c r="SPN1056" s="103"/>
      <c r="SPZ1056" s="104"/>
      <c r="SQA1056" s="103"/>
      <c r="SQM1056" s="104"/>
      <c r="SQN1056" s="103"/>
      <c r="SQZ1056" s="104"/>
      <c r="SRA1056" s="103"/>
      <c r="SRM1056" s="104"/>
      <c r="SRN1056" s="103"/>
      <c r="SRZ1056" s="104"/>
      <c r="SSA1056" s="103"/>
      <c r="SSM1056" s="104"/>
      <c r="SSN1056" s="103"/>
      <c r="SSZ1056" s="104"/>
      <c r="STA1056" s="103"/>
      <c r="STM1056" s="104"/>
      <c r="STN1056" s="103"/>
      <c r="STZ1056" s="104"/>
      <c r="SUA1056" s="103"/>
      <c r="SUM1056" s="104"/>
      <c r="SUN1056" s="103"/>
      <c r="SUZ1056" s="104"/>
      <c r="SVA1056" s="103"/>
      <c r="SVM1056" s="104"/>
      <c r="SVN1056" s="103"/>
      <c r="SVZ1056" s="104"/>
      <c r="SWA1056" s="103"/>
      <c r="SWM1056" s="104"/>
      <c r="SWN1056" s="103"/>
      <c r="SWZ1056" s="104"/>
      <c r="SXA1056" s="103"/>
      <c r="SXM1056" s="104"/>
      <c r="SXN1056" s="103"/>
      <c r="SXZ1056" s="104"/>
      <c r="SYA1056" s="103"/>
      <c r="SYM1056" s="104"/>
      <c r="SYN1056" s="103"/>
      <c r="SYZ1056" s="104"/>
      <c r="SZA1056" s="103"/>
      <c r="SZM1056" s="104"/>
      <c r="SZN1056" s="103"/>
      <c r="SZZ1056" s="104"/>
      <c r="TAA1056" s="103"/>
      <c r="TAM1056" s="104"/>
      <c r="TAN1056" s="103"/>
      <c r="TAZ1056" s="104"/>
      <c r="TBA1056" s="103"/>
      <c r="TBM1056" s="104"/>
      <c r="TBN1056" s="103"/>
      <c r="TBZ1056" s="104"/>
      <c r="TCA1056" s="103"/>
      <c r="TCM1056" s="104"/>
      <c r="TCN1056" s="103"/>
      <c r="TCZ1056" s="104"/>
      <c r="TDA1056" s="103"/>
      <c r="TDM1056" s="104"/>
      <c r="TDN1056" s="103"/>
      <c r="TDZ1056" s="104"/>
      <c r="TEA1056" s="103"/>
      <c r="TEM1056" s="104"/>
      <c r="TEN1056" s="103"/>
      <c r="TEZ1056" s="104"/>
      <c r="TFA1056" s="103"/>
      <c r="TFM1056" s="104"/>
      <c r="TFN1056" s="103"/>
      <c r="TFZ1056" s="104"/>
      <c r="TGA1056" s="103"/>
      <c r="TGM1056" s="104"/>
      <c r="TGN1056" s="103"/>
      <c r="TGZ1056" s="104"/>
      <c r="THA1056" s="103"/>
      <c r="THM1056" s="104"/>
      <c r="THN1056" s="103"/>
      <c r="THZ1056" s="104"/>
      <c r="TIA1056" s="103"/>
      <c r="TIM1056" s="104"/>
      <c r="TIN1056" s="103"/>
      <c r="TIZ1056" s="104"/>
      <c r="TJA1056" s="103"/>
      <c r="TJM1056" s="104"/>
      <c r="TJN1056" s="103"/>
      <c r="TJZ1056" s="104"/>
      <c r="TKA1056" s="103"/>
      <c r="TKM1056" s="104"/>
      <c r="TKN1056" s="103"/>
      <c r="TKZ1056" s="104"/>
      <c r="TLA1056" s="103"/>
      <c r="TLM1056" s="104"/>
      <c r="TLN1056" s="103"/>
      <c r="TLZ1056" s="104"/>
      <c r="TMA1056" s="103"/>
      <c r="TMM1056" s="104"/>
      <c r="TMN1056" s="103"/>
      <c r="TMZ1056" s="104"/>
      <c r="TNA1056" s="103"/>
      <c r="TNM1056" s="104"/>
      <c r="TNN1056" s="103"/>
      <c r="TNZ1056" s="104"/>
      <c r="TOA1056" s="103"/>
      <c r="TOM1056" s="104"/>
      <c r="TON1056" s="103"/>
      <c r="TOZ1056" s="104"/>
      <c r="TPA1056" s="103"/>
      <c r="TPM1056" s="104"/>
      <c r="TPN1056" s="103"/>
      <c r="TPZ1056" s="104"/>
      <c r="TQA1056" s="103"/>
      <c r="TQM1056" s="104"/>
      <c r="TQN1056" s="103"/>
      <c r="TQZ1056" s="104"/>
      <c r="TRA1056" s="103"/>
      <c r="TRM1056" s="104"/>
      <c r="TRN1056" s="103"/>
      <c r="TRZ1056" s="104"/>
      <c r="TSA1056" s="103"/>
      <c r="TSM1056" s="104"/>
      <c r="TSN1056" s="103"/>
      <c r="TSZ1056" s="104"/>
      <c r="TTA1056" s="103"/>
      <c r="TTM1056" s="104"/>
      <c r="TTN1056" s="103"/>
      <c r="TTZ1056" s="104"/>
      <c r="TUA1056" s="103"/>
      <c r="TUM1056" s="104"/>
      <c r="TUN1056" s="103"/>
      <c r="TUZ1056" s="104"/>
      <c r="TVA1056" s="103"/>
      <c r="TVM1056" s="104"/>
      <c r="TVN1056" s="103"/>
      <c r="TVZ1056" s="104"/>
      <c r="TWA1056" s="103"/>
      <c r="TWM1056" s="104"/>
      <c r="TWN1056" s="103"/>
      <c r="TWZ1056" s="104"/>
      <c r="TXA1056" s="103"/>
      <c r="TXM1056" s="104"/>
      <c r="TXN1056" s="103"/>
      <c r="TXZ1056" s="104"/>
      <c r="TYA1056" s="103"/>
      <c r="TYM1056" s="104"/>
      <c r="TYN1056" s="103"/>
      <c r="TYZ1056" s="104"/>
      <c r="TZA1056" s="103"/>
      <c r="TZM1056" s="104"/>
      <c r="TZN1056" s="103"/>
      <c r="TZZ1056" s="104"/>
      <c r="UAA1056" s="103"/>
      <c r="UAM1056" s="104"/>
      <c r="UAN1056" s="103"/>
      <c r="UAZ1056" s="104"/>
      <c r="UBA1056" s="103"/>
      <c r="UBM1056" s="104"/>
      <c r="UBN1056" s="103"/>
      <c r="UBZ1056" s="104"/>
      <c r="UCA1056" s="103"/>
      <c r="UCM1056" s="104"/>
      <c r="UCN1056" s="103"/>
      <c r="UCZ1056" s="104"/>
      <c r="UDA1056" s="103"/>
      <c r="UDM1056" s="104"/>
      <c r="UDN1056" s="103"/>
      <c r="UDZ1056" s="104"/>
      <c r="UEA1056" s="103"/>
      <c r="UEM1056" s="104"/>
      <c r="UEN1056" s="103"/>
      <c r="UEZ1056" s="104"/>
      <c r="UFA1056" s="103"/>
      <c r="UFM1056" s="104"/>
      <c r="UFN1056" s="103"/>
      <c r="UFZ1056" s="104"/>
      <c r="UGA1056" s="103"/>
      <c r="UGM1056" s="104"/>
      <c r="UGN1056" s="103"/>
      <c r="UGZ1056" s="104"/>
      <c r="UHA1056" s="103"/>
      <c r="UHM1056" s="104"/>
      <c r="UHN1056" s="103"/>
      <c r="UHZ1056" s="104"/>
      <c r="UIA1056" s="103"/>
      <c r="UIM1056" s="104"/>
      <c r="UIN1056" s="103"/>
      <c r="UIZ1056" s="104"/>
      <c r="UJA1056" s="103"/>
      <c r="UJM1056" s="104"/>
      <c r="UJN1056" s="103"/>
      <c r="UJZ1056" s="104"/>
      <c r="UKA1056" s="103"/>
      <c r="UKM1056" s="104"/>
      <c r="UKN1056" s="103"/>
      <c r="UKZ1056" s="104"/>
      <c r="ULA1056" s="103"/>
      <c r="ULM1056" s="104"/>
      <c r="ULN1056" s="103"/>
      <c r="ULZ1056" s="104"/>
      <c r="UMA1056" s="103"/>
      <c r="UMM1056" s="104"/>
      <c r="UMN1056" s="103"/>
      <c r="UMZ1056" s="104"/>
      <c r="UNA1056" s="103"/>
      <c r="UNM1056" s="104"/>
      <c r="UNN1056" s="103"/>
      <c r="UNZ1056" s="104"/>
      <c r="UOA1056" s="103"/>
      <c r="UOM1056" s="104"/>
      <c r="UON1056" s="103"/>
      <c r="UOZ1056" s="104"/>
      <c r="UPA1056" s="103"/>
      <c r="UPM1056" s="104"/>
      <c r="UPN1056" s="103"/>
      <c r="UPZ1056" s="104"/>
      <c r="UQA1056" s="103"/>
      <c r="UQM1056" s="104"/>
      <c r="UQN1056" s="103"/>
      <c r="UQZ1056" s="104"/>
      <c r="URA1056" s="103"/>
      <c r="URM1056" s="104"/>
      <c r="URN1056" s="103"/>
      <c r="URZ1056" s="104"/>
      <c r="USA1056" s="103"/>
      <c r="USM1056" s="104"/>
      <c r="USN1056" s="103"/>
      <c r="USZ1056" s="104"/>
      <c r="UTA1056" s="103"/>
      <c r="UTM1056" s="104"/>
      <c r="UTN1056" s="103"/>
      <c r="UTZ1056" s="104"/>
      <c r="UUA1056" s="103"/>
      <c r="UUM1056" s="104"/>
      <c r="UUN1056" s="103"/>
      <c r="UUZ1056" s="104"/>
      <c r="UVA1056" s="103"/>
      <c r="UVM1056" s="104"/>
      <c r="UVN1056" s="103"/>
      <c r="UVZ1056" s="104"/>
      <c r="UWA1056" s="103"/>
      <c r="UWM1056" s="104"/>
      <c r="UWN1056" s="103"/>
      <c r="UWZ1056" s="104"/>
      <c r="UXA1056" s="103"/>
      <c r="UXM1056" s="104"/>
      <c r="UXN1056" s="103"/>
      <c r="UXZ1056" s="104"/>
      <c r="UYA1056" s="103"/>
      <c r="UYM1056" s="104"/>
      <c r="UYN1056" s="103"/>
      <c r="UYZ1056" s="104"/>
      <c r="UZA1056" s="103"/>
      <c r="UZM1056" s="104"/>
      <c r="UZN1056" s="103"/>
      <c r="UZZ1056" s="104"/>
      <c r="VAA1056" s="103"/>
      <c r="VAM1056" s="104"/>
      <c r="VAN1056" s="103"/>
      <c r="VAZ1056" s="104"/>
      <c r="VBA1056" s="103"/>
      <c r="VBM1056" s="104"/>
      <c r="VBN1056" s="103"/>
      <c r="VBZ1056" s="104"/>
      <c r="VCA1056" s="103"/>
      <c r="VCM1056" s="104"/>
      <c r="VCN1056" s="103"/>
      <c r="VCZ1056" s="104"/>
      <c r="VDA1056" s="103"/>
      <c r="VDM1056" s="104"/>
      <c r="VDN1056" s="103"/>
      <c r="VDZ1056" s="104"/>
      <c r="VEA1056" s="103"/>
      <c r="VEM1056" s="104"/>
      <c r="VEN1056" s="103"/>
      <c r="VEZ1056" s="104"/>
      <c r="VFA1056" s="103"/>
      <c r="VFM1056" s="104"/>
      <c r="VFN1056" s="103"/>
      <c r="VFZ1056" s="104"/>
      <c r="VGA1056" s="103"/>
      <c r="VGM1056" s="104"/>
      <c r="VGN1056" s="103"/>
      <c r="VGZ1056" s="104"/>
      <c r="VHA1056" s="103"/>
      <c r="VHM1056" s="104"/>
      <c r="VHN1056" s="103"/>
      <c r="VHZ1056" s="104"/>
      <c r="VIA1056" s="103"/>
      <c r="VIM1056" s="104"/>
      <c r="VIN1056" s="103"/>
      <c r="VIZ1056" s="104"/>
      <c r="VJA1056" s="103"/>
      <c r="VJM1056" s="104"/>
      <c r="VJN1056" s="103"/>
      <c r="VJZ1056" s="104"/>
      <c r="VKA1056" s="103"/>
      <c r="VKM1056" s="104"/>
      <c r="VKN1056" s="103"/>
      <c r="VKZ1056" s="104"/>
      <c r="VLA1056" s="103"/>
      <c r="VLM1056" s="104"/>
      <c r="VLN1056" s="103"/>
      <c r="VLZ1056" s="104"/>
      <c r="VMA1056" s="103"/>
      <c r="VMM1056" s="104"/>
      <c r="VMN1056" s="103"/>
      <c r="VMZ1056" s="104"/>
      <c r="VNA1056" s="103"/>
      <c r="VNM1056" s="104"/>
      <c r="VNN1056" s="103"/>
      <c r="VNZ1056" s="104"/>
      <c r="VOA1056" s="103"/>
      <c r="VOM1056" s="104"/>
      <c r="VON1056" s="103"/>
      <c r="VOZ1056" s="104"/>
      <c r="VPA1056" s="103"/>
      <c r="VPM1056" s="104"/>
      <c r="VPN1056" s="103"/>
      <c r="VPZ1056" s="104"/>
      <c r="VQA1056" s="103"/>
      <c r="VQM1056" s="104"/>
      <c r="VQN1056" s="103"/>
      <c r="VQZ1056" s="104"/>
      <c r="VRA1056" s="103"/>
      <c r="VRM1056" s="104"/>
      <c r="VRN1056" s="103"/>
      <c r="VRZ1056" s="104"/>
      <c r="VSA1056" s="103"/>
      <c r="VSM1056" s="104"/>
      <c r="VSN1056" s="103"/>
      <c r="VSZ1056" s="104"/>
      <c r="VTA1056" s="103"/>
      <c r="VTM1056" s="104"/>
      <c r="VTN1056" s="103"/>
      <c r="VTZ1056" s="104"/>
      <c r="VUA1056" s="103"/>
      <c r="VUM1056" s="104"/>
      <c r="VUN1056" s="103"/>
      <c r="VUZ1056" s="104"/>
      <c r="VVA1056" s="103"/>
      <c r="VVM1056" s="104"/>
      <c r="VVN1056" s="103"/>
      <c r="VVZ1056" s="104"/>
      <c r="VWA1056" s="103"/>
      <c r="VWM1056" s="104"/>
      <c r="VWN1056" s="103"/>
      <c r="VWZ1056" s="104"/>
      <c r="VXA1056" s="103"/>
      <c r="VXM1056" s="104"/>
      <c r="VXN1056" s="103"/>
      <c r="VXZ1056" s="104"/>
      <c r="VYA1056" s="103"/>
      <c r="VYM1056" s="104"/>
      <c r="VYN1056" s="103"/>
      <c r="VYZ1056" s="104"/>
      <c r="VZA1056" s="103"/>
      <c r="VZM1056" s="104"/>
      <c r="VZN1056" s="103"/>
      <c r="VZZ1056" s="104"/>
      <c r="WAA1056" s="103"/>
      <c r="WAM1056" s="104"/>
      <c r="WAN1056" s="103"/>
      <c r="WAZ1056" s="104"/>
      <c r="WBA1056" s="103"/>
      <c r="WBM1056" s="104"/>
      <c r="WBN1056" s="103"/>
      <c r="WBZ1056" s="104"/>
      <c r="WCA1056" s="103"/>
      <c r="WCM1056" s="104"/>
      <c r="WCN1056" s="103"/>
      <c r="WCZ1056" s="104"/>
      <c r="WDA1056" s="103"/>
      <c r="WDM1056" s="104"/>
      <c r="WDN1056" s="103"/>
      <c r="WDZ1056" s="104"/>
      <c r="WEA1056" s="103"/>
      <c r="WEM1056" s="104"/>
      <c r="WEN1056" s="103"/>
      <c r="WEZ1056" s="104"/>
      <c r="WFA1056" s="103"/>
      <c r="WFM1056" s="104"/>
      <c r="WFN1056" s="103"/>
      <c r="WFZ1056" s="104"/>
      <c r="WGA1056" s="103"/>
      <c r="WGM1056" s="104"/>
      <c r="WGN1056" s="103"/>
      <c r="WGZ1056" s="104"/>
      <c r="WHA1056" s="103"/>
      <c r="WHM1056" s="104"/>
      <c r="WHN1056" s="103"/>
      <c r="WHZ1056" s="104"/>
      <c r="WIA1056" s="103"/>
      <c r="WIM1056" s="104"/>
      <c r="WIN1056" s="103"/>
      <c r="WIZ1056" s="104"/>
      <c r="WJA1056" s="103"/>
      <c r="WJM1056" s="104"/>
      <c r="WJN1056" s="103"/>
      <c r="WJZ1056" s="104"/>
      <c r="WKA1056" s="103"/>
      <c r="WKM1056" s="104"/>
      <c r="WKN1056" s="103"/>
      <c r="WKZ1056" s="104"/>
      <c r="WLA1056" s="103"/>
      <c r="WLM1056" s="104"/>
      <c r="WLN1056" s="103"/>
      <c r="WLZ1056" s="104"/>
      <c r="WMA1056" s="103"/>
      <c r="WMM1056" s="104"/>
      <c r="WMN1056" s="103"/>
      <c r="WMZ1056" s="104"/>
      <c r="WNA1056" s="103"/>
      <c r="WNM1056" s="104"/>
      <c r="WNN1056" s="103"/>
      <c r="WNZ1056" s="104"/>
      <c r="WOA1056" s="103"/>
      <c r="WOM1056" s="104"/>
      <c r="WON1056" s="103"/>
      <c r="WOZ1056" s="104"/>
      <c r="WPA1056" s="103"/>
      <c r="WPM1056" s="104"/>
      <c r="WPN1056" s="103"/>
      <c r="WPZ1056" s="104"/>
      <c r="WQA1056" s="103"/>
      <c r="WQM1056" s="104"/>
      <c r="WQN1056" s="103"/>
      <c r="WQZ1056" s="104"/>
      <c r="WRA1056" s="103"/>
      <c r="WRM1056" s="104"/>
      <c r="WRN1056" s="103"/>
      <c r="WRZ1056" s="104"/>
      <c r="WSA1056" s="103"/>
      <c r="WSM1056" s="104"/>
      <c r="WSN1056" s="103"/>
      <c r="WSZ1056" s="104"/>
      <c r="WTA1056" s="103"/>
      <c r="WTM1056" s="104"/>
      <c r="WTN1056" s="103"/>
      <c r="WTZ1056" s="104"/>
      <c r="WUA1056" s="103"/>
      <c r="WUM1056" s="104"/>
      <c r="WUN1056" s="103"/>
      <c r="WUZ1056" s="104"/>
      <c r="WVA1056" s="103"/>
      <c r="WVM1056" s="104"/>
      <c r="WVN1056" s="103"/>
      <c r="WVZ1056" s="104"/>
      <c r="WWA1056" s="103"/>
      <c r="WWM1056" s="104"/>
      <c r="WWN1056" s="103"/>
      <c r="WWZ1056" s="104"/>
      <c r="WXA1056" s="103"/>
      <c r="WXM1056" s="104"/>
      <c r="WXN1056" s="103"/>
      <c r="WXZ1056" s="104"/>
      <c r="WYA1056" s="103"/>
      <c r="WYM1056" s="104"/>
      <c r="WYN1056" s="103"/>
      <c r="WYZ1056" s="104"/>
      <c r="WZA1056" s="103"/>
      <c r="WZM1056" s="104"/>
      <c r="WZN1056" s="103"/>
      <c r="WZZ1056" s="104"/>
      <c r="XAA1056" s="103"/>
      <c r="XAM1056" s="104"/>
      <c r="XAN1056" s="103"/>
      <c r="XAZ1056" s="104"/>
      <c r="XBA1056" s="103"/>
      <c r="XBM1056" s="104"/>
      <c r="XBN1056" s="103"/>
      <c r="XBZ1056" s="104"/>
      <c r="XCA1056" s="103"/>
      <c r="XCM1056" s="104"/>
      <c r="XCN1056" s="103"/>
      <c r="XCZ1056" s="104"/>
      <c r="XDA1056" s="103"/>
      <c r="XDM1056" s="104"/>
      <c r="XDN1056" s="103"/>
      <c r="XDZ1056" s="104"/>
      <c r="XEA1056" s="103"/>
      <c r="XEM1056" s="104"/>
      <c r="XEN1056" s="103"/>
      <c r="XEZ1056" s="104"/>
      <c r="XFA1056" s="103"/>
    </row>
    <row r="1057" spans="2:1015 1027:2042 2054:3069 3081:4096 4108:5110 5122:6137 6149:7164 7176:8191 8203:9205 9217:10232 10244:11259 11271:12286 12298:14327 14339:15354 15366:16381">
      <c r="M1057" s="105"/>
      <c r="N1057" s="106"/>
      <c r="Z1057" s="104"/>
      <c r="AA1057" s="103"/>
      <c r="AM1057" s="104"/>
      <c r="AN1057" s="103"/>
      <c r="AZ1057" s="104"/>
      <c r="BA1057" s="103"/>
      <c r="BM1057" s="104"/>
      <c r="BN1057" s="103"/>
      <c r="BZ1057" s="104"/>
      <c r="CA1057" s="103"/>
      <c r="CM1057" s="104"/>
      <c r="CN1057" s="103"/>
      <c r="CZ1057" s="104"/>
      <c r="DA1057" s="103"/>
      <c r="DM1057" s="104"/>
      <c r="DN1057" s="103"/>
      <c r="DZ1057" s="104"/>
      <c r="EA1057" s="103"/>
      <c r="EM1057" s="104"/>
      <c r="EN1057" s="103"/>
      <c r="EZ1057" s="104"/>
      <c r="FA1057" s="103"/>
      <c r="FM1057" s="104"/>
      <c r="FN1057" s="103"/>
      <c r="FZ1057" s="104"/>
      <c r="GA1057" s="103"/>
      <c r="GM1057" s="104"/>
      <c r="GN1057" s="103"/>
      <c r="GZ1057" s="104"/>
      <c r="HA1057" s="103"/>
      <c r="HM1057" s="104"/>
      <c r="HN1057" s="103"/>
      <c r="HZ1057" s="104"/>
      <c r="IA1057" s="103"/>
      <c r="IM1057" s="104"/>
      <c r="IN1057" s="103"/>
      <c r="IZ1057" s="104"/>
      <c r="JA1057" s="103"/>
      <c r="JM1057" s="104"/>
      <c r="JN1057" s="103"/>
      <c r="JZ1057" s="104"/>
      <c r="KA1057" s="103"/>
      <c r="KM1057" s="104"/>
      <c r="KN1057" s="103"/>
      <c r="KZ1057" s="104"/>
      <c r="LA1057" s="103"/>
      <c r="LM1057" s="104"/>
      <c r="LN1057" s="103"/>
      <c r="LZ1057" s="104"/>
      <c r="MA1057" s="103"/>
      <c r="MM1057" s="104"/>
      <c r="MN1057" s="103"/>
      <c r="MZ1057" s="104"/>
      <c r="NA1057" s="103"/>
      <c r="NM1057" s="104"/>
      <c r="NN1057" s="103"/>
      <c r="NZ1057" s="104"/>
      <c r="OA1057" s="103"/>
      <c r="OM1057" s="104"/>
      <c r="ON1057" s="103"/>
      <c r="OZ1057" s="104"/>
      <c r="PA1057" s="103"/>
      <c r="PM1057" s="104"/>
      <c r="PN1057" s="103"/>
      <c r="PZ1057" s="104"/>
      <c r="QA1057" s="103"/>
      <c r="QM1057" s="104"/>
      <c r="QN1057" s="103"/>
      <c r="QZ1057" s="104"/>
      <c r="RA1057" s="103"/>
      <c r="RM1057" s="104"/>
      <c r="RN1057" s="103"/>
      <c r="RZ1057" s="104"/>
      <c r="SA1057" s="103"/>
      <c r="SM1057" s="104"/>
      <c r="SN1057" s="103"/>
      <c r="SZ1057" s="104"/>
      <c r="TA1057" s="103"/>
      <c r="TM1057" s="104"/>
      <c r="TN1057" s="103"/>
      <c r="TZ1057" s="104"/>
      <c r="UA1057" s="103"/>
      <c r="UM1057" s="104"/>
      <c r="UN1057" s="103"/>
      <c r="UZ1057" s="104"/>
      <c r="VA1057" s="103"/>
      <c r="VM1057" s="104"/>
      <c r="VN1057" s="103"/>
      <c r="VZ1057" s="104"/>
      <c r="WA1057" s="103"/>
      <c r="WM1057" s="104"/>
      <c r="WN1057" s="103"/>
      <c r="WZ1057" s="104"/>
      <c r="XA1057" s="103"/>
      <c r="XM1057" s="104"/>
      <c r="XN1057" s="103"/>
      <c r="XZ1057" s="104"/>
      <c r="YA1057" s="103"/>
      <c r="YM1057" s="104"/>
      <c r="YN1057" s="103"/>
      <c r="YZ1057" s="104"/>
      <c r="ZA1057" s="103"/>
      <c r="ZM1057" s="104"/>
      <c r="ZN1057" s="103"/>
      <c r="ZZ1057" s="104"/>
      <c r="AAA1057" s="103"/>
      <c r="AAM1057" s="104"/>
      <c r="AAN1057" s="103"/>
      <c r="AAZ1057" s="104"/>
      <c r="ABA1057" s="103"/>
      <c r="ABM1057" s="104"/>
      <c r="ABN1057" s="103"/>
      <c r="ABZ1057" s="104"/>
      <c r="ACA1057" s="103"/>
      <c r="ACM1057" s="104"/>
      <c r="ACN1057" s="103"/>
      <c r="ACZ1057" s="104"/>
      <c r="ADA1057" s="103"/>
      <c r="ADM1057" s="104"/>
      <c r="ADN1057" s="103"/>
      <c r="ADZ1057" s="104"/>
      <c r="AEA1057" s="103"/>
      <c r="AEM1057" s="104"/>
      <c r="AEN1057" s="103"/>
      <c r="AEZ1057" s="104"/>
      <c r="AFA1057" s="103"/>
      <c r="AFM1057" s="104"/>
      <c r="AFN1057" s="103"/>
      <c r="AFZ1057" s="104"/>
      <c r="AGA1057" s="103"/>
      <c r="AGM1057" s="104"/>
      <c r="AGN1057" s="103"/>
      <c r="AGZ1057" s="104"/>
      <c r="AHA1057" s="103"/>
      <c r="AHM1057" s="104"/>
      <c r="AHN1057" s="103"/>
      <c r="AHZ1057" s="104"/>
      <c r="AIA1057" s="103"/>
      <c r="AIM1057" s="104"/>
      <c r="AIN1057" s="103"/>
      <c r="AIZ1057" s="104"/>
      <c r="AJA1057" s="103"/>
      <c r="AJM1057" s="104"/>
      <c r="AJN1057" s="103"/>
      <c r="AJZ1057" s="104"/>
      <c r="AKA1057" s="103"/>
      <c r="AKM1057" s="104"/>
      <c r="AKN1057" s="103"/>
      <c r="AKZ1057" s="104"/>
      <c r="ALA1057" s="103"/>
      <c r="ALM1057" s="104"/>
      <c r="ALN1057" s="103"/>
      <c r="ALZ1057" s="104"/>
      <c r="AMA1057" s="103"/>
      <c r="AMM1057" s="104"/>
      <c r="AMN1057" s="103"/>
      <c r="AMZ1057" s="104"/>
      <c r="ANA1057" s="103"/>
      <c r="ANM1057" s="104"/>
      <c r="ANN1057" s="103"/>
      <c r="ANZ1057" s="104"/>
      <c r="AOA1057" s="103"/>
      <c r="AOM1057" s="104"/>
      <c r="AON1057" s="103"/>
      <c r="AOZ1057" s="104"/>
      <c r="APA1057" s="103"/>
      <c r="APM1057" s="104"/>
      <c r="APN1057" s="103"/>
      <c r="APZ1057" s="104"/>
      <c r="AQA1057" s="103"/>
      <c r="AQM1057" s="104"/>
      <c r="AQN1057" s="103"/>
      <c r="AQZ1057" s="104"/>
      <c r="ARA1057" s="103"/>
      <c r="ARM1057" s="104"/>
      <c r="ARN1057" s="103"/>
      <c r="ARZ1057" s="104"/>
      <c r="ASA1057" s="103"/>
      <c r="ASM1057" s="104"/>
      <c r="ASN1057" s="103"/>
      <c r="ASZ1057" s="104"/>
      <c r="ATA1057" s="103"/>
      <c r="ATM1057" s="104"/>
      <c r="ATN1057" s="103"/>
      <c r="ATZ1057" s="104"/>
      <c r="AUA1057" s="103"/>
      <c r="AUM1057" s="104"/>
      <c r="AUN1057" s="103"/>
      <c r="AUZ1057" s="104"/>
      <c r="AVA1057" s="103"/>
      <c r="AVM1057" s="104"/>
      <c r="AVN1057" s="103"/>
      <c r="AVZ1057" s="104"/>
      <c r="AWA1057" s="103"/>
      <c r="AWM1057" s="104"/>
      <c r="AWN1057" s="103"/>
      <c r="AWZ1057" s="104"/>
      <c r="AXA1057" s="103"/>
      <c r="AXM1057" s="104"/>
      <c r="AXN1057" s="103"/>
      <c r="AXZ1057" s="104"/>
      <c r="AYA1057" s="103"/>
      <c r="AYM1057" s="104"/>
      <c r="AYN1057" s="103"/>
      <c r="AYZ1057" s="104"/>
      <c r="AZA1057" s="103"/>
      <c r="AZM1057" s="104"/>
      <c r="AZN1057" s="103"/>
      <c r="AZZ1057" s="104"/>
      <c r="BAA1057" s="103"/>
      <c r="BAM1057" s="104"/>
      <c r="BAN1057" s="103"/>
      <c r="BAZ1057" s="104"/>
      <c r="BBA1057" s="103"/>
      <c r="BBM1057" s="104"/>
      <c r="BBN1057" s="103"/>
      <c r="BBZ1057" s="104"/>
      <c r="BCA1057" s="103"/>
      <c r="BCM1057" s="104"/>
      <c r="BCN1057" s="103"/>
      <c r="BCZ1057" s="104"/>
      <c r="BDA1057" s="103"/>
      <c r="BDM1057" s="104"/>
      <c r="BDN1057" s="103"/>
      <c r="BDZ1057" s="104"/>
      <c r="BEA1057" s="103"/>
      <c r="BEM1057" s="104"/>
      <c r="BEN1057" s="103"/>
      <c r="BEZ1057" s="104"/>
      <c r="BFA1057" s="103"/>
      <c r="BFM1057" s="104"/>
      <c r="BFN1057" s="103"/>
      <c r="BFZ1057" s="104"/>
      <c r="BGA1057" s="103"/>
      <c r="BGM1057" s="104"/>
      <c r="BGN1057" s="103"/>
      <c r="BGZ1057" s="104"/>
      <c r="BHA1057" s="103"/>
      <c r="BHM1057" s="104"/>
      <c r="BHN1057" s="103"/>
      <c r="BHZ1057" s="104"/>
      <c r="BIA1057" s="103"/>
      <c r="BIM1057" s="104"/>
      <c r="BIN1057" s="103"/>
      <c r="BIZ1057" s="104"/>
      <c r="BJA1057" s="103"/>
      <c r="BJM1057" s="104"/>
      <c r="BJN1057" s="103"/>
      <c r="BJZ1057" s="104"/>
      <c r="BKA1057" s="103"/>
      <c r="BKM1057" s="104"/>
      <c r="BKN1057" s="103"/>
      <c r="BKZ1057" s="104"/>
      <c r="BLA1057" s="103"/>
      <c r="BLM1057" s="104"/>
      <c r="BLN1057" s="103"/>
      <c r="BLZ1057" s="104"/>
      <c r="BMA1057" s="103"/>
      <c r="BMM1057" s="104"/>
      <c r="BMN1057" s="103"/>
      <c r="BMZ1057" s="104"/>
      <c r="BNA1057" s="103"/>
      <c r="BNM1057" s="104"/>
      <c r="BNN1057" s="103"/>
      <c r="BNZ1057" s="104"/>
      <c r="BOA1057" s="103"/>
      <c r="BOM1057" s="104"/>
      <c r="BON1057" s="103"/>
      <c r="BOZ1057" s="104"/>
      <c r="BPA1057" s="103"/>
      <c r="BPM1057" s="104"/>
      <c r="BPN1057" s="103"/>
      <c r="BPZ1057" s="104"/>
      <c r="BQA1057" s="103"/>
      <c r="BQM1057" s="104"/>
      <c r="BQN1057" s="103"/>
      <c r="BQZ1057" s="104"/>
      <c r="BRA1057" s="103"/>
      <c r="BRM1057" s="104"/>
      <c r="BRN1057" s="103"/>
      <c r="BRZ1057" s="104"/>
      <c r="BSA1057" s="103"/>
      <c r="BSM1057" s="104"/>
      <c r="BSN1057" s="103"/>
      <c r="BSZ1057" s="104"/>
      <c r="BTA1057" s="103"/>
      <c r="BTM1057" s="104"/>
      <c r="BTN1057" s="103"/>
      <c r="BTZ1057" s="104"/>
      <c r="BUA1057" s="103"/>
      <c r="BUM1057" s="104"/>
      <c r="BUN1057" s="103"/>
      <c r="BUZ1057" s="104"/>
      <c r="BVA1057" s="103"/>
      <c r="BVM1057" s="104"/>
      <c r="BVN1057" s="103"/>
      <c r="BVZ1057" s="104"/>
      <c r="BWA1057" s="103"/>
      <c r="BWM1057" s="104"/>
      <c r="BWN1057" s="103"/>
      <c r="BWZ1057" s="104"/>
      <c r="BXA1057" s="103"/>
      <c r="BXM1057" s="104"/>
      <c r="BXN1057" s="103"/>
      <c r="BXZ1057" s="104"/>
      <c r="BYA1057" s="103"/>
      <c r="BYM1057" s="104"/>
      <c r="BYN1057" s="103"/>
      <c r="BYZ1057" s="104"/>
      <c r="BZA1057" s="103"/>
      <c r="BZM1057" s="104"/>
      <c r="BZN1057" s="103"/>
      <c r="BZZ1057" s="104"/>
      <c r="CAA1057" s="103"/>
      <c r="CAM1057" s="104"/>
      <c r="CAN1057" s="103"/>
      <c r="CAZ1057" s="104"/>
      <c r="CBA1057" s="103"/>
      <c r="CBM1057" s="104"/>
      <c r="CBN1057" s="103"/>
      <c r="CBZ1057" s="104"/>
      <c r="CCA1057" s="103"/>
      <c r="CCM1057" s="104"/>
      <c r="CCN1057" s="103"/>
      <c r="CCZ1057" s="104"/>
      <c r="CDA1057" s="103"/>
      <c r="CDM1057" s="104"/>
      <c r="CDN1057" s="103"/>
      <c r="CDZ1057" s="104"/>
      <c r="CEA1057" s="103"/>
      <c r="CEM1057" s="104"/>
      <c r="CEN1057" s="103"/>
      <c r="CEZ1057" s="104"/>
      <c r="CFA1057" s="103"/>
      <c r="CFM1057" s="104"/>
      <c r="CFN1057" s="103"/>
      <c r="CFZ1057" s="104"/>
      <c r="CGA1057" s="103"/>
      <c r="CGM1057" s="104"/>
      <c r="CGN1057" s="103"/>
      <c r="CGZ1057" s="104"/>
      <c r="CHA1057" s="103"/>
      <c r="CHM1057" s="104"/>
      <c r="CHN1057" s="103"/>
      <c r="CHZ1057" s="104"/>
      <c r="CIA1057" s="103"/>
      <c r="CIM1057" s="104"/>
      <c r="CIN1057" s="103"/>
      <c r="CIZ1057" s="104"/>
      <c r="CJA1057" s="103"/>
      <c r="CJM1057" s="104"/>
      <c r="CJN1057" s="103"/>
      <c r="CJZ1057" s="104"/>
      <c r="CKA1057" s="103"/>
      <c r="CKM1057" s="104"/>
      <c r="CKN1057" s="103"/>
      <c r="CKZ1057" s="104"/>
      <c r="CLA1057" s="103"/>
      <c r="CLM1057" s="104"/>
      <c r="CLN1057" s="103"/>
      <c r="CLZ1057" s="104"/>
      <c r="CMA1057" s="103"/>
      <c r="CMM1057" s="104"/>
      <c r="CMN1057" s="103"/>
      <c r="CMZ1057" s="104"/>
      <c r="CNA1057" s="103"/>
      <c r="CNM1057" s="104"/>
      <c r="CNN1057" s="103"/>
      <c r="CNZ1057" s="104"/>
      <c r="COA1057" s="103"/>
      <c r="COM1057" s="104"/>
      <c r="CON1057" s="103"/>
      <c r="COZ1057" s="104"/>
      <c r="CPA1057" s="103"/>
      <c r="CPM1057" s="104"/>
      <c r="CPN1057" s="103"/>
      <c r="CPZ1057" s="104"/>
      <c r="CQA1057" s="103"/>
      <c r="CQM1057" s="104"/>
      <c r="CQN1057" s="103"/>
      <c r="CQZ1057" s="104"/>
      <c r="CRA1057" s="103"/>
      <c r="CRM1057" s="104"/>
      <c r="CRN1057" s="103"/>
      <c r="CRZ1057" s="104"/>
      <c r="CSA1057" s="103"/>
      <c r="CSM1057" s="104"/>
      <c r="CSN1057" s="103"/>
      <c r="CSZ1057" s="104"/>
      <c r="CTA1057" s="103"/>
      <c r="CTM1057" s="104"/>
      <c r="CTN1057" s="103"/>
      <c r="CTZ1057" s="104"/>
      <c r="CUA1057" s="103"/>
      <c r="CUM1057" s="104"/>
      <c r="CUN1057" s="103"/>
      <c r="CUZ1057" s="104"/>
      <c r="CVA1057" s="103"/>
      <c r="CVM1057" s="104"/>
      <c r="CVN1057" s="103"/>
      <c r="CVZ1057" s="104"/>
      <c r="CWA1057" s="103"/>
      <c r="CWM1057" s="104"/>
      <c r="CWN1057" s="103"/>
      <c r="CWZ1057" s="104"/>
      <c r="CXA1057" s="103"/>
      <c r="CXM1057" s="104"/>
      <c r="CXN1057" s="103"/>
      <c r="CXZ1057" s="104"/>
      <c r="CYA1057" s="103"/>
      <c r="CYM1057" s="104"/>
      <c r="CYN1057" s="103"/>
      <c r="CYZ1057" s="104"/>
      <c r="CZA1057" s="103"/>
      <c r="CZM1057" s="104"/>
      <c r="CZN1057" s="103"/>
      <c r="CZZ1057" s="104"/>
      <c r="DAA1057" s="103"/>
      <c r="DAM1057" s="104"/>
      <c r="DAN1057" s="103"/>
      <c r="DAZ1057" s="104"/>
      <c r="DBA1057" s="103"/>
      <c r="DBM1057" s="104"/>
      <c r="DBN1057" s="103"/>
      <c r="DBZ1057" s="104"/>
      <c r="DCA1057" s="103"/>
      <c r="DCM1057" s="104"/>
      <c r="DCN1057" s="103"/>
      <c r="DCZ1057" s="104"/>
      <c r="DDA1057" s="103"/>
      <c r="DDM1057" s="104"/>
      <c r="DDN1057" s="103"/>
      <c r="DDZ1057" s="104"/>
      <c r="DEA1057" s="103"/>
      <c r="DEM1057" s="104"/>
      <c r="DEN1057" s="103"/>
      <c r="DEZ1057" s="104"/>
      <c r="DFA1057" s="103"/>
      <c r="DFM1057" s="104"/>
      <c r="DFN1057" s="103"/>
      <c r="DFZ1057" s="104"/>
      <c r="DGA1057" s="103"/>
      <c r="DGM1057" s="104"/>
      <c r="DGN1057" s="103"/>
      <c r="DGZ1057" s="104"/>
      <c r="DHA1057" s="103"/>
      <c r="DHM1057" s="104"/>
      <c r="DHN1057" s="103"/>
      <c r="DHZ1057" s="104"/>
      <c r="DIA1057" s="103"/>
      <c r="DIM1057" s="104"/>
      <c r="DIN1057" s="103"/>
      <c r="DIZ1057" s="104"/>
      <c r="DJA1057" s="103"/>
      <c r="DJM1057" s="104"/>
      <c r="DJN1057" s="103"/>
      <c r="DJZ1057" s="104"/>
      <c r="DKA1057" s="103"/>
      <c r="DKM1057" s="104"/>
      <c r="DKN1057" s="103"/>
      <c r="DKZ1057" s="104"/>
      <c r="DLA1057" s="103"/>
      <c r="DLM1057" s="104"/>
      <c r="DLN1057" s="103"/>
      <c r="DLZ1057" s="104"/>
      <c r="DMA1057" s="103"/>
      <c r="DMM1057" s="104"/>
      <c r="DMN1057" s="103"/>
      <c r="DMZ1057" s="104"/>
      <c r="DNA1057" s="103"/>
      <c r="DNM1057" s="104"/>
      <c r="DNN1057" s="103"/>
      <c r="DNZ1057" s="104"/>
      <c r="DOA1057" s="103"/>
      <c r="DOM1057" s="104"/>
      <c r="DON1057" s="103"/>
      <c r="DOZ1057" s="104"/>
      <c r="DPA1057" s="103"/>
      <c r="DPM1057" s="104"/>
      <c r="DPN1057" s="103"/>
      <c r="DPZ1057" s="104"/>
      <c r="DQA1057" s="103"/>
      <c r="DQM1057" s="104"/>
      <c r="DQN1057" s="103"/>
      <c r="DQZ1057" s="104"/>
      <c r="DRA1057" s="103"/>
      <c r="DRM1057" s="104"/>
      <c r="DRN1057" s="103"/>
      <c r="DRZ1057" s="104"/>
      <c r="DSA1057" s="103"/>
      <c r="DSM1057" s="104"/>
      <c r="DSN1057" s="103"/>
      <c r="DSZ1057" s="104"/>
      <c r="DTA1057" s="103"/>
      <c r="DTM1057" s="104"/>
      <c r="DTN1057" s="103"/>
      <c r="DTZ1057" s="104"/>
      <c r="DUA1057" s="103"/>
      <c r="DUM1057" s="104"/>
      <c r="DUN1057" s="103"/>
      <c r="DUZ1057" s="104"/>
      <c r="DVA1057" s="103"/>
      <c r="DVM1057" s="104"/>
      <c r="DVN1057" s="103"/>
      <c r="DVZ1057" s="104"/>
      <c r="DWA1057" s="103"/>
      <c r="DWM1057" s="104"/>
      <c r="DWN1057" s="103"/>
      <c r="DWZ1057" s="104"/>
      <c r="DXA1057" s="103"/>
      <c r="DXM1057" s="104"/>
      <c r="DXN1057" s="103"/>
      <c r="DXZ1057" s="104"/>
      <c r="DYA1057" s="103"/>
      <c r="DYM1057" s="104"/>
      <c r="DYN1057" s="103"/>
      <c r="DYZ1057" s="104"/>
      <c r="DZA1057" s="103"/>
      <c r="DZM1057" s="104"/>
      <c r="DZN1057" s="103"/>
      <c r="DZZ1057" s="104"/>
      <c r="EAA1057" s="103"/>
      <c r="EAM1057" s="104"/>
      <c r="EAN1057" s="103"/>
      <c r="EAZ1057" s="104"/>
      <c r="EBA1057" s="103"/>
      <c r="EBM1057" s="104"/>
      <c r="EBN1057" s="103"/>
      <c r="EBZ1057" s="104"/>
      <c r="ECA1057" s="103"/>
      <c r="ECM1057" s="104"/>
      <c r="ECN1057" s="103"/>
      <c r="ECZ1057" s="104"/>
      <c r="EDA1057" s="103"/>
      <c r="EDM1057" s="104"/>
      <c r="EDN1057" s="103"/>
      <c r="EDZ1057" s="104"/>
      <c r="EEA1057" s="103"/>
      <c r="EEM1057" s="104"/>
      <c r="EEN1057" s="103"/>
      <c r="EEZ1057" s="104"/>
      <c r="EFA1057" s="103"/>
      <c r="EFM1057" s="104"/>
      <c r="EFN1057" s="103"/>
      <c r="EFZ1057" s="104"/>
      <c r="EGA1057" s="103"/>
      <c r="EGM1057" s="104"/>
      <c r="EGN1057" s="103"/>
      <c r="EGZ1057" s="104"/>
      <c r="EHA1057" s="103"/>
      <c r="EHM1057" s="104"/>
      <c r="EHN1057" s="103"/>
      <c r="EHZ1057" s="104"/>
      <c r="EIA1057" s="103"/>
      <c r="EIM1057" s="104"/>
      <c r="EIN1057" s="103"/>
      <c r="EIZ1057" s="104"/>
      <c r="EJA1057" s="103"/>
      <c r="EJM1057" s="104"/>
      <c r="EJN1057" s="103"/>
      <c r="EJZ1057" s="104"/>
      <c r="EKA1057" s="103"/>
      <c r="EKM1057" s="104"/>
      <c r="EKN1057" s="103"/>
      <c r="EKZ1057" s="104"/>
      <c r="ELA1057" s="103"/>
      <c r="ELM1057" s="104"/>
      <c r="ELN1057" s="103"/>
      <c r="ELZ1057" s="104"/>
      <c r="EMA1057" s="103"/>
      <c r="EMM1057" s="104"/>
      <c r="EMN1057" s="103"/>
      <c r="EMZ1057" s="104"/>
      <c r="ENA1057" s="103"/>
      <c r="ENM1057" s="104"/>
      <c r="ENN1057" s="103"/>
      <c r="ENZ1057" s="104"/>
      <c r="EOA1057" s="103"/>
      <c r="EOM1057" s="104"/>
      <c r="EON1057" s="103"/>
      <c r="EOZ1057" s="104"/>
      <c r="EPA1057" s="103"/>
      <c r="EPM1057" s="104"/>
      <c r="EPN1057" s="103"/>
      <c r="EPZ1057" s="104"/>
      <c r="EQA1057" s="103"/>
      <c r="EQM1057" s="104"/>
      <c r="EQN1057" s="103"/>
      <c r="EQZ1057" s="104"/>
      <c r="ERA1057" s="103"/>
      <c r="ERM1057" s="104"/>
      <c r="ERN1057" s="103"/>
      <c r="ERZ1057" s="104"/>
      <c r="ESA1057" s="103"/>
      <c r="ESM1057" s="104"/>
      <c r="ESN1057" s="103"/>
      <c r="ESZ1057" s="104"/>
      <c r="ETA1057" s="103"/>
      <c r="ETM1057" s="104"/>
      <c r="ETN1057" s="103"/>
      <c r="ETZ1057" s="104"/>
      <c r="EUA1057" s="103"/>
      <c r="EUM1057" s="104"/>
      <c r="EUN1057" s="103"/>
      <c r="EUZ1057" s="104"/>
      <c r="EVA1057" s="103"/>
      <c r="EVM1057" s="104"/>
      <c r="EVN1057" s="103"/>
      <c r="EVZ1057" s="104"/>
      <c r="EWA1057" s="103"/>
      <c r="EWM1057" s="104"/>
      <c r="EWN1057" s="103"/>
      <c r="EWZ1057" s="104"/>
      <c r="EXA1057" s="103"/>
      <c r="EXM1057" s="104"/>
      <c r="EXN1057" s="103"/>
      <c r="EXZ1057" s="104"/>
      <c r="EYA1057" s="103"/>
      <c r="EYM1057" s="104"/>
      <c r="EYN1057" s="103"/>
      <c r="EYZ1057" s="104"/>
      <c r="EZA1057" s="103"/>
      <c r="EZM1057" s="104"/>
      <c r="EZN1057" s="103"/>
      <c r="EZZ1057" s="104"/>
      <c r="FAA1057" s="103"/>
      <c r="FAM1057" s="104"/>
      <c r="FAN1057" s="103"/>
      <c r="FAZ1057" s="104"/>
      <c r="FBA1057" s="103"/>
      <c r="FBM1057" s="104"/>
      <c r="FBN1057" s="103"/>
      <c r="FBZ1057" s="104"/>
      <c r="FCA1057" s="103"/>
      <c r="FCM1057" s="104"/>
      <c r="FCN1057" s="103"/>
      <c r="FCZ1057" s="104"/>
      <c r="FDA1057" s="103"/>
      <c r="FDM1057" s="104"/>
      <c r="FDN1057" s="103"/>
      <c r="FDZ1057" s="104"/>
      <c r="FEA1057" s="103"/>
      <c r="FEM1057" s="104"/>
      <c r="FEN1057" s="103"/>
      <c r="FEZ1057" s="104"/>
      <c r="FFA1057" s="103"/>
      <c r="FFM1057" s="104"/>
      <c r="FFN1057" s="103"/>
      <c r="FFZ1057" s="104"/>
      <c r="FGA1057" s="103"/>
      <c r="FGM1057" s="104"/>
      <c r="FGN1057" s="103"/>
      <c r="FGZ1057" s="104"/>
      <c r="FHA1057" s="103"/>
      <c r="FHM1057" s="104"/>
      <c r="FHN1057" s="103"/>
      <c r="FHZ1057" s="104"/>
      <c r="FIA1057" s="103"/>
      <c r="FIM1057" s="104"/>
      <c r="FIN1057" s="103"/>
      <c r="FIZ1057" s="104"/>
      <c r="FJA1057" s="103"/>
      <c r="FJM1057" s="104"/>
      <c r="FJN1057" s="103"/>
      <c r="FJZ1057" s="104"/>
      <c r="FKA1057" s="103"/>
      <c r="FKM1057" s="104"/>
      <c r="FKN1057" s="103"/>
      <c r="FKZ1057" s="104"/>
      <c r="FLA1057" s="103"/>
      <c r="FLM1057" s="104"/>
      <c r="FLN1057" s="103"/>
      <c r="FLZ1057" s="104"/>
      <c r="FMA1057" s="103"/>
      <c r="FMM1057" s="104"/>
      <c r="FMN1057" s="103"/>
      <c r="FMZ1057" s="104"/>
      <c r="FNA1057" s="103"/>
      <c r="FNM1057" s="104"/>
      <c r="FNN1057" s="103"/>
      <c r="FNZ1057" s="104"/>
      <c r="FOA1057" s="103"/>
      <c r="FOM1057" s="104"/>
      <c r="FON1057" s="103"/>
      <c r="FOZ1057" s="104"/>
      <c r="FPA1057" s="103"/>
      <c r="FPM1057" s="104"/>
      <c r="FPN1057" s="103"/>
      <c r="FPZ1057" s="104"/>
      <c r="FQA1057" s="103"/>
      <c r="FQM1057" s="104"/>
      <c r="FQN1057" s="103"/>
      <c r="FQZ1057" s="104"/>
      <c r="FRA1057" s="103"/>
      <c r="FRM1057" s="104"/>
      <c r="FRN1057" s="103"/>
      <c r="FRZ1057" s="104"/>
      <c r="FSA1057" s="103"/>
      <c r="FSM1057" s="104"/>
      <c r="FSN1057" s="103"/>
      <c r="FSZ1057" s="104"/>
      <c r="FTA1057" s="103"/>
      <c r="FTM1057" s="104"/>
      <c r="FTN1057" s="103"/>
      <c r="FTZ1057" s="104"/>
      <c r="FUA1057" s="103"/>
      <c r="FUM1057" s="104"/>
      <c r="FUN1057" s="103"/>
      <c r="FUZ1057" s="104"/>
      <c r="FVA1057" s="103"/>
      <c r="FVM1057" s="104"/>
      <c r="FVN1057" s="103"/>
      <c r="FVZ1057" s="104"/>
      <c r="FWA1057" s="103"/>
      <c r="FWM1057" s="104"/>
      <c r="FWN1057" s="103"/>
      <c r="FWZ1057" s="104"/>
      <c r="FXA1057" s="103"/>
      <c r="FXM1057" s="104"/>
      <c r="FXN1057" s="103"/>
      <c r="FXZ1057" s="104"/>
      <c r="FYA1057" s="103"/>
      <c r="FYM1057" s="104"/>
      <c r="FYN1057" s="103"/>
      <c r="FYZ1057" s="104"/>
      <c r="FZA1057" s="103"/>
      <c r="FZM1057" s="104"/>
      <c r="FZN1057" s="103"/>
      <c r="FZZ1057" s="104"/>
      <c r="GAA1057" s="103"/>
      <c r="GAM1057" s="104"/>
      <c r="GAN1057" s="103"/>
      <c r="GAZ1057" s="104"/>
      <c r="GBA1057" s="103"/>
      <c r="GBM1057" s="104"/>
      <c r="GBN1057" s="103"/>
      <c r="GBZ1057" s="104"/>
      <c r="GCA1057" s="103"/>
      <c r="GCM1057" s="104"/>
      <c r="GCN1057" s="103"/>
      <c r="GCZ1057" s="104"/>
      <c r="GDA1057" s="103"/>
      <c r="GDM1057" s="104"/>
      <c r="GDN1057" s="103"/>
      <c r="GDZ1057" s="104"/>
      <c r="GEA1057" s="103"/>
      <c r="GEM1057" s="104"/>
      <c r="GEN1057" s="103"/>
      <c r="GEZ1057" s="104"/>
      <c r="GFA1057" s="103"/>
      <c r="GFM1057" s="104"/>
      <c r="GFN1057" s="103"/>
      <c r="GFZ1057" s="104"/>
      <c r="GGA1057" s="103"/>
      <c r="GGM1057" s="104"/>
      <c r="GGN1057" s="103"/>
      <c r="GGZ1057" s="104"/>
      <c r="GHA1057" s="103"/>
      <c r="GHM1057" s="104"/>
      <c r="GHN1057" s="103"/>
      <c r="GHZ1057" s="104"/>
      <c r="GIA1057" s="103"/>
      <c r="GIM1057" s="104"/>
      <c r="GIN1057" s="103"/>
      <c r="GIZ1057" s="104"/>
      <c r="GJA1057" s="103"/>
      <c r="GJM1057" s="104"/>
      <c r="GJN1057" s="103"/>
      <c r="GJZ1057" s="104"/>
      <c r="GKA1057" s="103"/>
      <c r="GKM1057" s="104"/>
      <c r="GKN1057" s="103"/>
      <c r="GKZ1057" s="104"/>
      <c r="GLA1057" s="103"/>
      <c r="GLM1057" s="104"/>
      <c r="GLN1057" s="103"/>
      <c r="GLZ1057" s="104"/>
      <c r="GMA1057" s="103"/>
      <c r="GMM1057" s="104"/>
      <c r="GMN1057" s="103"/>
      <c r="GMZ1057" s="104"/>
      <c r="GNA1057" s="103"/>
      <c r="GNM1057" s="104"/>
      <c r="GNN1057" s="103"/>
      <c r="GNZ1057" s="104"/>
      <c r="GOA1057" s="103"/>
      <c r="GOM1057" s="104"/>
      <c r="GON1057" s="103"/>
      <c r="GOZ1057" s="104"/>
      <c r="GPA1057" s="103"/>
      <c r="GPM1057" s="104"/>
      <c r="GPN1057" s="103"/>
      <c r="GPZ1057" s="104"/>
      <c r="GQA1057" s="103"/>
      <c r="GQM1057" s="104"/>
      <c r="GQN1057" s="103"/>
      <c r="GQZ1057" s="104"/>
      <c r="GRA1057" s="103"/>
      <c r="GRM1057" s="104"/>
      <c r="GRN1057" s="103"/>
      <c r="GRZ1057" s="104"/>
      <c r="GSA1057" s="103"/>
      <c r="GSM1057" s="104"/>
      <c r="GSN1057" s="103"/>
      <c r="GSZ1057" s="104"/>
      <c r="GTA1057" s="103"/>
      <c r="GTM1057" s="104"/>
      <c r="GTN1057" s="103"/>
      <c r="GTZ1057" s="104"/>
      <c r="GUA1057" s="103"/>
      <c r="GUM1057" s="104"/>
      <c r="GUN1057" s="103"/>
      <c r="GUZ1057" s="104"/>
      <c r="GVA1057" s="103"/>
      <c r="GVM1057" s="104"/>
      <c r="GVN1057" s="103"/>
      <c r="GVZ1057" s="104"/>
      <c r="GWA1057" s="103"/>
      <c r="GWM1057" s="104"/>
      <c r="GWN1057" s="103"/>
      <c r="GWZ1057" s="104"/>
      <c r="GXA1057" s="103"/>
      <c r="GXM1057" s="104"/>
      <c r="GXN1057" s="103"/>
      <c r="GXZ1057" s="104"/>
      <c r="GYA1057" s="103"/>
      <c r="GYM1057" s="104"/>
      <c r="GYN1057" s="103"/>
      <c r="GYZ1057" s="104"/>
      <c r="GZA1057" s="103"/>
      <c r="GZM1057" s="104"/>
      <c r="GZN1057" s="103"/>
      <c r="GZZ1057" s="104"/>
      <c r="HAA1057" s="103"/>
      <c r="HAM1057" s="104"/>
      <c r="HAN1057" s="103"/>
      <c r="HAZ1057" s="104"/>
      <c r="HBA1057" s="103"/>
      <c r="HBM1057" s="104"/>
      <c r="HBN1057" s="103"/>
      <c r="HBZ1057" s="104"/>
      <c r="HCA1057" s="103"/>
      <c r="HCM1057" s="104"/>
      <c r="HCN1057" s="103"/>
      <c r="HCZ1057" s="104"/>
      <c r="HDA1057" s="103"/>
      <c r="HDM1057" s="104"/>
      <c r="HDN1057" s="103"/>
      <c r="HDZ1057" s="104"/>
      <c r="HEA1057" s="103"/>
      <c r="HEM1057" s="104"/>
      <c r="HEN1057" s="103"/>
      <c r="HEZ1057" s="104"/>
      <c r="HFA1057" s="103"/>
      <c r="HFM1057" s="104"/>
      <c r="HFN1057" s="103"/>
      <c r="HFZ1057" s="104"/>
      <c r="HGA1057" s="103"/>
      <c r="HGM1057" s="104"/>
      <c r="HGN1057" s="103"/>
      <c r="HGZ1057" s="104"/>
      <c r="HHA1057" s="103"/>
      <c r="HHM1057" s="104"/>
      <c r="HHN1057" s="103"/>
      <c r="HHZ1057" s="104"/>
      <c r="HIA1057" s="103"/>
      <c r="HIM1057" s="104"/>
      <c r="HIN1057" s="103"/>
      <c r="HIZ1057" s="104"/>
      <c r="HJA1057" s="103"/>
      <c r="HJM1057" s="104"/>
      <c r="HJN1057" s="103"/>
      <c r="HJZ1057" s="104"/>
      <c r="HKA1057" s="103"/>
      <c r="HKM1057" s="104"/>
      <c r="HKN1057" s="103"/>
      <c r="HKZ1057" s="104"/>
      <c r="HLA1057" s="103"/>
      <c r="HLM1057" s="104"/>
      <c r="HLN1057" s="103"/>
      <c r="HLZ1057" s="104"/>
      <c r="HMA1057" s="103"/>
      <c r="HMM1057" s="104"/>
      <c r="HMN1057" s="103"/>
      <c r="HMZ1057" s="104"/>
      <c r="HNA1057" s="103"/>
      <c r="HNM1057" s="104"/>
      <c r="HNN1057" s="103"/>
      <c r="HNZ1057" s="104"/>
      <c r="HOA1057" s="103"/>
      <c r="HOM1057" s="104"/>
      <c r="HON1057" s="103"/>
      <c r="HOZ1057" s="104"/>
      <c r="HPA1057" s="103"/>
      <c r="HPM1057" s="104"/>
      <c r="HPN1057" s="103"/>
      <c r="HPZ1057" s="104"/>
      <c r="HQA1057" s="103"/>
      <c r="HQM1057" s="104"/>
      <c r="HQN1057" s="103"/>
      <c r="HQZ1057" s="104"/>
      <c r="HRA1057" s="103"/>
      <c r="HRM1057" s="104"/>
      <c r="HRN1057" s="103"/>
      <c r="HRZ1057" s="104"/>
      <c r="HSA1057" s="103"/>
      <c r="HSM1057" s="104"/>
      <c r="HSN1057" s="103"/>
      <c r="HSZ1057" s="104"/>
      <c r="HTA1057" s="103"/>
      <c r="HTM1057" s="104"/>
      <c r="HTN1057" s="103"/>
      <c r="HTZ1057" s="104"/>
      <c r="HUA1057" s="103"/>
      <c r="HUM1057" s="104"/>
      <c r="HUN1057" s="103"/>
      <c r="HUZ1057" s="104"/>
      <c r="HVA1057" s="103"/>
      <c r="HVM1057" s="104"/>
      <c r="HVN1057" s="103"/>
      <c r="HVZ1057" s="104"/>
      <c r="HWA1057" s="103"/>
      <c r="HWM1057" s="104"/>
      <c r="HWN1057" s="103"/>
      <c r="HWZ1057" s="104"/>
      <c r="HXA1057" s="103"/>
      <c r="HXM1057" s="104"/>
      <c r="HXN1057" s="103"/>
      <c r="HXZ1057" s="104"/>
      <c r="HYA1057" s="103"/>
      <c r="HYM1057" s="104"/>
      <c r="HYN1057" s="103"/>
      <c r="HYZ1057" s="104"/>
      <c r="HZA1057" s="103"/>
      <c r="HZM1057" s="104"/>
      <c r="HZN1057" s="103"/>
      <c r="HZZ1057" s="104"/>
      <c r="IAA1057" s="103"/>
      <c r="IAM1057" s="104"/>
      <c r="IAN1057" s="103"/>
      <c r="IAZ1057" s="104"/>
      <c r="IBA1057" s="103"/>
      <c r="IBM1057" s="104"/>
      <c r="IBN1057" s="103"/>
      <c r="IBZ1057" s="104"/>
      <c r="ICA1057" s="103"/>
      <c r="ICM1057" s="104"/>
      <c r="ICN1057" s="103"/>
      <c r="ICZ1057" s="104"/>
      <c r="IDA1057" s="103"/>
      <c r="IDM1057" s="104"/>
      <c r="IDN1057" s="103"/>
      <c r="IDZ1057" s="104"/>
      <c r="IEA1057" s="103"/>
      <c r="IEM1057" s="104"/>
      <c r="IEN1057" s="103"/>
      <c r="IEZ1057" s="104"/>
      <c r="IFA1057" s="103"/>
      <c r="IFM1057" s="104"/>
      <c r="IFN1057" s="103"/>
      <c r="IFZ1057" s="104"/>
      <c r="IGA1057" s="103"/>
      <c r="IGM1057" s="104"/>
      <c r="IGN1057" s="103"/>
      <c r="IGZ1057" s="104"/>
      <c r="IHA1057" s="103"/>
      <c r="IHM1057" s="104"/>
      <c r="IHN1057" s="103"/>
      <c r="IHZ1057" s="104"/>
      <c r="IIA1057" s="103"/>
      <c r="IIM1057" s="104"/>
      <c r="IIN1057" s="103"/>
      <c r="IIZ1057" s="104"/>
      <c r="IJA1057" s="103"/>
      <c r="IJM1057" s="104"/>
      <c r="IJN1057" s="103"/>
      <c r="IJZ1057" s="104"/>
      <c r="IKA1057" s="103"/>
      <c r="IKM1057" s="104"/>
      <c r="IKN1057" s="103"/>
      <c r="IKZ1057" s="104"/>
      <c r="ILA1057" s="103"/>
      <c r="ILM1057" s="104"/>
      <c r="ILN1057" s="103"/>
      <c r="ILZ1057" s="104"/>
      <c r="IMA1057" s="103"/>
      <c r="IMM1057" s="104"/>
      <c r="IMN1057" s="103"/>
      <c r="IMZ1057" s="104"/>
      <c r="INA1057" s="103"/>
      <c r="INM1057" s="104"/>
      <c r="INN1057" s="103"/>
      <c r="INZ1057" s="104"/>
      <c r="IOA1057" s="103"/>
      <c r="IOM1057" s="104"/>
      <c r="ION1057" s="103"/>
      <c r="IOZ1057" s="104"/>
      <c r="IPA1057" s="103"/>
      <c r="IPM1057" s="104"/>
      <c r="IPN1057" s="103"/>
      <c r="IPZ1057" s="104"/>
      <c r="IQA1057" s="103"/>
      <c r="IQM1057" s="104"/>
      <c r="IQN1057" s="103"/>
      <c r="IQZ1057" s="104"/>
      <c r="IRA1057" s="103"/>
      <c r="IRM1057" s="104"/>
      <c r="IRN1057" s="103"/>
      <c r="IRZ1057" s="104"/>
      <c r="ISA1057" s="103"/>
      <c r="ISM1057" s="104"/>
      <c r="ISN1057" s="103"/>
      <c r="ISZ1057" s="104"/>
      <c r="ITA1057" s="103"/>
      <c r="ITM1057" s="104"/>
      <c r="ITN1057" s="103"/>
      <c r="ITZ1057" s="104"/>
      <c r="IUA1057" s="103"/>
      <c r="IUM1057" s="104"/>
      <c r="IUN1057" s="103"/>
      <c r="IUZ1057" s="104"/>
      <c r="IVA1057" s="103"/>
      <c r="IVM1057" s="104"/>
      <c r="IVN1057" s="103"/>
      <c r="IVZ1057" s="104"/>
      <c r="IWA1057" s="103"/>
      <c r="IWM1057" s="104"/>
      <c r="IWN1057" s="103"/>
      <c r="IWZ1057" s="104"/>
      <c r="IXA1057" s="103"/>
      <c r="IXM1057" s="104"/>
      <c r="IXN1057" s="103"/>
      <c r="IXZ1057" s="104"/>
      <c r="IYA1057" s="103"/>
      <c r="IYM1057" s="104"/>
      <c r="IYN1057" s="103"/>
      <c r="IYZ1057" s="104"/>
      <c r="IZA1057" s="103"/>
      <c r="IZM1057" s="104"/>
      <c r="IZN1057" s="103"/>
      <c r="IZZ1057" s="104"/>
      <c r="JAA1057" s="103"/>
      <c r="JAM1057" s="104"/>
      <c r="JAN1057" s="103"/>
      <c r="JAZ1057" s="104"/>
      <c r="JBA1057" s="103"/>
      <c r="JBM1057" s="104"/>
      <c r="JBN1057" s="103"/>
      <c r="JBZ1057" s="104"/>
      <c r="JCA1057" s="103"/>
      <c r="JCM1057" s="104"/>
      <c r="JCN1057" s="103"/>
      <c r="JCZ1057" s="104"/>
      <c r="JDA1057" s="103"/>
      <c r="JDM1057" s="104"/>
      <c r="JDN1057" s="103"/>
      <c r="JDZ1057" s="104"/>
      <c r="JEA1057" s="103"/>
      <c r="JEM1057" s="104"/>
      <c r="JEN1057" s="103"/>
      <c r="JEZ1057" s="104"/>
      <c r="JFA1057" s="103"/>
      <c r="JFM1057" s="104"/>
      <c r="JFN1057" s="103"/>
      <c r="JFZ1057" s="104"/>
      <c r="JGA1057" s="103"/>
      <c r="JGM1057" s="104"/>
      <c r="JGN1057" s="103"/>
      <c r="JGZ1057" s="104"/>
      <c r="JHA1057" s="103"/>
      <c r="JHM1057" s="104"/>
      <c r="JHN1057" s="103"/>
      <c r="JHZ1057" s="104"/>
      <c r="JIA1057" s="103"/>
      <c r="JIM1057" s="104"/>
      <c r="JIN1057" s="103"/>
      <c r="JIZ1057" s="104"/>
      <c r="JJA1057" s="103"/>
      <c r="JJM1057" s="104"/>
      <c r="JJN1057" s="103"/>
      <c r="JJZ1057" s="104"/>
      <c r="JKA1057" s="103"/>
      <c r="JKM1057" s="104"/>
      <c r="JKN1057" s="103"/>
      <c r="JKZ1057" s="104"/>
      <c r="JLA1057" s="103"/>
      <c r="JLM1057" s="104"/>
      <c r="JLN1057" s="103"/>
      <c r="JLZ1057" s="104"/>
      <c r="JMA1057" s="103"/>
      <c r="JMM1057" s="104"/>
      <c r="JMN1057" s="103"/>
      <c r="JMZ1057" s="104"/>
      <c r="JNA1057" s="103"/>
      <c r="JNM1057" s="104"/>
      <c r="JNN1057" s="103"/>
      <c r="JNZ1057" s="104"/>
      <c r="JOA1057" s="103"/>
      <c r="JOM1057" s="104"/>
      <c r="JON1057" s="103"/>
      <c r="JOZ1057" s="104"/>
      <c r="JPA1057" s="103"/>
      <c r="JPM1057" s="104"/>
      <c r="JPN1057" s="103"/>
      <c r="JPZ1057" s="104"/>
      <c r="JQA1057" s="103"/>
      <c r="JQM1057" s="104"/>
      <c r="JQN1057" s="103"/>
      <c r="JQZ1057" s="104"/>
      <c r="JRA1057" s="103"/>
      <c r="JRM1057" s="104"/>
      <c r="JRN1057" s="103"/>
      <c r="JRZ1057" s="104"/>
      <c r="JSA1057" s="103"/>
      <c r="JSM1057" s="104"/>
      <c r="JSN1057" s="103"/>
      <c r="JSZ1057" s="104"/>
      <c r="JTA1057" s="103"/>
      <c r="JTM1057" s="104"/>
      <c r="JTN1057" s="103"/>
      <c r="JTZ1057" s="104"/>
      <c r="JUA1057" s="103"/>
      <c r="JUM1057" s="104"/>
      <c r="JUN1057" s="103"/>
      <c r="JUZ1057" s="104"/>
      <c r="JVA1057" s="103"/>
      <c r="JVM1057" s="104"/>
      <c r="JVN1057" s="103"/>
      <c r="JVZ1057" s="104"/>
      <c r="JWA1057" s="103"/>
      <c r="JWM1057" s="104"/>
      <c r="JWN1057" s="103"/>
      <c r="JWZ1057" s="104"/>
      <c r="JXA1057" s="103"/>
      <c r="JXM1057" s="104"/>
      <c r="JXN1057" s="103"/>
      <c r="JXZ1057" s="104"/>
      <c r="JYA1057" s="103"/>
      <c r="JYM1057" s="104"/>
      <c r="JYN1057" s="103"/>
      <c r="JYZ1057" s="104"/>
      <c r="JZA1057" s="103"/>
      <c r="JZM1057" s="104"/>
      <c r="JZN1057" s="103"/>
      <c r="JZZ1057" s="104"/>
      <c r="KAA1057" s="103"/>
      <c r="KAM1057" s="104"/>
      <c r="KAN1057" s="103"/>
      <c r="KAZ1057" s="104"/>
      <c r="KBA1057" s="103"/>
      <c r="KBM1057" s="104"/>
      <c r="KBN1057" s="103"/>
      <c r="KBZ1057" s="104"/>
      <c r="KCA1057" s="103"/>
      <c r="KCM1057" s="104"/>
      <c r="KCN1057" s="103"/>
      <c r="KCZ1057" s="104"/>
      <c r="KDA1057" s="103"/>
      <c r="KDM1057" s="104"/>
      <c r="KDN1057" s="103"/>
      <c r="KDZ1057" s="104"/>
      <c r="KEA1057" s="103"/>
      <c r="KEM1057" s="104"/>
      <c r="KEN1057" s="103"/>
      <c r="KEZ1057" s="104"/>
      <c r="KFA1057" s="103"/>
      <c r="KFM1057" s="104"/>
      <c r="KFN1057" s="103"/>
      <c r="KFZ1057" s="104"/>
      <c r="KGA1057" s="103"/>
      <c r="KGM1057" s="104"/>
      <c r="KGN1057" s="103"/>
      <c r="KGZ1057" s="104"/>
      <c r="KHA1057" s="103"/>
      <c r="KHM1057" s="104"/>
      <c r="KHN1057" s="103"/>
      <c r="KHZ1057" s="104"/>
      <c r="KIA1057" s="103"/>
      <c r="KIM1057" s="104"/>
      <c r="KIN1057" s="103"/>
      <c r="KIZ1057" s="104"/>
      <c r="KJA1057" s="103"/>
      <c r="KJM1057" s="104"/>
      <c r="KJN1057" s="103"/>
      <c r="KJZ1057" s="104"/>
      <c r="KKA1057" s="103"/>
      <c r="KKM1057" s="104"/>
      <c r="KKN1057" s="103"/>
      <c r="KKZ1057" s="104"/>
      <c r="KLA1057" s="103"/>
      <c r="KLM1057" s="104"/>
      <c r="KLN1057" s="103"/>
      <c r="KLZ1057" s="104"/>
      <c r="KMA1057" s="103"/>
      <c r="KMM1057" s="104"/>
      <c r="KMN1057" s="103"/>
      <c r="KMZ1057" s="104"/>
      <c r="KNA1057" s="103"/>
      <c r="KNM1057" s="104"/>
      <c r="KNN1057" s="103"/>
      <c r="KNZ1057" s="104"/>
      <c r="KOA1057" s="103"/>
      <c r="KOM1057" s="104"/>
      <c r="KON1057" s="103"/>
      <c r="KOZ1057" s="104"/>
      <c r="KPA1057" s="103"/>
      <c r="KPM1057" s="104"/>
      <c r="KPN1057" s="103"/>
      <c r="KPZ1057" s="104"/>
      <c r="KQA1057" s="103"/>
      <c r="KQM1057" s="104"/>
      <c r="KQN1057" s="103"/>
      <c r="KQZ1057" s="104"/>
      <c r="KRA1057" s="103"/>
      <c r="KRM1057" s="104"/>
      <c r="KRN1057" s="103"/>
      <c r="KRZ1057" s="104"/>
      <c r="KSA1057" s="103"/>
      <c r="KSM1057" s="104"/>
      <c r="KSN1057" s="103"/>
      <c r="KSZ1057" s="104"/>
      <c r="KTA1057" s="103"/>
      <c r="KTM1057" s="104"/>
      <c r="KTN1057" s="103"/>
      <c r="KTZ1057" s="104"/>
      <c r="KUA1057" s="103"/>
      <c r="KUM1057" s="104"/>
      <c r="KUN1057" s="103"/>
      <c r="KUZ1057" s="104"/>
      <c r="KVA1057" s="103"/>
      <c r="KVM1057" s="104"/>
      <c r="KVN1057" s="103"/>
      <c r="KVZ1057" s="104"/>
      <c r="KWA1057" s="103"/>
      <c r="KWM1057" s="104"/>
      <c r="KWN1057" s="103"/>
      <c r="KWZ1057" s="104"/>
      <c r="KXA1057" s="103"/>
      <c r="KXM1057" s="104"/>
      <c r="KXN1057" s="103"/>
      <c r="KXZ1057" s="104"/>
      <c r="KYA1057" s="103"/>
      <c r="KYM1057" s="104"/>
      <c r="KYN1057" s="103"/>
      <c r="KYZ1057" s="104"/>
      <c r="KZA1057" s="103"/>
      <c r="KZM1057" s="104"/>
      <c r="KZN1057" s="103"/>
      <c r="KZZ1057" s="104"/>
      <c r="LAA1057" s="103"/>
      <c r="LAM1057" s="104"/>
      <c r="LAN1057" s="103"/>
      <c r="LAZ1057" s="104"/>
      <c r="LBA1057" s="103"/>
      <c r="LBM1057" s="104"/>
      <c r="LBN1057" s="103"/>
      <c r="LBZ1057" s="104"/>
      <c r="LCA1057" s="103"/>
      <c r="LCM1057" s="104"/>
      <c r="LCN1057" s="103"/>
      <c r="LCZ1057" s="104"/>
      <c r="LDA1057" s="103"/>
      <c r="LDM1057" s="104"/>
      <c r="LDN1057" s="103"/>
      <c r="LDZ1057" s="104"/>
      <c r="LEA1057" s="103"/>
      <c r="LEM1057" s="104"/>
      <c r="LEN1057" s="103"/>
      <c r="LEZ1057" s="104"/>
      <c r="LFA1057" s="103"/>
      <c r="LFM1057" s="104"/>
      <c r="LFN1057" s="103"/>
      <c r="LFZ1057" s="104"/>
      <c r="LGA1057" s="103"/>
      <c r="LGM1057" s="104"/>
      <c r="LGN1057" s="103"/>
      <c r="LGZ1057" s="104"/>
      <c r="LHA1057" s="103"/>
      <c r="LHM1057" s="104"/>
      <c r="LHN1057" s="103"/>
      <c r="LHZ1057" s="104"/>
      <c r="LIA1057" s="103"/>
      <c r="LIM1057" s="104"/>
      <c r="LIN1057" s="103"/>
      <c r="LIZ1057" s="104"/>
      <c r="LJA1057" s="103"/>
      <c r="LJM1057" s="104"/>
      <c r="LJN1057" s="103"/>
      <c r="LJZ1057" s="104"/>
      <c r="LKA1057" s="103"/>
      <c r="LKM1057" s="104"/>
      <c r="LKN1057" s="103"/>
      <c r="LKZ1057" s="104"/>
      <c r="LLA1057" s="103"/>
      <c r="LLM1057" s="104"/>
      <c r="LLN1057" s="103"/>
      <c r="LLZ1057" s="104"/>
      <c r="LMA1057" s="103"/>
      <c r="LMM1057" s="104"/>
      <c r="LMN1057" s="103"/>
      <c r="LMZ1057" s="104"/>
      <c r="LNA1057" s="103"/>
      <c r="LNM1057" s="104"/>
      <c r="LNN1057" s="103"/>
      <c r="LNZ1057" s="104"/>
      <c r="LOA1057" s="103"/>
      <c r="LOM1057" s="104"/>
      <c r="LON1057" s="103"/>
      <c r="LOZ1057" s="104"/>
      <c r="LPA1057" s="103"/>
      <c r="LPM1057" s="104"/>
      <c r="LPN1057" s="103"/>
      <c r="LPZ1057" s="104"/>
      <c r="LQA1057" s="103"/>
      <c r="LQM1057" s="104"/>
      <c r="LQN1057" s="103"/>
      <c r="LQZ1057" s="104"/>
      <c r="LRA1057" s="103"/>
      <c r="LRM1057" s="104"/>
      <c r="LRN1057" s="103"/>
      <c r="LRZ1057" s="104"/>
      <c r="LSA1057" s="103"/>
      <c r="LSM1057" s="104"/>
      <c r="LSN1057" s="103"/>
      <c r="LSZ1057" s="104"/>
      <c r="LTA1057" s="103"/>
      <c r="LTM1057" s="104"/>
      <c r="LTN1057" s="103"/>
      <c r="LTZ1057" s="104"/>
      <c r="LUA1057" s="103"/>
      <c r="LUM1057" s="104"/>
      <c r="LUN1057" s="103"/>
      <c r="LUZ1057" s="104"/>
      <c r="LVA1057" s="103"/>
      <c r="LVM1057" s="104"/>
      <c r="LVN1057" s="103"/>
      <c r="LVZ1057" s="104"/>
      <c r="LWA1057" s="103"/>
      <c r="LWM1057" s="104"/>
      <c r="LWN1057" s="103"/>
      <c r="LWZ1057" s="104"/>
      <c r="LXA1057" s="103"/>
      <c r="LXM1057" s="104"/>
      <c r="LXN1057" s="103"/>
      <c r="LXZ1057" s="104"/>
      <c r="LYA1057" s="103"/>
      <c r="LYM1057" s="104"/>
      <c r="LYN1057" s="103"/>
      <c r="LYZ1057" s="104"/>
      <c r="LZA1057" s="103"/>
      <c r="LZM1057" s="104"/>
      <c r="LZN1057" s="103"/>
      <c r="LZZ1057" s="104"/>
      <c r="MAA1057" s="103"/>
      <c r="MAM1057" s="104"/>
      <c r="MAN1057" s="103"/>
      <c r="MAZ1057" s="104"/>
      <c r="MBA1057" s="103"/>
      <c r="MBM1057" s="104"/>
      <c r="MBN1057" s="103"/>
      <c r="MBZ1057" s="104"/>
      <c r="MCA1057" s="103"/>
      <c r="MCM1057" s="104"/>
      <c r="MCN1057" s="103"/>
      <c r="MCZ1057" s="104"/>
      <c r="MDA1057" s="103"/>
      <c r="MDM1057" s="104"/>
      <c r="MDN1057" s="103"/>
      <c r="MDZ1057" s="104"/>
      <c r="MEA1057" s="103"/>
      <c r="MEM1057" s="104"/>
      <c r="MEN1057" s="103"/>
      <c r="MEZ1057" s="104"/>
      <c r="MFA1057" s="103"/>
      <c r="MFM1057" s="104"/>
      <c r="MFN1057" s="103"/>
      <c r="MFZ1057" s="104"/>
      <c r="MGA1057" s="103"/>
      <c r="MGM1057" s="104"/>
      <c r="MGN1057" s="103"/>
      <c r="MGZ1057" s="104"/>
      <c r="MHA1057" s="103"/>
      <c r="MHM1057" s="104"/>
      <c r="MHN1057" s="103"/>
      <c r="MHZ1057" s="104"/>
      <c r="MIA1057" s="103"/>
      <c r="MIM1057" s="104"/>
      <c r="MIN1057" s="103"/>
      <c r="MIZ1057" s="104"/>
      <c r="MJA1057" s="103"/>
      <c r="MJM1057" s="104"/>
      <c r="MJN1057" s="103"/>
      <c r="MJZ1057" s="104"/>
      <c r="MKA1057" s="103"/>
      <c r="MKM1057" s="104"/>
      <c r="MKN1057" s="103"/>
      <c r="MKZ1057" s="104"/>
      <c r="MLA1057" s="103"/>
      <c r="MLM1057" s="104"/>
      <c r="MLN1057" s="103"/>
      <c r="MLZ1057" s="104"/>
      <c r="MMA1057" s="103"/>
      <c r="MMM1057" s="104"/>
      <c r="MMN1057" s="103"/>
      <c r="MMZ1057" s="104"/>
      <c r="MNA1057" s="103"/>
      <c r="MNM1057" s="104"/>
      <c r="MNN1057" s="103"/>
      <c r="MNZ1057" s="104"/>
      <c r="MOA1057" s="103"/>
      <c r="MOM1057" s="104"/>
      <c r="MON1057" s="103"/>
      <c r="MOZ1057" s="104"/>
      <c r="MPA1057" s="103"/>
      <c r="MPM1057" s="104"/>
      <c r="MPN1057" s="103"/>
      <c r="MPZ1057" s="104"/>
      <c r="MQA1057" s="103"/>
      <c r="MQM1057" s="104"/>
      <c r="MQN1057" s="103"/>
      <c r="MQZ1057" s="104"/>
      <c r="MRA1057" s="103"/>
      <c r="MRM1057" s="104"/>
      <c r="MRN1057" s="103"/>
      <c r="MRZ1057" s="104"/>
      <c r="MSA1057" s="103"/>
      <c r="MSM1057" s="104"/>
      <c r="MSN1057" s="103"/>
      <c r="MSZ1057" s="104"/>
      <c r="MTA1057" s="103"/>
      <c r="MTM1057" s="104"/>
      <c r="MTN1057" s="103"/>
      <c r="MTZ1057" s="104"/>
      <c r="MUA1057" s="103"/>
      <c r="MUM1057" s="104"/>
      <c r="MUN1057" s="103"/>
      <c r="MUZ1057" s="104"/>
      <c r="MVA1057" s="103"/>
      <c r="MVM1057" s="104"/>
      <c r="MVN1057" s="103"/>
      <c r="MVZ1057" s="104"/>
      <c r="MWA1057" s="103"/>
      <c r="MWM1057" s="104"/>
      <c r="MWN1057" s="103"/>
      <c r="MWZ1057" s="104"/>
      <c r="MXA1057" s="103"/>
      <c r="MXM1057" s="104"/>
      <c r="MXN1057" s="103"/>
      <c r="MXZ1057" s="104"/>
      <c r="MYA1057" s="103"/>
      <c r="MYM1057" s="104"/>
      <c r="MYN1057" s="103"/>
      <c r="MYZ1057" s="104"/>
      <c r="MZA1057" s="103"/>
      <c r="MZM1057" s="104"/>
      <c r="MZN1057" s="103"/>
      <c r="MZZ1057" s="104"/>
      <c r="NAA1057" s="103"/>
      <c r="NAM1057" s="104"/>
      <c r="NAN1057" s="103"/>
      <c r="NAZ1057" s="104"/>
      <c r="NBA1057" s="103"/>
      <c r="NBM1057" s="104"/>
      <c r="NBN1057" s="103"/>
      <c r="NBZ1057" s="104"/>
      <c r="NCA1057" s="103"/>
      <c r="NCM1057" s="104"/>
      <c r="NCN1057" s="103"/>
      <c r="NCZ1057" s="104"/>
      <c r="NDA1057" s="103"/>
      <c r="NDM1057" s="104"/>
      <c r="NDN1057" s="103"/>
      <c r="NDZ1057" s="104"/>
      <c r="NEA1057" s="103"/>
      <c r="NEM1057" s="104"/>
      <c r="NEN1057" s="103"/>
      <c r="NEZ1057" s="104"/>
      <c r="NFA1057" s="103"/>
      <c r="NFM1057" s="104"/>
      <c r="NFN1057" s="103"/>
      <c r="NFZ1057" s="104"/>
      <c r="NGA1057" s="103"/>
      <c r="NGM1057" s="104"/>
      <c r="NGN1057" s="103"/>
      <c r="NGZ1057" s="104"/>
      <c r="NHA1057" s="103"/>
      <c r="NHM1057" s="104"/>
      <c r="NHN1057" s="103"/>
      <c r="NHZ1057" s="104"/>
      <c r="NIA1057" s="103"/>
      <c r="NIM1057" s="104"/>
      <c r="NIN1057" s="103"/>
      <c r="NIZ1057" s="104"/>
      <c r="NJA1057" s="103"/>
      <c r="NJM1057" s="104"/>
      <c r="NJN1057" s="103"/>
      <c r="NJZ1057" s="104"/>
      <c r="NKA1057" s="103"/>
      <c r="NKM1057" s="104"/>
      <c r="NKN1057" s="103"/>
      <c r="NKZ1057" s="104"/>
      <c r="NLA1057" s="103"/>
      <c r="NLM1057" s="104"/>
      <c r="NLN1057" s="103"/>
      <c r="NLZ1057" s="104"/>
      <c r="NMA1057" s="103"/>
      <c r="NMM1057" s="104"/>
      <c r="NMN1057" s="103"/>
      <c r="NMZ1057" s="104"/>
      <c r="NNA1057" s="103"/>
      <c r="NNM1057" s="104"/>
      <c r="NNN1057" s="103"/>
      <c r="NNZ1057" s="104"/>
      <c r="NOA1057" s="103"/>
      <c r="NOM1057" s="104"/>
      <c r="NON1057" s="103"/>
      <c r="NOZ1057" s="104"/>
      <c r="NPA1057" s="103"/>
      <c r="NPM1057" s="104"/>
      <c r="NPN1057" s="103"/>
      <c r="NPZ1057" s="104"/>
      <c r="NQA1057" s="103"/>
      <c r="NQM1057" s="104"/>
      <c r="NQN1057" s="103"/>
      <c r="NQZ1057" s="104"/>
      <c r="NRA1057" s="103"/>
      <c r="NRM1057" s="104"/>
      <c r="NRN1057" s="103"/>
      <c r="NRZ1057" s="104"/>
      <c r="NSA1057" s="103"/>
      <c r="NSM1057" s="104"/>
      <c r="NSN1057" s="103"/>
      <c r="NSZ1057" s="104"/>
      <c r="NTA1057" s="103"/>
      <c r="NTM1057" s="104"/>
      <c r="NTN1057" s="103"/>
      <c r="NTZ1057" s="104"/>
      <c r="NUA1057" s="103"/>
      <c r="NUM1057" s="104"/>
      <c r="NUN1057" s="103"/>
      <c r="NUZ1057" s="104"/>
      <c r="NVA1057" s="103"/>
      <c r="NVM1057" s="104"/>
      <c r="NVN1057" s="103"/>
      <c r="NVZ1057" s="104"/>
      <c r="NWA1057" s="103"/>
      <c r="NWM1057" s="104"/>
      <c r="NWN1057" s="103"/>
      <c r="NWZ1057" s="104"/>
      <c r="NXA1057" s="103"/>
      <c r="NXM1057" s="104"/>
      <c r="NXN1057" s="103"/>
      <c r="NXZ1057" s="104"/>
      <c r="NYA1057" s="103"/>
      <c r="NYM1057" s="104"/>
      <c r="NYN1057" s="103"/>
      <c r="NYZ1057" s="104"/>
      <c r="NZA1057" s="103"/>
      <c r="NZM1057" s="104"/>
      <c r="NZN1057" s="103"/>
      <c r="NZZ1057" s="104"/>
      <c r="OAA1057" s="103"/>
      <c r="OAM1057" s="104"/>
      <c r="OAN1057" s="103"/>
      <c r="OAZ1057" s="104"/>
      <c r="OBA1057" s="103"/>
      <c r="OBM1057" s="104"/>
      <c r="OBN1057" s="103"/>
      <c r="OBZ1057" s="104"/>
      <c r="OCA1057" s="103"/>
      <c r="OCM1057" s="104"/>
      <c r="OCN1057" s="103"/>
      <c r="OCZ1057" s="104"/>
      <c r="ODA1057" s="103"/>
      <c r="ODM1057" s="104"/>
      <c r="ODN1057" s="103"/>
      <c r="ODZ1057" s="104"/>
      <c r="OEA1057" s="103"/>
      <c r="OEM1057" s="104"/>
      <c r="OEN1057" s="103"/>
      <c r="OEZ1057" s="104"/>
      <c r="OFA1057" s="103"/>
      <c r="OFM1057" s="104"/>
      <c r="OFN1057" s="103"/>
      <c r="OFZ1057" s="104"/>
      <c r="OGA1057" s="103"/>
      <c r="OGM1057" s="104"/>
      <c r="OGN1057" s="103"/>
      <c r="OGZ1057" s="104"/>
      <c r="OHA1057" s="103"/>
      <c r="OHM1057" s="104"/>
      <c r="OHN1057" s="103"/>
      <c r="OHZ1057" s="104"/>
      <c r="OIA1057" s="103"/>
      <c r="OIM1057" s="104"/>
      <c r="OIN1057" s="103"/>
      <c r="OIZ1057" s="104"/>
      <c r="OJA1057" s="103"/>
      <c r="OJM1057" s="104"/>
      <c r="OJN1057" s="103"/>
      <c r="OJZ1057" s="104"/>
      <c r="OKA1057" s="103"/>
      <c r="OKM1057" s="104"/>
      <c r="OKN1057" s="103"/>
      <c r="OKZ1057" s="104"/>
      <c r="OLA1057" s="103"/>
      <c r="OLM1057" s="104"/>
      <c r="OLN1057" s="103"/>
      <c r="OLZ1057" s="104"/>
      <c r="OMA1057" s="103"/>
      <c r="OMM1057" s="104"/>
      <c r="OMN1057" s="103"/>
      <c r="OMZ1057" s="104"/>
      <c r="ONA1057" s="103"/>
      <c r="ONM1057" s="104"/>
      <c r="ONN1057" s="103"/>
      <c r="ONZ1057" s="104"/>
      <c r="OOA1057" s="103"/>
      <c r="OOM1057" s="104"/>
      <c r="OON1057" s="103"/>
      <c r="OOZ1057" s="104"/>
      <c r="OPA1057" s="103"/>
      <c r="OPM1057" s="104"/>
      <c r="OPN1057" s="103"/>
      <c r="OPZ1057" s="104"/>
      <c r="OQA1057" s="103"/>
      <c r="OQM1057" s="104"/>
      <c r="OQN1057" s="103"/>
      <c r="OQZ1057" s="104"/>
      <c r="ORA1057" s="103"/>
      <c r="ORM1057" s="104"/>
      <c r="ORN1057" s="103"/>
      <c r="ORZ1057" s="104"/>
      <c r="OSA1057" s="103"/>
      <c r="OSM1057" s="104"/>
      <c r="OSN1057" s="103"/>
      <c r="OSZ1057" s="104"/>
      <c r="OTA1057" s="103"/>
      <c r="OTM1057" s="104"/>
      <c r="OTN1057" s="103"/>
      <c r="OTZ1057" s="104"/>
      <c r="OUA1057" s="103"/>
      <c r="OUM1057" s="104"/>
      <c r="OUN1057" s="103"/>
      <c r="OUZ1057" s="104"/>
      <c r="OVA1057" s="103"/>
      <c r="OVM1057" s="104"/>
      <c r="OVN1057" s="103"/>
      <c r="OVZ1057" s="104"/>
      <c r="OWA1057" s="103"/>
      <c r="OWM1057" s="104"/>
      <c r="OWN1057" s="103"/>
      <c r="OWZ1057" s="104"/>
      <c r="OXA1057" s="103"/>
      <c r="OXM1057" s="104"/>
      <c r="OXN1057" s="103"/>
      <c r="OXZ1057" s="104"/>
      <c r="OYA1057" s="103"/>
      <c r="OYM1057" s="104"/>
      <c r="OYN1057" s="103"/>
      <c r="OYZ1057" s="104"/>
      <c r="OZA1057" s="103"/>
      <c r="OZM1057" s="104"/>
      <c r="OZN1057" s="103"/>
      <c r="OZZ1057" s="104"/>
      <c r="PAA1057" s="103"/>
      <c r="PAM1057" s="104"/>
      <c r="PAN1057" s="103"/>
      <c r="PAZ1057" s="104"/>
      <c r="PBA1057" s="103"/>
      <c r="PBM1057" s="104"/>
      <c r="PBN1057" s="103"/>
      <c r="PBZ1057" s="104"/>
      <c r="PCA1057" s="103"/>
      <c r="PCM1057" s="104"/>
      <c r="PCN1057" s="103"/>
      <c r="PCZ1057" s="104"/>
      <c r="PDA1057" s="103"/>
      <c r="PDM1057" s="104"/>
      <c r="PDN1057" s="103"/>
      <c r="PDZ1057" s="104"/>
      <c r="PEA1057" s="103"/>
      <c r="PEM1057" s="104"/>
      <c r="PEN1057" s="103"/>
      <c r="PEZ1057" s="104"/>
      <c r="PFA1057" s="103"/>
      <c r="PFM1057" s="104"/>
      <c r="PFN1057" s="103"/>
      <c r="PFZ1057" s="104"/>
      <c r="PGA1057" s="103"/>
      <c r="PGM1057" s="104"/>
      <c r="PGN1057" s="103"/>
      <c r="PGZ1057" s="104"/>
      <c r="PHA1057" s="103"/>
      <c r="PHM1057" s="104"/>
      <c r="PHN1057" s="103"/>
      <c r="PHZ1057" s="104"/>
      <c r="PIA1057" s="103"/>
      <c r="PIM1057" s="104"/>
      <c r="PIN1057" s="103"/>
      <c r="PIZ1057" s="104"/>
      <c r="PJA1057" s="103"/>
      <c r="PJM1057" s="104"/>
      <c r="PJN1057" s="103"/>
      <c r="PJZ1057" s="104"/>
      <c r="PKA1057" s="103"/>
      <c r="PKM1057" s="104"/>
      <c r="PKN1057" s="103"/>
      <c r="PKZ1057" s="104"/>
      <c r="PLA1057" s="103"/>
      <c r="PLM1057" s="104"/>
      <c r="PLN1057" s="103"/>
      <c r="PLZ1057" s="104"/>
      <c r="PMA1057" s="103"/>
      <c r="PMM1057" s="104"/>
      <c r="PMN1057" s="103"/>
      <c r="PMZ1057" s="104"/>
      <c r="PNA1057" s="103"/>
      <c r="PNM1057" s="104"/>
      <c r="PNN1057" s="103"/>
      <c r="PNZ1057" s="104"/>
      <c r="POA1057" s="103"/>
      <c r="POM1057" s="104"/>
      <c r="PON1057" s="103"/>
      <c r="POZ1057" s="104"/>
      <c r="PPA1057" s="103"/>
      <c r="PPM1057" s="104"/>
      <c r="PPN1057" s="103"/>
      <c r="PPZ1057" s="104"/>
      <c r="PQA1057" s="103"/>
      <c r="PQM1057" s="104"/>
      <c r="PQN1057" s="103"/>
      <c r="PQZ1057" s="104"/>
      <c r="PRA1057" s="103"/>
      <c r="PRM1057" s="104"/>
      <c r="PRN1057" s="103"/>
      <c r="PRZ1057" s="104"/>
      <c r="PSA1057" s="103"/>
      <c r="PSM1057" s="104"/>
      <c r="PSN1057" s="103"/>
      <c r="PSZ1057" s="104"/>
      <c r="PTA1057" s="103"/>
      <c r="PTM1057" s="104"/>
      <c r="PTN1057" s="103"/>
      <c r="PTZ1057" s="104"/>
      <c r="PUA1057" s="103"/>
      <c r="PUM1057" s="104"/>
      <c r="PUN1057" s="103"/>
      <c r="PUZ1057" s="104"/>
      <c r="PVA1057" s="103"/>
      <c r="PVM1057" s="104"/>
      <c r="PVN1057" s="103"/>
      <c r="PVZ1057" s="104"/>
      <c r="PWA1057" s="103"/>
      <c r="PWM1057" s="104"/>
      <c r="PWN1057" s="103"/>
      <c r="PWZ1057" s="104"/>
      <c r="PXA1057" s="103"/>
      <c r="PXM1057" s="104"/>
      <c r="PXN1057" s="103"/>
      <c r="PXZ1057" s="104"/>
      <c r="PYA1057" s="103"/>
      <c r="PYM1057" s="104"/>
      <c r="PYN1057" s="103"/>
      <c r="PYZ1057" s="104"/>
      <c r="PZA1057" s="103"/>
      <c r="PZM1057" s="104"/>
      <c r="PZN1057" s="103"/>
      <c r="PZZ1057" s="104"/>
      <c r="QAA1057" s="103"/>
      <c r="QAM1057" s="104"/>
      <c r="QAN1057" s="103"/>
      <c r="QAZ1057" s="104"/>
      <c r="QBA1057" s="103"/>
      <c r="QBM1057" s="104"/>
      <c r="QBN1057" s="103"/>
      <c r="QBZ1057" s="104"/>
      <c r="QCA1057" s="103"/>
      <c r="QCM1057" s="104"/>
      <c r="QCN1057" s="103"/>
      <c r="QCZ1057" s="104"/>
      <c r="QDA1057" s="103"/>
      <c r="QDM1057" s="104"/>
      <c r="QDN1057" s="103"/>
      <c r="QDZ1057" s="104"/>
      <c r="QEA1057" s="103"/>
      <c r="QEM1057" s="104"/>
      <c r="QEN1057" s="103"/>
      <c r="QEZ1057" s="104"/>
      <c r="QFA1057" s="103"/>
      <c r="QFM1057" s="104"/>
      <c r="QFN1057" s="103"/>
      <c r="QFZ1057" s="104"/>
      <c r="QGA1057" s="103"/>
      <c r="QGM1057" s="104"/>
      <c r="QGN1057" s="103"/>
      <c r="QGZ1057" s="104"/>
      <c r="QHA1057" s="103"/>
      <c r="QHM1057" s="104"/>
      <c r="QHN1057" s="103"/>
      <c r="QHZ1057" s="104"/>
      <c r="QIA1057" s="103"/>
      <c r="QIM1057" s="104"/>
      <c r="QIN1057" s="103"/>
      <c r="QIZ1057" s="104"/>
      <c r="QJA1057" s="103"/>
      <c r="QJM1057" s="104"/>
      <c r="QJN1057" s="103"/>
      <c r="QJZ1057" s="104"/>
      <c r="QKA1057" s="103"/>
      <c r="QKM1057" s="104"/>
      <c r="QKN1057" s="103"/>
      <c r="QKZ1057" s="104"/>
      <c r="QLA1057" s="103"/>
      <c r="QLM1057" s="104"/>
      <c r="QLN1057" s="103"/>
      <c r="QLZ1057" s="104"/>
      <c r="QMA1057" s="103"/>
      <c r="QMM1057" s="104"/>
      <c r="QMN1057" s="103"/>
      <c r="QMZ1057" s="104"/>
      <c r="QNA1057" s="103"/>
      <c r="QNM1057" s="104"/>
      <c r="QNN1057" s="103"/>
      <c r="QNZ1057" s="104"/>
      <c r="QOA1057" s="103"/>
      <c r="QOM1057" s="104"/>
      <c r="QON1057" s="103"/>
      <c r="QOZ1057" s="104"/>
      <c r="QPA1057" s="103"/>
      <c r="QPM1057" s="104"/>
      <c r="QPN1057" s="103"/>
      <c r="QPZ1057" s="104"/>
      <c r="QQA1057" s="103"/>
      <c r="QQM1057" s="104"/>
      <c r="QQN1057" s="103"/>
      <c r="QQZ1057" s="104"/>
      <c r="QRA1057" s="103"/>
      <c r="QRM1057" s="104"/>
      <c r="QRN1057" s="103"/>
      <c r="QRZ1057" s="104"/>
      <c r="QSA1057" s="103"/>
      <c r="QSM1057" s="104"/>
      <c r="QSN1057" s="103"/>
      <c r="QSZ1057" s="104"/>
      <c r="QTA1057" s="103"/>
      <c r="QTM1057" s="104"/>
      <c r="QTN1057" s="103"/>
      <c r="QTZ1057" s="104"/>
      <c r="QUA1057" s="103"/>
      <c r="QUM1057" s="104"/>
      <c r="QUN1057" s="103"/>
      <c r="QUZ1057" s="104"/>
      <c r="QVA1057" s="103"/>
      <c r="QVM1057" s="104"/>
      <c r="QVN1057" s="103"/>
      <c r="QVZ1057" s="104"/>
      <c r="QWA1057" s="103"/>
      <c r="QWM1057" s="104"/>
      <c r="QWN1057" s="103"/>
      <c r="QWZ1057" s="104"/>
      <c r="QXA1057" s="103"/>
      <c r="QXM1057" s="104"/>
      <c r="QXN1057" s="103"/>
      <c r="QXZ1057" s="104"/>
      <c r="QYA1057" s="103"/>
      <c r="QYM1057" s="104"/>
      <c r="QYN1057" s="103"/>
      <c r="QYZ1057" s="104"/>
      <c r="QZA1057" s="103"/>
      <c r="QZM1057" s="104"/>
      <c r="QZN1057" s="103"/>
      <c r="QZZ1057" s="104"/>
      <c r="RAA1057" s="103"/>
      <c r="RAM1057" s="104"/>
      <c r="RAN1057" s="103"/>
      <c r="RAZ1057" s="104"/>
      <c r="RBA1057" s="103"/>
      <c r="RBM1057" s="104"/>
      <c r="RBN1057" s="103"/>
      <c r="RBZ1057" s="104"/>
      <c r="RCA1057" s="103"/>
      <c r="RCM1057" s="104"/>
      <c r="RCN1057" s="103"/>
      <c r="RCZ1057" s="104"/>
      <c r="RDA1057" s="103"/>
      <c r="RDM1057" s="104"/>
      <c r="RDN1057" s="103"/>
      <c r="RDZ1057" s="104"/>
      <c r="REA1057" s="103"/>
      <c r="REM1057" s="104"/>
      <c r="REN1057" s="103"/>
      <c r="REZ1057" s="104"/>
      <c r="RFA1057" s="103"/>
      <c r="RFM1057" s="104"/>
      <c r="RFN1057" s="103"/>
      <c r="RFZ1057" s="104"/>
      <c r="RGA1057" s="103"/>
      <c r="RGM1057" s="104"/>
      <c r="RGN1057" s="103"/>
      <c r="RGZ1057" s="104"/>
      <c r="RHA1057" s="103"/>
      <c r="RHM1057" s="104"/>
      <c r="RHN1057" s="103"/>
      <c r="RHZ1057" s="104"/>
      <c r="RIA1057" s="103"/>
      <c r="RIM1057" s="104"/>
      <c r="RIN1057" s="103"/>
      <c r="RIZ1057" s="104"/>
      <c r="RJA1057" s="103"/>
      <c r="RJM1057" s="104"/>
      <c r="RJN1057" s="103"/>
      <c r="RJZ1057" s="104"/>
      <c r="RKA1057" s="103"/>
      <c r="RKM1057" s="104"/>
      <c r="RKN1057" s="103"/>
      <c r="RKZ1057" s="104"/>
      <c r="RLA1057" s="103"/>
      <c r="RLM1057" s="104"/>
      <c r="RLN1057" s="103"/>
      <c r="RLZ1057" s="104"/>
      <c r="RMA1057" s="103"/>
      <c r="RMM1057" s="104"/>
      <c r="RMN1057" s="103"/>
      <c r="RMZ1057" s="104"/>
      <c r="RNA1057" s="103"/>
      <c r="RNM1057" s="104"/>
      <c r="RNN1057" s="103"/>
      <c r="RNZ1057" s="104"/>
      <c r="ROA1057" s="103"/>
      <c r="ROM1057" s="104"/>
      <c r="RON1057" s="103"/>
      <c r="ROZ1057" s="104"/>
      <c r="RPA1057" s="103"/>
      <c r="RPM1057" s="104"/>
      <c r="RPN1057" s="103"/>
      <c r="RPZ1057" s="104"/>
      <c r="RQA1057" s="103"/>
      <c r="RQM1057" s="104"/>
      <c r="RQN1057" s="103"/>
      <c r="RQZ1057" s="104"/>
      <c r="RRA1057" s="103"/>
      <c r="RRM1057" s="104"/>
      <c r="RRN1057" s="103"/>
      <c r="RRZ1057" s="104"/>
      <c r="RSA1057" s="103"/>
      <c r="RSM1057" s="104"/>
      <c r="RSN1057" s="103"/>
      <c r="RSZ1057" s="104"/>
      <c r="RTA1057" s="103"/>
      <c r="RTM1057" s="104"/>
      <c r="RTN1057" s="103"/>
      <c r="RTZ1057" s="104"/>
      <c r="RUA1057" s="103"/>
      <c r="RUM1057" s="104"/>
      <c r="RUN1057" s="103"/>
      <c r="RUZ1057" s="104"/>
      <c r="RVA1057" s="103"/>
      <c r="RVM1057" s="104"/>
      <c r="RVN1057" s="103"/>
      <c r="RVZ1057" s="104"/>
      <c r="RWA1057" s="103"/>
      <c r="RWM1057" s="104"/>
      <c r="RWN1057" s="103"/>
      <c r="RWZ1057" s="104"/>
      <c r="RXA1057" s="103"/>
      <c r="RXM1057" s="104"/>
      <c r="RXN1057" s="103"/>
      <c r="RXZ1057" s="104"/>
      <c r="RYA1057" s="103"/>
      <c r="RYM1057" s="104"/>
      <c r="RYN1057" s="103"/>
      <c r="RYZ1057" s="104"/>
      <c r="RZA1057" s="103"/>
      <c r="RZM1057" s="104"/>
      <c r="RZN1057" s="103"/>
      <c r="RZZ1057" s="104"/>
      <c r="SAA1057" s="103"/>
      <c r="SAM1057" s="104"/>
      <c r="SAN1057" s="103"/>
      <c r="SAZ1057" s="104"/>
      <c r="SBA1057" s="103"/>
      <c r="SBM1057" s="104"/>
      <c r="SBN1057" s="103"/>
      <c r="SBZ1057" s="104"/>
      <c r="SCA1057" s="103"/>
      <c r="SCM1057" s="104"/>
      <c r="SCN1057" s="103"/>
      <c r="SCZ1057" s="104"/>
      <c r="SDA1057" s="103"/>
      <c r="SDM1057" s="104"/>
      <c r="SDN1057" s="103"/>
      <c r="SDZ1057" s="104"/>
      <c r="SEA1057" s="103"/>
      <c r="SEM1057" s="104"/>
      <c r="SEN1057" s="103"/>
      <c r="SEZ1057" s="104"/>
      <c r="SFA1057" s="103"/>
      <c r="SFM1057" s="104"/>
      <c r="SFN1057" s="103"/>
      <c r="SFZ1057" s="104"/>
      <c r="SGA1057" s="103"/>
      <c r="SGM1057" s="104"/>
      <c r="SGN1057" s="103"/>
      <c r="SGZ1057" s="104"/>
      <c r="SHA1057" s="103"/>
      <c r="SHM1057" s="104"/>
      <c r="SHN1057" s="103"/>
      <c r="SHZ1057" s="104"/>
      <c r="SIA1057" s="103"/>
      <c r="SIM1057" s="104"/>
      <c r="SIN1057" s="103"/>
      <c r="SIZ1057" s="104"/>
      <c r="SJA1057" s="103"/>
      <c r="SJM1057" s="104"/>
      <c r="SJN1057" s="103"/>
      <c r="SJZ1057" s="104"/>
      <c r="SKA1057" s="103"/>
      <c r="SKM1057" s="104"/>
      <c r="SKN1057" s="103"/>
      <c r="SKZ1057" s="104"/>
      <c r="SLA1057" s="103"/>
      <c r="SLM1057" s="104"/>
      <c r="SLN1057" s="103"/>
      <c r="SLZ1057" s="104"/>
      <c r="SMA1057" s="103"/>
      <c r="SMM1057" s="104"/>
      <c r="SMN1057" s="103"/>
      <c r="SMZ1057" s="104"/>
      <c r="SNA1057" s="103"/>
      <c r="SNM1057" s="104"/>
      <c r="SNN1057" s="103"/>
      <c r="SNZ1057" s="104"/>
      <c r="SOA1057" s="103"/>
      <c r="SOM1057" s="104"/>
      <c r="SON1057" s="103"/>
      <c r="SOZ1057" s="104"/>
      <c r="SPA1057" s="103"/>
      <c r="SPM1057" s="104"/>
      <c r="SPN1057" s="103"/>
      <c r="SPZ1057" s="104"/>
      <c r="SQA1057" s="103"/>
      <c r="SQM1057" s="104"/>
      <c r="SQN1057" s="103"/>
      <c r="SQZ1057" s="104"/>
      <c r="SRA1057" s="103"/>
      <c r="SRM1057" s="104"/>
      <c r="SRN1057" s="103"/>
      <c r="SRZ1057" s="104"/>
      <c r="SSA1057" s="103"/>
      <c r="SSM1057" s="104"/>
      <c r="SSN1057" s="103"/>
      <c r="SSZ1057" s="104"/>
      <c r="STA1057" s="103"/>
      <c r="STM1057" s="104"/>
      <c r="STN1057" s="103"/>
      <c r="STZ1057" s="104"/>
      <c r="SUA1057" s="103"/>
      <c r="SUM1057" s="104"/>
      <c r="SUN1057" s="103"/>
      <c r="SUZ1057" s="104"/>
      <c r="SVA1057" s="103"/>
      <c r="SVM1057" s="104"/>
      <c r="SVN1057" s="103"/>
      <c r="SVZ1057" s="104"/>
      <c r="SWA1057" s="103"/>
      <c r="SWM1057" s="104"/>
      <c r="SWN1057" s="103"/>
      <c r="SWZ1057" s="104"/>
      <c r="SXA1057" s="103"/>
      <c r="SXM1057" s="104"/>
      <c r="SXN1057" s="103"/>
      <c r="SXZ1057" s="104"/>
      <c r="SYA1057" s="103"/>
      <c r="SYM1057" s="104"/>
      <c r="SYN1057" s="103"/>
      <c r="SYZ1057" s="104"/>
      <c r="SZA1057" s="103"/>
      <c r="SZM1057" s="104"/>
      <c r="SZN1057" s="103"/>
      <c r="SZZ1057" s="104"/>
      <c r="TAA1057" s="103"/>
      <c r="TAM1057" s="104"/>
      <c r="TAN1057" s="103"/>
      <c r="TAZ1057" s="104"/>
      <c r="TBA1057" s="103"/>
      <c r="TBM1057" s="104"/>
      <c r="TBN1057" s="103"/>
      <c r="TBZ1057" s="104"/>
      <c r="TCA1057" s="103"/>
      <c r="TCM1057" s="104"/>
      <c r="TCN1057" s="103"/>
      <c r="TCZ1057" s="104"/>
      <c r="TDA1057" s="103"/>
      <c r="TDM1057" s="104"/>
      <c r="TDN1057" s="103"/>
      <c r="TDZ1057" s="104"/>
      <c r="TEA1057" s="103"/>
      <c r="TEM1057" s="104"/>
      <c r="TEN1057" s="103"/>
      <c r="TEZ1057" s="104"/>
      <c r="TFA1057" s="103"/>
      <c r="TFM1057" s="104"/>
      <c r="TFN1057" s="103"/>
      <c r="TFZ1057" s="104"/>
      <c r="TGA1057" s="103"/>
      <c r="TGM1057" s="104"/>
      <c r="TGN1057" s="103"/>
      <c r="TGZ1057" s="104"/>
      <c r="THA1057" s="103"/>
      <c r="THM1057" s="104"/>
      <c r="THN1057" s="103"/>
      <c r="THZ1057" s="104"/>
      <c r="TIA1057" s="103"/>
      <c r="TIM1057" s="104"/>
      <c r="TIN1057" s="103"/>
      <c r="TIZ1057" s="104"/>
      <c r="TJA1057" s="103"/>
      <c r="TJM1057" s="104"/>
      <c r="TJN1057" s="103"/>
      <c r="TJZ1057" s="104"/>
      <c r="TKA1057" s="103"/>
      <c r="TKM1057" s="104"/>
      <c r="TKN1057" s="103"/>
      <c r="TKZ1057" s="104"/>
      <c r="TLA1057" s="103"/>
      <c r="TLM1057" s="104"/>
      <c r="TLN1057" s="103"/>
      <c r="TLZ1057" s="104"/>
      <c r="TMA1057" s="103"/>
      <c r="TMM1057" s="104"/>
      <c r="TMN1057" s="103"/>
      <c r="TMZ1057" s="104"/>
      <c r="TNA1057" s="103"/>
      <c r="TNM1057" s="104"/>
      <c r="TNN1057" s="103"/>
      <c r="TNZ1057" s="104"/>
      <c r="TOA1057" s="103"/>
      <c r="TOM1057" s="104"/>
      <c r="TON1057" s="103"/>
      <c r="TOZ1057" s="104"/>
      <c r="TPA1057" s="103"/>
      <c r="TPM1057" s="104"/>
      <c r="TPN1057" s="103"/>
      <c r="TPZ1057" s="104"/>
      <c r="TQA1057" s="103"/>
      <c r="TQM1057" s="104"/>
      <c r="TQN1057" s="103"/>
      <c r="TQZ1057" s="104"/>
      <c r="TRA1057" s="103"/>
      <c r="TRM1057" s="104"/>
      <c r="TRN1057" s="103"/>
      <c r="TRZ1057" s="104"/>
      <c r="TSA1057" s="103"/>
      <c r="TSM1057" s="104"/>
      <c r="TSN1057" s="103"/>
      <c r="TSZ1057" s="104"/>
      <c r="TTA1057" s="103"/>
      <c r="TTM1057" s="104"/>
      <c r="TTN1057" s="103"/>
      <c r="TTZ1057" s="104"/>
      <c r="TUA1057" s="103"/>
      <c r="TUM1057" s="104"/>
      <c r="TUN1057" s="103"/>
      <c r="TUZ1057" s="104"/>
      <c r="TVA1057" s="103"/>
      <c r="TVM1057" s="104"/>
      <c r="TVN1057" s="103"/>
      <c r="TVZ1057" s="104"/>
      <c r="TWA1057" s="103"/>
      <c r="TWM1057" s="104"/>
      <c r="TWN1057" s="103"/>
      <c r="TWZ1057" s="104"/>
      <c r="TXA1057" s="103"/>
      <c r="TXM1057" s="104"/>
      <c r="TXN1057" s="103"/>
      <c r="TXZ1057" s="104"/>
      <c r="TYA1057" s="103"/>
      <c r="TYM1057" s="104"/>
      <c r="TYN1057" s="103"/>
      <c r="TYZ1057" s="104"/>
      <c r="TZA1057" s="103"/>
      <c r="TZM1057" s="104"/>
      <c r="TZN1057" s="103"/>
      <c r="TZZ1057" s="104"/>
      <c r="UAA1057" s="103"/>
      <c r="UAM1057" s="104"/>
      <c r="UAN1057" s="103"/>
      <c r="UAZ1057" s="104"/>
      <c r="UBA1057" s="103"/>
      <c r="UBM1057" s="104"/>
      <c r="UBN1057" s="103"/>
      <c r="UBZ1057" s="104"/>
      <c r="UCA1057" s="103"/>
      <c r="UCM1057" s="104"/>
      <c r="UCN1057" s="103"/>
      <c r="UCZ1057" s="104"/>
      <c r="UDA1057" s="103"/>
      <c r="UDM1057" s="104"/>
      <c r="UDN1057" s="103"/>
      <c r="UDZ1057" s="104"/>
      <c r="UEA1057" s="103"/>
      <c r="UEM1057" s="104"/>
      <c r="UEN1057" s="103"/>
      <c r="UEZ1057" s="104"/>
      <c r="UFA1057" s="103"/>
      <c r="UFM1057" s="104"/>
      <c r="UFN1057" s="103"/>
      <c r="UFZ1057" s="104"/>
      <c r="UGA1057" s="103"/>
      <c r="UGM1057" s="104"/>
      <c r="UGN1057" s="103"/>
      <c r="UGZ1057" s="104"/>
      <c r="UHA1057" s="103"/>
      <c r="UHM1057" s="104"/>
      <c r="UHN1057" s="103"/>
      <c r="UHZ1057" s="104"/>
      <c r="UIA1057" s="103"/>
      <c r="UIM1057" s="104"/>
      <c r="UIN1057" s="103"/>
      <c r="UIZ1057" s="104"/>
      <c r="UJA1057" s="103"/>
      <c r="UJM1057" s="104"/>
      <c r="UJN1057" s="103"/>
      <c r="UJZ1057" s="104"/>
      <c r="UKA1057" s="103"/>
      <c r="UKM1057" s="104"/>
      <c r="UKN1057" s="103"/>
      <c r="UKZ1057" s="104"/>
      <c r="ULA1057" s="103"/>
      <c r="ULM1057" s="104"/>
      <c r="ULN1057" s="103"/>
      <c r="ULZ1057" s="104"/>
      <c r="UMA1057" s="103"/>
      <c r="UMM1057" s="104"/>
      <c r="UMN1057" s="103"/>
      <c r="UMZ1057" s="104"/>
      <c r="UNA1057" s="103"/>
      <c r="UNM1057" s="104"/>
      <c r="UNN1057" s="103"/>
      <c r="UNZ1057" s="104"/>
      <c r="UOA1057" s="103"/>
      <c r="UOM1057" s="104"/>
      <c r="UON1057" s="103"/>
      <c r="UOZ1057" s="104"/>
      <c r="UPA1057" s="103"/>
      <c r="UPM1057" s="104"/>
      <c r="UPN1057" s="103"/>
      <c r="UPZ1057" s="104"/>
      <c r="UQA1057" s="103"/>
      <c r="UQM1057" s="104"/>
      <c r="UQN1057" s="103"/>
      <c r="UQZ1057" s="104"/>
      <c r="URA1057" s="103"/>
      <c r="URM1057" s="104"/>
      <c r="URN1057" s="103"/>
      <c r="URZ1057" s="104"/>
      <c r="USA1057" s="103"/>
      <c r="USM1057" s="104"/>
      <c r="USN1057" s="103"/>
      <c r="USZ1057" s="104"/>
      <c r="UTA1057" s="103"/>
      <c r="UTM1057" s="104"/>
      <c r="UTN1057" s="103"/>
      <c r="UTZ1057" s="104"/>
      <c r="UUA1057" s="103"/>
      <c r="UUM1057" s="104"/>
      <c r="UUN1057" s="103"/>
      <c r="UUZ1057" s="104"/>
      <c r="UVA1057" s="103"/>
      <c r="UVM1057" s="104"/>
      <c r="UVN1057" s="103"/>
      <c r="UVZ1057" s="104"/>
      <c r="UWA1057" s="103"/>
      <c r="UWM1057" s="104"/>
      <c r="UWN1057" s="103"/>
      <c r="UWZ1057" s="104"/>
      <c r="UXA1057" s="103"/>
      <c r="UXM1057" s="104"/>
      <c r="UXN1057" s="103"/>
      <c r="UXZ1057" s="104"/>
      <c r="UYA1057" s="103"/>
      <c r="UYM1057" s="104"/>
      <c r="UYN1057" s="103"/>
      <c r="UYZ1057" s="104"/>
      <c r="UZA1057" s="103"/>
      <c r="UZM1057" s="104"/>
      <c r="UZN1057" s="103"/>
      <c r="UZZ1057" s="104"/>
      <c r="VAA1057" s="103"/>
      <c r="VAM1057" s="104"/>
      <c r="VAN1057" s="103"/>
      <c r="VAZ1057" s="104"/>
      <c r="VBA1057" s="103"/>
      <c r="VBM1057" s="104"/>
      <c r="VBN1057" s="103"/>
      <c r="VBZ1057" s="104"/>
      <c r="VCA1057" s="103"/>
      <c r="VCM1057" s="104"/>
      <c r="VCN1057" s="103"/>
      <c r="VCZ1057" s="104"/>
      <c r="VDA1057" s="103"/>
      <c r="VDM1057" s="104"/>
      <c r="VDN1057" s="103"/>
      <c r="VDZ1057" s="104"/>
      <c r="VEA1057" s="103"/>
      <c r="VEM1057" s="104"/>
      <c r="VEN1057" s="103"/>
      <c r="VEZ1057" s="104"/>
      <c r="VFA1057" s="103"/>
      <c r="VFM1057" s="104"/>
      <c r="VFN1057" s="103"/>
      <c r="VFZ1057" s="104"/>
      <c r="VGA1057" s="103"/>
      <c r="VGM1057" s="104"/>
      <c r="VGN1057" s="103"/>
      <c r="VGZ1057" s="104"/>
      <c r="VHA1057" s="103"/>
      <c r="VHM1057" s="104"/>
      <c r="VHN1057" s="103"/>
      <c r="VHZ1057" s="104"/>
      <c r="VIA1057" s="103"/>
      <c r="VIM1057" s="104"/>
      <c r="VIN1057" s="103"/>
      <c r="VIZ1057" s="104"/>
      <c r="VJA1057" s="103"/>
      <c r="VJM1057" s="104"/>
      <c r="VJN1057" s="103"/>
      <c r="VJZ1057" s="104"/>
      <c r="VKA1057" s="103"/>
      <c r="VKM1057" s="104"/>
      <c r="VKN1057" s="103"/>
      <c r="VKZ1057" s="104"/>
      <c r="VLA1057" s="103"/>
      <c r="VLM1057" s="104"/>
      <c r="VLN1057" s="103"/>
      <c r="VLZ1057" s="104"/>
      <c r="VMA1057" s="103"/>
      <c r="VMM1057" s="104"/>
      <c r="VMN1057" s="103"/>
      <c r="VMZ1057" s="104"/>
      <c r="VNA1057" s="103"/>
      <c r="VNM1057" s="104"/>
      <c r="VNN1057" s="103"/>
      <c r="VNZ1057" s="104"/>
      <c r="VOA1057" s="103"/>
      <c r="VOM1057" s="104"/>
      <c r="VON1057" s="103"/>
      <c r="VOZ1057" s="104"/>
      <c r="VPA1057" s="103"/>
      <c r="VPM1057" s="104"/>
      <c r="VPN1057" s="103"/>
      <c r="VPZ1057" s="104"/>
      <c r="VQA1057" s="103"/>
      <c r="VQM1057" s="104"/>
      <c r="VQN1057" s="103"/>
      <c r="VQZ1057" s="104"/>
      <c r="VRA1057" s="103"/>
      <c r="VRM1057" s="104"/>
      <c r="VRN1057" s="103"/>
      <c r="VRZ1057" s="104"/>
      <c r="VSA1057" s="103"/>
      <c r="VSM1057" s="104"/>
      <c r="VSN1057" s="103"/>
      <c r="VSZ1057" s="104"/>
      <c r="VTA1057" s="103"/>
      <c r="VTM1057" s="104"/>
      <c r="VTN1057" s="103"/>
      <c r="VTZ1057" s="104"/>
      <c r="VUA1057" s="103"/>
      <c r="VUM1057" s="104"/>
      <c r="VUN1057" s="103"/>
      <c r="VUZ1057" s="104"/>
      <c r="VVA1057" s="103"/>
      <c r="VVM1057" s="104"/>
      <c r="VVN1057" s="103"/>
      <c r="VVZ1057" s="104"/>
      <c r="VWA1057" s="103"/>
      <c r="VWM1057" s="104"/>
      <c r="VWN1057" s="103"/>
      <c r="VWZ1057" s="104"/>
      <c r="VXA1057" s="103"/>
      <c r="VXM1057" s="104"/>
      <c r="VXN1057" s="103"/>
      <c r="VXZ1057" s="104"/>
      <c r="VYA1057" s="103"/>
      <c r="VYM1057" s="104"/>
      <c r="VYN1057" s="103"/>
      <c r="VYZ1057" s="104"/>
      <c r="VZA1057" s="103"/>
      <c r="VZM1057" s="104"/>
      <c r="VZN1057" s="103"/>
      <c r="VZZ1057" s="104"/>
      <c r="WAA1057" s="103"/>
      <c r="WAM1057" s="104"/>
      <c r="WAN1057" s="103"/>
      <c r="WAZ1057" s="104"/>
      <c r="WBA1057" s="103"/>
      <c r="WBM1057" s="104"/>
      <c r="WBN1057" s="103"/>
      <c r="WBZ1057" s="104"/>
      <c r="WCA1057" s="103"/>
      <c r="WCM1057" s="104"/>
      <c r="WCN1057" s="103"/>
      <c r="WCZ1057" s="104"/>
      <c r="WDA1057" s="103"/>
      <c r="WDM1057" s="104"/>
      <c r="WDN1057" s="103"/>
      <c r="WDZ1057" s="104"/>
      <c r="WEA1057" s="103"/>
      <c r="WEM1057" s="104"/>
      <c r="WEN1057" s="103"/>
      <c r="WEZ1057" s="104"/>
      <c r="WFA1057" s="103"/>
      <c r="WFM1057" s="104"/>
      <c r="WFN1057" s="103"/>
      <c r="WFZ1057" s="104"/>
      <c r="WGA1057" s="103"/>
      <c r="WGM1057" s="104"/>
      <c r="WGN1057" s="103"/>
      <c r="WGZ1057" s="104"/>
      <c r="WHA1057" s="103"/>
      <c r="WHM1057" s="104"/>
      <c r="WHN1057" s="103"/>
      <c r="WHZ1057" s="104"/>
      <c r="WIA1057" s="103"/>
      <c r="WIM1057" s="104"/>
      <c r="WIN1057" s="103"/>
      <c r="WIZ1057" s="104"/>
      <c r="WJA1057" s="103"/>
      <c r="WJM1057" s="104"/>
      <c r="WJN1057" s="103"/>
      <c r="WJZ1057" s="104"/>
      <c r="WKA1057" s="103"/>
      <c r="WKM1057" s="104"/>
      <c r="WKN1057" s="103"/>
      <c r="WKZ1057" s="104"/>
      <c r="WLA1057" s="103"/>
      <c r="WLM1057" s="104"/>
      <c r="WLN1057" s="103"/>
      <c r="WLZ1057" s="104"/>
      <c r="WMA1057" s="103"/>
      <c r="WMM1057" s="104"/>
      <c r="WMN1057" s="103"/>
      <c r="WMZ1057" s="104"/>
      <c r="WNA1057" s="103"/>
      <c r="WNM1057" s="104"/>
      <c r="WNN1057" s="103"/>
      <c r="WNZ1057" s="104"/>
      <c r="WOA1057" s="103"/>
      <c r="WOM1057" s="104"/>
      <c r="WON1057" s="103"/>
      <c r="WOZ1057" s="104"/>
      <c r="WPA1057" s="103"/>
      <c r="WPM1057" s="104"/>
      <c r="WPN1057" s="103"/>
      <c r="WPZ1057" s="104"/>
      <c r="WQA1057" s="103"/>
      <c r="WQM1057" s="104"/>
      <c r="WQN1057" s="103"/>
      <c r="WQZ1057" s="104"/>
      <c r="WRA1057" s="103"/>
      <c r="WRM1057" s="104"/>
      <c r="WRN1057" s="103"/>
      <c r="WRZ1057" s="104"/>
      <c r="WSA1057" s="103"/>
      <c r="WSM1057" s="104"/>
      <c r="WSN1057" s="103"/>
      <c r="WSZ1057" s="104"/>
      <c r="WTA1057" s="103"/>
      <c r="WTM1057" s="104"/>
      <c r="WTN1057" s="103"/>
      <c r="WTZ1057" s="104"/>
      <c r="WUA1057" s="103"/>
      <c r="WUM1057" s="104"/>
      <c r="WUN1057" s="103"/>
      <c r="WUZ1057" s="104"/>
      <c r="WVA1057" s="103"/>
      <c r="WVM1057" s="104"/>
      <c r="WVN1057" s="103"/>
      <c r="WVZ1057" s="104"/>
      <c r="WWA1057" s="103"/>
      <c r="WWM1057" s="104"/>
      <c r="WWN1057" s="103"/>
      <c r="WWZ1057" s="104"/>
      <c r="WXA1057" s="103"/>
      <c r="WXM1057" s="104"/>
      <c r="WXN1057" s="103"/>
      <c r="WXZ1057" s="104"/>
      <c r="WYA1057" s="103"/>
      <c r="WYM1057" s="104"/>
      <c r="WYN1057" s="103"/>
      <c r="WYZ1057" s="104"/>
      <c r="WZA1057" s="103"/>
      <c r="WZM1057" s="104"/>
      <c r="WZN1057" s="103"/>
      <c r="WZZ1057" s="104"/>
      <c r="XAA1057" s="103"/>
      <c r="XAM1057" s="104"/>
      <c r="XAN1057" s="103"/>
      <c r="XAZ1057" s="104"/>
      <c r="XBA1057" s="103"/>
      <c r="XBM1057" s="104"/>
      <c r="XBN1057" s="103"/>
      <c r="XBZ1057" s="104"/>
      <c r="XCA1057" s="103"/>
      <c r="XCM1057" s="104"/>
      <c r="XCN1057" s="103"/>
      <c r="XCZ1057" s="104"/>
      <c r="XDA1057" s="103"/>
      <c r="XDM1057" s="104"/>
      <c r="XDN1057" s="103"/>
      <c r="XDZ1057" s="104"/>
      <c r="XEA1057" s="103"/>
      <c r="XEM1057" s="104"/>
      <c r="XEN1057" s="103"/>
      <c r="XEZ1057" s="104"/>
      <c r="XFA1057" s="103"/>
    </row>
    <row r="1058" spans="2:1015 1027:2042 2054:3069 3081:4096 4108:5110 5122:6137 6149:7164 7176:8191 8203:9205 9217:10232 10244:11259 11271:12286 12298:14327 14339:15354 15366:16381">
      <c r="B1058" s="107" t="s">
        <v>162</v>
      </c>
      <c r="C1058" s="106"/>
      <c r="Z1058" s="104"/>
      <c r="AA1058" s="103"/>
      <c r="AM1058" s="104"/>
      <c r="AN1058" s="103"/>
      <c r="AZ1058" s="104"/>
      <c r="BA1058" s="103"/>
      <c r="BM1058" s="104"/>
      <c r="BN1058" s="103"/>
      <c r="BZ1058" s="104"/>
      <c r="CA1058" s="103"/>
      <c r="CM1058" s="104"/>
      <c r="CN1058" s="103"/>
      <c r="CZ1058" s="104"/>
      <c r="DA1058" s="103"/>
      <c r="DM1058" s="104"/>
      <c r="DN1058" s="103"/>
      <c r="DZ1058" s="104"/>
      <c r="EA1058" s="103"/>
      <c r="EM1058" s="104"/>
      <c r="EN1058" s="103"/>
      <c r="EZ1058" s="104"/>
      <c r="FA1058" s="103"/>
      <c r="FM1058" s="104"/>
      <c r="FN1058" s="103"/>
      <c r="FZ1058" s="104"/>
      <c r="GA1058" s="103"/>
      <c r="GM1058" s="104"/>
      <c r="GN1058" s="103"/>
      <c r="GZ1058" s="104"/>
      <c r="HA1058" s="103"/>
      <c r="HM1058" s="104"/>
      <c r="HN1058" s="103"/>
      <c r="HZ1058" s="104"/>
      <c r="IA1058" s="103"/>
      <c r="IM1058" s="104"/>
      <c r="IN1058" s="103"/>
      <c r="IZ1058" s="104"/>
      <c r="JA1058" s="103"/>
      <c r="JM1058" s="104"/>
      <c r="JN1058" s="103"/>
      <c r="JZ1058" s="104"/>
      <c r="KA1058" s="103"/>
      <c r="KM1058" s="104"/>
      <c r="KN1058" s="103"/>
      <c r="KZ1058" s="104"/>
      <c r="LA1058" s="103"/>
      <c r="LM1058" s="104"/>
      <c r="LN1058" s="103"/>
      <c r="LZ1058" s="104"/>
      <c r="MA1058" s="103"/>
      <c r="MM1058" s="104"/>
      <c r="MN1058" s="103"/>
      <c r="MZ1058" s="104"/>
      <c r="NA1058" s="103"/>
      <c r="NM1058" s="104"/>
      <c r="NN1058" s="103"/>
      <c r="NZ1058" s="104"/>
      <c r="OA1058" s="103"/>
      <c r="OM1058" s="104"/>
      <c r="ON1058" s="103"/>
      <c r="OZ1058" s="104"/>
      <c r="PA1058" s="103"/>
      <c r="PM1058" s="104"/>
      <c r="PN1058" s="103"/>
      <c r="PZ1058" s="104"/>
      <c r="QA1058" s="103"/>
      <c r="QM1058" s="104"/>
      <c r="QN1058" s="103"/>
      <c r="QZ1058" s="104"/>
      <c r="RA1058" s="103"/>
      <c r="RM1058" s="104"/>
      <c r="RN1058" s="103"/>
      <c r="RZ1058" s="104"/>
      <c r="SA1058" s="103"/>
      <c r="SM1058" s="104"/>
      <c r="SN1058" s="103"/>
      <c r="SZ1058" s="104"/>
      <c r="TA1058" s="103"/>
      <c r="TM1058" s="104"/>
      <c r="TN1058" s="103"/>
      <c r="TZ1058" s="104"/>
      <c r="UA1058" s="103"/>
      <c r="UM1058" s="104"/>
      <c r="UN1058" s="103"/>
      <c r="UZ1058" s="104"/>
      <c r="VA1058" s="103"/>
      <c r="VM1058" s="104"/>
      <c r="VN1058" s="103"/>
      <c r="VZ1058" s="104"/>
      <c r="WA1058" s="103"/>
      <c r="WM1058" s="104"/>
      <c r="WN1058" s="103"/>
      <c r="WZ1058" s="104"/>
      <c r="XA1058" s="103"/>
      <c r="XM1058" s="104"/>
      <c r="XN1058" s="103"/>
      <c r="XZ1058" s="104"/>
      <c r="YA1058" s="103"/>
      <c r="YM1058" s="104"/>
      <c r="YN1058" s="103"/>
      <c r="YZ1058" s="104"/>
      <c r="ZA1058" s="103"/>
      <c r="ZM1058" s="104"/>
      <c r="ZN1058" s="103"/>
      <c r="ZZ1058" s="104"/>
      <c r="AAA1058" s="103"/>
      <c r="AAM1058" s="104"/>
      <c r="AAN1058" s="103"/>
      <c r="AAZ1058" s="104"/>
      <c r="ABA1058" s="103"/>
      <c r="ABM1058" s="104"/>
      <c r="ABN1058" s="103"/>
      <c r="ABZ1058" s="104"/>
      <c r="ACA1058" s="103"/>
      <c r="ACM1058" s="104"/>
      <c r="ACN1058" s="103"/>
      <c r="ACZ1058" s="104"/>
      <c r="ADA1058" s="103"/>
      <c r="ADM1058" s="104"/>
      <c r="ADN1058" s="103"/>
      <c r="ADZ1058" s="104"/>
      <c r="AEA1058" s="103"/>
      <c r="AEM1058" s="104"/>
      <c r="AEN1058" s="103"/>
      <c r="AEZ1058" s="104"/>
      <c r="AFA1058" s="103"/>
      <c r="AFM1058" s="104"/>
      <c r="AFN1058" s="103"/>
      <c r="AFZ1058" s="104"/>
      <c r="AGA1058" s="103"/>
      <c r="AGM1058" s="104"/>
      <c r="AGN1058" s="103"/>
      <c r="AGZ1058" s="104"/>
      <c r="AHA1058" s="103"/>
      <c r="AHM1058" s="104"/>
      <c r="AHN1058" s="103"/>
      <c r="AHZ1058" s="104"/>
      <c r="AIA1058" s="103"/>
      <c r="AIM1058" s="104"/>
      <c r="AIN1058" s="103"/>
      <c r="AIZ1058" s="104"/>
      <c r="AJA1058" s="103"/>
      <c r="AJM1058" s="104"/>
      <c r="AJN1058" s="103"/>
      <c r="AJZ1058" s="104"/>
      <c r="AKA1058" s="103"/>
      <c r="AKM1058" s="104"/>
      <c r="AKN1058" s="103"/>
      <c r="AKZ1058" s="104"/>
      <c r="ALA1058" s="103"/>
      <c r="ALM1058" s="104"/>
      <c r="ALN1058" s="103"/>
      <c r="ALZ1058" s="104"/>
      <c r="AMA1058" s="103"/>
      <c r="AMM1058" s="104"/>
      <c r="AMN1058" s="103"/>
      <c r="AMZ1058" s="104"/>
      <c r="ANA1058" s="103"/>
      <c r="ANM1058" s="104"/>
      <c r="ANN1058" s="103"/>
      <c r="ANZ1058" s="104"/>
      <c r="AOA1058" s="103"/>
      <c r="AOM1058" s="104"/>
      <c r="AON1058" s="103"/>
      <c r="AOZ1058" s="104"/>
      <c r="APA1058" s="103"/>
      <c r="APM1058" s="104"/>
      <c r="APN1058" s="103"/>
      <c r="APZ1058" s="104"/>
      <c r="AQA1058" s="103"/>
      <c r="AQM1058" s="104"/>
      <c r="AQN1058" s="103"/>
      <c r="AQZ1058" s="104"/>
      <c r="ARA1058" s="103"/>
      <c r="ARM1058" s="104"/>
      <c r="ARN1058" s="103"/>
      <c r="ARZ1058" s="104"/>
      <c r="ASA1058" s="103"/>
      <c r="ASM1058" s="104"/>
      <c r="ASN1058" s="103"/>
      <c r="ASZ1058" s="104"/>
      <c r="ATA1058" s="103"/>
      <c r="ATM1058" s="104"/>
      <c r="ATN1058" s="103"/>
      <c r="ATZ1058" s="104"/>
      <c r="AUA1058" s="103"/>
      <c r="AUM1058" s="104"/>
      <c r="AUN1058" s="103"/>
      <c r="AUZ1058" s="104"/>
      <c r="AVA1058" s="103"/>
      <c r="AVM1058" s="104"/>
      <c r="AVN1058" s="103"/>
      <c r="AVZ1058" s="104"/>
      <c r="AWA1058" s="103"/>
      <c r="AWM1058" s="104"/>
      <c r="AWN1058" s="103"/>
      <c r="AWZ1058" s="104"/>
      <c r="AXA1058" s="103"/>
      <c r="AXM1058" s="104"/>
      <c r="AXN1058" s="103"/>
      <c r="AXZ1058" s="104"/>
      <c r="AYA1058" s="103"/>
      <c r="AYM1058" s="104"/>
      <c r="AYN1058" s="103"/>
      <c r="AYZ1058" s="104"/>
      <c r="AZA1058" s="103"/>
      <c r="AZM1058" s="104"/>
      <c r="AZN1058" s="103"/>
      <c r="AZZ1058" s="104"/>
      <c r="BAA1058" s="103"/>
      <c r="BAM1058" s="104"/>
      <c r="BAN1058" s="103"/>
      <c r="BAZ1058" s="104"/>
      <c r="BBA1058" s="103"/>
      <c r="BBM1058" s="104"/>
      <c r="BBN1058" s="103"/>
      <c r="BBZ1058" s="104"/>
      <c r="BCA1058" s="103"/>
      <c r="BCM1058" s="104"/>
      <c r="BCN1058" s="103"/>
      <c r="BCZ1058" s="104"/>
      <c r="BDA1058" s="103"/>
      <c r="BDM1058" s="104"/>
      <c r="BDN1058" s="103"/>
      <c r="BDZ1058" s="104"/>
      <c r="BEA1058" s="103"/>
      <c r="BEM1058" s="104"/>
      <c r="BEN1058" s="103"/>
      <c r="BEZ1058" s="104"/>
      <c r="BFA1058" s="103"/>
      <c r="BFM1058" s="104"/>
      <c r="BFN1058" s="103"/>
      <c r="BFZ1058" s="104"/>
      <c r="BGA1058" s="103"/>
      <c r="BGM1058" s="104"/>
      <c r="BGN1058" s="103"/>
      <c r="BGZ1058" s="104"/>
      <c r="BHA1058" s="103"/>
      <c r="BHM1058" s="104"/>
      <c r="BHN1058" s="103"/>
      <c r="BHZ1058" s="104"/>
      <c r="BIA1058" s="103"/>
      <c r="BIM1058" s="104"/>
      <c r="BIN1058" s="103"/>
      <c r="BIZ1058" s="104"/>
      <c r="BJA1058" s="103"/>
      <c r="BJM1058" s="104"/>
      <c r="BJN1058" s="103"/>
      <c r="BJZ1058" s="104"/>
      <c r="BKA1058" s="103"/>
      <c r="BKM1058" s="104"/>
      <c r="BKN1058" s="103"/>
      <c r="BKZ1058" s="104"/>
      <c r="BLA1058" s="103"/>
      <c r="BLM1058" s="104"/>
      <c r="BLN1058" s="103"/>
      <c r="BLZ1058" s="104"/>
      <c r="BMA1058" s="103"/>
      <c r="BMM1058" s="104"/>
      <c r="BMN1058" s="103"/>
      <c r="BMZ1058" s="104"/>
      <c r="BNA1058" s="103"/>
      <c r="BNM1058" s="104"/>
      <c r="BNN1058" s="103"/>
      <c r="BNZ1058" s="104"/>
      <c r="BOA1058" s="103"/>
      <c r="BOM1058" s="104"/>
      <c r="BON1058" s="103"/>
      <c r="BOZ1058" s="104"/>
      <c r="BPA1058" s="103"/>
      <c r="BPM1058" s="104"/>
      <c r="BPN1058" s="103"/>
      <c r="BPZ1058" s="104"/>
      <c r="BQA1058" s="103"/>
      <c r="BQM1058" s="104"/>
      <c r="BQN1058" s="103"/>
      <c r="BQZ1058" s="104"/>
      <c r="BRA1058" s="103"/>
      <c r="BRM1058" s="104"/>
      <c r="BRN1058" s="103"/>
      <c r="BRZ1058" s="104"/>
      <c r="BSA1058" s="103"/>
      <c r="BSM1058" s="104"/>
      <c r="BSN1058" s="103"/>
      <c r="BSZ1058" s="104"/>
      <c r="BTA1058" s="103"/>
      <c r="BTM1058" s="104"/>
      <c r="BTN1058" s="103"/>
      <c r="BTZ1058" s="104"/>
      <c r="BUA1058" s="103"/>
      <c r="BUM1058" s="104"/>
      <c r="BUN1058" s="103"/>
      <c r="BUZ1058" s="104"/>
      <c r="BVA1058" s="103"/>
      <c r="BVM1058" s="104"/>
      <c r="BVN1058" s="103"/>
      <c r="BVZ1058" s="104"/>
      <c r="BWA1058" s="103"/>
      <c r="BWM1058" s="104"/>
      <c r="BWN1058" s="103"/>
      <c r="BWZ1058" s="104"/>
      <c r="BXA1058" s="103"/>
      <c r="BXM1058" s="104"/>
      <c r="BXN1058" s="103"/>
      <c r="BXZ1058" s="104"/>
      <c r="BYA1058" s="103"/>
      <c r="BYM1058" s="104"/>
      <c r="BYN1058" s="103"/>
      <c r="BYZ1058" s="104"/>
      <c r="BZA1058" s="103"/>
      <c r="BZM1058" s="104"/>
      <c r="BZN1058" s="103"/>
      <c r="BZZ1058" s="104"/>
      <c r="CAA1058" s="103"/>
      <c r="CAM1058" s="104"/>
      <c r="CAN1058" s="103"/>
      <c r="CAZ1058" s="104"/>
      <c r="CBA1058" s="103"/>
      <c r="CBM1058" s="104"/>
      <c r="CBN1058" s="103"/>
      <c r="CBZ1058" s="104"/>
      <c r="CCA1058" s="103"/>
      <c r="CCM1058" s="104"/>
      <c r="CCN1058" s="103"/>
      <c r="CCZ1058" s="104"/>
      <c r="CDA1058" s="103"/>
      <c r="CDM1058" s="104"/>
      <c r="CDN1058" s="103"/>
      <c r="CDZ1058" s="104"/>
      <c r="CEA1058" s="103"/>
      <c r="CEM1058" s="104"/>
      <c r="CEN1058" s="103"/>
      <c r="CEZ1058" s="104"/>
      <c r="CFA1058" s="103"/>
      <c r="CFM1058" s="104"/>
      <c r="CFN1058" s="103"/>
      <c r="CFZ1058" s="104"/>
      <c r="CGA1058" s="103"/>
      <c r="CGM1058" s="104"/>
      <c r="CGN1058" s="103"/>
      <c r="CGZ1058" s="104"/>
      <c r="CHA1058" s="103"/>
      <c r="CHM1058" s="104"/>
      <c r="CHN1058" s="103"/>
      <c r="CHZ1058" s="104"/>
      <c r="CIA1058" s="103"/>
      <c r="CIM1058" s="104"/>
      <c r="CIN1058" s="103"/>
      <c r="CIZ1058" s="104"/>
      <c r="CJA1058" s="103"/>
      <c r="CJM1058" s="104"/>
      <c r="CJN1058" s="103"/>
      <c r="CJZ1058" s="104"/>
      <c r="CKA1058" s="103"/>
      <c r="CKM1058" s="104"/>
      <c r="CKN1058" s="103"/>
      <c r="CKZ1058" s="104"/>
      <c r="CLA1058" s="103"/>
      <c r="CLM1058" s="104"/>
      <c r="CLN1058" s="103"/>
      <c r="CLZ1058" s="104"/>
      <c r="CMA1058" s="103"/>
      <c r="CMM1058" s="104"/>
      <c r="CMN1058" s="103"/>
      <c r="CMZ1058" s="104"/>
      <c r="CNA1058" s="103"/>
      <c r="CNM1058" s="104"/>
      <c r="CNN1058" s="103"/>
      <c r="CNZ1058" s="104"/>
      <c r="COA1058" s="103"/>
      <c r="COM1058" s="104"/>
      <c r="CON1058" s="103"/>
      <c r="COZ1058" s="104"/>
      <c r="CPA1058" s="103"/>
      <c r="CPM1058" s="104"/>
      <c r="CPN1058" s="103"/>
      <c r="CPZ1058" s="104"/>
      <c r="CQA1058" s="103"/>
      <c r="CQM1058" s="104"/>
      <c r="CQN1058" s="103"/>
      <c r="CQZ1058" s="104"/>
      <c r="CRA1058" s="103"/>
      <c r="CRM1058" s="104"/>
      <c r="CRN1058" s="103"/>
      <c r="CRZ1058" s="104"/>
      <c r="CSA1058" s="103"/>
      <c r="CSM1058" s="104"/>
      <c r="CSN1058" s="103"/>
      <c r="CSZ1058" s="104"/>
      <c r="CTA1058" s="103"/>
      <c r="CTM1058" s="104"/>
      <c r="CTN1058" s="103"/>
      <c r="CTZ1058" s="104"/>
      <c r="CUA1058" s="103"/>
      <c r="CUM1058" s="104"/>
      <c r="CUN1058" s="103"/>
      <c r="CUZ1058" s="104"/>
      <c r="CVA1058" s="103"/>
      <c r="CVM1058" s="104"/>
      <c r="CVN1058" s="103"/>
      <c r="CVZ1058" s="104"/>
      <c r="CWA1058" s="103"/>
      <c r="CWM1058" s="104"/>
      <c r="CWN1058" s="103"/>
      <c r="CWZ1058" s="104"/>
      <c r="CXA1058" s="103"/>
      <c r="CXM1058" s="104"/>
      <c r="CXN1058" s="103"/>
      <c r="CXZ1058" s="104"/>
      <c r="CYA1058" s="103"/>
      <c r="CYM1058" s="104"/>
      <c r="CYN1058" s="103"/>
      <c r="CYZ1058" s="104"/>
      <c r="CZA1058" s="103"/>
      <c r="CZM1058" s="104"/>
      <c r="CZN1058" s="103"/>
      <c r="CZZ1058" s="104"/>
      <c r="DAA1058" s="103"/>
      <c r="DAM1058" s="104"/>
      <c r="DAN1058" s="103"/>
      <c r="DAZ1058" s="104"/>
      <c r="DBA1058" s="103"/>
      <c r="DBM1058" s="104"/>
      <c r="DBN1058" s="103"/>
      <c r="DBZ1058" s="104"/>
      <c r="DCA1058" s="103"/>
      <c r="DCM1058" s="104"/>
      <c r="DCN1058" s="103"/>
      <c r="DCZ1058" s="104"/>
      <c r="DDA1058" s="103"/>
      <c r="DDM1058" s="104"/>
      <c r="DDN1058" s="103"/>
      <c r="DDZ1058" s="104"/>
      <c r="DEA1058" s="103"/>
      <c r="DEM1058" s="104"/>
      <c r="DEN1058" s="103"/>
      <c r="DEZ1058" s="104"/>
      <c r="DFA1058" s="103"/>
      <c r="DFM1058" s="104"/>
      <c r="DFN1058" s="103"/>
      <c r="DFZ1058" s="104"/>
      <c r="DGA1058" s="103"/>
      <c r="DGM1058" s="104"/>
      <c r="DGN1058" s="103"/>
      <c r="DGZ1058" s="104"/>
      <c r="DHA1058" s="103"/>
      <c r="DHM1058" s="104"/>
      <c r="DHN1058" s="103"/>
      <c r="DHZ1058" s="104"/>
      <c r="DIA1058" s="103"/>
      <c r="DIM1058" s="104"/>
      <c r="DIN1058" s="103"/>
      <c r="DIZ1058" s="104"/>
      <c r="DJA1058" s="103"/>
      <c r="DJM1058" s="104"/>
      <c r="DJN1058" s="103"/>
      <c r="DJZ1058" s="104"/>
      <c r="DKA1058" s="103"/>
      <c r="DKM1058" s="104"/>
      <c r="DKN1058" s="103"/>
      <c r="DKZ1058" s="104"/>
      <c r="DLA1058" s="103"/>
      <c r="DLM1058" s="104"/>
      <c r="DLN1058" s="103"/>
      <c r="DLZ1058" s="104"/>
      <c r="DMA1058" s="103"/>
      <c r="DMM1058" s="104"/>
      <c r="DMN1058" s="103"/>
      <c r="DMZ1058" s="104"/>
      <c r="DNA1058" s="103"/>
      <c r="DNM1058" s="104"/>
      <c r="DNN1058" s="103"/>
      <c r="DNZ1058" s="104"/>
      <c r="DOA1058" s="103"/>
      <c r="DOM1058" s="104"/>
      <c r="DON1058" s="103"/>
      <c r="DOZ1058" s="104"/>
      <c r="DPA1058" s="103"/>
      <c r="DPM1058" s="104"/>
      <c r="DPN1058" s="103"/>
      <c r="DPZ1058" s="104"/>
      <c r="DQA1058" s="103"/>
      <c r="DQM1058" s="104"/>
      <c r="DQN1058" s="103"/>
      <c r="DQZ1058" s="104"/>
      <c r="DRA1058" s="103"/>
      <c r="DRM1058" s="104"/>
      <c r="DRN1058" s="103"/>
      <c r="DRZ1058" s="104"/>
      <c r="DSA1058" s="103"/>
      <c r="DSM1058" s="104"/>
      <c r="DSN1058" s="103"/>
      <c r="DSZ1058" s="104"/>
      <c r="DTA1058" s="103"/>
      <c r="DTM1058" s="104"/>
      <c r="DTN1058" s="103"/>
      <c r="DTZ1058" s="104"/>
      <c r="DUA1058" s="103"/>
      <c r="DUM1058" s="104"/>
      <c r="DUN1058" s="103"/>
      <c r="DUZ1058" s="104"/>
      <c r="DVA1058" s="103"/>
      <c r="DVM1058" s="104"/>
      <c r="DVN1058" s="103"/>
      <c r="DVZ1058" s="104"/>
      <c r="DWA1058" s="103"/>
      <c r="DWM1058" s="104"/>
      <c r="DWN1058" s="103"/>
      <c r="DWZ1058" s="104"/>
      <c r="DXA1058" s="103"/>
      <c r="DXM1058" s="104"/>
      <c r="DXN1058" s="103"/>
      <c r="DXZ1058" s="104"/>
      <c r="DYA1058" s="103"/>
      <c r="DYM1058" s="104"/>
      <c r="DYN1058" s="103"/>
      <c r="DYZ1058" s="104"/>
      <c r="DZA1058" s="103"/>
      <c r="DZM1058" s="104"/>
      <c r="DZN1058" s="103"/>
      <c r="DZZ1058" s="104"/>
      <c r="EAA1058" s="103"/>
      <c r="EAM1058" s="104"/>
      <c r="EAN1058" s="103"/>
      <c r="EAZ1058" s="104"/>
      <c r="EBA1058" s="103"/>
      <c r="EBM1058" s="104"/>
      <c r="EBN1058" s="103"/>
      <c r="EBZ1058" s="104"/>
      <c r="ECA1058" s="103"/>
      <c r="ECM1058" s="104"/>
      <c r="ECN1058" s="103"/>
      <c r="ECZ1058" s="104"/>
      <c r="EDA1058" s="103"/>
      <c r="EDM1058" s="104"/>
      <c r="EDN1058" s="103"/>
      <c r="EDZ1058" s="104"/>
      <c r="EEA1058" s="103"/>
      <c r="EEM1058" s="104"/>
      <c r="EEN1058" s="103"/>
      <c r="EEZ1058" s="104"/>
      <c r="EFA1058" s="103"/>
      <c r="EFM1058" s="104"/>
      <c r="EFN1058" s="103"/>
      <c r="EFZ1058" s="104"/>
      <c r="EGA1058" s="103"/>
      <c r="EGM1058" s="104"/>
      <c r="EGN1058" s="103"/>
      <c r="EGZ1058" s="104"/>
      <c r="EHA1058" s="103"/>
      <c r="EHM1058" s="104"/>
      <c r="EHN1058" s="103"/>
      <c r="EHZ1058" s="104"/>
      <c r="EIA1058" s="103"/>
      <c r="EIM1058" s="104"/>
      <c r="EIN1058" s="103"/>
      <c r="EIZ1058" s="104"/>
      <c r="EJA1058" s="103"/>
      <c r="EJM1058" s="104"/>
      <c r="EJN1058" s="103"/>
      <c r="EJZ1058" s="104"/>
      <c r="EKA1058" s="103"/>
      <c r="EKM1058" s="104"/>
      <c r="EKN1058" s="103"/>
      <c r="EKZ1058" s="104"/>
      <c r="ELA1058" s="103"/>
      <c r="ELM1058" s="104"/>
      <c r="ELN1058" s="103"/>
      <c r="ELZ1058" s="104"/>
      <c r="EMA1058" s="103"/>
      <c r="EMM1058" s="104"/>
      <c r="EMN1058" s="103"/>
      <c r="EMZ1058" s="104"/>
      <c r="ENA1058" s="103"/>
      <c r="ENM1058" s="104"/>
      <c r="ENN1058" s="103"/>
      <c r="ENZ1058" s="104"/>
      <c r="EOA1058" s="103"/>
      <c r="EOM1058" s="104"/>
      <c r="EON1058" s="103"/>
      <c r="EOZ1058" s="104"/>
      <c r="EPA1058" s="103"/>
      <c r="EPM1058" s="104"/>
      <c r="EPN1058" s="103"/>
      <c r="EPZ1058" s="104"/>
      <c r="EQA1058" s="103"/>
      <c r="EQM1058" s="104"/>
      <c r="EQN1058" s="103"/>
      <c r="EQZ1058" s="104"/>
      <c r="ERA1058" s="103"/>
      <c r="ERM1058" s="104"/>
      <c r="ERN1058" s="103"/>
      <c r="ERZ1058" s="104"/>
      <c r="ESA1058" s="103"/>
      <c r="ESM1058" s="104"/>
      <c r="ESN1058" s="103"/>
      <c r="ESZ1058" s="104"/>
      <c r="ETA1058" s="103"/>
      <c r="ETM1058" s="104"/>
      <c r="ETN1058" s="103"/>
      <c r="ETZ1058" s="104"/>
      <c r="EUA1058" s="103"/>
      <c r="EUM1058" s="104"/>
      <c r="EUN1058" s="103"/>
      <c r="EUZ1058" s="104"/>
      <c r="EVA1058" s="103"/>
      <c r="EVM1058" s="104"/>
      <c r="EVN1058" s="103"/>
      <c r="EVZ1058" s="104"/>
      <c r="EWA1058" s="103"/>
      <c r="EWM1058" s="104"/>
      <c r="EWN1058" s="103"/>
      <c r="EWZ1058" s="104"/>
      <c r="EXA1058" s="103"/>
      <c r="EXM1058" s="104"/>
      <c r="EXN1058" s="103"/>
      <c r="EXZ1058" s="104"/>
      <c r="EYA1058" s="103"/>
      <c r="EYM1058" s="104"/>
      <c r="EYN1058" s="103"/>
      <c r="EYZ1058" s="104"/>
      <c r="EZA1058" s="103"/>
      <c r="EZM1058" s="104"/>
      <c r="EZN1058" s="103"/>
      <c r="EZZ1058" s="104"/>
      <c r="FAA1058" s="103"/>
      <c r="FAM1058" s="104"/>
      <c r="FAN1058" s="103"/>
      <c r="FAZ1058" s="104"/>
      <c r="FBA1058" s="103"/>
      <c r="FBM1058" s="104"/>
      <c r="FBN1058" s="103"/>
      <c r="FBZ1058" s="104"/>
      <c r="FCA1058" s="103"/>
      <c r="FCM1058" s="104"/>
      <c r="FCN1058" s="103"/>
      <c r="FCZ1058" s="104"/>
      <c r="FDA1058" s="103"/>
      <c r="FDM1058" s="104"/>
      <c r="FDN1058" s="103"/>
      <c r="FDZ1058" s="104"/>
      <c r="FEA1058" s="103"/>
      <c r="FEM1058" s="104"/>
      <c r="FEN1058" s="103"/>
      <c r="FEZ1058" s="104"/>
      <c r="FFA1058" s="103"/>
      <c r="FFM1058" s="104"/>
      <c r="FFN1058" s="103"/>
      <c r="FFZ1058" s="104"/>
      <c r="FGA1058" s="103"/>
      <c r="FGM1058" s="104"/>
      <c r="FGN1058" s="103"/>
      <c r="FGZ1058" s="104"/>
      <c r="FHA1058" s="103"/>
      <c r="FHM1058" s="104"/>
      <c r="FHN1058" s="103"/>
      <c r="FHZ1058" s="104"/>
      <c r="FIA1058" s="103"/>
      <c r="FIM1058" s="104"/>
      <c r="FIN1058" s="103"/>
      <c r="FIZ1058" s="104"/>
      <c r="FJA1058" s="103"/>
      <c r="FJM1058" s="104"/>
      <c r="FJN1058" s="103"/>
      <c r="FJZ1058" s="104"/>
      <c r="FKA1058" s="103"/>
      <c r="FKM1058" s="104"/>
      <c r="FKN1058" s="103"/>
      <c r="FKZ1058" s="104"/>
      <c r="FLA1058" s="103"/>
      <c r="FLM1058" s="104"/>
      <c r="FLN1058" s="103"/>
      <c r="FLZ1058" s="104"/>
      <c r="FMA1058" s="103"/>
      <c r="FMM1058" s="104"/>
      <c r="FMN1058" s="103"/>
      <c r="FMZ1058" s="104"/>
      <c r="FNA1058" s="103"/>
      <c r="FNM1058" s="104"/>
      <c r="FNN1058" s="103"/>
      <c r="FNZ1058" s="104"/>
      <c r="FOA1058" s="103"/>
      <c r="FOM1058" s="104"/>
      <c r="FON1058" s="103"/>
      <c r="FOZ1058" s="104"/>
      <c r="FPA1058" s="103"/>
      <c r="FPM1058" s="104"/>
      <c r="FPN1058" s="103"/>
      <c r="FPZ1058" s="104"/>
      <c r="FQA1058" s="103"/>
      <c r="FQM1058" s="104"/>
      <c r="FQN1058" s="103"/>
      <c r="FQZ1058" s="104"/>
      <c r="FRA1058" s="103"/>
      <c r="FRM1058" s="104"/>
      <c r="FRN1058" s="103"/>
      <c r="FRZ1058" s="104"/>
      <c r="FSA1058" s="103"/>
      <c r="FSM1058" s="104"/>
      <c r="FSN1058" s="103"/>
      <c r="FSZ1058" s="104"/>
      <c r="FTA1058" s="103"/>
      <c r="FTM1058" s="104"/>
      <c r="FTN1058" s="103"/>
      <c r="FTZ1058" s="104"/>
      <c r="FUA1058" s="103"/>
      <c r="FUM1058" s="104"/>
      <c r="FUN1058" s="103"/>
      <c r="FUZ1058" s="104"/>
      <c r="FVA1058" s="103"/>
      <c r="FVM1058" s="104"/>
      <c r="FVN1058" s="103"/>
      <c r="FVZ1058" s="104"/>
      <c r="FWA1058" s="103"/>
      <c r="FWM1058" s="104"/>
      <c r="FWN1058" s="103"/>
      <c r="FWZ1058" s="104"/>
      <c r="FXA1058" s="103"/>
      <c r="FXM1058" s="104"/>
      <c r="FXN1058" s="103"/>
      <c r="FXZ1058" s="104"/>
      <c r="FYA1058" s="103"/>
      <c r="FYM1058" s="104"/>
      <c r="FYN1058" s="103"/>
      <c r="FYZ1058" s="104"/>
      <c r="FZA1058" s="103"/>
      <c r="FZM1058" s="104"/>
      <c r="FZN1058" s="103"/>
      <c r="FZZ1058" s="104"/>
      <c r="GAA1058" s="103"/>
      <c r="GAM1058" s="104"/>
      <c r="GAN1058" s="103"/>
      <c r="GAZ1058" s="104"/>
      <c r="GBA1058" s="103"/>
      <c r="GBM1058" s="104"/>
      <c r="GBN1058" s="103"/>
      <c r="GBZ1058" s="104"/>
      <c r="GCA1058" s="103"/>
      <c r="GCM1058" s="104"/>
      <c r="GCN1058" s="103"/>
      <c r="GCZ1058" s="104"/>
      <c r="GDA1058" s="103"/>
      <c r="GDM1058" s="104"/>
      <c r="GDN1058" s="103"/>
      <c r="GDZ1058" s="104"/>
      <c r="GEA1058" s="103"/>
      <c r="GEM1058" s="104"/>
      <c r="GEN1058" s="103"/>
      <c r="GEZ1058" s="104"/>
      <c r="GFA1058" s="103"/>
      <c r="GFM1058" s="104"/>
      <c r="GFN1058" s="103"/>
      <c r="GFZ1058" s="104"/>
      <c r="GGA1058" s="103"/>
      <c r="GGM1058" s="104"/>
      <c r="GGN1058" s="103"/>
      <c r="GGZ1058" s="104"/>
      <c r="GHA1058" s="103"/>
      <c r="GHM1058" s="104"/>
      <c r="GHN1058" s="103"/>
      <c r="GHZ1058" s="104"/>
      <c r="GIA1058" s="103"/>
      <c r="GIM1058" s="104"/>
      <c r="GIN1058" s="103"/>
      <c r="GIZ1058" s="104"/>
      <c r="GJA1058" s="103"/>
      <c r="GJM1058" s="104"/>
      <c r="GJN1058" s="103"/>
      <c r="GJZ1058" s="104"/>
      <c r="GKA1058" s="103"/>
      <c r="GKM1058" s="104"/>
      <c r="GKN1058" s="103"/>
      <c r="GKZ1058" s="104"/>
      <c r="GLA1058" s="103"/>
      <c r="GLM1058" s="104"/>
      <c r="GLN1058" s="103"/>
      <c r="GLZ1058" s="104"/>
      <c r="GMA1058" s="103"/>
      <c r="GMM1058" s="104"/>
      <c r="GMN1058" s="103"/>
      <c r="GMZ1058" s="104"/>
      <c r="GNA1058" s="103"/>
      <c r="GNM1058" s="104"/>
      <c r="GNN1058" s="103"/>
      <c r="GNZ1058" s="104"/>
      <c r="GOA1058" s="103"/>
      <c r="GOM1058" s="104"/>
      <c r="GON1058" s="103"/>
      <c r="GOZ1058" s="104"/>
      <c r="GPA1058" s="103"/>
      <c r="GPM1058" s="104"/>
      <c r="GPN1058" s="103"/>
      <c r="GPZ1058" s="104"/>
      <c r="GQA1058" s="103"/>
      <c r="GQM1058" s="104"/>
      <c r="GQN1058" s="103"/>
      <c r="GQZ1058" s="104"/>
      <c r="GRA1058" s="103"/>
      <c r="GRM1058" s="104"/>
      <c r="GRN1058" s="103"/>
      <c r="GRZ1058" s="104"/>
      <c r="GSA1058" s="103"/>
      <c r="GSM1058" s="104"/>
      <c r="GSN1058" s="103"/>
      <c r="GSZ1058" s="104"/>
      <c r="GTA1058" s="103"/>
      <c r="GTM1058" s="104"/>
      <c r="GTN1058" s="103"/>
      <c r="GTZ1058" s="104"/>
      <c r="GUA1058" s="103"/>
      <c r="GUM1058" s="104"/>
      <c r="GUN1058" s="103"/>
      <c r="GUZ1058" s="104"/>
      <c r="GVA1058" s="103"/>
      <c r="GVM1058" s="104"/>
      <c r="GVN1058" s="103"/>
      <c r="GVZ1058" s="104"/>
      <c r="GWA1058" s="103"/>
      <c r="GWM1058" s="104"/>
      <c r="GWN1058" s="103"/>
      <c r="GWZ1058" s="104"/>
      <c r="GXA1058" s="103"/>
      <c r="GXM1058" s="104"/>
      <c r="GXN1058" s="103"/>
      <c r="GXZ1058" s="104"/>
      <c r="GYA1058" s="103"/>
      <c r="GYM1058" s="104"/>
      <c r="GYN1058" s="103"/>
      <c r="GYZ1058" s="104"/>
      <c r="GZA1058" s="103"/>
      <c r="GZM1058" s="104"/>
      <c r="GZN1058" s="103"/>
      <c r="GZZ1058" s="104"/>
      <c r="HAA1058" s="103"/>
      <c r="HAM1058" s="104"/>
      <c r="HAN1058" s="103"/>
      <c r="HAZ1058" s="104"/>
      <c r="HBA1058" s="103"/>
      <c r="HBM1058" s="104"/>
      <c r="HBN1058" s="103"/>
      <c r="HBZ1058" s="104"/>
      <c r="HCA1058" s="103"/>
      <c r="HCM1058" s="104"/>
      <c r="HCN1058" s="103"/>
      <c r="HCZ1058" s="104"/>
      <c r="HDA1058" s="103"/>
      <c r="HDM1058" s="104"/>
      <c r="HDN1058" s="103"/>
      <c r="HDZ1058" s="104"/>
      <c r="HEA1058" s="103"/>
      <c r="HEM1058" s="104"/>
      <c r="HEN1058" s="103"/>
      <c r="HEZ1058" s="104"/>
      <c r="HFA1058" s="103"/>
      <c r="HFM1058" s="104"/>
      <c r="HFN1058" s="103"/>
      <c r="HFZ1058" s="104"/>
      <c r="HGA1058" s="103"/>
      <c r="HGM1058" s="104"/>
      <c r="HGN1058" s="103"/>
      <c r="HGZ1058" s="104"/>
      <c r="HHA1058" s="103"/>
      <c r="HHM1058" s="104"/>
      <c r="HHN1058" s="103"/>
      <c r="HHZ1058" s="104"/>
      <c r="HIA1058" s="103"/>
      <c r="HIM1058" s="104"/>
      <c r="HIN1058" s="103"/>
      <c r="HIZ1058" s="104"/>
      <c r="HJA1058" s="103"/>
      <c r="HJM1058" s="104"/>
      <c r="HJN1058" s="103"/>
      <c r="HJZ1058" s="104"/>
      <c r="HKA1058" s="103"/>
      <c r="HKM1058" s="104"/>
      <c r="HKN1058" s="103"/>
      <c r="HKZ1058" s="104"/>
      <c r="HLA1058" s="103"/>
      <c r="HLM1058" s="104"/>
      <c r="HLN1058" s="103"/>
      <c r="HLZ1058" s="104"/>
      <c r="HMA1058" s="103"/>
      <c r="HMM1058" s="104"/>
      <c r="HMN1058" s="103"/>
      <c r="HMZ1058" s="104"/>
      <c r="HNA1058" s="103"/>
      <c r="HNM1058" s="104"/>
      <c r="HNN1058" s="103"/>
      <c r="HNZ1058" s="104"/>
      <c r="HOA1058" s="103"/>
      <c r="HOM1058" s="104"/>
      <c r="HON1058" s="103"/>
      <c r="HOZ1058" s="104"/>
      <c r="HPA1058" s="103"/>
      <c r="HPM1058" s="104"/>
      <c r="HPN1058" s="103"/>
      <c r="HPZ1058" s="104"/>
      <c r="HQA1058" s="103"/>
      <c r="HQM1058" s="104"/>
      <c r="HQN1058" s="103"/>
      <c r="HQZ1058" s="104"/>
      <c r="HRA1058" s="103"/>
      <c r="HRM1058" s="104"/>
      <c r="HRN1058" s="103"/>
      <c r="HRZ1058" s="104"/>
      <c r="HSA1058" s="103"/>
      <c r="HSM1058" s="104"/>
      <c r="HSN1058" s="103"/>
      <c r="HSZ1058" s="104"/>
      <c r="HTA1058" s="103"/>
      <c r="HTM1058" s="104"/>
      <c r="HTN1058" s="103"/>
      <c r="HTZ1058" s="104"/>
      <c r="HUA1058" s="103"/>
      <c r="HUM1058" s="104"/>
      <c r="HUN1058" s="103"/>
      <c r="HUZ1058" s="104"/>
      <c r="HVA1058" s="103"/>
      <c r="HVM1058" s="104"/>
      <c r="HVN1058" s="103"/>
      <c r="HVZ1058" s="104"/>
      <c r="HWA1058" s="103"/>
      <c r="HWM1058" s="104"/>
      <c r="HWN1058" s="103"/>
      <c r="HWZ1058" s="104"/>
      <c r="HXA1058" s="103"/>
      <c r="HXM1058" s="104"/>
      <c r="HXN1058" s="103"/>
      <c r="HXZ1058" s="104"/>
      <c r="HYA1058" s="103"/>
      <c r="HYM1058" s="104"/>
      <c r="HYN1058" s="103"/>
      <c r="HYZ1058" s="104"/>
      <c r="HZA1058" s="103"/>
      <c r="HZM1058" s="104"/>
      <c r="HZN1058" s="103"/>
      <c r="HZZ1058" s="104"/>
      <c r="IAA1058" s="103"/>
      <c r="IAM1058" s="104"/>
      <c r="IAN1058" s="103"/>
      <c r="IAZ1058" s="104"/>
      <c r="IBA1058" s="103"/>
      <c r="IBM1058" s="104"/>
      <c r="IBN1058" s="103"/>
      <c r="IBZ1058" s="104"/>
      <c r="ICA1058" s="103"/>
      <c r="ICM1058" s="104"/>
      <c r="ICN1058" s="103"/>
      <c r="ICZ1058" s="104"/>
      <c r="IDA1058" s="103"/>
      <c r="IDM1058" s="104"/>
      <c r="IDN1058" s="103"/>
      <c r="IDZ1058" s="104"/>
      <c r="IEA1058" s="103"/>
      <c r="IEM1058" s="104"/>
      <c r="IEN1058" s="103"/>
      <c r="IEZ1058" s="104"/>
      <c r="IFA1058" s="103"/>
      <c r="IFM1058" s="104"/>
      <c r="IFN1058" s="103"/>
      <c r="IFZ1058" s="104"/>
      <c r="IGA1058" s="103"/>
      <c r="IGM1058" s="104"/>
      <c r="IGN1058" s="103"/>
      <c r="IGZ1058" s="104"/>
      <c r="IHA1058" s="103"/>
      <c r="IHM1058" s="104"/>
      <c r="IHN1058" s="103"/>
      <c r="IHZ1058" s="104"/>
      <c r="IIA1058" s="103"/>
      <c r="IIM1058" s="104"/>
      <c r="IIN1058" s="103"/>
      <c r="IIZ1058" s="104"/>
      <c r="IJA1058" s="103"/>
      <c r="IJM1058" s="104"/>
      <c r="IJN1058" s="103"/>
      <c r="IJZ1058" s="104"/>
      <c r="IKA1058" s="103"/>
      <c r="IKM1058" s="104"/>
      <c r="IKN1058" s="103"/>
      <c r="IKZ1058" s="104"/>
      <c r="ILA1058" s="103"/>
      <c r="ILM1058" s="104"/>
      <c r="ILN1058" s="103"/>
      <c r="ILZ1058" s="104"/>
      <c r="IMA1058" s="103"/>
      <c r="IMM1058" s="104"/>
      <c r="IMN1058" s="103"/>
      <c r="IMZ1058" s="104"/>
      <c r="INA1058" s="103"/>
      <c r="INM1058" s="104"/>
      <c r="INN1058" s="103"/>
      <c r="INZ1058" s="104"/>
      <c r="IOA1058" s="103"/>
      <c r="IOM1058" s="104"/>
      <c r="ION1058" s="103"/>
      <c r="IOZ1058" s="104"/>
      <c r="IPA1058" s="103"/>
      <c r="IPM1058" s="104"/>
      <c r="IPN1058" s="103"/>
      <c r="IPZ1058" s="104"/>
      <c r="IQA1058" s="103"/>
      <c r="IQM1058" s="104"/>
      <c r="IQN1058" s="103"/>
      <c r="IQZ1058" s="104"/>
      <c r="IRA1058" s="103"/>
      <c r="IRM1058" s="104"/>
      <c r="IRN1058" s="103"/>
      <c r="IRZ1058" s="104"/>
      <c r="ISA1058" s="103"/>
      <c r="ISM1058" s="104"/>
      <c r="ISN1058" s="103"/>
      <c r="ISZ1058" s="104"/>
      <c r="ITA1058" s="103"/>
      <c r="ITM1058" s="104"/>
      <c r="ITN1058" s="103"/>
      <c r="ITZ1058" s="104"/>
      <c r="IUA1058" s="103"/>
      <c r="IUM1058" s="104"/>
      <c r="IUN1058" s="103"/>
      <c r="IUZ1058" s="104"/>
      <c r="IVA1058" s="103"/>
      <c r="IVM1058" s="104"/>
      <c r="IVN1058" s="103"/>
      <c r="IVZ1058" s="104"/>
      <c r="IWA1058" s="103"/>
      <c r="IWM1058" s="104"/>
      <c r="IWN1058" s="103"/>
      <c r="IWZ1058" s="104"/>
      <c r="IXA1058" s="103"/>
      <c r="IXM1058" s="104"/>
      <c r="IXN1058" s="103"/>
      <c r="IXZ1058" s="104"/>
      <c r="IYA1058" s="103"/>
      <c r="IYM1058" s="104"/>
      <c r="IYN1058" s="103"/>
      <c r="IYZ1058" s="104"/>
      <c r="IZA1058" s="103"/>
      <c r="IZM1058" s="104"/>
      <c r="IZN1058" s="103"/>
      <c r="IZZ1058" s="104"/>
      <c r="JAA1058" s="103"/>
      <c r="JAM1058" s="104"/>
      <c r="JAN1058" s="103"/>
      <c r="JAZ1058" s="104"/>
      <c r="JBA1058" s="103"/>
      <c r="JBM1058" s="104"/>
      <c r="JBN1058" s="103"/>
      <c r="JBZ1058" s="104"/>
      <c r="JCA1058" s="103"/>
      <c r="JCM1058" s="104"/>
      <c r="JCN1058" s="103"/>
      <c r="JCZ1058" s="104"/>
      <c r="JDA1058" s="103"/>
      <c r="JDM1058" s="104"/>
      <c r="JDN1058" s="103"/>
      <c r="JDZ1058" s="104"/>
      <c r="JEA1058" s="103"/>
      <c r="JEM1058" s="104"/>
      <c r="JEN1058" s="103"/>
      <c r="JEZ1058" s="104"/>
      <c r="JFA1058" s="103"/>
      <c r="JFM1058" s="104"/>
      <c r="JFN1058" s="103"/>
      <c r="JFZ1058" s="104"/>
      <c r="JGA1058" s="103"/>
      <c r="JGM1058" s="104"/>
      <c r="JGN1058" s="103"/>
      <c r="JGZ1058" s="104"/>
      <c r="JHA1058" s="103"/>
      <c r="JHM1058" s="104"/>
      <c r="JHN1058" s="103"/>
      <c r="JHZ1058" s="104"/>
      <c r="JIA1058" s="103"/>
      <c r="JIM1058" s="104"/>
      <c r="JIN1058" s="103"/>
      <c r="JIZ1058" s="104"/>
      <c r="JJA1058" s="103"/>
      <c r="JJM1058" s="104"/>
      <c r="JJN1058" s="103"/>
      <c r="JJZ1058" s="104"/>
      <c r="JKA1058" s="103"/>
      <c r="JKM1058" s="104"/>
      <c r="JKN1058" s="103"/>
      <c r="JKZ1058" s="104"/>
      <c r="JLA1058" s="103"/>
      <c r="JLM1058" s="104"/>
      <c r="JLN1058" s="103"/>
      <c r="JLZ1058" s="104"/>
      <c r="JMA1058" s="103"/>
      <c r="JMM1058" s="104"/>
      <c r="JMN1058" s="103"/>
      <c r="JMZ1058" s="104"/>
      <c r="JNA1058" s="103"/>
      <c r="JNM1058" s="104"/>
      <c r="JNN1058" s="103"/>
      <c r="JNZ1058" s="104"/>
      <c r="JOA1058" s="103"/>
      <c r="JOM1058" s="104"/>
      <c r="JON1058" s="103"/>
      <c r="JOZ1058" s="104"/>
      <c r="JPA1058" s="103"/>
      <c r="JPM1058" s="104"/>
      <c r="JPN1058" s="103"/>
      <c r="JPZ1058" s="104"/>
      <c r="JQA1058" s="103"/>
      <c r="JQM1058" s="104"/>
      <c r="JQN1058" s="103"/>
      <c r="JQZ1058" s="104"/>
      <c r="JRA1058" s="103"/>
      <c r="JRM1058" s="104"/>
      <c r="JRN1058" s="103"/>
      <c r="JRZ1058" s="104"/>
      <c r="JSA1058" s="103"/>
      <c r="JSM1058" s="104"/>
      <c r="JSN1058" s="103"/>
      <c r="JSZ1058" s="104"/>
      <c r="JTA1058" s="103"/>
      <c r="JTM1058" s="104"/>
      <c r="JTN1058" s="103"/>
      <c r="JTZ1058" s="104"/>
      <c r="JUA1058" s="103"/>
      <c r="JUM1058" s="104"/>
      <c r="JUN1058" s="103"/>
      <c r="JUZ1058" s="104"/>
      <c r="JVA1058" s="103"/>
      <c r="JVM1058" s="104"/>
      <c r="JVN1058" s="103"/>
      <c r="JVZ1058" s="104"/>
      <c r="JWA1058" s="103"/>
      <c r="JWM1058" s="104"/>
      <c r="JWN1058" s="103"/>
      <c r="JWZ1058" s="104"/>
      <c r="JXA1058" s="103"/>
      <c r="JXM1058" s="104"/>
      <c r="JXN1058" s="103"/>
      <c r="JXZ1058" s="104"/>
      <c r="JYA1058" s="103"/>
      <c r="JYM1058" s="104"/>
      <c r="JYN1058" s="103"/>
      <c r="JYZ1058" s="104"/>
      <c r="JZA1058" s="103"/>
      <c r="JZM1058" s="104"/>
      <c r="JZN1058" s="103"/>
      <c r="JZZ1058" s="104"/>
      <c r="KAA1058" s="103"/>
      <c r="KAM1058" s="104"/>
      <c r="KAN1058" s="103"/>
      <c r="KAZ1058" s="104"/>
      <c r="KBA1058" s="103"/>
      <c r="KBM1058" s="104"/>
      <c r="KBN1058" s="103"/>
      <c r="KBZ1058" s="104"/>
      <c r="KCA1058" s="103"/>
      <c r="KCM1058" s="104"/>
      <c r="KCN1058" s="103"/>
      <c r="KCZ1058" s="104"/>
      <c r="KDA1058" s="103"/>
      <c r="KDM1058" s="104"/>
      <c r="KDN1058" s="103"/>
      <c r="KDZ1058" s="104"/>
      <c r="KEA1058" s="103"/>
      <c r="KEM1058" s="104"/>
      <c r="KEN1058" s="103"/>
      <c r="KEZ1058" s="104"/>
      <c r="KFA1058" s="103"/>
      <c r="KFM1058" s="104"/>
      <c r="KFN1058" s="103"/>
      <c r="KFZ1058" s="104"/>
      <c r="KGA1058" s="103"/>
      <c r="KGM1058" s="104"/>
      <c r="KGN1058" s="103"/>
      <c r="KGZ1058" s="104"/>
      <c r="KHA1058" s="103"/>
      <c r="KHM1058" s="104"/>
      <c r="KHN1058" s="103"/>
      <c r="KHZ1058" s="104"/>
      <c r="KIA1058" s="103"/>
      <c r="KIM1058" s="104"/>
      <c r="KIN1058" s="103"/>
      <c r="KIZ1058" s="104"/>
      <c r="KJA1058" s="103"/>
      <c r="KJM1058" s="104"/>
      <c r="KJN1058" s="103"/>
      <c r="KJZ1058" s="104"/>
      <c r="KKA1058" s="103"/>
      <c r="KKM1058" s="104"/>
      <c r="KKN1058" s="103"/>
      <c r="KKZ1058" s="104"/>
      <c r="KLA1058" s="103"/>
      <c r="KLM1058" s="104"/>
      <c r="KLN1058" s="103"/>
      <c r="KLZ1058" s="104"/>
      <c r="KMA1058" s="103"/>
      <c r="KMM1058" s="104"/>
      <c r="KMN1058" s="103"/>
      <c r="KMZ1058" s="104"/>
      <c r="KNA1058" s="103"/>
      <c r="KNM1058" s="104"/>
      <c r="KNN1058" s="103"/>
      <c r="KNZ1058" s="104"/>
      <c r="KOA1058" s="103"/>
      <c r="KOM1058" s="104"/>
      <c r="KON1058" s="103"/>
      <c r="KOZ1058" s="104"/>
      <c r="KPA1058" s="103"/>
      <c r="KPM1058" s="104"/>
      <c r="KPN1058" s="103"/>
      <c r="KPZ1058" s="104"/>
      <c r="KQA1058" s="103"/>
      <c r="KQM1058" s="104"/>
      <c r="KQN1058" s="103"/>
      <c r="KQZ1058" s="104"/>
      <c r="KRA1058" s="103"/>
      <c r="KRM1058" s="104"/>
      <c r="KRN1058" s="103"/>
      <c r="KRZ1058" s="104"/>
      <c r="KSA1058" s="103"/>
      <c r="KSM1058" s="104"/>
      <c r="KSN1058" s="103"/>
      <c r="KSZ1058" s="104"/>
      <c r="KTA1058" s="103"/>
      <c r="KTM1058" s="104"/>
      <c r="KTN1058" s="103"/>
      <c r="KTZ1058" s="104"/>
      <c r="KUA1058" s="103"/>
      <c r="KUM1058" s="104"/>
      <c r="KUN1058" s="103"/>
      <c r="KUZ1058" s="104"/>
      <c r="KVA1058" s="103"/>
      <c r="KVM1058" s="104"/>
      <c r="KVN1058" s="103"/>
      <c r="KVZ1058" s="104"/>
      <c r="KWA1058" s="103"/>
      <c r="KWM1058" s="104"/>
      <c r="KWN1058" s="103"/>
      <c r="KWZ1058" s="104"/>
      <c r="KXA1058" s="103"/>
      <c r="KXM1058" s="104"/>
      <c r="KXN1058" s="103"/>
      <c r="KXZ1058" s="104"/>
      <c r="KYA1058" s="103"/>
      <c r="KYM1058" s="104"/>
      <c r="KYN1058" s="103"/>
      <c r="KYZ1058" s="104"/>
      <c r="KZA1058" s="103"/>
      <c r="KZM1058" s="104"/>
      <c r="KZN1058" s="103"/>
      <c r="KZZ1058" s="104"/>
      <c r="LAA1058" s="103"/>
      <c r="LAM1058" s="104"/>
      <c r="LAN1058" s="103"/>
      <c r="LAZ1058" s="104"/>
      <c r="LBA1058" s="103"/>
      <c r="LBM1058" s="104"/>
      <c r="LBN1058" s="103"/>
      <c r="LBZ1058" s="104"/>
      <c r="LCA1058" s="103"/>
      <c r="LCM1058" s="104"/>
      <c r="LCN1058" s="103"/>
      <c r="LCZ1058" s="104"/>
      <c r="LDA1058" s="103"/>
      <c r="LDM1058" s="104"/>
      <c r="LDN1058" s="103"/>
      <c r="LDZ1058" s="104"/>
      <c r="LEA1058" s="103"/>
      <c r="LEM1058" s="104"/>
      <c r="LEN1058" s="103"/>
      <c r="LEZ1058" s="104"/>
      <c r="LFA1058" s="103"/>
      <c r="LFM1058" s="104"/>
      <c r="LFN1058" s="103"/>
      <c r="LFZ1058" s="104"/>
      <c r="LGA1058" s="103"/>
      <c r="LGM1058" s="104"/>
      <c r="LGN1058" s="103"/>
      <c r="LGZ1058" s="104"/>
      <c r="LHA1058" s="103"/>
      <c r="LHM1058" s="104"/>
      <c r="LHN1058" s="103"/>
      <c r="LHZ1058" s="104"/>
      <c r="LIA1058" s="103"/>
      <c r="LIM1058" s="104"/>
      <c r="LIN1058" s="103"/>
      <c r="LIZ1058" s="104"/>
      <c r="LJA1058" s="103"/>
      <c r="LJM1058" s="104"/>
      <c r="LJN1058" s="103"/>
      <c r="LJZ1058" s="104"/>
      <c r="LKA1058" s="103"/>
      <c r="LKM1058" s="104"/>
      <c r="LKN1058" s="103"/>
      <c r="LKZ1058" s="104"/>
      <c r="LLA1058" s="103"/>
      <c r="LLM1058" s="104"/>
      <c r="LLN1058" s="103"/>
      <c r="LLZ1058" s="104"/>
      <c r="LMA1058" s="103"/>
      <c r="LMM1058" s="104"/>
      <c r="LMN1058" s="103"/>
      <c r="LMZ1058" s="104"/>
      <c r="LNA1058" s="103"/>
      <c r="LNM1058" s="104"/>
      <c r="LNN1058" s="103"/>
      <c r="LNZ1058" s="104"/>
      <c r="LOA1058" s="103"/>
      <c r="LOM1058" s="104"/>
      <c r="LON1058" s="103"/>
      <c r="LOZ1058" s="104"/>
      <c r="LPA1058" s="103"/>
      <c r="LPM1058" s="104"/>
      <c r="LPN1058" s="103"/>
      <c r="LPZ1058" s="104"/>
      <c r="LQA1058" s="103"/>
      <c r="LQM1058" s="104"/>
      <c r="LQN1058" s="103"/>
      <c r="LQZ1058" s="104"/>
      <c r="LRA1058" s="103"/>
      <c r="LRM1058" s="104"/>
      <c r="LRN1058" s="103"/>
      <c r="LRZ1058" s="104"/>
      <c r="LSA1058" s="103"/>
      <c r="LSM1058" s="104"/>
      <c r="LSN1058" s="103"/>
      <c r="LSZ1058" s="104"/>
      <c r="LTA1058" s="103"/>
      <c r="LTM1058" s="104"/>
      <c r="LTN1058" s="103"/>
      <c r="LTZ1058" s="104"/>
      <c r="LUA1058" s="103"/>
      <c r="LUM1058" s="104"/>
      <c r="LUN1058" s="103"/>
      <c r="LUZ1058" s="104"/>
      <c r="LVA1058" s="103"/>
      <c r="LVM1058" s="104"/>
      <c r="LVN1058" s="103"/>
      <c r="LVZ1058" s="104"/>
      <c r="LWA1058" s="103"/>
      <c r="LWM1058" s="104"/>
      <c r="LWN1058" s="103"/>
      <c r="LWZ1058" s="104"/>
      <c r="LXA1058" s="103"/>
      <c r="LXM1058" s="104"/>
      <c r="LXN1058" s="103"/>
      <c r="LXZ1058" s="104"/>
      <c r="LYA1058" s="103"/>
      <c r="LYM1058" s="104"/>
      <c r="LYN1058" s="103"/>
      <c r="LYZ1058" s="104"/>
      <c r="LZA1058" s="103"/>
      <c r="LZM1058" s="104"/>
      <c r="LZN1058" s="103"/>
      <c r="LZZ1058" s="104"/>
      <c r="MAA1058" s="103"/>
      <c r="MAM1058" s="104"/>
      <c r="MAN1058" s="103"/>
      <c r="MAZ1058" s="104"/>
      <c r="MBA1058" s="103"/>
      <c r="MBM1058" s="104"/>
      <c r="MBN1058" s="103"/>
      <c r="MBZ1058" s="104"/>
      <c r="MCA1058" s="103"/>
      <c r="MCM1058" s="104"/>
      <c r="MCN1058" s="103"/>
      <c r="MCZ1058" s="104"/>
      <c r="MDA1058" s="103"/>
      <c r="MDM1058" s="104"/>
      <c r="MDN1058" s="103"/>
      <c r="MDZ1058" s="104"/>
      <c r="MEA1058" s="103"/>
      <c r="MEM1058" s="104"/>
      <c r="MEN1058" s="103"/>
      <c r="MEZ1058" s="104"/>
      <c r="MFA1058" s="103"/>
      <c r="MFM1058" s="104"/>
      <c r="MFN1058" s="103"/>
      <c r="MFZ1058" s="104"/>
      <c r="MGA1058" s="103"/>
      <c r="MGM1058" s="104"/>
      <c r="MGN1058" s="103"/>
      <c r="MGZ1058" s="104"/>
      <c r="MHA1058" s="103"/>
      <c r="MHM1058" s="104"/>
      <c r="MHN1058" s="103"/>
      <c r="MHZ1058" s="104"/>
      <c r="MIA1058" s="103"/>
      <c r="MIM1058" s="104"/>
      <c r="MIN1058" s="103"/>
      <c r="MIZ1058" s="104"/>
      <c r="MJA1058" s="103"/>
      <c r="MJM1058" s="104"/>
      <c r="MJN1058" s="103"/>
      <c r="MJZ1058" s="104"/>
      <c r="MKA1058" s="103"/>
      <c r="MKM1058" s="104"/>
      <c r="MKN1058" s="103"/>
      <c r="MKZ1058" s="104"/>
      <c r="MLA1058" s="103"/>
      <c r="MLM1058" s="104"/>
      <c r="MLN1058" s="103"/>
      <c r="MLZ1058" s="104"/>
      <c r="MMA1058" s="103"/>
      <c r="MMM1058" s="104"/>
      <c r="MMN1058" s="103"/>
      <c r="MMZ1058" s="104"/>
      <c r="MNA1058" s="103"/>
      <c r="MNM1058" s="104"/>
      <c r="MNN1058" s="103"/>
      <c r="MNZ1058" s="104"/>
      <c r="MOA1058" s="103"/>
      <c r="MOM1058" s="104"/>
      <c r="MON1058" s="103"/>
      <c r="MOZ1058" s="104"/>
      <c r="MPA1058" s="103"/>
      <c r="MPM1058" s="104"/>
      <c r="MPN1058" s="103"/>
      <c r="MPZ1058" s="104"/>
      <c r="MQA1058" s="103"/>
      <c r="MQM1058" s="104"/>
      <c r="MQN1058" s="103"/>
      <c r="MQZ1058" s="104"/>
      <c r="MRA1058" s="103"/>
      <c r="MRM1058" s="104"/>
      <c r="MRN1058" s="103"/>
      <c r="MRZ1058" s="104"/>
      <c r="MSA1058" s="103"/>
      <c r="MSM1058" s="104"/>
      <c r="MSN1058" s="103"/>
      <c r="MSZ1058" s="104"/>
      <c r="MTA1058" s="103"/>
      <c r="MTM1058" s="104"/>
      <c r="MTN1058" s="103"/>
      <c r="MTZ1058" s="104"/>
      <c r="MUA1058" s="103"/>
      <c r="MUM1058" s="104"/>
      <c r="MUN1058" s="103"/>
      <c r="MUZ1058" s="104"/>
      <c r="MVA1058" s="103"/>
      <c r="MVM1058" s="104"/>
      <c r="MVN1058" s="103"/>
      <c r="MVZ1058" s="104"/>
      <c r="MWA1058" s="103"/>
      <c r="MWM1058" s="104"/>
      <c r="MWN1058" s="103"/>
      <c r="MWZ1058" s="104"/>
      <c r="MXA1058" s="103"/>
      <c r="MXM1058" s="104"/>
      <c r="MXN1058" s="103"/>
      <c r="MXZ1058" s="104"/>
      <c r="MYA1058" s="103"/>
      <c r="MYM1058" s="104"/>
      <c r="MYN1058" s="103"/>
      <c r="MYZ1058" s="104"/>
      <c r="MZA1058" s="103"/>
      <c r="MZM1058" s="104"/>
      <c r="MZN1058" s="103"/>
      <c r="MZZ1058" s="104"/>
      <c r="NAA1058" s="103"/>
      <c r="NAM1058" s="104"/>
      <c r="NAN1058" s="103"/>
      <c r="NAZ1058" s="104"/>
      <c r="NBA1058" s="103"/>
      <c r="NBM1058" s="104"/>
      <c r="NBN1058" s="103"/>
      <c r="NBZ1058" s="104"/>
      <c r="NCA1058" s="103"/>
      <c r="NCM1058" s="104"/>
      <c r="NCN1058" s="103"/>
      <c r="NCZ1058" s="104"/>
      <c r="NDA1058" s="103"/>
      <c r="NDM1058" s="104"/>
      <c r="NDN1058" s="103"/>
      <c r="NDZ1058" s="104"/>
      <c r="NEA1058" s="103"/>
      <c r="NEM1058" s="104"/>
      <c r="NEN1058" s="103"/>
      <c r="NEZ1058" s="104"/>
      <c r="NFA1058" s="103"/>
      <c r="NFM1058" s="104"/>
      <c r="NFN1058" s="103"/>
      <c r="NFZ1058" s="104"/>
      <c r="NGA1058" s="103"/>
      <c r="NGM1058" s="104"/>
      <c r="NGN1058" s="103"/>
      <c r="NGZ1058" s="104"/>
      <c r="NHA1058" s="103"/>
      <c r="NHM1058" s="104"/>
      <c r="NHN1058" s="103"/>
      <c r="NHZ1058" s="104"/>
      <c r="NIA1058" s="103"/>
      <c r="NIM1058" s="104"/>
      <c r="NIN1058" s="103"/>
      <c r="NIZ1058" s="104"/>
      <c r="NJA1058" s="103"/>
      <c r="NJM1058" s="104"/>
      <c r="NJN1058" s="103"/>
      <c r="NJZ1058" s="104"/>
      <c r="NKA1058" s="103"/>
      <c r="NKM1058" s="104"/>
      <c r="NKN1058" s="103"/>
      <c r="NKZ1058" s="104"/>
      <c r="NLA1058" s="103"/>
      <c r="NLM1058" s="104"/>
      <c r="NLN1058" s="103"/>
      <c r="NLZ1058" s="104"/>
      <c r="NMA1058" s="103"/>
      <c r="NMM1058" s="104"/>
      <c r="NMN1058" s="103"/>
      <c r="NMZ1058" s="104"/>
      <c r="NNA1058" s="103"/>
      <c r="NNM1058" s="104"/>
      <c r="NNN1058" s="103"/>
      <c r="NNZ1058" s="104"/>
      <c r="NOA1058" s="103"/>
      <c r="NOM1058" s="104"/>
      <c r="NON1058" s="103"/>
      <c r="NOZ1058" s="104"/>
      <c r="NPA1058" s="103"/>
      <c r="NPM1058" s="104"/>
      <c r="NPN1058" s="103"/>
      <c r="NPZ1058" s="104"/>
      <c r="NQA1058" s="103"/>
      <c r="NQM1058" s="104"/>
      <c r="NQN1058" s="103"/>
      <c r="NQZ1058" s="104"/>
      <c r="NRA1058" s="103"/>
      <c r="NRM1058" s="104"/>
      <c r="NRN1058" s="103"/>
      <c r="NRZ1058" s="104"/>
      <c r="NSA1058" s="103"/>
      <c r="NSM1058" s="104"/>
      <c r="NSN1058" s="103"/>
      <c r="NSZ1058" s="104"/>
      <c r="NTA1058" s="103"/>
      <c r="NTM1058" s="104"/>
      <c r="NTN1058" s="103"/>
      <c r="NTZ1058" s="104"/>
      <c r="NUA1058" s="103"/>
      <c r="NUM1058" s="104"/>
      <c r="NUN1058" s="103"/>
      <c r="NUZ1058" s="104"/>
      <c r="NVA1058" s="103"/>
      <c r="NVM1058" s="104"/>
      <c r="NVN1058" s="103"/>
      <c r="NVZ1058" s="104"/>
      <c r="NWA1058" s="103"/>
      <c r="NWM1058" s="104"/>
      <c r="NWN1058" s="103"/>
      <c r="NWZ1058" s="104"/>
      <c r="NXA1058" s="103"/>
      <c r="NXM1058" s="104"/>
      <c r="NXN1058" s="103"/>
      <c r="NXZ1058" s="104"/>
      <c r="NYA1058" s="103"/>
      <c r="NYM1058" s="104"/>
      <c r="NYN1058" s="103"/>
      <c r="NYZ1058" s="104"/>
      <c r="NZA1058" s="103"/>
      <c r="NZM1058" s="104"/>
      <c r="NZN1058" s="103"/>
      <c r="NZZ1058" s="104"/>
      <c r="OAA1058" s="103"/>
      <c r="OAM1058" s="104"/>
      <c r="OAN1058" s="103"/>
      <c r="OAZ1058" s="104"/>
      <c r="OBA1058" s="103"/>
      <c r="OBM1058" s="104"/>
      <c r="OBN1058" s="103"/>
      <c r="OBZ1058" s="104"/>
      <c r="OCA1058" s="103"/>
      <c r="OCM1058" s="104"/>
      <c r="OCN1058" s="103"/>
      <c r="OCZ1058" s="104"/>
      <c r="ODA1058" s="103"/>
      <c r="ODM1058" s="104"/>
      <c r="ODN1058" s="103"/>
      <c r="ODZ1058" s="104"/>
      <c r="OEA1058" s="103"/>
      <c r="OEM1058" s="104"/>
      <c r="OEN1058" s="103"/>
      <c r="OEZ1058" s="104"/>
      <c r="OFA1058" s="103"/>
      <c r="OFM1058" s="104"/>
      <c r="OFN1058" s="103"/>
      <c r="OFZ1058" s="104"/>
      <c r="OGA1058" s="103"/>
      <c r="OGM1058" s="104"/>
      <c r="OGN1058" s="103"/>
      <c r="OGZ1058" s="104"/>
      <c r="OHA1058" s="103"/>
      <c r="OHM1058" s="104"/>
      <c r="OHN1058" s="103"/>
      <c r="OHZ1058" s="104"/>
      <c r="OIA1058" s="103"/>
      <c r="OIM1058" s="104"/>
      <c r="OIN1058" s="103"/>
      <c r="OIZ1058" s="104"/>
      <c r="OJA1058" s="103"/>
      <c r="OJM1058" s="104"/>
      <c r="OJN1058" s="103"/>
      <c r="OJZ1058" s="104"/>
      <c r="OKA1058" s="103"/>
      <c r="OKM1058" s="104"/>
      <c r="OKN1058" s="103"/>
      <c r="OKZ1058" s="104"/>
      <c r="OLA1058" s="103"/>
      <c r="OLM1058" s="104"/>
      <c r="OLN1058" s="103"/>
      <c r="OLZ1058" s="104"/>
      <c r="OMA1058" s="103"/>
      <c r="OMM1058" s="104"/>
      <c r="OMN1058" s="103"/>
      <c r="OMZ1058" s="104"/>
      <c r="ONA1058" s="103"/>
      <c r="ONM1058" s="104"/>
      <c r="ONN1058" s="103"/>
      <c r="ONZ1058" s="104"/>
      <c r="OOA1058" s="103"/>
      <c r="OOM1058" s="104"/>
      <c r="OON1058" s="103"/>
      <c r="OOZ1058" s="104"/>
      <c r="OPA1058" s="103"/>
      <c r="OPM1058" s="104"/>
      <c r="OPN1058" s="103"/>
      <c r="OPZ1058" s="104"/>
      <c r="OQA1058" s="103"/>
      <c r="OQM1058" s="104"/>
      <c r="OQN1058" s="103"/>
      <c r="OQZ1058" s="104"/>
      <c r="ORA1058" s="103"/>
      <c r="ORM1058" s="104"/>
      <c r="ORN1058" s="103"/>
      <c r="ORZ1058" s="104"/>
      <c r="OSA1058" s="103"/>
      <c r="OSM1058" s="104"/>
      <c r="OSN1058" s="103"/>
      <c r="OSZ1058" s="104"/>
      <c r="OTA1058" s="103"/>
      <c r="OTM1058" s="104"/>
      <c r="OTN1058" s="103"/>
      <c r="OTZ1058" s="104"/>
      <c r="OUA1058" s="103"/>
      <c r="OUM1058" s="104"/>
      <c r="OUN1058" s="103"/>
      <c r="OUZ1058" s="104"/>
      <c r="OVA1058" s="103"/>
      <c r="OVM1058" s="104"/>
      <c r="OVN1058" s="103"/>
      <c r="OVZ1058" s="104"/>
      <c r="OWA1058" s="103"/>
      <c r="OWM1058" s="104"/>
      <c r="OWN1058" s="103"/>
      <c r="OWZ1058" s="104"/>
      <c r="OXA1058" s="103"/>
      <c r="OXM1058" s="104"/>
      <c r="OXN1058" s="103"/>
      <c r="OXZ1058" s="104"/>
      <c r="OYA1058" s="103"/>
      <c r="OYM1058" s="104"/>
      <c r="OYN1058" s="103"/>
      <c r="OYZ1058" s="104"/>
      <c r="OZA1058" s="103"/>
      <c r="OZM1058" s="104"/>
      <c r="OZN1058" s="103"/>
      <c r="OZZ1058" s="104"/>
      <c r="PAA1058" s="103"/>
      <c r="PAM1058" s="104"/>
      <c r="PAN1058" s="103"/>
      <c r="PAZ1058" s="104"/>
      <c r="PBA1058" s="103"/>
      <c r="PBM1058" s="104"/>
      <c r="PBN1058" s="103"/>
      <c r="PBZ1058" s="104"/>
      <c r="PCA1058" s="103"/>
      <c r="PCM1058" s="104"/>
      <c r="PCN1058" s="103"/>
      <c r="PCZ1058" s="104"/>
      <c r="PDA1058" s="103"/>
      <c r="PDM1058" s="104"/>
      <c r="PDN1058" s="103"/>
      <c r="PDZ1058" s="104"/>
      <c r="PEA1058" s="103"/>
      <c r="PEM1058" s="104"/>
      <c r="PEN1058" s="103"/>
      <c r="PEZ1058" s="104"/>
      <c r="PFA1058" s="103"/>
      <c r="PFM1058" s="104"/>
      <c r="PFN1058" s="103"/>
      <c r="PFZ1058" s="104"/>
      <c r="PGA1058" s="103"/>
      <c r="PGM1058" s="104"/>
      <c r="PGN1058" s="103"/>
      <c r="PGZ1058" s="104"/>
      <c r="PHA1058" s="103"/>
      <c r="PHM1058" s="104"/>
      <c r="PHN1058" s="103"/>
      <c r="PHZ1058" s="104"/>
      <c r="PIA1058" s="103"/>
      <c r="PIM1058" s="104"/>
      <c r="PIN1058" s="103"/>
      <c r="PIZ1058" s="104"/>
      <c r="PJA1058" s="103"/>
      <c r="PJM1058" s="104"/>
      <c r="PJN1058" s="103"/>
      <c r="PJZ1058" s="104"/>
      <c r="PKA1058" s="103"/>
      <c r="PKM1058" s="104"/>
      <c r="PKN1058" s="103"/>
      <c r="PKZ1058" s="104"/>
      <c r="PLA1058" s="103"/>
      <c r="PLM1058" s="104"/>
      <c r="PLN1058" s="103"/>
      <c r="PLZ1058" s="104"/>
      <c r="PMA1058" s="103"/>
      <c r="PMM1058" s="104"/>
      <c r="PMN1058" s="103"/>
      <c r="PMZ1058" s="104"/>
      <c r="PNA1058" s="103"/>
      <c r="PNM1058" s="104"/>
      <c r="PNN1058" s="103"/>
      <c r="PNZ1058" s="104"/>
      <c r="POA1058" s="103"/>
      <c r="POM1058" s="104"/>
      <c r="PON1058" s="103"/>
      <c r="POZ1058" s="104"/>
      <c r="PPA1058" s="103"/>
      <c r="PPM1058" s="104"/>
      <c r="PPN1058" s="103"/>
      <c r="PPZ1058" s="104"/>
      <c r="PQA1058" s="103"/>
      <c r="PQM1058" s="104"/>
      <c r="PQN1058" s="103"/>
      <c r="PQZ1058" s="104"/>
      <c r="PRA1058" s="103"/>
      <c r="PRM1058" s="104"/>
      <c r="PRN1058" s="103"/>
      <c r="PRZ1058" s="104"/>
      <c r="PSA1058" s="103"/>
      <c r="PSM1058" s="104"/>
      <c r="PSN1058" s="103"/>
      <c r="PSZ1058" s="104"/>
      <c r="PTA1058" s="103"/>
      <c r="PTM1058" s="104"/>
      <c r="PTN1058" s="103"/>
      <c r="PTZ1058" s="104"/>
      <c r="PUA1058" s="103"/>
      <c r="PUM1058" s="104"/>
      <c r="PUN1058" s="103"/>
      <c r="PUZ1058" s="104"/>
      <c r="PVA1058" s="103"/>
      <c r="PVM1058" s="104"/>
      <c r="PVN1058" s="103"/>
      <c r="PVZ1058" s="104"/>
      <c r="PWA1058" s="103"/>
      <c r="PWM1058" s="104"/>
      <c r="PWN1058" s="103"/>
      <c r="PWZ1058" s="104"/>
      <c r="PXA1058" s="103"/>
      <c r="PXM1058" s="104"/>
      <c r="PXN1058" s="103"/>
      <c r="PXZ1058" s="104"/>
      <c r="PYA1058" s="103"/>
      <c r="PYM1058" s="104"/>
      <c r="PYN1058" s="103"/>
      <c r="PYZ1058" s="104"/>
      <c r="PZA1058" s="103"/>
      <c r="PZM1058" s="104"/>
      <c r="PZN1058" s="103"/>
      <c r="PZZ1058" s="104"/>
      <c r="QAA1058" s="103"/>
      <c r="QAM1058" s="104"/>
      <c r="QAN1058" s="103"/>
      <c r="QAZ1058" s="104"/>
      <c r="QBA1058" s="103"/>
      <c r="QBM1058" s="104"/>
      <c r="QBN1058" s="103"/>
      <c r="QBZ1058" s="104"/>
      <c r="QCA1058" s="103"/>
      <c r="QCM1058" s="104"/>
      <c r="QCN1058" s="103"/>
      <c r="QCZ1058" s="104"/>
      <c r="QDA1058" s="103"/>
      <c r="QDM1058" s="104"/>
      <c r="QDN1058" s="103"/>
      <c r="QDZ1058" s="104"/>
      <c r="QEA1058" s="103"/>
      <c r="QEM1058" s="104"/>
      <c r="QEN1058" s="103"/>
      <c r="QEZ1058" s="104"/>
      <c r="QFA1058" s="103"/>
      <c r="QFM1058" s="104"/>
      <c r="QFN1058" s="103"/>
      <c r="QFZ1058" s="104"/>
      <c r="QGA1058" s="103"/>
      <c r="QGM1058" s="104"/>
      <c r="QGN1058" s="103"/>
      <c r="QGZ1058" s="104"/>
      <c r="QHA1058" s="103"/>
      <c r="QHM1058" s="104"/>
      <c r="QHN1058" s="103"/>
      <c r="QHZ1058" s="104"/>
      <c r="QIA1058" s="103"/>
      <c r="QIM1058" s="104"/>
      <c r="QIN1058" s="103"/>
      <c r="QIZ1058" s="104"/>
      <c r="QJA1058" s="103"/>
      <c r="QJM1058" s="104"/>
      <c r="QJN1058" s="103"/>
      <c r="QJZ1058" s="104"/>
      <c r="QKA1058" s="103"/>
      <c r="QKM1058" s="104"/>
      <c r="QKN1058" s="103"/>
      <c r="QKZ1058" s="104"/>
      <c r="QLA1058" s="103"/>
      <c r="QLM1058" s="104"/>
      <c r="QLN1058" s="103"/>
      <c r="QLZ1058" s="104"/>
      <c r="QMA1058" s="103"/>
      <c r="QMM1058" s="104"/>
      <c r="QMN1058" s="103"/>
      <c r="QMZ1058" s="104"/>
      <c r="QNA1058" s="103"/>
      <c r="QNM1058" s="104"/>
      <c r="QNN1058" s="103"/>
      <c r="QNZ1058" s="104"/>
      <c r="QOA1058" s="103"/>
      <c r="QOM1058" s="104"/>
      <c r="QON1058" s="103"/>
      <c r="QOZ1058" s="104"/>
      <c r="QPA1058" s="103"/>
      <c r="QPM1058" s="104"/>
      <c r="QPN1058" s="103"/>
      <c r="QPZ1058" s="104"/>
      <c r="QQA1058" s="103"/>
      <c r="QQM1058" s="104"/>
      <c r="QQN1058" s="103"/>
      <c r="QQZ1058" s="104"/>
      <c r="QRA1058" s="103"/>
      <c r="QRM1058" s="104"/>
      <c r="QRN1058" s="103"/>
      <c r="QRZ1058" s="104"/>
      <c r="QSA1058" s="103"/>
      <c r="QSM1058" s="104"/>
      <c r="QSN1058" s="103"/>
      <c r="QSZ1058" s="104"/>
      <c r="QTA1058" s="103"/>
      <c r="QTM1058" s="104"/>
      <c r="QTN1058" s="103"/>
      <c r="QTZ1058" s="104"/>
      <c r="QUA1058" s="103"/>
      <c r="QUM1058" s="104"/>
      <c r="QUN1058" s="103"/>
      <c r="QUZ1058" s="104"/>
      <c r="QVA1058" s="103"/>
      <c r="QVM1058" s="104"/>
      <c r="QVN1058" s="103"/>
      <c r="QVZ1058" s="104"/>
      <c r="QWA1058" s="103"/>
      <c r="QWM1058" s="104"/>
      <c r="QWN1058" s="103"/>
      <c r="QWZ1058" s="104"/>
      <c r="QXA1058" s="103"/>
      <c r="QXM1058" s="104"/>
      <c r="QXN1058" s="103"/>
      <c r="QXZ1058" s="104"/>
      <c r="QYA1058" s="103"/>
      <c r="QYM1058" s="104"/>
      <c r="QYN1058" s="103"/>
      <c r="QYZ1058" s="104"/>
      <c r="QZA1058" s="103"/>
      <c r="QZM1058" s="104"/>
      <c r="QZN1058" s="103"/>
      <c r="QZZ1058" s="104"/>
      <c r="RAA1058" s="103"/>
      <c r="RAM1058" s="104"/>
      <c r="RAN1058" s="103"/>
      <c r="RAZ1058" s="104"/>
      <c r="RBA1058" s="103"/>
      <c r="RBM1058" s="104"/>
      <c r="RBN1058" s="103"/>
      <c r="RBZ1058" s="104"/>
      <c r="RCA1058" s="103"/>
      <c r="RCM1058" s="104"/>
      <c r="RCN1058" s="103"/>
      <c r="RCZ1058" s="104"/>
      <c r="RDA1058" s="103"/>
      <c r="RDM1058" s="104"/>
      <c r="RDN1058" s="103"/>
      <c r="RDZ1058" s="104"/>
      <c r="REA1058" s="103"/>
      <c r="REM1058" s="104"/>
      <c r="REN1058" s="103"/>
      <c r="REZ1058" s="104"/>
      <c r="RFA1058" s="103"/>
      <c r="RFM1058" s="104"/>
      <c r="RFN1058" s="103"/>
      <c r="RFZ1058" s="104"/>
      <c r="RGA1058" s="103"/>
      <c r="RGM1058" s="104"/>
      <c r="RGN1058" s="103"/>
      <c r="RGZ1058" s="104"/>
      <c r="RHA1058" s="103"/>
      <c r="RHM1058" s="104"/>
      <c r="RHN1058" s="103"/>
      <c r="RHZ1058" s="104"/>
      <c r="RIA1058" s="103"/>
      <c r="RIM1058" s="104"/>
      <c r="RIN1058" s="103"/>
      <c r="RIZ1058" s="104"/>
      <c r="RJA1058" s="103"/>
      <c r="RJM1058" s="104"/>
      <c r="RJN1058" s="103"/>
      <c r="RJZ1058" s="104"/>
      <c r="RKA1058" s="103"/>
      <c r="RKM1058" s="104"/>
      <c r="RKN1058" s="103"/>
      <c r="RKZ1058" s="104"/>
      <c r="RLA1058" s="103"/>
      <c r="RLM1058" s="104"/>
      <c r="RLN1058" s="103"/>
      <c r="RLZ1058" s="104"/>
      <c r="RMA1058" s="103"/>
      <c r="RMM1058" s="104"/>
      <c r="RMN1058" s="103"/>
      <c r="RMZ1058" s="104"/>
      <c r="RNA1058" s="103"/>
      <c r="RNM1058" s="104"/>
      <c r="RNN1058" s="103"/>
      <c r="RNZ1058" s="104"/>
      <c r="ROA1058" s="103"/>
      <c r="ROM1058" s="104"/>
      <c r="RON1058" s="103"/>
      <c r="ROZ1058" s="104"/>
      <c r="RPA1058" s="103"/>
      <c r="RPM1058" s="104"/>
      <c r="RPN1058" s="103"/>
      <c r="RPZ1058" s="104"/>
      <c r="RQA1058" s="103"/>
      <c r="RQM1058" s="104"/>
      <c r="RQN1058" s="103"/>
      <c r="RQZ1058" s="104"/>
      <c r="RRA1058" s="103"/>
      <c r="RRM1058" s="104"/>
      <c r="RRN1058" s="103"/>
      <c r="RRZ1058" s="104"/>
      <c r="RSA1058" s="103"/>
      <c r="RSM1058" s="104"/>
      <c r="RSN1058" s="103"/>
      <c r="RSZ1058" s="104"/>
      <c r="RTA1058" s="103"/>
      <c r="RTM1058" s="104"/>
      <c r="RTN1058" s="103"/>
      <c r="RTZ1058" s="104"/>
      <c r="RUA1058" s="103"/>
      <c r="RUM1058" s="104"/>
      <c r="RUN1058" s="103"/>
      <c r="RUZ1058" s="104"/>
      <c r="RVA1058" s="103"/>
      <c r="RVM1058" s="104"/>
      <c r="RVN1058" s="103"/>
      <c r="RVZ1058" s="104"/>
      <c r="RWA1058" s="103"/>
      <c r="RWM1058" s="104"/>
      <c r="RWN1058" s="103"/>
      <c r="RWZ1058" s="104"/>
      <c r="RXA1058" s="103"/>
      <c r="RXM1058" s="104"/>
      <c r="RXN1058" s="103"/>
      <c r="RXZ1058" s="104"/>
      <c r="RYA1058" s="103"/>
      <c r="RYM1058" s="104"/>
      <c r="RYN1058" s="103"/>
      <c r="RYZ1058" s="104"/>
      <c r="RZA1058" s="103"/>
      <c r="RZM1058" s="104"/>
      <c r="RZN1058" s="103"/>
      <c r="RZZ1058" s="104"/>
      <c r="SAA1058" s="103"/>
      <c r="SAM1058" s="104"/>
      <c r="SAN1058" s="103"/>
      <c r="SAZ1058" s="104"/>
      <c r="SBA1058" s="103"/>
      <c r="SBM1058" s="104"/>
      <c r="SBN1058" s="103"/>
      <c r="SBZ1058" s="104"/>
      <c r="SCA1058" s="103"/>
      <c r="SCM1058" s="104"/>
      <c r="SCN1058" s="103"/>
      <c r="SCZ1058" s="104"/>
      <c r="SDA1058" s="103"/>
      <c r="SDM1058" s="104"/>
      <c r="SDN1058" s="103"/>
      <c r="SDZ1058" s="104"/>
      <c r="SEA1058" s="103"/>
      <c r="SEM1058" s="104"/>
      <c r="SEN1058" s="103"/>
      <c r="SEZ1058" s="104"/>
      <c r="SFA1058" s="103"/>
      <c r="SFM1058" s="104"/>
      <c r="SFN1058" s="103"/>
      <c r="SFZ1058" s="104"/>
      <c r="SGA1058" s="103"/>
      <c r="SGM1058" s="104"/>
      <c r="SGN1058" s="103"/>
      <c r="SGZ1058" s="104"/>
      <c r="SHA1058" s="103"/>
      <c r="SHM1058" s="104"/>
      <c r="SHN1058" s="103"/>
      <c r="SHZ1058" s="104"/>
      <c r="SIA1058" s="103"/>
      <c r="SIM1058" s="104"/>
      <c r="SIN1058" s="103"/>
      <c r="SIZ1058" s="104"/>
      <c r="SJA1058" s="103"/>
      <c r="SJM1058" s="104"/>
      <c r="SJN1058" s="103"/>
      <c r="SJZ1058" s="104"/>
      <c r="SKA1058" s="103"/>
      <c r="SKM1058" s="104"/>
      <c r="SKN1058" s="103"/>
      <c r="SKZ1058" s="104"/>
      <c r="SLA1058" s="103"/>
      <c r="SLM1058" s="104"/>
      <c r="SLN1058" s="103"/>
      <c r="SLZ1058" s="104"/>
      <c r="SMA1058" s="103"/>
      <c r="SMM1058" s="104"/>
      <c r="SMN1058" s="103"/>
      <c r="SMZ1058" s="104"/>
      <c r="SNA1058" s="103"/>
      <c r="SNM1058" s="104"/>
      <c r="SNN1058" s="103"/>
      <c r="SNZ1058" s="104"/>
      <c r="SOA1058" s="103"/>
      <c r="SOM1058" s="104"/>
      <c r="SON1058" s="103"/>
      <c r="SOZ1058" s="104"/>
      <c r="SPA1058" s="103"/>
      <c r="SPM1058" s="104"/>
      <c r="SPN1058" s="103"/>
      <c r="SPZ1058" s="104"/>
      <c r="SQA1058" s="103"/>
      <c r="SQM1058" s="104"/>
      <c r="SQN1058" s="103"/>
      <c r="SQZ1058" s="104"/>
      <c r="SRA1058" s="103"/>
      <c r="SRM1058" s="104"/>
      <c r="SRN1058" s="103"/>
      <c r="SRZ1058" s="104"/>
      <c r="SSA1058" s="103"/>
      <c r="SSM1058" s="104"/>
      <c r="SSN1058" s="103"/>
      <c r="SSZ1058" s="104"/>
      <c r="STA1058" s="103"/>
      <c r="STM1058" s="104"/>
      <c r="STN1058" s="103"/>
      <c r="STZ1058" s="104"/>
      <c r="SUA1058" s="103"/>
      <c r="SUM1058" s="104"/>
      <c r="SUN1058" s="103"/>
      <c r="SUZ1058" s="104"/>
      <c r="SVA1058" s="103"/>
      <c r="SVM1058" s="104"/>
      <c r="SVN1058" s="103"/>
      <c r="SVZ1058" s="104"/>
      <c r="SWA1058" s="103"/>
      <c r="SWM1058" s="104"/>
      <c r="SWN1058" s="103"/>
      <c r="SWZ1058" s="104"/>
      <c r="SXA1058" s="103"/>
      <c r="SXM1058" s="104"/>
      <c r="SXN1058" s="103"/>
      <c r="SXZ1058" s="104"/>
      <c r="SYA1058" s="103"/>
      <c r="SYM1058" s="104"/>
      <c r="SYN1058" s="103"/>
      <c r="SYZ1058" s="104"/>
      <c r="SZA1058" s="103"/>
      <c r="SZM1058" s="104"/>
      <c r="SZN1058" s="103"/>
      <c r="SZZ1058" s="104"/>
      <c r="TAA1058" s="103"/>
      <c r="TAM1058" s="104"/>
      <c r="TAN1058" s="103"/>
      <c r="TAZ1058" s="104"/>
      <c r="TBA1058" s="103"/>
      <c r="TBM1058" s="104"/>
      <c r="TBN1058" s="103"/>
      <c r="TBZ1058" s="104"/>
      <c r="TCA1058" s="103"/>
      <c r="TCM1058" s="104"/>
      <c r="TCN1058" s="103"/>
      <c r="TCZ1058" s="104"/>
      <c r="TDA1058" s="103"/>
      <c r="TDM1058" s="104"/>
      <c r="TDN1058" s="103"/>
      <c r="TDZ1058" s="104"/>
      <c r="TEA1058" s="103"/>
      <c r="TEM1058" s="104"/>
      <c r="TEN1058" s="103"/>
      <c r="TEZ1058" s="104"/>
      <c r="TFA1058" s="103"/>
      <c r="TFM1058" s="104"/>
      <c r="TFN1058" s="103"/>
      <c r="TFZ1058" s="104"/>
      <c r="TGA1058" s="103"/>
      <c r="TGM1058" s="104"/>
      <c r="TGN1058" s="103"/>
      <c r="TGZ1058" s="104"/>
      <c r="THA1058" s="103"/>
      <c r="THM1058" s="104"/>
      <c r="THN1058" s="103"/>
      <c r="THZ1058" s="104"/>
      <c r="TIA1058" s="103"/>
      <c r="TIM1058" s="104"/>
      <c r="TIN1058" s="103"/>
      <c r="TIZ1058" s="104"/>
      <c r="TJA1058" s="103"/>
      <c r="TJM1058" s="104"/>
      <c r="TJN1058" s="103"/>
      <c r="TJZ1058" s="104"/>
      <c r="TKA1058" s="103"/>
      <c r="TKM1058" s="104"/>
      <c r="TKN1058" s="103"/>
      <c r="TKZ1058" s="104"/>
      <c r="TLA1058" s="103"/>
      <c r="TLM1058" s="104"/>
      <c r="TLN1058" s="103"/>
      <c r="TLZ1058" s="104"/>
      <c r="TMA1058" s="103"/>
      <c r="TMM1058" s="104"/>
      <c r="TMN1058" s="103"/>
      <c r="TMZ1058" s="104"/>
      <c r="TNA1058" s="103"/>
      <c r="TNM1058" s="104"/>
      <c r="TNN1058" s="103"/>
      <c r="TNZ1058" s="104"/>
      <c r="TOA1058" s="103"/>
      <c r="TOM1058" s="104"/>
      <c r="TON1058" s="103"/>
      <c r="TOZ1058" s="104"/>
      <c r="TPA1058" s="103"/>
      <c r="TPM1058" s="104"/>
      <c r="TPN1058" s="103"/>
      <c r="TPZ1058" s="104"/>
      <c r="TQA1058" s="103"/>
      <c r="TQM1058" s="104"/>
      <c r="TQN1058" s="103"/>
      <c r="TQZ1058" s="104"/>
      <c r="TRA1058" s="103"/>
      <c r="TRM1058" s="104"/>
      <c r="TRN1058" s="103"/>
      <c r="TRZ1058" s="104"/>
      <c r="TSA1058" s="103"/>
      <c r="TSM1058" s="104"/>
      <c r="TSN1058" s="103"/>
      <c r="TSZ1058" s="104"/>
      <c r="TTA1058" s="103"/>
      <c r="TTM1058" s="104"/>
      <c r="TTN1058" s="103"/>
      <c r="TTZ1058" s="104"/>
      <c r="TUA1058" s="103"/>
      <c r="TUM1058" s="104"/>
      <c r="TUN1058" s="103"/>
      <c r="TUZ1058" s="104"/>
      <c r="TVA1058" s="103"/>
      <c r="TVM1058" s="104"/>
      <c r="TVN1058" s="103"/>
      <c r="TVZ1058" s="104"/>
      <c r="TWA1058" s="103"/>
      <c r="TWM1058" s="104"/>
      <c r="TWN1058" s="103"/>
      <c r="TWZ1058" s="104"/>
      <c r="TXA1058" s="103"/>
      <c r="TXM1058" s="104"/>
      <c r="TXN1058" s="103"/>
      <c r="TXZ1058" s="104"/>
      <c r="TYA1058" s="103"/>
      <c r="TYM1058" s="104"/>
      <c r="TYN1058" s="103"/>
      <c r="TYZ1058" s="104"/>
      <c r="TZA1058" s="103"/>
      <c r="TZM1058" s="104"/>
      <c r="TZN1058" s="103"/>
      <c r="TZZ1058" s="104"/>
      <c r="UAA1058" s="103"/>
      <c r="UAM1058" s="104"/>
      <c r="UAN1058" s="103"/>
      <c r="UAZ1058" s="104"/>
      <c r="UBA1058" s="103"/>
      <c r="UBM1058" s="104"/>
      <c r="UBN1058" s="103"/>
      <c r="UBZ1058" s="104"/>
      <c r="UCA1058" s="103"/>
      <c r="UCM1058" s="104"/>
      <c r="UCN1058" s="103"/>
      <c r="UCZ1058" s="104"/>
      <c r="UDA1058" s="103"/>
      <c r="UDM1058" s="104"/>
      <c r="UDN1058" s="103"/>
      <c r="UDZ1058" s="104"/>
      <c r="UEA1058" s="103"/>
      <c r="UEM1058" s="104"/>
      <c r="UEN1058" s="103"/>
      <c r="UEZ1058" s="104"/>
      <c r="UFA1058" s="103"/>
      <c r="UFM1058" s="104"/>
      <c r="UFN1058" s="103"/>
      <c r="UFZ1058" s="104"/>
      <c r="UGA1058" s="103"/>
      <c r="UGM1058" s="104"/>
      <c r="UGN1058" s="103"/>
      <c r="UGZ1058" s="104"/>
      <c r="UHA1058" s="103"/>
      <c r="UHM1058" s="104"/>
      <c r="UHN1058" s="103"/>
      <c r="UHZ1058" s="104"/>
      <c r="UIA1058" s="103"/>
      <c r="UIM1058" s="104"/>
      <c r="UIN1058" s="103"/>
      <c r="UIZ1058" s="104"/>
      <c r="UJA1058" s="103"/>
      <c r="UJM1058" s="104"/>
      <c r="UJN1058" s="103"/>
      <c r="UJZ1058" s="104"/>
      <c r="UKA1058" s="103"/>
      <c r="UKM1058" s="104"/>
      <c r="UKN1058" s="103"/>
      <c r="UKZ1058" s="104"/>
      <c r="ULA1058" s="103"/>
      <c r="ULM1058" s="104"/>
      <c r="ULN1058" s="103"/>
      <c r="ULZ1058" s="104"/>
      <c r="UMA1058" s="103"/>
      <c r="UMM1058" s="104"/>
      <c r="UMN1058" s="103"/>
      <c r="UMZ1058" s="104"/>
      <c r="UNA1058" s="103"/>
      <c r="UNM1058" s="104"/>
      <c r="UNN1058" s="103"/>
      <c r="UNZ1058" s="104"/>
      <c r="UOA1058" s="103"/>
      <c r="UOM1058" s="104"/>
      <c r="UON1058" s="103"/>
      <c r="UOZ1058" s="104"/>
      <c r="UPA1058" s="103"/>
      <c r="UPM1058" s="104"/>
      <c r="UPN1058" s="103"/>
      <c r="UPZ1058" s="104"/>
      <c r="UQA1058" s="103"/>
      <c r="UQM1058" s="104"/>
      <c r="UQN1058" s="103"/>
      <c r="UQZ1058" s="104"/>
      <c r="URA1058" s="103"/>
      <c r="URM1058" s="104"/>
      <c r="URN1058" s="103"/>
      <c r="URZ1058" s="104"/>
      <c r="USA1058" s="103"/>
      <c r="USM1058" s="104"/>
      <c r="USN1058" s="103"/>
      <c r="USZ1058" s="104"/>
      <c r="UTA1058" s="103"/>
      <c r="UTM1058" s="104"/>
      <c r="UTN1058" s="103"/>
      <c r="UTZ1058" s="104"/>
      <c r="UUA1058" s="103"/>
      <c r="UUM1058" s="104"/>
      <c r="UUN1058" s="103"/>
      <c r="UUZ1058" s="104"/>
      <c r="UVA1058" s="103"/>
      <c r="UVM1058" s="104"/>
      <c r="UVN1058" s="103"/>
      <c r="UVZ1058" s="104"/>
      <c r="UWA1058" s="103"/>
      <c r="UWM1058" s="104"/>
      <c r="UWN1058" s="103"/>
      <c r="UWZ1058" s="104"/>
      <c r="UXA1058" s="103"/>
      <c r="UXM1058" s="104"/>
      <c r="UXN1058" s="103"/>
      <c r="UXZ1058" s="104"/>
      <c r="UYA1058" s="103"/>
      <c r="UYM1058" s="104"/>
      <c r="UYN1058" s="103"/>
      <c r="UYZ1058" s="104"/>
      <c r="UZA1058" s="103"/>
      <c r="UZM1058" s="104"/>
      <c r="UZN1058" s="103"/>
      <c r="UZZ1058" s="104"/>
      <c r="VAA1058" s="103"/>
      <c r="VAM1058" s="104"/>
      <c r="VAN1058" s="103"/>
      <c r="VAZ1058" s="104"/>
      <c r="VBA1058" s="103"/>
      <c r="VBM1058" s="104"/>
      <c r="VBN1058" s="103"/>
      <c r="VBZ1058" s="104"/>
      <c r="VCA1058" s="103"/>
      <c r="VCM1058" s="104"/>
      <c r="VCN1058" s="103"/>
      <c r="VCZ1058" s="104"/>
      <c r="VDA1058" s="103"/>
      <c r="VDM1058" s="104"/>
      <c r="VDN1058" s="103"/>
      <c r="VDZ1058" s="104"/>
      <c r="VEA1058" s="103"/>
      <c r="VEM1058" s="104"/>
      <c r="VEN1058" s="103"/>
      <c r="VEZ1058" s="104"/>
      <c r="VFA1058" s="103"/>
      <c r="VFM1058" s="104"/>
      <c r="VFN1058" s="103"/>
      <c r="VFZ1058" s="104"/>
      <c r="VGA1058" s="103"/>
      <c r="VGM1058" s="104"/>
      <c r="VGN1058" s="103"/>
      <c r="VGZ1058" s="104"/>
      <c r="VHA1058" s="103"/>
      <c r="VHM1058" s="104"/>
      <c r="VHN1058" s="103"/>
      <c r="VHZ1058" s="104"/>
      <c r="VIA1058" s="103"/>
      <c r="VIM1058" s="104"/>
      <c r="VIN1058" s="103"/>
      <c r="VIZ1058" s="104"/>
      <c r="VJA1058" s="103"/>
      <c r="VJM1058" s="104"/>
      <c r="VJN1058" s="103"/>
      <c r="VJZ1058" s="104"/>
      <c r="VKA1058" s="103"/>
      <c r="VKM1058" s="104"/>
      <c r="VKN1058" s="103"/>
      <c r="VKZ1058" s="104"/>
      <c r="VLA1058" s="103"/>
      <c r="VLM1058" s="104"/>
      <c r="VLN1058" s="103"/>
      <c r="VLZ1058" s="104"/>
      <c r="VMA1058" s="103"/>
      <c r="VMM1058" s="104"/>
      <c r="VMN1058" s="103"/>
      <c r="VMZ1058" s="104"/>
      <c r="VNA1058" s="103"/>
      <c r="VNM1058" s="104"/>
      <c r="VNN1058" s="103"/>
      <c r="VNZ1058" s="104"/>
      <c r="VOA1058" s="103"/>
      <c r="VOM1058" s="104"/>
      <c r="VON1058" s="103"/>
      <c r="VOZ1058" s="104"/>
      <c r="VPA1058" s="103"/>
      <c r="VPM1058" s="104"/>
      <c r="VPN1058" s="103"/>
      <c r="VPZ1058" s="104"/>
      <c r="VQA1058" s="103"/>
      <c r="VQM1058" s="104"/>
      <c r="VQN1058" s="103"/>
      <c r="VQZ1058" s="104"/>
      <c r="VRA1058" s="103"/>
      <c r="VRM1058" s="104"/>
      <c r="VRN1058" s="103"/>
      <c r="VRZ1058" s="104"/>
      <c r="VSA1058" s="103"/>
      <c r="VSM1058" s="104"/>
      <c r="VSN1058" s="103"/>
      <c r="VSZ1058" s="104"/>
      <c r="VTA1058" s="103"/>
      <c r="VTM1058" s="104"/>
      <c r="VTN1058" s="103"/>
      <c r="VTZ1058" s="104"/>
      <c r="VUA1058" s="103"/>
      <c r="VUM1058" s="104"/>
      <c r="VUN1058" s="103"/>
      <c r="VUZ1058" s="104"/>
      <c r="VVA1058" s="103"/>
      <c r="VVM1058" s="104"/>
      <c r="VVN1058" s="103"/>
      <c r="VVZ1058" s="104"/>
      <c r="VWA1058" s="103"/>
      <c r="VWM1058" s="104"/>
      <c r="VWN1058" s="103"/>
      <c r="VWZ1058" s="104"/>
      <c r="VXA1058" s="103"/>
      <c r="VXM1058" s="104"/>
      <c r="VXN1058" s="103"/>
      <c r="VXZ1058" s="104"/>
      <c r="VYA1058" s="103"/>
      <c r="VYM1058" s="104"/>
      <c r="VYN1058" s="103"/>
      <c r="VYZ1058" s="104"/>
      <c r="VZA1058" s="103"/>
      <c r="VZM1058" s="104"/>
      <c r="VZN1058" s="103"/>
      <c r="VZZ1058" s="104"/>
      <c r="WAA1058" s="103"/>
      <c r="WAM1058" s="104"/>
      <c r="WAN1058" s="103"/>
      <c r="WAZ1058" s="104"/>
      <c r="WBA1058" s="103"/>
      <c r="WBM1058" s="104"/>
      <c r="WBN1058" s="103"/>
      <c r="WBZ1058" s="104"/>
      <c r="WCA1058" s="103"/>
      <c r="WCM1058" s="104"/>
      <c r="WCN1058" s="103"/>
      <c r="WCZ1058" s="104"/>
      <c r="WDA1058" s="103"/>
      <c r="WDM1058" s="104"/>
      <c r="WDN1058" s="103"/>
      <c r="WDZ1058" s="104"/>
      <c r="WEA1058" s="103"/>
      <c r="WEM1058" s="104"/>
      <c r="WEN1058" s="103"/>
      <c r="WEZ1058" s="104"/>
      <c r="WFA1058" s="103"/>
      <c r="WFM1058" s="104"/>
      <c r="WFN1058" s="103"/>
      <c r="WFZ1058" s="104"/>
      <c r="WGA1058" s="103"/>
      <c r="WGM1058" s="104"/>
      <c r="WGN1058" s="103"/>
      <c r="WGZ1058" s="104"/>
      <c r="WHA1058" s="103"/>
      <c r="WHM1058" s="104"/>
      <c r="WHN1058" s="103"/>
      <c r="WHZ1058" s="104"/>
      <c r="WIA1058" s="103"/>
      <c r="WIM1058" s="104"/>
      <c r="WIN1058" s="103"/>
      <c r="WIZ1058" s="104"/>
      <c r="WJA1058" s="103"/>
      <c r="WJM1058" s="104"/>
      <c r="WJN1058" s="103"/>
      <c r="WJZ1058" s="104"/>
      <c r="WKA1058" s="103"/>
      <c r="WKM1058" s="104"/>
      <c r="WKN1058" s="103"/>
      <c r="WKZ1058" s="104"/>
      <c r="WLA1058" s="103"/>
      <c r="WLM1058" s="104"/>
      <c r="WLN1058" s="103"/>
      <c r="WLZ1058" s="104"/>
      <c r="WMA1058" s="103"/>
      <c r="WMM1058" s="104"/>
      <c r="WMN1058" s="103"/>
      <c r="WMZ1058" s="104"/>
      <c r="WNA1058" s="103"/>
      <c r="WNM1058" s="104"/>
      <c r="WNN1058" s="103"/>
      <c r="WNZ1058" s="104"/>
      <c r="WOA1058" s="103"/>
      <c r="WOM1058" s="104"/>
      <c r="WON1058" s="103"/>
      <c r="WOZ1058" s="104"/>
      <c r="WPA1058" s="103"/>
      <c r="WPM1058" s="104"/>
      <c r="WPN1058" s="103"/>
      <c r="WPZ1058" s="104"/>
      <c r="WQA1058" s="103"/>
      <c r="WQM1058" s="104"/>
      <c r="WQN1058" s="103"/>
      <c r="WQZ1058" s="104"/>
      <c r="WRA1058" s="103"/>
      <c r="WRM1058" s="104"/>
      <c r="WRN1058" s="103"/>
      <c r="WRZ1058" s="104"/>
      <c r="WSA1058" s="103"/>
      <c r="WSM1058" s="104"/>
      <c r="WSN1058" s="103"/>
      <c r="WSZ1058" s="104"/>
      <c r="WTA1058" s="103"/>
      <c r="WTM1058" s="104"/>
      <c r="WTN1058" s="103"/>
      <c r="WTZ1058" s="104"/>
      <c r="WUA1058" s="103"/>
      <c r="WUM1058" s="104"/>
      <c r="WUN1058" s="103"/>
      <c r="WUZ1058" s="104"/>
      <c r="WVA1058" s="103"/>
      <c r="WVM1058" s="104"/>
      <c r="WVN1058" s="103"/>
      <c r="WVZ1058" s="104"/>
      <c r="WWA1058" s="103"/>
      <c r="WWM1058" s="104"/>
      <c r="WWN1058" s="103"/>
      <c r="WWZ1058" s="104"/>
      <c r="WXA1058" s="103"/>
      <c r="WXM1058" s="104"/>
      <c r="WXN1058" s="103"/>
      <c r="WXZ1058" s="104"/>
      <c r="WYA1058" s="103"/>
      <c r="WYM1058" s="104"/>
      <c r="WYN1058" s="103"/>
      <c r="WYZ1058" s="104"/>
      <c r="WZA1058" s="103"/>
      <c r="WZM1058" s="104"/>
      <c r="WZN1058" s="103"/>
      <c r="WZZ1058" s="104"/>
      <c r="XAA1058" s="103"/>
      <c r="XAM1058" s="104"/>
      <c r="XAN1058" s="103"/>
      <c r="XAZ1058" s="104"/>
      <c r="XBA1058" s="103"/>
      <c r="XBM1058" s="104"/>
      <c r="XBN1058" s="103"/>
      <c r="XBZ1058" s="104"/>
      <c r="XCA1058" s="103"/>
      <c r="XCM1058" s="104"/>
      <c r="XCN1058" s="103"/>
      <c r="XCZ1058" s="104"/>
      <c r="XDA1058" s="103"/>
      <c r="XDM1058" s="104"/>
      <c r="XDN1058" s="103"/>
      <c r="XDZ1058" s="104"/>
      <c r="XEA1058" s="103"/>
      <c r="XEM1058" s="104"/>
      <c r="XEN1058" s="103"/>
      <c r="XEZ1058" s="104"/>
      <c r="XFA1058" s="103"/>
    </row>
    <row r="1059" spans="2:1015 1027:2042 2054:3069 3081:4096 4108:5110 5122:6137 6149:7164 7176:8191 8203:9205 9217:10232 10244:11259 11271:12286 12298:14327 14339:15354 15366:16381" ht="26.25">
      <c r="B1059" s="108" t="s">
        <v>180</v>
      </c>
      <c r="C1059" s="109" t="s">
        <v>85</v>
      </c>
      <c r="D1059" s="109" t="s">
        <v>88</v>
      </c>
      <c r="E1059" s="110" t="s">
        <v>89</v>
      </c>
      <c r="F1059" s="110" t="s">
        <v>7</v>
      </c>
      <c r="Z1059" s="104"/>
      <c r="AA1059" s="103"/>
      <c r="AM1059" s="104"/>
      <c r="AN1059" s="103"/>
      <c r="AZ1059" s="104"/>
      <c r="BA1059" s="103"/>
      <c r="BM1059" s="104"/>
      <c r="BN1059" s="103"/>
      <c r="BZ1059" s="104"/>
      <c r="CA1059" s="103"/>
      <c r="CM1059" s="104"/>
      <c r="CN1059" s="103"/>
      <c r="CZ1059" s="104"/>
      <c r="DA1059" s="103"/>
      <c r="DM1059" s="104"/>
      <c r="DN1059" s="103"/>
      <c r="DZ1059" s="104"/>
      <c r="EA1059" s="103"/>
      <c r="EM1059" s="104"/>
      <c r="EN1059" s="103"/>
      <c r="EZ1059" s="104"/>
      <c r="FA1059" s="103"/>
      <c r="FM1059" s="104"/>
      <c r="FN1059" s="103"/>
      <c r="FZ1059" s="104"/>
      <c r="GA1059" s="103"/>
      <c r="GM1059" s="104"/>
      <c r="GN1059" s="103"/>
      <c r="GZ1059" s="104"/>
      <c r="HA1059" s="103"/>
      <c r="HM1059" s="104"/>
      <c r="HN1059" s="103"/>
      <c r="HZ1059" s="104"/>
      <c r="IA1059" s="103"/>
      <c r="IM1059" s="104"/>
      <c r="IN1059" s="103"/>
      <c r="IZ1059" s="104"/>
      <c r="JA1059" s="103"/>
      <c r="JM1059" s="104"/>
      <c r="JN1059" s="103"/>
      <c r="JZ1059" s="104"/>
      <c r="KA1059" s="103"/>
      <c r="KM1059" s="104"/>
      <c r="KN1059" s="103"/>
      <c r="KZ1059" s="104"/>
      <c r="LA1059" s="103"/>
      <c r="LM1059" s="104"/>
      <c r="LN1059" s="103"/>
      <c r="LZ1059" s="104"/>
      <c r="MA1059" s="103"/>
      <c r="MM1059" s="104"/>
      <c r="MN1059" s="103"/>
      <c r="MZ1059" s="104"/>
      <c r="NA1059" s="103"/>
      <c r="NM1059" s="104"/>
      <c r="NN1059" s="103"/>
      <c r="NZ1059" s="104"/>
      <c r="OA1059" s="103"/>
      <c r="OM1059" s="104"/>
      <c r="ON1059" s="103"/>
      <c r="OZ1059" s="104"/>
      <c r="PA1059" s="103"/>
      <c r="PM1059" s="104"/>
      <c r="PN1059" s="103"/>
      <c r="PZ1059" s="104"/>
      <c r="QA1059" s="103"/>
      <c r="QM1059" s="104"/>
      <c r="QN1059" s="103"/>
      <c r="QZ1059" s="104"/>
      <c r="RA1059" s="103"/>
      <c r="RM1059" s="104"/>
      <c r="RN1059" s="103"/>
      <c r="RZ1059" s="104"/>
      <c r="SA1059" s="103"/>
      <c r="SM1059" s="104"/>
      <c r="SN1059" s="103"/>
      <c r="SZ1059" s="104"/>
      <c r="TA1059" s="103"/>
      <c r="TM1059" s="104"/>
      <c r="TN1059" s="103"/>
      <c r="TZ1059" s="104"/>
      <c r="UA1059" s="103"/>
      <c r="UM1059" s="104"/>
      <c r="UN1059" s="103"/>
      <c r="UZ1059" s="104"/>
      <c r="VA1059" s="103"/>
      <c r="VM1059" s="104"/>
      <c r="VN1059" s="103"/>
      <c r="VZ1059" s="104"/>
      <c r="WA1059" s="103"/>
      <c r="WM1059" s="104"/>
      <c r="WN1059" s="103"/>
      <c r="WZ1059" s="104"/>
      <c r="XA1059" s="103"/>
      <c r="XM1059" s="104"/>
      <c r="XN1059" s="103"/>
      <c r="XZ1059" s="104"/>
      <c r="YA1059" s="103"/>
      <c r="YM1059" s="104"/>
      <c r="YN1059" s="103"/>
      <c r="YZ1059" s="104"/>
      <c r="ZA1059" s="103"/>
      <c r="ZM1059" s="104"/>
      <c r="ZN1059" s="103"/>
      <c r="ZZ1059" s="104"/>
      <c r="AAA1059" s="103"/>
      <c r="AAM1059" s="104"/>
      <c r="AAN1059" s="103"/>
      <c r="AAZ1059" s="104"/>
      <c r="ABA1059" s="103"/>
      <c r="ABM1059" s="104"/>
      <c r="ABN1059" s="103"/>
      <c r="ABZ1059" s="104"/>
      <c r="ACA1059" s="103"/>
      <c r="ACM1059" s="104"/>
      <c r="ACN1059" s="103"/>
      <c r="ACZ1059" s="104"/>
      <c r="ADA1059" s="103"/>
      <c r="ADM1059" s="104"/>
      <c r="ADN1059" s="103"/>
      <c r="ADZ1059" s="104"/>
      <c r="AEA1059" s="103"/>
      <c r="AEM1059" s="104"/>
      <c r="AEN1059" s="103"/>
      <c r="AEZ1059" s="104"/>
      <c r="AFA1059" s="103"/>
      <c r="AFM1059" s="104"/>
      <c r="AFN1059" s="103"/>
      <c r="AFZ1059" s="104"/>
      <c r="AGA1059" s="103"/>
      <c r="AGM1059" s="104"/>
      <c r="AGN1059" s="103"/>
      <c r="AGZ1059" s="104"/>
      <c r="AHA1059" s="103"/>
      <c r="AHM1059" s="104"/>
      <c r="AHN1059" s="103"/>
      <c r="AHZ1059" s="104"/>
      <c r="AIA1059" s="103"/>
      <c r="AIM1059" s="104"/>
      <c r="AIN1059" s="103"/>
      <c r="AIZ1059" s="104"/>
      <c r="AJA1059" s="103"/>
      <c r="AJM1059" s="104"/>
      <c r="AJN1059" s="103"/>
      <c r="AJZ1059" s="104"/>
      <c r="AKA1059" s="103"/>
      <c r="AKM1059" s="104"/>
      <c r="AKN1059" s="103"/>
      <c r="AKZ1059" s="104"/>
      <c r="ALA1059" s="103"/>
      <c r="ALM1059" s="104"/>
      <c r="ALN1059" s="103"/>
      <c r="ALZ1059" s="104"/>
      <c r="AMA1059" s="103"/>
      <c r="AMM1059" s="104"/>
      <c r="AMN1059" s="103"/>
      <c r="AMZ1059" s="104"/>
      <c r="ANA1059" s="103"/>
      <c r="ANM1059" s="104"/>
      <c r="ANN1059" s="103"/>
      <c r="ANZ1059" s="104"/>
      <c r="AOA1059" s="103"/>
      <c r="AOM1059" s="104"/>
      <c r="AON1059" s="103"/>
      <c r="AOZ1059" s="104"/>
      <c r="APA1059" s="103"/>
      <c r="APM1059" s="104"/>
      <c r="APN1059" s="103"/>
      <c r="APZ1059" s="104"/>
      <c r="AQA1059" s="103"/>
      <c r="AQM1059" s="104"/>
      <c r="AQN1059" s="103"/>
      <c r="AQZ1059" s="104"/>
      <c r="ARA1059" s="103"/>
      <c r="ARM1059" s="104"/>
      <c r="ARN1059" s="103"/>
      <c r="ARZ1059" s="104"/>
      <c r="ASA1059" s="103"/>
      <c r="ASM1059" s="104"/>
      <c r="ASN1059" s="103"/>
      <c r="ASZ1059" s="104"/>
      <c r="ATA1059" s="103"/>
      <c r="ATM1059" s="104"/>
      <c r="ATN1059" s="103"/>
      <c r="ATZ1059" s="104"/>
      <c r="AUA1059" s="103"/>
      <c r="AUM1059" s="104"/>
      <c r="AUN1059" s="103"/>
      <c r="AUZ1059" s="104"/>
      <c r="AVA1059" s="103"/>
      <c r="AVM1059" s="104"/>
      <c r="AVN1059" s="103"/>
      <c r="AVZ1059" s="104"/>
      <c r="AWA1059" s="103"/>
      <c r="AWM1059" s="104"/>
      <c r="AWN1059" s="103"/>
      <c r="AWZ1059" s="104"/>
      <c r="AXA1059" s="103"/>
      <c r="AXM1059" s="104"/>
      <c r="AXN1059" s="103"/>
      <c r="AXZ1059" s="104"/>
      <c r="AYA1059" s="103"/>
      <c r="AYM1059" s="104"/>
      <c r="AYN1059" s="103"/>
      <c r="AYZ1059" s="104"/>
      <c r="AZA1059" s="103"/>
      <c r="AZM1059" s="104"/>
      <c r="AZN1059" s="103"/>
      <c r="AZZ1059" s="104"/>
      <c r="BAA1059" s="103"/>
      <c r="BAM1059" s="104"/>
      <c r="BAN1059" s="103"/>
      <c r="BAZ1059" s="104"/>
      <c r="BBA1059" s="103"/>
      <c r="BBM1059" s="104"/>
      <c r="BBN1059" s="103"/>
      <c r="BBZ1059" s="104"/>
      <c r="BCA1059" s="103"/>
      <c r="BCM1059" s="104"/>
      <c r="BCN1059" s="103"/>
      <c r="BCZ1059" s="104"/>
      <c r="BDA1059" s="103"/>
      <c r="BDM1059" s="104"/>
      <c r="BDN1059" s="103"/>
      <c r="BDZ1059" s="104"/>
      <c r="BEA1059" s="103"/>
      <c r="BEM1059" s="104"/>
      <c r="BEN1059" s="103"/>
      <c r="BEZ1059" s="104"/>
      <c r="BFA1059" s="103"/>
      <c r="BFM1059" s="104"/>
      <c r="BFN1059" s="103"/>
      <c r="BFZ1059" s="104"/>
      <c r="BGA1059" s="103"/>
      <c r="BGM1059" s="104"/>
      <c r="BGN1059" s="103"/>
      <c r="BGZ1059" s="104"/>
      <c r="BHA1059" s="103"/>
      <c r="BHM1059" s="104"/>
      <c r="BHN1059" s="103"/>
      <c r="BHZ1059" s="104"/>
      <c r="BIA1059" s="103"/>
      <c r="BIM1059" s="104"/>
      <c r="BIN1059" s="103"/>
      <c r="BIZ1059" s="104"/>
      <c r="BJA1059" s="103"/>
      <c r="BJM1059" s="104"/>
      <c r="BJN1059" s="103"/>
      <c r="BJZ1059" s="104"/>
      <c r="BKA1059" s="103"/>
      <c r="BKM1059" s="104"/>
      <c r="BKN1059" s="103"/>
      <c r="BKZ1059" s="104"/>
      <c r="BLA1059" s="103"/>
      <c r="BLM1059" s="104"/>
      <c r="BLN1059" s="103"/>
      <c r="BLZ1059" s="104"/>
      <c r="BMA1059" s="103"/>
      <c r="BMM1059" s="104"/>
      <c r="BMN1059" s="103"/>
      <c r="BMZ1059" s="104"/>
      <c r="BNA1059" s="103"/>
      <c r="BNM1059" s="104"/>
      <c r="BNN1059" s="103"/>
      <c r="BNZ1059" s="104"/>
      <c r="BOA1059" s="103"/>
      <c r="BOM1059" s="104"/>
      <c r="BON1059" s="103"/>
      <c r="BOZ1059" s="104"/>
      <c r="BPA1059" s="103"/>
      <c r="BPM1059" s="104"/>
      <c r="BPN1059" s="103"/>
      <c r="BPZ1059" s="104"/>
      <c r="BQA1059" s="103"/>
      <c r="BQM1059" s="104"/>
      <c r="BQN1059" s="103"/>
      <c r="BQZ1059" s="104"/>
      <c r="BRA1059" s="103"/>
      <c r="BRM1059" s="104"/>
      <c r="BRN1059" s="103"/>
      <c r="BRZ1059" s="104"/>
      <c r="BSA1059" s="103"/>
      <c r="BSM1059" s="104"/>
      <c r="BSN1059" s="103"/>
      <c r="BSZ1059" s="104"/>
      <c r="BTA1059" s="103"/>
      <c r="BTM1059" s="104"/>
      <c r="BTN1059" s="103"/>
      <c r="BTZ1059" s="104"/>
      <c r="BUA1059" s="103"/>
      <c r="BUM1059" s="104"/>
      <c r="BUN1059" s="103"/>
      <c r="BUZ1059" s="104"/>
      <c r="BVA1059" s="103"/>
      <c r="BVM1059" s="104"/>
      <c r="BVN1059" s="103"/>
      <c r="BVZ1059" s="104"/>
      <c r="BWA1059" s="103"/>
      <c r="BWM1059" s="104"/>
      <c r="BWN1059" s="103"/>
      <c r="BWZ1059" s="104"/>
      <c r="BXA1059" s="103"/>
      <c r="BXM1059" s="104"/>
      <c r="BXN1059" s="103"/>
      <c r="BXZ1059" s="104"/>
      <c r="BYA1059" s="103"/>
      <c r="BYM1059" s="104"/>
      <c r="BYN1059" s="103"/>
      <c r="BYZ1059" s="104"/>
      <c r="BZA1059" s="103"/>
      <c r="BZM1059" s="104"/>
      <c r="BZN1059" s="103"/>
      <c r="BZZ1059" s="104"/>
      <c r="CAA1059" s="103"/>
      <c r="CAM1059" s="104"/>
      <c r="CAN1059" s="103"/>
      <c r="CAZ1059" s="104"/>
      <c r="CBA1059" s="103"/>
      <c r="CBM1059" s="104"/>
      <c r="CBN1059" s="103"/>
      <c r="CBZ1059" s="104"/>
      <c r="CCA1059" s="103"/>
      <c r="CCM1059" s="104"/>
      <c r="CCN1059" s="103"/>
      <c r="CCZ1059" s="104"/>
      <c r="CDA1059" s="103"/>
      <c r="CDM1059" s="104"/>
      <c r="CDN1059" s="103"/>
      <c r="CDZ1059" s="104"/>
      <c r="CEA1059" s="103"/>
      <c r="CEM1059" s="104"/>
      <c r="CEN1059" s="103"/>
      <c r="CEZ1059" s="104"/>
      <c r="CFA1059" s="103"/>
      <c r="CFM1059" s="104"/>
      <c r="CFN1059" s="103"/>
      <c r="CFZ1059" s="104"/>
      <c r="CGA1059" s="103"/>
      <c r="CGM1059" s="104"/>
      <c r="CGN1059" s="103"/>
      <c r="CGZ1059" s="104"/>
      <c r="CHA1059" s="103"/>
      <c r="CHM1059" s="104"/>
      <c r="CHN1059" s="103"/>
      <c r="CHZ1059" s="104"/>
      <c r="CIA1059" s="103"/>
      <c r="CIM1059" s="104"/>
      <c r="CIN1059" s="103"/>
      <c r="CIZ1059" s="104"/>
      <c r="CJA1059" s="103"/>
      <c r="CJM1059" s="104"/>
      <c r="CJN1059" s="103"/>
      <c r="CJZ1059" s="104"/>
      <c r="CKA1059" s="103"/>
      <c r="CKM1059" s="104"/>
      <c r="CKN1059" s="103"/>
      <c r="CKZ1059" s="104"/>
      <c r="CLA1059" s="103"/>
      <c r="CLM1059" s="104"/>
      <c r="CLN1059" s="103"/>
      <c r="CLZ1059" s="104"/>
      <c r="CMA1059" s="103"/>
      <c r="CMM1059" s="104"/>
      <c r="CMN1059" s="103"/>
      <c r="CMZ1059" s="104"/>
      <c r="CNA1059" s="103"/>
      <c r="CNM1059" s="104"/>
      <c r="CNN1059" s="103"/>
      <c r="CNZ1059" s="104"/>
      <c r="COA1059" s="103"/>
      <c r="COM1059" s="104"/>
      <c r="CON1059" s="103"/>
      <c r="COZ1059" s="104"/>
      <c r="CPA1059" s="103"/>
      <c r="CPM1059" s="104"/>
      <c r="CPN1059" s="103"/>
      <c r="CPZ1059" s="104"/>
      <c r="CQA1059" s="103"/>
      <c r="CQM1059" s="104"/>
      <c r="CQN1059" s="103"/>
      <c r="CQZ1059" s="104"/>
      <c r="CRA1059" s="103"/>
      <c r="CRM1059" s="104"/>
      <c r="CRN1059" s="103"/>
      <c r="CRZ1059" s="104"/>
      <c r="CSA1059" s="103"/>
      <c r="CSM1059" s="104"/>
      <c r="CSN1059" s="103"/>
      <c r="CSZ1059" s="104"/>
      <c r="CTA1059" s="103"/>
      <c r="CTM1059" s="104"/>
      <c r="CTN1059" s="103"/>
      <c r="CTZ1059" s="104"/>
      <c r="CUA1059" s="103"/>
      <c r="CUM1059" s="104"/>
      <c r="CUN1059" s="103"/>
      <c r="CUZ1059" s="104"/>
      <c r="CVA1059" s="103"/>
      <c r="CVM1059" s="104"/>
      <c r="CVN1059" s="103"/>
      <c r="CVZ1059" s="104"/>
      <c r="CWA1059" s="103"/>
      <c r="CWM1059" s="104"/>
      <c r="CWN1059" s="103"/>
      <c r="CWZ1059" s="104"/>
      <c r="CXA1059" s="103"/>
      <c r="CXM1059" s="104"/>
      <c r="CXN1059" s="103"/>
      <c r="CXZ1059" s="104"/>
      <c r="CYA1059" s="103"/>
      <c r="CYM1059" s="104"/>
      <c r="CYN1059" s="103"/>
      <c r="CYZ1059" s="104"/>
      <c r="CZA1059" s="103"/>
      <c r="CZM1059" s="104"/>
      <c r="CZN1059" s="103"/>
      <c r="CZZ1059" s="104"/>
      <c r="DAA1059" s="103"/>
      <c r="DAM1059" s="104"/>
      <c r="DAN1059" s="103"/>
      <c r="DAZ1059" s="104"/>
      <c r="DBA1059" s="103"/>
      <c r="DBM1059" s="104"/>
      <c r="DBN1059" s="103"/>
      <c r="DBZ1059" s="104"/>
      <c r="DCA1059" s="103"/>
      <c r="DCM1059" s="104"/>
      <c r="DCN1059" s="103"/>
      <c r="DCZ1059" s="104"/>
      <c r="DDA1059" s="103"/>
      <c r="DDM1059" s="104"/>
      <c r="DDN1059" s="103"/>
      <c r="DDZ1059" s="104"/>
      <c r="DEA1059" s="103"/>
      <c r="DEM1059" s="104"/>
      <c r="DEN1059" s="103"/>
      <c r="DEZ1059" s="104"/>
      <c r="DFA1059" s="103"/>
      <c r="DFM1059" s="104"/>
      <c r="DFN1059" s="103"/>
      <c r="DFZ1059" s="104"/>
      <c r="DGA1059" s="103"/>
      <c r="DGM1059" s="104"/>
      <c r="DGN1059" s="103"/>
      <c r="DGZ1059" s="104"/>
      <c r="DHA1059" s="103"/>
      <c r="DHM1059" s="104"/>
      <c r="DHN1059" s="103"/>
      <c r="DHZ1059" s="104"/>
      <c r="DIA1059" s="103"/>
      <c r="DIM1059" s="104"/>
      <c r="DIN1059" s="103"/>
      <c r="DIZ1059" s="104"/>
      <c r="DJA1059" s="103"/>
      <c r="DJM1059" s="104"/>
      <c r="DJN1059" s="103"/>
      <c r="DJZ1059" s="104"/>
      <c r="DKA1059" s="103"/>
      <c r="DKM1059" s="104"/>
      <c r="DKN1059" s="103"/>
      <c r="DKZ1059" s="104"/>
      <c r="DLA1059" s="103"/>
      <c r="DLM1059" s="104"/>
      <c r="DLN1059" s="103"/>
      <c r="DLZ1059" s="104"/>
      <c r="DMA1059" s="103"/>
      <c r="DMM1059" s="104"/>
      <c r="DMN1059" s="103"/>
      <c r="DMZ1059" s="104"/>
      <c r="DNA1059" s="103"/>
      <c r="DNM1059" s="104"/>
      <c r="DNN1059" s="103"/>
      <c r="DNZ1059" s="104"/>
      <c r="DOA1059" s="103"/>
      <c r="DOM1059" s="104"/>
      <c r="DON1059" s="103"/>
      <c r="DOZ1059" s="104"/>
      <c r="DPA1059" s="103"/>
      <c r="DPM1059" s="104"/>
      <c r="DPN1059" s="103"/>
      <c r="DPZ1059" s="104"/>
      <c r="DQA1059" s="103"/>
      <c r="DQM1059" s="104"/>
      <c r="DQN1059" s="103"/>
      <c r="DQZ1059" s="104"/>
      <c r="DRA1059" s="103"/>
      <c r="DRM1059" s="104"/>
      <c r="DRN1059" s="103"/>
      <c r="DRZ1059" s="104"/>
      <c r="DSA1059" s="103"/>
      <c r="DSM1059" s="104"/>
      <c r="DSN1059" s="103"/>
      <c r="DSZ1059" s="104"/>
      <c r="DTA1059" s="103"/>
      <c r="DTM1059" s="104"/>
      <c r="DTN1059" s="103"/>
      <c r="DTZ1059" s="104"/>
      <c r="DUA1059" s="103"/>
      <c r="DUM1059" s="104"/>
      <c r="DUN1059" s="103"/>
      <c r="DUZ1059" s="104"/>
      <c r="DVA1059" s="103"/>
      <c r="DVM1059" s="104"/>
      <c r="DVN1059" s="103"/>
      <c r="DVZ1059" s="104"/>
      <c r="DWA1059" s="103"/>
      <c r="DWM1059" s="104"/>
      <c r="DWN1059" s="103"/>
      <c r="DWZ1059" s="104"/>
      <c r="DXA1059" s="103"/>
      <c r="DXM1059" s="104"/>
      <c r="DXN1059" s="103"/>
      <c r="DXZ1059" s="104"/>
      <c r="DYA1059" s="103"/>
      <c r="DYM1059" s="104"/>
      <c r="DYN1059" s="103"/>
      <c r="DYZ1059" s="104"/>
      <c r="DZA1059" s="103"/>
      <c r="DZM1059" s="104"/>
      <c r="DZN1059" s="103"/>
      <c r="DZZ1059" s="104"/>
      <c r="EAA1059" s="103"/>
      <c r="EAM1059" s="104"/>
      <c r="EAN1059" s="103"/>
      <c r="EAZ1059" s="104"/>
      <c r="EBA1059" s="103"/>
      <c r="EBM1059" s="104"/>
      <c r="EBN1059" s="103"/>
      <c r="EBZ1059" s="104"/>
      <c r="ECA1059" s="103"/>
      <c r="ECM1059" s="104"/>
      <c r="ECN1059" s="103"/>
      <c r="ECZ1059" s="104"/>
      <c r="EDA1059" s="103"/>
      <c r="EDM1059" s="104"/>
      <c r="EDN1059" s="103"/>
      <c r="EDZ1059" s="104"/>
      <c r="EEA1059" s="103"/>
      <c r="EEM1059" s="104"/>
      <c r="EEN1059" s="103"/>
      <c r="EEZ1059" s="104"/>
      <c r="EFA1059" s="103"/>
      <c r="EFM1059" s="104"/>
      <c r="EFN1059" s="103"/>
      <c r="EFZ1059" s="104"/>
      <c r="EGA1059" s="103"/>
      <c r="EGM1059" s="104"/>
      <c r="EGN1059" s="103"/>
      <c r="EGZ1059" s="104"/>
      <c r="EHA1059" s="103"/>
      <c r="EHM1059" s="104"/>
      <c r="EHN1059" s="103"/>
      <c r="EHZ1059" s="104"/>
      <c r="EIA1059" s="103"/>
      <c r="EIM1059" s="104"/>
      <c r="EIN1059" s="103"/>
      <c r="EIZ1059" s="104"/>
      <c r="EJA1059" s="103"/>
      <c r="EJM1059" s="104"/>
      <c r="EJN1059" s="103"/>
      <c r="EJZ1059" s="104"/>
      <c r="EKA1059" s="103"/>
      <c r="EKM1059" s="104"/>
      <c r="EKN1059" s="103"/>
      <c r="EKZ1059" s="104"/>
      <c r="ELA1059" s="103"/>
      <c r="ELM1059" s="104"/>
      <c r="ELN1059" s="103"/>
      <c r="ELZ1059" s="104"/>
      <c r="EMA1059" s="103"/>
      <c r="EMM1059" s="104"/>
      <c r="EMN1059" s="103"/>
      <c r="EMZ1059" s="104"/>
      <c r="ENA1059" s="103"/>
      <c r="ENM1059" s="104"/>
      <c r="ENN1059" s="103"/>
      <c r="ENZ1059" s="104"/>
      <c r="EOA1059" s="103"/>
      <c r="EOM1059" s="104"/>
      <c r="EON1059" s="103"/>
      <c r="EOZ1059" s="104"/>
      <c r="EPA1059" s="103"/>
      <c r="EPM1059" s="104"/>
      <c r="EPN1059" s="103"/>
      <c r="EPZ1059" s="104"/>
      <c r="EQA1059" s="103"/>
      <c r="EQM1059" s="104"/>
      <c r="EQN1059" s="103"/>
      <c r="EQZ1059" s="104"/>
      <c r="ERA1059" s="103"/>
      <c r="ERM1059" s="104"/>
      <c r="ERN1059" s="103"/>
      <c r="ERZ1059" s="104"/>
      <c r="ESA1059" s="103"/>
      <c r="ESM1059" s="104"/>
      <c r="ESN1059" s="103"/>
      <c r="ESZ1059" s="104"/>
      <c r="ETA1059" s="103"/>
      <c r="ETM1059" s="104"/>
      <c r="ETN1059" s="103"/>
      <c r="ETZ1059" s="104"/>
      <c r="EUA1059" s="103"/>
      <c r="EUM1059" s="104"/>
      <c r="EUN1059" s="103"/>
      <c r="EUZ1059" s="104"/>
      <c r="EVA1059" s="103"/>
      <c r="EVM1059" s="104"/>
      <c r="EVN1059" s="103"/>
      <c r="EVZ1059" s="104"/>
      <c r="EWA1059" s="103"/>
      <c r="EWM1059" s="104"/>
      <c r="EWN1059" s="103"/>
      <c r="EWZ1059" s="104"/>
      <c r="EXA1059" s="103"/>
      <c r="EXM1059" s="104"/>
      <c r="EXN1059" s="103"/>
      <c r="EXZ1059" s="104"/>
      <c r="EYA1059" s="103"/>
      <c r="EYM1059" s="104"/>
      <c r="EYN1059" s="103"/>
      <c r="EYZ1059" s="104"/>
      <c r="EZA1059" s="103"/>
      <c r="EZM1059" s="104"/>
      <c r="EZN1059" s="103"/>
      <c r="EZZ1059" s="104"/>
      <c r="FAA1059" s="103"/>
      <c r="FAM1059" s="104"/>
      <c r="FAN1059" s="103"/>
      <c r="FAZ1059" s="104"/>
      <c r="FBA1059" s="103"/>
      <c r="FBM1059" s="104"/>
      <c r="FBN1059" s="103"/>
      <c r="FBZ1059" s="104"/>
      <c r="FCA1059" s="103"/>
      <c r="FCM1059" s="104"/>
      <c r="FCN1059" s="103"/>
      <c r="FCZ1059" s="104"/>
      <c r="FDA1059" s="103"/>
      <c r="FDM1059" s="104"/>
      <c r="FDN1059" s="103"/>
      <c r="FDZ1059" s="104"/>
      <c r="FEA1059" s="103"/>
      <c r="FEM1059" s="104"/>
      <c r="FEN1059" s="103"/>
      <c r="FEZ1059" s="104"/>
      <c r="FFA1059" s="103"/>
      <c r="FFM1059" s="104"/>
      <c r="FFN1059" s="103"/>
      <c r="FFZ1059" s="104"/>
      <c r="FGA1059" s="103"/>
      <c r="FGM1059" s="104"/>
      <c r="FGN1059" s="103"/>
      <c r="FGZ1059" s="104"/>
      <c r="FHA1059" s="103"/>
      <c r="FHM1059" s="104"/>
      <c r="FHN1059" s="103"/>
      <c r="FHZ1059" s="104"/>
      <c r="FIA1059" s="103"/>
      <c r="FIM1059" s="104"/>
      <c r="FIN1059" s="103"/>
      <c r="FIZ1059" s="104"/>
      <c r="FJA1059" s="103"/>
      <c r="FJM1059" s="104"/>
      <c r="FJN1059" s="103"/>
      <c r="FJZ1059" s="104"/>
      <c r="FKA1059" s="103"/>
      <c r="FKM1059" s="104"/>
      <c r="FKN1059" s="103"/>
      <c r="FKZ1059" s="104"/>
      <c r="FLA1059" s="103"/>
      <c r="FLM1059" s="104"/>
      <c r="FLN1059" s="103"/>
      <c r="FLZ1059" s="104"/>
      <c r="FMA1059" s="103"/>
      <c r="FMM1059" s="104"/>
      <c r="FMN1059" s="103"/>
      <c r="FMZ1059" s="104"/>
      <c r="FNA1059" s="103"/>
      <c r="FNM1059" s="104"/>
      <c r="FNN1059" s="103"/>
      <c r="FNZ1059" s="104"/>
      <c r="FOA1059" s="103"/>
      <c r="FOM1059" s="104"/>
      <c r="FON1059" s="103"/>
      <c r="FOZ1059" s="104"/>
      <c r="FPA1059" s="103"/>
      <c r="FPM1059" s="104"/>
      <c r="FPN1059" s="103"/>
      <c r="FPZ1059" s="104"/>
      <c r="FQA1059" s="103"/>
      <c r="FQM1059" s="104"/>
      <c r="FQN1059" s="103"/>
      <c r="FQZ1059" s="104"/>
      <c r="FRA1059" s="103"/>
      <c r="FRM1059" s="104"/>
      <c r="FRN1059" s="103"/>
      <c r="FRZ1059" s="104"/>
      <c r="FSA1059" s="103"/>
      <c r="FSM1059" s="104"/>
      <c r="FSN1059" s="103"/>
      <c r="FSZ1059" s="104"/>
      <c r="FTA1059" s="103"/>
      <c r="FTM1059" s="104"/>
      <c r="FTN1059" s="103"/>
      <c r="FTZ1059" s="104"/>
      <c r="FUA1059" s="103"/>
      <c r="FUM1059" s="104"/>
      <c r="FUN1059" s="103"/>
      <c r="FUZ1059" s="104"/>
      <c r="FVA1059" s="103"/>
      <c r="FVM1059" s="104"/>
      <c r="FVN1059" s="103"/>
      <c r="FVZ1059" s="104"/>
      <c r="FWA1059" s="103"/>
      <c r="FWM1059" s="104"/>
      <c r="FWN1059" s="103"/>
      <c r="FWZ1059" s="104"/>
      <c r="FXA1059" s="103"/>
      <c r="FXM1059" s="104"/>
      <c r="FXN1059" s="103"/>
      <c r="FXZ1059" s="104"/>
      <c r="FYA1059" s="103"/>
      <c r="FYM1059" s="104"/>
      <c r="FYN1059" s="103"/>
      <c r="FYZ1059" s="104"/>
      <c r="FZA1059" s="103"/>
      <c r="FZM1059" s="104"/>
      <c r="FZN1059" s="103"/>
      <c r="FZZ1059" s="104"/>
      <c r="GAA1059" s="103"/>
      <c r="GAM1059" s="104"/>
      <c r="GAN1059" s="103"/>
      <c r="GAZ1059" s="104"/>
      <c r="GBA1059" s="103"/>
      <c r="GBM1059" s="104"/>
      <c r="GBN1059" s="103"/>
      <c r="GBZ1059" s="104"/>
      <c r="GCA1059" s="103"/>
      <c r="GCM1059" s="104"/>
      <c r="GCN1059" s="103"/>
      <c r="GCZ1059" s="104"/>
      <c r="GDA1059" s="103"/>
      <c r="GDM1059" s="104"/>
      <c r="GDN1059" s="103"/>
      <c r="GDZ1059" s="104"/>
      <c r="GEA1059" s="103"/>
      <c r="GEM1059" s="104"/>
      <c r="GEN1059" s="103"/>
      <c r="GEZ1059" s="104"/>
      <c r="GFA1059" s="103"/>
      <c r="GFM1059" s="104"/>
      <c r="GFN1059" s="103"/>
      <c r="GFZ1059" s="104"/>
      <c r="GGA1059" s="103"/>
      <c r="GGM1059" s="104"/>
      <c r="GGN1059" s="103"/>
      <c r="GGZ1059" s="104"/>
      <c r="GHA1059" s="103"/>
      <c r="GHM1059" s="104"/>
      <c r="GHN1059" s="103"/>
      <c r="GHZ1059" s="104"/>
      <c r="GIA1059" s="103"/>
      <c r="GIM1059" s="104"/>
      <c r="GIN1059" s="103"/>
      <c r="GIZ1059" s="104"/>
      <c r="GJA1059" s="103"/>
      <c r="GJM1059" s="104"/>
      <c r="GJN1059" s="103"/>
      <c r="GJZ1059" s="104"/>
      <c r="GKA1059" s="103"/>
      <c r="GKM1059" s="104"/>
      <c r="GKN1059" s="103"/>
      <c r="GKZ1059" s="104"/>
      <c r="GLA1059" s="103"/>
      <c r="GLM1059" s="104"/>
      <c r="GLN1059" s="103"/>
      <c r="GLZ1059" s="104"/>
      <c r="GMA1059" s="103"/>
      <c r="GMM1059" s="104"/>
      <c r="GMN1059" s="103"/>
      <c r="GMZ1059" s="104"/>
      <c r="GNA1059" s="103"/>
      <c r="GNM1059" s="104"/>
      <c r="GNN1059" s="103"/>
      <c r="GNZ1059" s="104"/>
      <c r="GOA1059" s="103"/>
      <c r="GOM1059" s="104"/>
      <c r="GON1059" s="103"/>
      <c r="GOZ1059" s="104"/>
      <c r="GPA1059" s="103"/>
      <c r="GPM1059" s="104"/>
      <c r="GPN1059" s="103"/>
      <c r="GPZ1059" s="104"/>
      <c r="GQA1059" s="103"/>
      <c r="GQM1059" s="104"/>
      <c r="GQN1059" s="103"/>
      <c r="GQZ1059" s="104"/>
      <c r="GRA1059" s="103"/>
      <c r="GRM1059" s="104"/>
      <c r="GRN1059" s="103"/>
      <c r="GRZ1059" s="104"/>
      <c r="GSA1059" s="103"/>
      <c r="GSM1059" s="104"/>
      <c r="GSN1059" s="103"/>
      <c r="GSZ1059" s="104"/>
      <c r="GTA1059" s="103"/>
      <c r="GTM1059" s="104"/>
      <c r="GTN1059" s="103"/>
      <c r="GTZ1059" s="104"/>
      <c r="GUA1059" s="103"/>
      <c r="GUM1059" s="104"/>
      <c r="GUN1059" s="103"/>
      <c r="GUZ1059" s="104"/>
      <c r="GVA1059" s="103"/>
      <c r="GVM1059" s="104"/>
      <c r="GVN1059" s="103"/>
      <c r="GVZ1059" s="104"/>
      <c r="GWA1059" s="103"/>
      <c r="GWM1059" s="104"/>
      <c r="GWN1059" s="103"/>
      <c r="GWZ1059" s="104"/>
      <c r="GXA1059" s="103"/>
      <c r="GXM1059" s="104"/>
      <c r="GXN1059" s="103"/>
      <c r="GXZ1059" s="104"/>
      <c r="GYA1059" s="103"/>
      <c r="GYM1059" s="104"/>
      <c r="GYN1059" s="103"/>
      <c r="GYZ1059" s="104"/>
      <c r="GZA1059" s="103"/>
      <c r="GZM1059" s="104"/>
      <c r="GZN1059" s="103"/>
      <c r="GZZ1059" s="104"/>
      <c r="HAA1059" s="103"/>
      <c r="HAM1059" s="104"/>
      <c r="HAN1059" s="103"/>
      <c r="HAZ1059" s="104"/>
      <c r="HBA1059" s="103"/>
      <c r="HBM1059" s="104"/>
      <c r="HBN1059" s="103"/>
      <c r="HBZ1059" s="104"/>
      <c r="HCA1059" s="103"/>
      <c r="HCM1059" s="104"/>
      <c r="HCN1059" s="103"/>
      <c r="HCZ1059" s="104"/>
      <c r="HDA1059" s="103"/>
      <c r="HDM1059" s="104"/>
      <c r="HDN1059" s="103"/>
      <c r="HDZ1059" s="104"/>
      <c r="HEA1059" s="103"/>
      <c r="HEM1059" s="104"/>
      <c r="HEN1059" s="103"/>
      <c r="HEZ1059" s="104"/>
      <c r="HFA1059" s="103"/>
      <c r="HFM1059" s="104"/>
      <c r="HFN1059" s="103"/>
      <c r="HFZ1059" s="104"/>
      <c r="HGA1059" s="103"/>
      <c r="HGM1059" s="104"/>
      <c r="HGN1059" s="103"/>
      <c r="HGZ1059" s="104"/>
      <c r="HHA1059" s="103"/>
      <c r="HHM1059" s="104"/>
      <c r="HHN1059" s="103"/>
      <c r="HHZ1059" s="104"/>
      <c r="HIA1059" s="103"/>
      <c r="HIM1059" s="104"/>
      <c r="HIN1059" s="103"/>
      <c r="HIZ1059" s="104"/>
      <c r="HJA1059" s="103"/>
      <c r="HJM1059" s="104"/>
      <c r="HJN1059" s="103"/>
      <c r="HJZ1059" s="104"/>
      <c r="HKA1059" s="103"/>
      <c r="HKM1059" s="104"/>
      <c r="HKN1059" s="103"/>
      <c r="HKZ1059" s="104"/>
      <c r="HLA1059" s="103"/>
      <c r="HLM1059" s="104"/>
      <c r="HLN1059" s="103"/>
      <c r="HLZ1059" s="104"/>
      <c r="HMA1059" s="103"/>
      <c r="HMM1059" s="104"/>
      <c r="HMN1059" s="103"/>
      <c r="HMZ1059" s="104"/>
      <c r="HNA1059" s="103"/>
      <c r="HNM1059" s="104"/>
      <c r="HNN1059" s="103"/>
      <c r="HNZ1059" s="104"/>
      <c r="HOA1059" s="103"/>
      <c r="HOM1059" s="104"/>
      <c r="HON1059" s="103"/>
      <c r="HOZ1059" s="104"/>
      <c r="HPA1059" s="103"/>
      <c r="HPM1059" s="104"/>
      <c r="HPN1059" s="103"/>
      <c r="HPZ1059" s="104"/>
      <c r="HQA1059" s="103"/>
      <c r="HQM1059" s="104"/>
      <c r="HQN1059" s="103"/>
      <c r="HQZ1059" s="104"/>
      <c r="HRA1059" s="103"/>
      <c r="HRM1059" s="104"/>
      <c r="HRN1059" s="103"/>
      <c r="HRZ1059" s="104"/>
      <c r="HSA1059" s="103"/>
      <c r="HSM1059" s="104"/>
      <c r="HSN1059" s="103"/>
      <c r="HSZ1059" s="104"/>
      <c r="HTA1059" s="103"/>
      <c r="HTM1059" s="104"/>
      <c r="HTN1059" s="103"/>
      <c r="HTZ1059" s="104"/>
      <c r="HUA1059" s="103"/>
      <c r="HUM1059" s="104"/>
      <c r="HUN1059" s="103"/>
      <c r="HUZ1059" s="104"/>
      <c r="HVA1059" s="103"/>
      <c r="HVM1059" s="104"/>
      <c r="HVN1059" s="103"/>
      <c r="HVZ1059" s="104"/>
      <c r="HWA1059" s="103"/>
      <c r="HWM1059" s="104"/>
      <c r="HWN1059" s="103"/>
      <c r="HWZ1059" s="104"/>
      <c r="HXA1059" s="103"/>
      <c r="HXM1059" s="104"/>
      <c r="HXN1059" s="103"/>
      <c r="HXZ1059" s="104"/>
      <c r="HYA1059" s="103"/>
      <c r="HYM1059" s="104"/>
      <c r="HYN1059" s="103"/>
      <c r="HYZ1059" s="104"/>
      <c r="HZA1059" s="103"/>
      <c r="HZM1059" s="104"/>
      <c r="HZN1059" s="103"/>
      <c r="HZZ1059" s="104"/>
      <c r="IAA1059" s="103"/>
      <c r="IAM1059" s="104"/>
      <c r="IAN1059" s="103"/>
      <c r="IAZ1059" s="104"/>
      <c r="IBA1059" s="103"/>
      <c r="IBM1059" s="104"/>
      <c r="IBN1059" s="103"/>
      <c r="IBZ1059" s="104"/>
      <c r="ICA1059" s="103"/>
      <c r="ICM1059" s="104"/>
      <c r="ICN1059" s="103"/>
      <c r="ICZ1059" s="104"/>
      <c r="IDA1059" s="103"/>
      <c r="IDM1059" s="104"/>
      <c r="IDN1059" s="103"/>
      <c r="IDZ1059" s="104"/>
      <c r="IEA1059" s="103"/>
      <c r="IEM1059" s="104"/>
      <c r="IEN1059" s="103"/>
      <c r="IEZ1059" s="104"/>
      <c r="IFA1059" s="103"/>
      <c r="IFM1059" s="104"/>
      <c r="IFN1059" s="103"/>
      <c r="IFZ1059" s="104"/>
      <c r="IGA1059" s="103"/>
      <c r="IGM1059" s="104"/>
      <c r="IGN1059" s="103"/>
      <c r="IGZ1059" s="104"/>
      <c r="IHA1059" s="103"/>
      <c r="IHM1059" s="104"/>
      <c r="IHN1059" s="103"/>
      <c r="IHZ1059" s="104"/>
      <c r="IIA1059" s="103"/>
      <c r="IIM1059" s="104"/>
      <c r="IIN1059" s="103"/>
      <c r="IIZ1059" s="104"/>
      <c r="IJA1059" s="103"/>
      <c r="IJM1059" s="104"/>
      <c r="IJN1059" s="103"/>
      <c r="IJZ1059" s="104"/>
      <c r="IKA1059" s="103"/>
      <c r="IKM1059" s="104"/>
      <c r="IKN1059" s="103"/>
      <c r="IKZ1059" s="104"/>
      <c r="ILA1059" s="103"/>
      <c r="ILM1059" s="104"/>
      <c r="ILN1059" s="103"/>
      <c r="ILZ1059" s="104"/>
      <c r="IMA1059" s="103"/>
      <c r="IMM1059" s="104"/>
      <c r="IMN1059" s="103"/>
      <c r="IMZ1059" s="104"/>
      <c r="INA1059" s="103"/>
      <c r="INM1059" s="104"/>
      <c r="INN1059" s="103"/>
      <c r="INZ1059" s="104"/>
      <c r="IOA1059" s="103"/>
      <c r="IOM1059" s="104"/>
      <c r="ION1059" s="103"/>
      <c r="IOZ1059" s="104"/>
      <c r="IPA1059" s="103"/>
      <c r="IPM1059" s="104"/>
      <c r="IPN1059" s="103"/>
      <c r="IPZ1059" s="104"/>
      <c r="IQA1059" s="103"/>
      <c r="IQM1059" s="104"/>
      <c r="IQN1059" s="103"/>
      <c r="IQZ1059" s="104"/>
      <c r="IRA1059" s="103"/>
      <c r="IRM1059" s="104"/>
      <c r="IRN1059" s="103"/>
      <c r="IRZ1059" s="104"/>
      <c r="ISA1059" s="103"/>
      <c r="ISM1059" s="104"/>
      <c r="ISN1059" s="103"/>
      <c r="ISZ1059" s="104"/>
      <c r="ITA1059" s="103"/>
      <c r="ITM1059" s="104"/>
      <c r="ITN1059" s="103"/>
      <c r="ITZ1059" s="104"/>
      <c r="IUA1059" s="103"/>
      <c r="IUM1059" s="104"/>
      <c r="IUN1059" s="103"/>
      <c r="IUZ1059" s="104"/>
      <c r="IVA1059" s="103"/>
      <c r="IVM1059" s="104"/>
      <c r="IVN1059" s="103"/>
      <c r="IVZ1059" s="104"/>
      <c r="IWA1059" s="103"/>
      <c r="IWM1059" s="104"/>
      <c r="IWN1059" s="103"/>
      <c r="IWZ1059" s="104"/>
      <c r="IXA1059" s="103"/>
      <c r="IXM1059" s="104"/>
      <c r="IXN1059" s="103"/>
      <c r="IXZ1059" s="104"/>
      <c r="IYA1059" s="103"/>
      <c r="IYM1059" s="104"/>
      <c r="IYN1059" s="103"/>
      <c r="IYZ1059" s="104"/>
      <c r="IZA1059" s="103"/>
      <c r="IZM1059" s="104"/>
      <c r="IZN1059" s="103"/>
      <c r="IZZ1059" s="104"/>
      <c r="JAA1059" s="103"/>
      <c r="JAM1059" s="104"/>
      <c r="JAN1059" s="103"/>
      <c r="JAZ1059" s="104"/>
      <c r="JBA1059" s="103"/>
      <c r="JBM1059" s="104"/>
      <c r="JBN1059" s="103"/>
      <c r="JBZ1059" s="104"/>
      <c r="JCA1059" s="103"/>
      <c r="JCM1059" s="104"/>
      <c r="JCN1059" s="103"/>
      <c r="JCZ1059" s="104"/>
      <c r="JDA1059" s="103"/>
      <c r="JDM1059" s="104"/>
      <c r="JDN1059" s="103"/>
      <c r="JDZ1059" s="104"/>
      <c r="JEA1059" s="103"/>
      <c r="JEM1059" s="104"/>
      <c r="JEN1059" s="103"/>
      <c r="JEZ1059" s="104"/>
      <c r="JFA1059" s="103"/>
      <c r="JFM1059" s="104"/>
      <c r="JFN1059" s="103"/>
      <c r="JFZ1059" s="104"/>
      <c r="JGA1059" s="103"/>
      <c r="JGM1059" s="104"/>
      <c r="JGN1059" s="103"/>
      <c r="JGZ1059" s="104"/>
      <c r="JHA1059" s="103"/>
      <c r="JHM1059" s="104"/>
      <c r="JHN1059" s="103"/>
      <c r="JHZ1059" s="104"/>
      <c r="JIA1059" s="103"/>
      <c r="JIM1059" s="104"/>
      <c r="JIN1059" s="103"/>
      <c r="JIZ1059" s="104"/>
      <c r="JJA1059" s="103"/>
      <c r="JJM1059" s="104"/>
      <c r="JJN1059" s="103"/>
      <c r="JJZ1059" s="104"/>
      <c r="JKA1059" s="103"/>
      <c r="JKM1059" s="104"/>
      <c r="JKN1059" s="103"/>
      <c r="JKZ1059" s="104"/>
      <c r="JLA1059" s="103"/>
      <c r="JLM1059" s="104"/>
      <c r="JLN1059" s="103"/>
      <c r="JLZ1059" s="104"/>
      <c r="JMA1059" s="103"/>
      <c r="JMM1059" s="104"/>
      <c r="JMN1059" s="103"/>
      <c r="JMZ1059" s="104"/>
      <c r="JNA1059" s="103"/>
      <c r="JNM1059" s="104"/>
      <c r="JNN1059" s="103"/>
      <c r="JNZ1059" s="104"/>
      <c r="JOA1059" s="103"/>
      <c r="JOM1059" s="104"/>
      <c r="JON1059" s="103"/>
      <c r="JOZ1059" s="104"/>
      <c r="JPA1059" s="103"/>
      <c r="JPM1059" s="104"/>
      <c r="JPN1059" s="103"/>
      <c r="JPZ1059" s="104"/>
      <c r="JQA1059" s="103"/>
      <c r="JQM1059" s="104"/>
      <c r="JQN1059" s="103"/>
      <c r="JQZ1059" s="104"/>
      <c r="JRA1059" s="103"/>
      <c r="JRM1059" s="104"/>
      <c r="JRN1059" s="103"/>
      <c r="JRZ1059" s="104"/>
      <c r="JSA1059" s="103"/>
      <c r="JSM1059" s="104"/>
      <c r="JSN1059" s="103"/>
      <c r="JSZ1059" s="104"/>
      <c r="JTA1059" s="103"/>
      <c r="JTM1059" s="104"/>
      <c r="JTN1059" s="103"/>
      <c r="JTZ1059" s="104"/>
      <c r="JUA1059" s="103"/>
      <c r="JUM1059" s="104"/>
      <c r="JUN1059" s="103"/>
      <c r="JUZ1059" s="104"/>
      <c r="JVA1059" s="103"/>
      <c r="JVM1059" s="104"/>
      <c r="JVN1059" s="103"/>
      <c r="JVZ1059" s="104"/>
      <c r="JWA1059" s="103"/>
      <c r="JWM1059" s="104"/>
      <c r="JWN1059" s="103"/>
      <c r="JWZ1059" s="104"/>
      <c r="JXA1059" s="103"/>
      <c r="JXM1059" s="104"/>
      <c r="JXN1059" s="103"/>
      <c r="JXZ1059" s="104"/>
      <c r="JYA1059" s="103"/>
      <c r="JYM1059" s="104"/>
      <c r="JYN1059" s="103"/>
      <c r="JYZ1059" s="104"/>
      <c r="JZA1059" s="103"/>
      <c r="JZM1059" s="104"/>
      <c r="JZN1059" s="103"/>
      <c r="JZZ1059" s="104"/>
      <c r="KAA1059" s="103"/>
      <c r="KAM1059" s="104"/>
      <c r="KAN1059" s="103"/>
      <c r="KAZ1059" s="104"/>
      <c r="KBA1059" s="103"/>
      <c r="KBM1059" s="104"/>
      <c r="KBN1059" s="103"/>
      <c r="KBZ1059" s="104"/>
      <c r="KCA1059" s="103"/>
      <c r="KCM1059" s="104"/>
      <c r="KCN1059" s="103"/>
      <c r="KCZ1059" s="104"/>
      <c r="KDA1059" s="103"/>
      <c r="KDM1059" s="104"/>
      <c r="KDN1059" s="103"/>
      <c r="KDZ1059" s="104"/>
      <c r="KEA1059" s="103"/>
      <c r="KEM1059" s="104"/>
      <c r="KEN1059" s="103"/>
      <c r="KEZ1059" s="104"/>
      <c r="KFA1059" s="103"/>
      <c r="KFM1059" s="104"/>
      <c r="KFN1059" s="103"/>
      <c r="KFZ1059" s="104"/>
      <c r="KGA1059" s="103"/>
      <c r="KGM1059" s="104"/>
      <c r="KGN1059" s="103"/>
      <c r="KGZ1059" s="104"/>
      <c r="KHA1059" s="103"/>
      <c r="KHM1059" s="104"/>
      <c r="KHN1059" s="103"/>
      <c r="KHZ1059" s="104"/>
      <c r="KIA1059" s="103"/>
      <c r="KIM1059" s="104"/>
      <c r="KIN1059" s="103"/>
      <c r="KIZ1059" s="104"/>
      <c r="KJA1059" s="103"/>
      <c r="KJM1059" s="104"/>
      <c r="KJN1059" s="103"/>
      <c r="KJZ1059" s="104"/>
      <c r="KKA1059" s="103"/>
      <c r="KKM1059" s="104"/>
      <c r="KKN1059" s="103"/>
      <c r="KKZ1059" s="104"/>
      <c r="KLA1059" s="103"/>
      <c r="KLM1059" s="104"/>
      <c r="KLN1059" s="103"/>
      <c r="KLZ1059" s="104"/>
      <c r="KMA1059" s="103"/>
      <c r="KMM1059" s="104"/>
      <c r="KMN1059" s="103"/>
      <c r="KMZ1059" s="104"/>
      <c r="KNA1059" s="103"/>
      <c r="KNM1059" s="104"/>
      <c r="KNN1059" s="103"/>
      <c r="KNZ1059" s="104"/>
      <c r="KOA1059" s="103"/>
      <c r="KOM1059" s="104"/>
      <c r="KON1059" s="103"/>
      <c r="KOZ1059" s="104"/>
      <c r="KPA1059" s="103"/>
      <c r="KPM1059" s="104"/>
      <c r="KPN1059" s="103"/>
      <c r="KPZ1059" s="104"/>
      <c r="KQA1059" s="103"/>
      <c r="KQM1059" s="104"/>
      <c r="KQN1059" s="103"/>
      <c r="KQZ1059" s="104"/>
      <c r="KRA1059" s="103"/>
      <c r="KRM1059" s="104"/>
      <c r="KRN1059" s="103"/>
      <c r="KRZ1059" s="104"/>
      <c r="KSA1059" s="103"/>
      <c r="KSM1059" s="104"/>
      <c r="KSN1059" s="103"/>
      <c r="KSZ1059" s="104"/>
      <c r="KTA1059" s="103"/>
      <c r="KTM1059" s="104"/>
      <c r="KTN1059" s="103"/>
      <c r="KTZ1059" s="104"/>
      <c r="KUA1059" s="103"/>
      <c r="KUM1059" s="104"/>
      <c r="KUN1059" s="103"/>
      <c r="KUZ1059" s="104"/>
      <c r="KVA1059" s="103"/>
      <c r="KVM1059" s="104"/>
      <c r="KVN1059" s="103"/>
      <c r="KVZ1059" s="104"/>
      <c r="KWA1059" s="103"/>
      <c r="KWM1059" s="104"/>
      <c r="KWN1059" s="103"/>
      <c r="KWZ1059" s="104"/>
      <c r="KXA1059" s="103"/>
      <c r="KXM1059" s="104"/>
      <c r="KXN1059" s="103"/>
      <c r="KXZ1059" s="104"/>
      <c r="KYA1059" s="103"/>
      <c r="KYM1059" s="104"/>
      <c r="KYN1059" s="103"/>
      <c r="KYZ1059" s="104"/>
      <c r="KZA1059" s="103"/>
      <c r="KZM1059" s="104"/>
      <c r="KZN1059" s="103"/>
      <c r="KZZ1059" s="104"/>
      <c r="LAA1059" s="103"/>
      <c r="LAM1059" s="104"/>
      <c r="LAN1059" s="103"/>
      <c r="LAZ1059" s="104"/>
      <c r="LBA1059" s="103"/>
      <c r="LBM1059" s="104"/>
      <c r="LBN1059" s="103"/>
      <c r="LBZ1059" s="104"/>
      <c r="LCA1059" s="103"/>
      <c r="LCM1059" s="104"/>
      <c r="LCN1059" s="103"/>
      <c r="LCZ1059" s="104"/>
      <c r="LDA1059" s="103"/>
      <c r="LDM1059" s="104"/>
      <c r="LDN1059" s="103"/>
      <c r="LDZ1059" s="104"/>
      <c r="LEA1059" s="103"/>
      <c r="LEM1059" s="104"/>
      <c r="LEN1059" s="103"/>
      <c r="LEZ1059" s="104"/>
      <c r="LFA1059" s="103"/>
      <c r="LFM1059" s="104"/>
      <c r="LFN1059" s="103"/>
      <c r="LFZ1059" s="104"/>
      <c r="LGA1059" s="103"/>
      <c r="LGM1059" s="104"/>
      <c r="LGN1059" s="103"/>
      <c r="LGZ1059" s="104"/>
      <c r="LHA1059" s="103"/>
      <c r="LHM1059" s="104"/>
      <c r="LHN1059" s="103"/>
      <c r="LHZ1059" s="104"/>
      <c r="LIA1059" s="103"/>
      <c r="LIM1059" s="104"/>
      <c r="LIN1059" s="103"/>
      <c r="LIZ1059" s="104"/>
      <c r="LJA1059" s="103"/>
      <c r="LJM1059" s="104"/>
      <c r="LJN1059" s="103"/>
      <c r="LJZ1059" s="104"/>
      <c r="LKA1059" s="103"/>
      <c r="LKM1059" s="104"/>
      <c r="LKN1059" s="103"/>
      <c r="LKZ1059" s="104"/>
      <c r="LLA1059" s="103"/>
      <c r="LLM1059" s="104"/>
      <c r="LLN1059" s="103"/>
      <c r="LLZ1059" s="104"/>
      <c r="LMA1059" s="103"/>
      <c r="LMM1059" s="104"/>
      <c r="LMN1059" s="103"/>
      <c r="LMZ1059" s="104"/>
      <c r="LNA1059" s="103"/>
      <c r="LNM1059" s="104"/>
      <c r="LNN1059" s="103"/>
      <c r="LNZ1059" s="104"/>
      <c r="LOA1059" s="103"/>
      <c r="LOM1059" s="104"/>
      <c r="LON1059" s="103"/>
      <c r="LOZ1059" s="104"/>
      <c r="LPA1059" s="103"/>
      <c r="LPM1059" s="104"/>
      <c r="LPN1059" s="103"/>
      <c r="LPZ1059" s="104"/>
      <c r="LQA1059" s="103"/>
      <c r="LQM1059" s="104"/>
      <c r="LQN1059" s="103"/>
      <c r="LQZ1059" s="104"/>
      <c r="LRA1059" s="103"/>
      <c r="LRM1059" s="104"/>
      <c r="LRN1059" s="103"/>
      <c r="LRZ1059" s="104"/>
      <c r="LSA1059" s="103"/>
      <c r="LSM1059" s="104"/>
      <c r="LSN1059" s="103"/>
      <c r="LSZ1059" s="104"/>
      <c r="LTA1059" s="103"/>
      <c r="LTM1059" s="104"/>
      <c r="LTN1059" s="103"/>
      <c r="LTZ1059" s="104"/>
      <c r="LUA1059" s="103"/>
      <c r="LUM1059" s="104"/>
      <c r="LUN1059" s="103"/>
      <c r="LUZ1059" s="104"/>
      <c r="LVA1059" s="103"/>
      <c r="LVM1059" s="104"/>
      <c r="LVN1059" s="103"/>
      <c r="LVZ1059" s="104"/>
      <c r="LWA1059" s="103"/>
      <c r="LWM1059" s="104"/>
      <c r="LWN1059" s="103"/>
      <c r="LWZ1059" s="104"/>
      <c r="LXA1059" s="103"/>
      <c r="LXM1059" s="104"/>
      <c r="LXN1059" s="103"/>
      <c r="LXZ1059" s="104"/>
      <c r="LYA1059" s="103"/>
      <c r="LYM1059" s="104"/>
      <c r="LYN1059" s="103"/>
      <c r="LYZ1059" s="104"/>
      <c r="LZA1059" s="103"/>
      <c r="LZM1059" s="104"/>
      <c r="LZN1059" s="103"/>
      <c r="LZZ1059" s="104"/>
      <c r="MAA1059" s="103"/>
      <c r="MAM1059" s="104"/>
      <c r="MAN1059" s="103"/>
      <c r="MAZ1059" s="104"/>
      <c r="MBA1059" s="103"/>
      <c r="MBM1059" s="104"/>
      <c r="MBN1059" s="103"/>
      <c r="MBZ1059" s="104"/>
      <c r="MCA1059" s="103"/>
      <c r="MCM1059" s="104"/>
      <c r="MCN1059" s="103"/>
      <c r="MCZ1059" s="104"/>
      <c r="MDA1059" s="103"/>
      <c r="MDM1059" s="104"/>
      <c r="MDN1059" s="103"/>
      <c r="MDZ1059" s="104"/>
      <c r="MEA1059" s="103"/>
      <c r="MEM1059" s="104"/>
      <c r="MEN1059" s="103"/>
      <c r="MEZ1059" s="104"/>
      <c r="MFA1059" s="103"/>
      <c r="MFM1059" s="104"/>
      <c r="MFN1059" s="103"/>
      <c r="MFZ1059" s="104"/>
      <c r="MGA1059" s="103"/>
      <c r="MGM1059" s="104"/>
      <c r="MGN1059" s="103"/>
      <c r="MGZ1059" s="104"/>
      <c r="MHA1059" s="103"/>
      <c r="MHM1059" s="104"/>
      <c r="MHN1059" s="103"/>
      <c r="MHZ1059" s="104"/>
      <c r="MIA1059" s="103"/>
      <c r="MIM1059" s="104"/>
      <c r="MIN1059" s="103"/>
      <c r="MIZ1059" s="104"/>
      <c r="MJA1059" s="103"/>
      <c r="MJM1059" s="104"/>
      <c r="MJN1059" s="103"/>
      <c r="MJZ1059" s="104"/>
      <c r="MKA1059" s="103"/>
      <c r="MKM1059" s="104"/>
      <c r="MKN1059" s="103"/>
      <c r="MKZ1059" s="104"/>
      <c r="MLA1059" s="103"/>
      <c r="MLM1059" s="104"/>
      <c r="MLN1059" s="103"/>
      <c r="MLZ1059" s="104"/>
      <c r="MMA1059" s="103"/>
      <c r="MMM1059" s="104"/>
      <c r="MMN1059" s="103"/>
      <c r="MMZ1059" s="104"/>
      <c r="MNA1059" s="103"/>
      <c r="MNM1059" s="104"/>
      <c r="MNN1059" s="103"/>
      <c r="MNZ1059" s="104"/>
      <c r="MOA1059" s="103"/>
      <c r="MOM1059" s="104"/>
      <c r="MON1059" s="103"/>
      <c r="MOZ1059" s="104"/>
      <c r="MPA1059" s="103"/>
      <c r="MPM1059" s="104"/>
      <c r="MPN1059" s="103"/>
      <c r="MPZ1059" s="104"/>
      <c r="MQA1059" s="103"/>
      <c r="MQM1059" s="104"/>
      <c r="MQN1059" s="103"/>
      <c r="MQZ1059" s="104"/>
      <c r="MRA1059" s="103"/>
      <c r="MRM1059" s="104"/>
      <c r="MRN1059" s="103"/>
      <c r="MRZ1059" s="104"/>
      <c r="MSA1059" s="103"/>
      <c r="MSM1059" s="104"/>
      <c r="MSN1059" s="103"/>
      <c r="MSZ1059" s="104"/>
      <c r="MTA1059" s="103"/>
      <c r="MTM1059" s="104"/>
      <c r="MTN1059" s="103"/>
      <c r="MTZ1059" s="104"/>
      <c r="MUA1059" s="103"/>
      <c r="MUM1059" s="104"/>
      <c r="MUN1059" s="103"/>
      <c r="MUZ1059" s="104"/>
      <c r="MVA1059" s="103"/>
      <c r="MVM1059" s="104"/>
      <c r="MVN1059" s="103"/>
      <c r="MVZ1059" s="104"/>
      <c r="MWA1059" s="103"/>
      <c r="MWM1059" s="104"/>
      <c r="MWN1059" s="103"/>
      <c r="MWZ1059" s="104"/>
      <c r="MXA1059" s="103"/>
      <c r="MXM1059" s="104"/>
      <c r="MXN1059" s="103"/>
      <c r="MXZ1059" s="104"/>
      <c r="MYA1059" s="103"/>
      <c r="MYM1059" s="104"/>
      <c r="MYN1059" s="103"/>
      <c r="MYZ1059" s="104"/>
      <c r="MZA1059" s="103"/>
      <c r="MZM1059" s="104"/>
      <c r="MZN1059" s="103"/>
      <c r="MZZ1059" s="104"/>
      <c r="NAA1059" s="103"/>
      <c r="NAM1059" s="104"/>
      <c r="NAN1059" s="103"/>
      <c r="NAZ1059" s="104"/>
      <c r="NBA1059" s="103"/>
      <c r="NBM1059" s="104"/>
      <c r="NBN1059" s="103"/>
      <c r="NBZ1059" s="104"/>
      <c r="NCA1059" s="103"/>
      <c r="NCM1059" s="104"/>
      <c r="NCN1059" s="103"/>
      <c r="NCZ1059" s="104"/>
      <c r="NDA1059" s="103"/>
      <c r="NDM1059" s="104"/>
      <c r="NDN1059" s="103"/>
      <c r="NDZ1059" s="104"/>
      <c r="NEA1059" s="103"/>
      <c r="NEM1059" s="104"/>
      <c r="NEN1059" s="103"/>
      <c r="NEZ1059" s="104"/>
      <c r="NFA1059" s="103"/>
      <c r="NFM1059" s="104"/>
      <c r="NFN1059" s="103"/>
      <c r="NFZ1059" s="104"/>
      <c r="NGA1059" s="103"/>
      <c r="NGM1059" s="104"/>
      <c r="NGN1059" s="103"/>
      <c r="NGZ1059" s="104"/>
      <c r="NHA1059" s="103"/>
      <c r="NHM1059" s="104"/>
      <c r="NHN1059" s="103"/>
      <c r="NHZ1059" s="104"/>
      <c r="NIA1059" s="103"/>
      <c r="NIM1059" s="104"/>
      <c r="NIN1059" s="103"/>
      <c r="NIZ1059" s="104"/>
      <c r="NJA1059" s="103"/>
      <c r="NJM1059" s="104"/>
      <c r="NJN1059" s="103"/>
      <c r="NJZ1059" s="104"/>
      <c r="NKA1059" s="103"/>
      <c r="NKM1059" s="104"/>
      <c r="NKN1059" s="103"/>
      <c r="NKZ1059" s="104"/>
      <c r="NLA1059" s="103"/>
      <c r="NLM1059" s="104"/>
      <c r="NLN1059" s="103"/>
      <c r="NLZ1059" s="104"/>
      <c r="NMA1059" s="103"/>
      <c r="NMM1059" s="104"/>
      <c r="NMN1059" s="103"/>
      <c r="NMZ1059" s="104"/>
      <c r="NNA1059" s="103"/>
      <c r="NNM1059" s="104"/>
      <c r="NNN1059" s="103"/>
      <c r="NNZ1059" s="104"/>
      <c r="NOA1059" s="103"/>
      <c r="NOM1059" s="104"/>
      <c r="NON1059" s="103"/>
      <c r="NOZ1059" s="104"/>
      <c r="NPA1059" s="103"/>
      <c r="NPM1059" s="104"/>
      <c r="NPN1059" s="103"/>
      <c r="NPZ1059" s="104"/>
      <c r="NQA1059" s="103"/>
      <c r="NQM1059" s="104"/>
      <c r="NQN1059" s="103"/>
      <c r="NQZ1059" s="104"/>
      <c r="NRA1059" s="103"/>
      <c r="NRM1059" s="104"/>
      <c r="NRN1059" s="103"/>
      <c r="NRZ1059" s="104"/>
      <c r="NSA1059" s="103"/>
      <c r="NSM1059" s="104"/>
      <c r="NSN1059" s="103"/>
      <c r="NSZ1059" s="104"/>
      <c r="NTA1059" s="103"/>
      <c r="NTM1059" s="104"/>
      <c r="NTN1059" s="103"/>
      <c r="NTZ1059" s="104"/>
      <c r="NUA1059" s="103"/>
      <c r="NUM1059" s="104"/>
      <c r="NUN1059" s="103"/>
      <c r="NUZ1059" s="104"/>
      <c r="NVA1059" s="103"/>
      <c r="NVM1059" s="104"/>
      <c r="NVN1059" s="103"/>
      <c r="NVZ1059" s="104"/>
      <c r="NWA1059" s="103"/>
      <c r="NWM1059" s="104"/>
      <c r="NWN1059" s="103"/>
      <c r="NWZ1059" s="104"/>
      <c r="NXA1059" s="103"/>
      <c r="NXM1059" s="104"/>
      <c r="NXN1059" s="103"/>
      <c r="NXZ1059" s="104"/>
      <c r="NYA1059" s="103"/>
      <c r="NYM1059" s="104"/>
      <c r="NYN1059" s="103"/>
      <c r="NYZ1059" s="104"/>
      <c r="NZA1059" s="103"/>
      <c r="NZM1059" s="104"/>
      <c r="NZN1059" s="103"/>
      <c r="NZZ1059" s="104"/>
      <c r="OAA1059" s="103"/>
      <c r="OAM1059" s="104"/>
      <c r="OAN1059" s="103"/>
      <c r="OAZ1059" s="104"/>
      <c r="OBA1059" s="103"/>
      <c r="OBM1059" s="104"/>
      <c r="OBN1059" s="103"/>
      <c r="OBZ1059" s="104"/>
      <c r="OCA1059" s="103"/>
      <c r="OCM1059" s="104"/>
      <c r="OCN1059" s="103"/>
      <c r="OCZ1059" s="104"/>
      <c r="ODA1059" s="103"/>
      <c r="ODM1059" s="104"/>
      <c r="ODN1059" s="103"/>
      <c r="ODZ1059" s="104"/>
      <c r="OEA1059" s="103"/>
      <c r="OEM1059" s="104"/>
      <c r="OEN1059" s="103"/>
      <c r="OEZ1059" s="104"/>
      <c r="OFA1059" s="103"/>
      <c r="OFM1059" s="104"/>
      <c r="OFN1059" s="103"/>
      <c r="OFZ1059" s="104"/>
      <c r="OGA1059" s="103"/>
      <c r="OGM1059" s="104"/>
      <c r="OGN1059" s="103"/>
      <c r="OGZ1059" s="104"/>
      <c r="OHA1059" s="103"/>
      <c r="OHM1059" s="104"/>
      <c r="OHN1059" s="103"/>
      <c r="OHZ1059" s="104"/>
      <c r="OIA1059" s="103"/>
      <c r="OIM1059" s="104"/>
      <c r="OIN1059" s="103"/>
      <c r="OIZ1059" s="104"/>
      <c r="OJA1059" s="103"/>
      <c r="OJM1059" s="104"/>
      <c r="OJN1059" s="103"/>
      <c r="OJZ1059" s="104"/>
      <c r="OKA1059" s="103"/>
      <c r="OKM1059" s="104"/>
      <c r="OKN1059" s="103"/>
      <c r="OKZ1059" s="104"/>
      <c r="OLA1059" s="103"/>
      <c r="OLM1059" s="104"/>
      <c r="OLN1059" s="103"/>
      <c r="OLZ1059" s="104"/>
      <c r="OMA1059" s="103"/>
      <c r="OMM1059" s="104"/>
      <c r="OMN1059" s="103"/>
      <c r="OMZ1059" s="104"/>
      <c r="ONA1059" s="103"/>
      <c r="ONM1059" s="104"/>
      <c r="ONN1059" s="103"/>
      <c r="ONZ1059" s="104"/>
      <c r="OOA1059" s="103"/>
      <c r="OOM1059" s="104"/>
      <c r="OON1059" s="103"/>
      <c r="OOZ1059" s="104"/>
      <c r="OPA1059" s="103"/>
      <c r="OPM1059" s="104"/>
      <c r="OPN1059" s="103"/>
      <c r="OPZ1059" s="104"/>
      <c r="OQA1059" s="103"/>
      <c r="OQM1059" s="104"/>
      <c r="OQN1059" s="103"/>
      <c r="OQZ1059" s="104"/>
      <c r="ORA1059" s="103"/>
      <c r="ORM1059" s="104"/>
      <c r="ORN1059" s="103"/>
      <c r="ORZ1059" s="104"/>
      <c r="OSA1059" s="103"/>
      <c r="OSM1059" s="104"/>
      <c r="OSN1059" s="103"/>
      <c r="OSZ1059" s="104"/>
      <c r="OTA1059" s="103"/>
      <c r="OTM1059" s="104"/>
      <c r="OTN1059" s="103"/>
      <c r="OTZ1059" s="104"/>
      <c r="OUA1059" s="103"/>
      <c r="OUM1059" s="104"/>
      <c r="OUN1059" s="103"/>
      <c r="OUZ1059" s="104"/>
      <c r="OVA1059" s="103"/>
      <c r="OVM1059" s="104"/>
      <c r="OVN1059" s="103"/>
      <c r="OVZ1059" s="104"/>
      <c r="OWA1059" s="103"/>
      <c r="OWM1059" s="104"/>
      <c r="OWN1059" s="103"/>
      <c r="OWZ1059" s="104"/>
      <c r="OXA1059" s="103"/>
      <c r="OXM1059" s="104"/>
      <c r="OXN1059" s="103"/>
      <c r="OXZ1059" s="104"/>
      <c r="OYA1059" s="103"/>
      <c r="OYM1059" s="104"/>
      <c r="OYN1059" s="103"/>
      <c r="OYZ1059" s="104"/>
      <c r="OZA1059" s="103"/>
      <c r="OZM1059" s="104"/>
      <c r="OZN1059" s="103"/>
      <c r="OZZ1059" s="104"/>
      <c r="PAA1059" s="103"/>
      <c r="PAM1059" s="104"/>
      <c r="PAN1059" s="103"/>
      <c r="PAZ1059" s="104"/>
      <c r="PBA1059" s="103"/>
      <c r="PBM1059" s="104"/>
      <c r="PBN1059" s="103"/>
      <c r="PBZ1059" s="104"/>
      <c r="PCA1059" s="103"/>
      <c r="PCM1059" s="104"/>
      <c r="PCN1059" s="103"/>
      <c r="PCZ1059" s="104"/>
      <c r="PDA1059" s="103"/>
      <c r="PDM1059" s="104"/>
      <c r="PDN1059" s="103"/>
      <c r="PDZ1059" s="104"/>
      <c r="PEA1059" s="103"/>
      <c r="PEM1059" s="104"/>
      <c r="PEN1059" s="103"/>
      <c r="PEZ1059" s="104"/>
      <c r="PFA1059" s="103"/>
      <c r="PFM1059" s="104"/>
      <c r="PFN1059" s="103"/>
      <c r="PFZ1059" s="104"/>
      <c r="PGA1059" s="103"/>
      <c r="PGM1059" s="104"/>
      <c r="PGN1059" s="103"/>
      <c r="PGZ1059" s="104"/>
      <c r="PHA1059" s="103"/>
      <c r="PHM1059" s="104"/>
      <c r="PHN1059" s="103"/>
      <c r="PHZ1059" s="104"/>
      <c r="PIA1059" s="103"/>
      <c r="PIM1059" s="104"/>
      <c r="PIN1059" s="103"/>
      <c r="PIZ1059" s="104"/>
      <c r="PJA1059" s="103"/>
      <c r="PJM1059" s="104"/>
      <c r="PJN1059" s="103"/>
      <c r="PJZ1059" s="104"/>
      <c r="PKA1059" s="103"/>
      <c r="PKM1059" s="104"/>
      <c r="PKN1059" s="103"/>
      <c r="PKZ1059" s="104"/>
      <c r="PLA1059" s="103"/>
      <c r="PLM1059" s="104"/>
      <c r="PLN1059" s="103"/>
      <c r="PLZ1059" s="104"/>
      <c r="PMA1059" s="103"/>
      <c r="PMM1059" s="104"/>
      <c r="PMN1059" s="103"/>
      <c r="PMZ1059" s="104"/>
      <c r="PNA1059" s="103"/>
      <c r="PNM1059" s="104"/>
      <c r="PNN1059" s="103"/>
      <c r="PNZ1059" s="104"/>
      <c r="POA1059" s="103"/>
      <c r="POM1059" s="104"/>
      <c r="PON1059" s="103"/>
      <c r="POZ1059" s="104"/>
      <c r="PPA1059" s="103"/>
      <c r="PPM1059" s="104"/>
      <c r="PPN1059" s="103"/>
      <c r="PPZ1059" s="104"/>
      <c r="PQA1059" s="103"/>
      <c r="PQM1059" s="104"/>
      <c r="PQN1059" s="103"/>
      <c r="PQZ1059" s="104"/>
      <c r="PRA1059" s="103"/>
      <c r="PRM1059" s="104"/>
      <c r="PRN1059" s="103"/>
      <c r="PRZ1059" s="104"/>
      <c r="PSA1059" s="103"/>
      <c r="PSM1059" s="104"/>
      <c r="PSN1059" s="103"/>
      <c r="PSZ1059" s="104"/>
      <c r="PTA1059" s="103"/>
      <c r="PTM1059" s="104"/>
      <c r="PTN1059" s="103"/>
      <c r="PTZ1059" s="104"/>
      <c r="PUA1059" s="103"/>
      <c r="PUM1059" s="104"/>
      <c r="PUN1059" s="103"/>
      <c r="PUZ1059" s="104"/>
      <c r="PVA1059" s="103"/>
      <c r="PVM1059" s="104"/>
      <c r="PVN1059" s="103"/>
      <c r="PVZ1059" s="104"/>
      <c r="PWA1059" s="103"/>
      <c r="PWM1059" s="104"/>
      <c r="PWN1059" s="103"/>
      <c r="PWZ1059" s="104"/>
      <c r="PXA1059" s="103"/>
      <c r="PXM1059" s="104"/>
      <c r="PXN1059" s="103"/>
      <c r="PXZ1059" s="104"/>
      <c r="PYA1059" s="103"/>
      <c r="PYM1059" s="104"/>
      <c r="PYN1059" s="103"/>
      <c r="PYZ1059" s="104"/>
      <c r="PZA1059" s="103"/>
      <c r="PZM1059" s="104"/>
      <c r="PZN1059" s="103"/>
      <c r="PZZ1059" s="104"/>
      <c r="QAA1059" s="103"/>
      <c r="QAM1059" s="104"/>
      <c r="QAN1059" s="103"/>
      <c r="QAZ1059" s="104"/>
      <c r="QBA1059" s="103"/>
      <c r="QBM1059" s="104"/>
      <c r="QBN1059" s="103"/>
      <c r="QBZ1059" s="104"/>
      <c r="QCA1059" s="103"/>
      <c r="QCM1059" s="104"/>
      <c r="QCN1059" s="103"/>
      <c r="QCZ1059" s="104"/>
      <c r="QDA1059" s="103"/>
      <c r="QDM1059" s="104"/>
      <c r="QDN1059" s="103"/>
      <c r="QDZ1059" s="104"/>
      <c r="QEA1059" s="103"/>
      <c r="QEM1059" s="104"/>
      <c r="QEN1059" s="103"/>
      <c r="QEZ1059" s="104"/>
      <c r="QFA1059" s="103"/>
      <c r="QFM1059" s="104"/>
      <c r="QFN1059" s="103"/>
      <c r="QFZ1059" s="104"/>
      <c r="QGA1059" s="103"/>
      <c r="QGM1059" s="104"/>
      <c r="QGN1059" s="103"/>
      <c r="QGZ1059" s="104"/>
      <c r="QHA1059" s="103"/>
      <c r="QHM1059" s="104"/>
      <c r="QHN1059" s="103"/>
      <c r="QHZ1059" s="104"/>
      <c r="QIA1059" s="103"/>
      <c r="QIM1059" s="104"/>
      <c r="QIN1059" s="103"/>
      <c r="QIZ1059" s="104"/>
      <c r="QJA1059" s="103"/>
      <c r="QJM1059" s="104"/>
      <c r="QJN1059" s="103"/>
      <c r="QJZ1059" s="104"/>
      <c r="QKA1059" s="103"/>
      <c r="QKM1059" s="104"/>
      <c r="QKN1059" s="103"/>
      <c r="QKZ1059" s="104"/>
      <c r="QLA1059" s="103"/>
      <c r="QLM1059" s="104"/>
      <c r="QLN1059" s="103"/>
      <c r="QLZ1059" s="104"/>
      <c r="QMA1059" s="103"/>
      <c r="QMM1059" s="104"/>
      <c r="QMN1059" s="103"/>
      <c r="QMZ1059" s="104"/>
      <c r="QNA1059" s="103"/>
      <c r="QNM1059" s="104"/>
      <c r="QNN1059" s="103"/>
      <c r="QNZ1059" s="104"/>
      <c r="QOA1059" s="103"/>
      <c r="QOM1059" s="104"/>
      <c r="QON1059" s="103"/>
      <c r="QOZ1059" s="104"/>
      <c r="QPA1059" s="103"/>
      <c r="QPM1059" s="104"/>
      <c r="QPN1059" s="103"/>
      <c r="QPZ1059" s="104"/>
      <c r="QQA1059" s="103"/>
      <c r="QQM1059" s="104"/>
      <c r="QQN1059" s="103"/>
      <c r="QQZ1059" s="104"/>
      <c r="QRA1059" s="103"/>
      <c r="QRM1059" s="104"/>
      <c r="QRN1059" s="103"/>
      <c r="QRZ1059" s="104"/>
      <c r="QSA1059" s="103"/>
      <c r="QSM1059" s="104"/>
      <c r="QSN1059" s="103"/>
      <c r="QSZ1059" s="104"/>
      <c r="QTA1059" s="103"/>
      <c r="QTM1059" s="104"/>
      <c r="QTN1059" s="103"/>
      <c r="QTZ1059" s="104"/>
      <c r="QUA1059" s="103"/>
      <c r="QUM1059" s="104"/>
      <c r="QUN1059" s="103"/>
      <c r="QUZ1059" s="104"/>
      <c r="QVA1059" s="103"/>
      <c r="QVM1059" s="104"/>
      <c r="QVN1059" s="103"/>
      <c r="QVZ1059" s="104"/>
      <c r="QWA1059" s="103"/>
      <c r="QWM1059" s="104"/>
      <c r="QWN1059" s="103"/>
      <c r="QWZ1059" s="104"/>
      <c r="QXA1059" s="103"/>
      <c r="QXM1059" s="104"/>
      <c r="QXN1059" s="103"/>
      <c r="QXZ1059" s="104"/>
      <c r="QYA1059" s="103"/>
      <c r="QYM1059" s="104"/>
      <c r="QYN1059" s="103"/>
      <c r="QYZ1059" s="104"/>
      <c r="QZA1059" s="103"/>
      <c r="QZM1059" s="104"/>
      <c r="QZN1059" s="103"/>
      <c r="QZZ1059" s="104"/>
      <c r="RAA1059" s="103"/>
      <c r="RAM1059" s="104"/>
      <c r="RAN1059" s="103"/>
      <c r="RAZ1059" s="104"/>
      <c r="RBA1059" s="103"/>
      <c r="RBM1059" s="104"/>
      <c r="RBN1059" s="103"/>
      <c r="RBZ1059" s="104"/>
      <c r="RCA1059" s="103"/>
      <c r="RCM1059" s="104"/>
      <c r="RCN1059" s="103"/>
      <c r="RCZ1059" s="104"/>
      <c r="RDA1059" s="103"/>
      <c r="RDM1059" s="104"/>
      <c r="RDN1059" s="103"/>
      <c r="RDZ1059" s="104"/>
      <c r="REA1059" s="103"/>
      <c r="REM1059" s="104"/>
      <c r="REN1059" s="103"/>
      <c r="REZ1059" s="104"/>
      <c r="RFA1059" s="103"/>
      <c r="RFM1059" s="104"/>
      <c r="RFN1059" s="103"/>
      <c r="RFZ1059" s="104"/>
      <c r="RGA1059" s="103"/>
      <c r="RGM1059" s="104"/>
      <c r="RGN1059" s="103"/>
      <c r="RGZ1059" s="104"/>
      <c r="RHA1059" s="103"/>
      <c r="RHM1059" s="104"/>
      <c r="RHN1059" s="103"/>
      <c r="RHZ1059" s="104"/>
      <c r="RIA1059" s="103"/>
      <c r="RIM1059" s="104"/>
      <c r="RIN1059" s="103"/>
      <c r="RIZ1059" s="104"/>
      <c r="RJA1059" s="103"/>
      <c r="RJM1059" s="104"/>
      <c r="RJN1059" s="103"/>
      <c r="RJZ1059" s="104"/>
      <c r="RKA1059" s="103"/>
      <c r="RKM1059" s="104"/>
      <c r="RKN1059" s="103"/>
      <c r="RKZ1059" s="104"/>
      <c r="RLA1059" s="103"/>
      <c r="RLM1059" s="104"/>
      <c r="RLN1059" s="103"/>
      <c r="RLZ1059" s="104"/>
      <c r="RMA1059" s="103"/>
      <c r="RMM1059" s="104"/>
      <c r="RMN1059" s="103"/>
      <c r="RMZ1059" s="104"/>
      <c r="RNA1059" s="103"/>
      <c r="RNM1059" s="104"/>
      <c r="RNN1059" s="103"/>
      <c r="RNZ1059" s="104"/>
      <c r="ROA1059" s="103"/>
      <c r="ROM1059" s="104"/>
      <c r="RON1059" s="103"/>
      <c r="ROZ1059" s="104"/>
      <c r="RPA1059" s="103"/>
      <c r="RPM1059" s="104"/>
      <c r="RPN1059" s="103"/>
      <c r="RPZ1059" s="104"/>
      <c r="RQA1059" s="103"/>
      <c r="RQM1059" s="104"/>
      <c r="RQN1059" s="103"/>
      <c r="RQZ1059" s="104"/>
      <c r="RRA1059" s="103"/>
      <c r="RRM1059" s="104"/>
      <c r="RRN1059" s="103"/>
      <c r="RRZ1059" s="104"/>
      <c r="RSA1059" s="103"/>
      <c r="RSM1059" s="104"/>
      <c r="RSN1059" s="103"/>
      <c r="RSZ1059" s="104"/>
      <c r="RTA1059" s="103"/>
      <c r="RTM1059" s="104"/>
      <c r="RTN1059" s="103"/>
      <c r="RTZ1059" s="104"/>
      <c r="RUA1059" s="103"/>
      <c r="RUM1059" s="104"/>
      <c r="RUN1059" s="103"/>
      <c r="RUZ1059" s="104"/>
      <c r="RVA1059" s="103"/>
      <c r="RVM1059" s="104"/>
      <c r="RVN1059" s="103"/>
      <c r="RVZ1059" s="104"/>
      <c r="RWA1059" s="103"/>
      <c r="RWM1059" s="104"/>
      <c r="RWN1059" s="103"/>
      <c r="RWZ1059" s="104"/>
      <c r="RXA1059" s="103"/>
      <c r="RXM1059" s="104"/>
      <c r="RXN1059" s="103"/>
      <c r="RXZ1059" s="104"/>
      <c r="RYA1059" s="103"/>
      <c r="RYM1059" s="104"/>
      <c r="RYN1059" s="103"/>
      <c r="RYZ1059" s="104"/>
      <c r="RZA1059" s="103"/>
      <c r="RZM1059" s="104"/>
      <c r="RZN1059" s="103"/>
      <c r="RZZ1059" s="104"/>
      <c r="SAA1059" s="103"/>
      <c r="SAM1059" s="104"/>
      <c r="SAN1059" s="103"/>
      <c r="SAZ1059" s="104"/>
      <c r="SBA1059" s="103"/>
      <c r="SBM1059" s="104"/>
      <c r="SBN1059" s="103"/>
      <c r="SBZ1059" s="104"/>
      <c r="SCA1059" s="103"/>
      <c r="SCM1059" s="104"/>
      <c r="SCN1059" s="103"/>
      <c r="SCZ1059" s="104"/>
      <c r="SDA1059" s="103"/>
      <c r="SDM1059" s="104"/>
      <c r="SDN1059" s="103"/>
      <c r="SDZ1059" s="104"/>
      <c r="SEA1059" s="103"/>
      <c r="SEM1059" s="104"/>
      <c r="SEN1059" s="103"/>
      <c r="SEZ1059" s="104"/>
      <c r="SFA1059" s="103"/>
      <c r="SFM1059" s="104"/>
      <c r="SFN1059" s="103"/>
      <c r="SFZ1059" s="104"/>
      <c r="SGA1059" s="103"/>
      <c r="SGM1059" s="104"/>
      <c r="SGN1059" s="103"/>
      <c r="SGZ1059" s="104"/>
      <c r="SHA1059" s="103"/>
      <c r="SHM1059" s="104"/>
      <c r="SHN1059" s="103"/>
      <c r="SHZ1059" s="104"/>
      <c r="SIA1059" s="103"/>
      <c r="SIM1059" s="104"/>
      <c r="SIN1059" s="103"/>
      <c r="SIZ1059" s="104"/>
      <c r="SJA1059" s="103"/>
      <c r="SJM1059" s="104"/>
      <c r="SJN1059" s="103"/>
      <c r="SJZ1059" s="104"/>
      <c r="SKA1059" s="103"/>
      <c r="SKM1059" s="104"/>
      <c r="SKN1059" s="103"/>
      <c r="SKZ1059" s="104"/>
      <c r="SLA1059" s="103"/>
      <c r="SLM1059" s="104"/>
      <c r="SLN1059" s="103"/>
      <c r="SLZ1059" s="104"/>
      <c r="SMA1059" s="103"/>
      <c r="SMM1059" s="104"/>
      <c r="SMN1059" s="103"/>
      <c r="SMZ1059" s="104"/>
      <c r="SNA1059" s="103"/>
      <c r="SNM1059" s="104"/>
      <c r="SNN1059" s="103"/>
      <c r="SNZ1059" s="104"/>
      <c r="SOA1059" s="103"/>
      <c r="SOM1059" s="104"/>
      <c r="SON1059" s="103"/>
      <c r="SOZ1059" s="104"/>
      <c r="SPA1059" s="103"/>
      <c r="SPM1059" s="104"/>
      <c r="SPN1059" s="103"/>
      <c r="SPZ1059" s="104"/>
      <c r="SQA1059" s="103"/>
      <c r="SQM1059" s="104"/>
      <c r="SQN1059" s="103"/>
      <c r="SQZ1059" s="104"/>
      <c r="SRA1059" s="103"/>
      <c r="SRM1059" s="104"/>
      <c r="SRN1059" s="103"/>
      <c r="SRZ1059" s="104"/>
      <c r="SSA1059" s="103"/>
      <c r="SSM1059" s="104"/>
      <c r="SSN1059" s="103"/>
      <c r="SSZ1059" s="104"/>
      <c r="STA1059" s="103"/>
      <c r="STM1059" s="104"/>
      <c r="STN1059" s="103"/>
      <c r="STZ1059" s="104"/>
      <c r="SUA1059" s="103"/>
      <c r="SUM1059" s="104"/>
      <c r="SUN1059" s="103"/>
      <c r="SUZ1059" s="104"/>
      <c r="SVA1059" s="103"/>
      <c r="SVM1059" s="104"/>
      <c r="SVN1059" s="103"/>
      <c r="SVZ1059" s="104"/>
      <c r="SWA1059" s="103"/>
      <c r="SWM1059" s="104"/>
      <c r="SWN1059" s="103"/>
      <c r="SWZ1059" s="104"/>
      <c r="SXA1059" s="103"/>
      <c r="SXM1059" s="104"/>
      <c r="SXN1059" s="103"/>
      <c r="SXZ1059" s="104"/>
      <c r="SYA1059" s="103"/>
      <c r="SYM1059" s="104"/>
      <c r="SYN1059" s="103"/>
      <c r="SYZ1059" s="104"/>
      <c r="SZA1059" s="103"/>
      <c r="SZM1059" s="104"/>
      <c r="SZN1059" s="103"/>
      <c r="SZZ1059" s="104"/>
      <c r="TAA1059" s="103"/>
      <c r="TAM1059" s="104"/>
      <c r="TAN1059" s="103"/>
      <c r="TAZ1059" s="104"/>
      <c r="TBA1059" s="103"/>
      <c r="TBM1059" s="104"/>
      <c r="TBN1059" s="103"/>
      <c r="TBZ1059" s="104"/>
      <c r="TCA1059" s="103"/>
      <c r="TCM1059" s="104"/>
      <c r="TCN1059" s="103"/>
      <c r="TCZ1059" s="104"/>
      <c r="TDA1059" s="103"/>
      <c r="TDM1059" s="104"/>
      <c r="TDN1059" s="103"/>
      <c r="TDZ1059" s="104"/>
      <c r="TEA1059" s="103"/>
      <c r="TEM1059" s="104"/>
      <c r="TEN1059" s="103"/>
      <c r="TEZ1059" s="104"/>
      <c r="TFA1059" s="103"/>
      <c r="TFM1059" s="104"/>
      <c r="TFN1059" s="103"/>
      <c r="TFZ1059" s="104"/>
      <c r="TGA1059" s="103"/>
      <c r="TGM1059" s="104"/>
      <c r="TGN1059" s="103"/>
      <c r="TGZ1059" s="104"/>
      <c r="THA1059" s="103"/>
      <c r="THM1059" s="104"/>
      <c r="THN1059" s="103"/>
      <c r="THZ1059" s="104"/>
      <c r="TIA1059" s="103"/>
      <c r="TIM1059" s="104"/>
      <c r="TIN1059" s="103"/>
      <c r="TIZ1059" s="104"/>
      <c r="TJA1059" s="103"/>
      <c r="TJM1059" s="104"/>
      <c r="TJN1059" s="103"/>
      <c r="TJZ1059" s="104"/>
      <c r="TKA1059" s="103"/>
      <c r="TKM1059" s="104"/>
      <c r="TKN1059" s="103"/>
      <c r="TKZ1059" s="104"/>
      <c r="TLA1059" s="103"/>
      <c r="TLM1059" s="104"/>
      <c r="TLN1059" s="103"/>
      <c r="TLZ1059" s="104"/>
      <c r="TMA1059" s="103"/>
      <c r="TMM1059" s="104"/>
      <c r="TMN1059" s="103"/>
      <c r="TMZ1059" s="104"/>
      <c r="TNA1059" s="103"/>
      <c r="TNM1059" s="104"/>
      <c r="TNN1059" s="103"/>
      <c r="TNZ1059" s="104"/>
      <c r="TOA1059" s="103"/>
      <c r="TOM1059" s="104"/>
      <c r="TON1059" s="103"/>
      <c r="TOZ1059" s="104"/>
      <c r="TPA1059" s="103"/>
      <c r="TPM1059" s="104"/>
      <c r="TPN1059" s="103"/>
      <c r="TPZ1059" s="104"/>
      <c r="TQA1059" s="103"/>
      <c r="TQM1059" s="104"/>
      <c r="TQN1059" s="103"/>
      <c r="TQZ1059" s="104"/>
      <c r="TRA1059" s="103"/>
      <c r="TRM1059" s="104"/>
      <c r="TRN1059" s="103"/>
      <c r="TRZ1059" s="104"/>
      <c r="TSA1059" s="103"/>
      <c r="TSM1059" s="104"/>
      <c r="TSN1059" s="103"/>
      <c r="TSZ1059" s="104"/>
      <c r="TTA1059" s="103"/>
      <c r="TTM1059" s="104"/>
      <c r="TTN1059" s="103"/>
      <c r="TTZ1059" s="104"/>
      <c r="TUA1059" s="103"/>
      <c r="TUM1059" s="104"/>
      <c r="TUN1059" s="103"/>
      <c r="TUZ1059" s="104"/>
      <c r="TVA1059" s="103"/>
      <c r="TVM1059" s="104"/>
      <c r="TVN1059" s="103"/>
      <c r="TVZ1059" s="104"/>
      <c r="TWA1059" s="103"/>
      <c r="TWM1059" s="104"/>
      <c r="TWN1059" s="103"/>
      <c r="TWZ1059" s="104"/>
      <c r="TXA1059" s="103"/>
      <c r="TXM1059" s="104"/>
      <c r="TXN1059" s="103"/>
      <c r="TXZ1059" s="104"/>
      <c r="TYA1059" s="103"/>
      <c r="TYM1059" s="104"/>
      <c r="TYN1059" s="103"/>
      <c r="TYZ1059" s="104"/>
      <c r="TZA1059" s="103"/>
      <c r="TZM1059" s="104"/>
      <c r="TZN1059" s="103"/>
      <c r="TZZ1059" s="104"/>
      <c r="UAA1059" s="103"/>
      <c r="UAM1059" s="104"/>
      <c r="UAN1059" s="103"/>
      <c r="UAZ1059" s="104"/>
      <c r="UBA1059" s="103"/>
      <c r="UBM1059" s="104"/>
      <c r="UBN1059" s="103"/>
      <c r="UBZ1059" s="104"/>
      <c r="UCA1059" s="103"/>
      <c r="UCM1059" s="104"/>
      <c r="UCN1059" s="103"/>
      <c r="UCZ1059" s="104"/>
      <c r="UDA1059" s="103"/>
      <c r="UDM1059" s="104"/>
      <c r="UDN1059" s="103"/>
      <c r="UDZ1059" s="104"/>
      <c r="UEA1059" s="103"/>
      <c r="UEM1059" s="104"/>
      <c r="UEN1059" s="103"/>
      <c r="UEZ1059" s="104"/>
      <c r="UFA1059" s="103"/>
      <c r="UFM1059" s="104"/>
      <c r="UFN1059" s="103"/>
      <c r="UFZ1059" s="104"/>
      <c r="UGA1059" s="103"/>
      <c r="UGM1059" s="104"/>
      <c r="UGN1059" s="103"/>
      <c r="UGZ1059" s="104"/>
      <c r="UHA1059" s="103"/>
      <c r="UHM1059" s="104"/>
      <c r="UHN1059" s="103"/>
      <c r="UHZ1059" s="104"/>
      <c r="UIA1059" s="103"/>
      <c r="UIM1059" s="104"/>
      <c r="UIN1059" s="103"/>
      <c r="UIZ1059" s="104"/>
      <c r="UJA1059" s="103"/>
      <c r="UJM1059" s="104"/>
      <c r="UJN1059" s="103"/>
      <c r="UJZ1059" s="104"/>
      <c r="UKA1059" s="103"/>
      <c r="UKM1059" s="104"/>
      <c r="UKN1059" s="103"/>
      <c r="UKZ1059" s="104"/>
      <c r="ULA1059" s="103"/>
      <c r="ULM1059" s="104"/>
      <c r="ULN1059" s="103"/>
      <c r="ULZ1059" s="104"/>
      <c r="UMA1059" s="103"/>
      <c r="UMM1059" s="104"/>
      <c r="UMN1059" s="103"/>
      <c r="UMZ1059" s="104"/>
      <c r="UNA1059" s="103"/>
      <c r="UNM1059" s="104"/>
      <c r="UNN1059" s="103"/>
      <c r="UNZ1059" s="104"/>
      <c r="UOA1059" s="103"/>
      <c r="UOM1059" s="104"/>
      <c r="UON1059" s="103"/>
      <c r="UOZ1059" s="104"/>
      <c r="UPA1059" s="103"/>
      <c r="UPM1059" s="104"/>
      <c r="UPN1059" s="103"/>
      <c r="UPZ1059" s="104"/>
      <c r="UQA1059" s="103"/>
      <c r="UQM1059" s="104"/>
      <c r="UQN1059" s="103"/>
      <c r="UQZ1059" s="104"/>
      <c r="URA1059" s="103"/>
      <c r="URM1059" s="104"/>
      <c r="URN1059" s="103"/>
      <c r="URZ1059" s="104"/>
      <c r="USA1059" s="103"/>
      <c r="USM1059" s="104"/>
      <c r="USN1059" s="103"/>
      <c r="USZ1059" s="104"/>
      <c r="UTA1059" s="103"/>
      <c r="UTM1059" s="104"/>
      <c r="UTN1059" s="103"/>
      <c r="UTZ1059" s="104"/>
      <c r="UUA1059" s="103"/>
      <c r="UUM1059" s="104"/>
      <c r="UUN1059" s="103"/>
      <c r="UUZ1059" s="104"/>
      <c r="UVA1059" s="103"/>
      <c r="UVM1059" s="104"/>
      <c r="UVN1059" s="103"/>
      <c r="UVZ1059" s="104"/>
      <c r="UWA1059" s="103"/>
      <c r="UWM1059" s="104"/>
      <c r="UWN1059" s="103"/>
      <c r="UWZ1059" s="104"/>
      <c r="UXA1059" s="103"/>
      <c r="UXM1059" s="104"/>
      <c r="UXN1059" s="103"/>
      <c r="UXZ1059" s="104"/>
      <c r="UYA1059" s="103"/>
      <c r="UYM1059" s="104"/>
      <c r="UYN1059" s="103"/>
      <c r="UYZ1059" s="104"/>
      <c r="UZA1059" s="103"/>
      <c r="UZM1059" s="104"/>
      <c r="UZN1059" s="103"/>
      <c r="UZZ1059" s="104"/>
      <c r="VAA1059" s="103"/>
      <c r="VAM1059" s="104"/>
      <c r="VAN1059" s="103"/>
      <c r="VAZ1059" s="104"/>
      <c r="VBA1059" s="103"/>
      <c r="VBM1059" s="104"/>
      <c r="VBN1059" s="103"/>
      <c r="VBZ1059" s="104"/>
      <c r="VCA1059" s="103"/>
      <c r="VCM1059" s="104"/>
      <c r="VCN1059" s="103"/>
      <c r="VCZ1059" s="104"/>
      <c r="VDA1059" s="103"/>
      <c r="VDM1059" s="104"/>
      <c r="VDN1059" s="103"/>
      <c r="VDZ1059" s="104"/>
      <c r="VEA1059" s="103"/>
      <c r="VEM1059" s="104"/>
      <c r="VEN1059" s="103"/>
      <c r="VEZ1059" s="104"/>
      <c r="VFA1059" s="103"/>
      <c r="VFM1059" s="104"/>
      <c r="VFN1059" s="103"/>
      <c r="VFZ1059" s="104"/>
      <c r="VGA1059" s="103"/>
      <c r="VGM1059" s="104"/>
      <c r="VGN1059" s="103"/>
      <c r="VGZ1059" s="104"/>
      <c r="VHA1059" s="103"/>
      <c r="VHM1059" s="104"/>
      <c r="VHN1059" s="103"/>
      <c r="VHZ1059" s="104"/>
      <c r="VIA1059" s="103"/>
      <c r="VIM1059" s="104"/>
      <c r="VIN1059" s="103"/>
      <c r="VIZ1059" s="104"/>
      <c r="VJA1059" s="103"/>
      <c r="VJM1059" s="104"/>
      <c r="VJN1059" s="103"/>
      <c r="VJZ1059" s="104"/>
      <c r="VKA1059" s="103"/>
      <c r="VKM1059" s="104"/>
      <c r="VKN1059" s="103"/>
      <c r="VKZ1059" s="104"/>
      <c r="VLA1059" s="103"/>
      <c r="VLM1059" s="104"/>
      <c r="VLN1059" s="103"/>
      <c r="VLZ1059" s="104"/>
      <c r="VMA1059" s="103"/>
      <c r="VMM1059" s="104"/>
      <c r="VMN1059" s="103"/>
      <c r="VMZ1059" s="104"/>
      <c r="VNA1059" s="103"/>
      <c r="VNM1059" s="104"/>
      <c r="VNN1059" s="103"/>
      <c r="VNZ1059" s="104"/>
      <c r="VOA1059" s="103"/>
      <c r="VOM1059" s="104"/>
      <c r="VON1059" s="103"/>
      <c r="VOZ1059" s="104"/>
      <c r="VPA1059" s="103"/>
      <c r="VPM1059" s="104"/>
      <c r="VPN1059" s="103"/>
      <c r="VPZ1059" s="104"/>
      <c r="VQA1059" s="103"/>
      <c r="VQM1059" s="104"/>
      <c r="VQN1059" s="103"/>
      <c r="VQZ1059" s="104"/>
      <c r="VRA1059" s="103"/>
      <c r="VRM1059" s="104"/>
      <c r="VRN1059" s="103"/>
      <c r="VRZ1059" s="104"/>
      <c r="VSA1059" s="103"/>
      <c r="VSM1059" s="104"/>
      <c r="VSN1059" s="103"/>
      <c r="VSZ1059" s="104"/>
      <c r="VTA1059" s="103"/>
      <c r="VTM1059" s="104"/>
      <c r="VTN1059" s="103"/>
      <c r="VTZ1059" s="104"/>
      <c r="VUA1059" s="103"/>
      <c r="VUM1059" s="104"/>
      <c r="VUN1059" s="103"/>
      <c r="VUZ1059" s="104"/>
      <c r="VVA1059" s="103"/>
      <c r="VVM1059" s="104"/>
      <c r="VVN1059" s="103"/>
      <c r="VVZ1059" s="104"/>
      <c r="VWA1059" s="103"/>
      <c r="VWM1059" s="104"/>
      <c r="VWN1059" s="103"/>
      <c r="VWZ1059" s="104"/>
      <c r="VXA1059" s="103"/>
      <c r="VXM1059" s="104"/>
      <c r="VXN1059" s="103"/>
      <c r="VXZ1059" s="104"/>
      <c r="VYA1059" s="103"/>
      <c r="VYM1059" s="104"/>
      <c r="VYN1059" s="103"/>
      <c r="VYZ1059" s="104"/>
      <c r="VZA1059" s="103"/>
      <c r="VZM1059" s="104"/>
      <c r="VZN1059" s="103"/>
      <c r="VZZ1059" s="104"/>
      <c r="WAA1059" s="103"/>
      <c r="WAM1059" s="104"/>
      <c r="WAN1059" s="103"/>
      <c r="WAZ1059" s="104"/>
      <c r="WBA1059" s="103"/>
      <c r="WBM1059" s="104"/>
      <c r="WBN1059" s="103"/>
      <c r="WBZ1059" s="104"/>
      <c r="WCA1059" s="103"/>
      <c r="WCM1059" s="104"/>
      <c r="WCN1059" s="103"/>
      <c r="WCZ1059" s="104"/>
      <c r="WDA1059" s="103"/>
      <c r="WDM1059" s="104"/>
      <c r="WDN1059" s="103"/>
      <c r="WDZ1059" s="104"/>
      <c r="WEA1059" s="103"/>
      <c r="WEM1059" s="104"/>
      <c r="WEN1059" s="103"/>
      <c r="WEZ1059" s="104"/>
      <c r="WFA1059" s="103"/>
      <c r="WFM1059" s="104"/>
      <c r="WFN1059" s="103"/>
      <c r="WFZ1059" s="104"/>
      <c r="WGA1059" s="103"/>
      <c r="WGM1059" s="104"/>
      <c r="WGN1059" s="103"/>
      <c r="WGZ1059" s="104"/>
      <c r="WHA1059" s="103"/>
      <c r="WHM1059" s="104"/>
      <c r="WHN1059" s="103"/>
      <c r="WHZ1059" s="104"/>
      <c r="WIA1059" s="103"/>
      <c r="WIM1059" s="104"/>
      <c r="WIN1059" s="103"/>
      <c r="WIZ1059" s="104"/>
      <c r="WJA1059" s="103"/>
      <c r="WJM1059" s="104"/>
      <c r="WJN1059" s="103"/>
      <c r="WJZ1059" s="104"/>
      <c r="WKA1059" s="103"/>
      <c r="WKM1059" s="104"/>
      <c r="WKN1059" s="103"/>
      <c r="WKZ1059" s="104"/>
      <c r="WLA1059" s="103"/>
      <c r="WLM1059" s="104"/>
      <c r="WLN1059" s="103"/>
      <c r="WLZ1059" s="104"/>
      <c r="WMA1059" s="103"/>
      <c r="WMM1059" s="104"/>
      <c r="WMN1059" s="103"/>
      <c r="WMZ1059" s="104"/>
      <c r="WNA1059" s="103"/>
      <c r="WNM1059" s="104"/>
      <c r="WNN1059" s="103"/>
      <c r="WNZ1059" s="104"/>
      <c r="WOA1059" s="103"/>
      <c r="WOM1059" s="104"/>
      <c r="WON1059" s="103"/>
      <c r="WOZ1059" s="104"/>
      <c r="WPA1059" s="103"/>
      <c r="WPM1059" s="104"/>
      <c r="WPN1059" s="103"/>
      <c r="WPZ1059" s="104"/>
      <c r="WQA1059" s="103"/>
      <c r="WQM1059" s="104"/>
      <c r="WQN1059" s="103"/>
      <c r="WQZ1059" s="104"/>
      <c r="WRA1059" s="103"/>
      <c r="WRM1059" s="104"/>
      <c r="WRN1059" s="103"/>
      <c r="WRZ1059" s="104"/>
      <c r="WSA1059" s="103"/>
      <c r="WSM1059" s="104"/>
      <c r="WSN1059" s="103"/>
      <c r="WSZ1059" s="104"/>
      <c r="WTA1059" s="103"/>
      <c r="WTM1059" s="104"/>
      <c r="WTN1059" s="103"/>
      <c r="WTZ1059" s="104"/>
      <c r="WUA1059" s="103"/>
      <c r="WUM1059" s="104"/>
      <c r="WUN1059" s="103"/>
      <c r="WUZ1059" s="104"/>
      <c r="WVA1059" s="103"/>
      <c r="WVM1059" s="104"/>
      <c r="WVN1059" s="103"/>
      <c r="WVZ1059" s="104"/>
      <c r="WWA1059" s="103"/>
      <c r="WWM1059" s="104"/>
      <c r="WWN1059" s="103"/>
      <c r="WWZ1059" s="104"/>
      <c r="WXA1059" s="103"/>
      <c r="WXM1059" s="104"/>
      <c r="WXN1059" s="103"/>
      <c r="WXZ1059" s="104"/>
      <c r="WYA1059" s="103"/>
      <c r="WYM1059" s="104"/>
      <c r="WYN1059" s="103"/>
      <c r="WYZ1059" s="104"/>
      <c r="WZA1059" s="103"/>
      <c r="WZM1059" s="104"/>
      <c r="WZN1059" s="103"/>
      <c r="WZZ1059" s="104"/>
      <c r="XAA1059" s="103"/>
      <c r="XAM1059" s="104"/>
      <c r="XAN1059" s="103"/>
      <c r="XAZ1059" s="104"/>
      <c r="XBA1059" s="103"/>
      <c r="XBM1059" s="104"/>
      <c r="XBN1059" s="103"/>
      <c r="XBZ1059" s="104"/>
      <c r="XCA1059" s="103"/>
      <c r="XCM1059" s="104"/>
      <c r="XCN1059" s="103"/>
      <c r="XCZ1059" s="104"/>
      <c r="XDA1059" s="103"/>
      <c r="XDM1059" s="104"/>
      <c r="XDN1059" s="103"/>
      <c r="XDZ1059" s="104"/>
      <c r="XEA1059" s="103"/>
      <c r="XEM1059" s="104"/>
      <c r="XEN1059" s="103"/>
      <c r="XEZ1059" s="104"/>
      <c r="XFA1059" s="103"/>
    </row>
    <row r="1060" spans="2:1015 1027:2042 2054:3069 3081:4096 4108:5110 5122:6137 6149:7164 7176:8191 8203:9205 9217:10232 10244:11259 11271:12286 12298:14327 14339:15354 15366:16381">
      <c r="B1060" s="111" t="s">
        <v>24</v>
      </c>
      <c r="C1060" s="112"/>
      <c r="D1060" s="113"/>
      <c r="E1060" s="114"/>
      <c r="F1060" s="114"/>
      <c r="Z1060" s="104"/>
      <c r="AA1060" s="103"/>
      <c r="AM1060" s="104"/>
      <c r="AN1060" s="103"/>
      <c r="AZ1060" s="104"/>
      <c r="BA1060" s="103"/>
      <c r="BM1060" s="104"/>
      <c r="BN1060" s="103"/>
      <c r="BZ1060" s="104"/>
      <c r="CA1060" s="103"/>
      <c r="CM1060" s="104"/>
      <c r="CN1060" s="103"/>
      <c r="CZ1060" s="104"/>
      <c r="DA1060" s="103"/>
      <c r="DM1060" s="104"/>
      <c r="DN1060" s="103"/>
      <c r="DZ1060" s="104"/>
      <c r="EA1060" s="103"/>
      <c r="EM1060" s="104"/>
      <c r="EN1060" s="103"/>
      <c r="EZ1060" s="104"/>
      <c r="FA1060" s="103"/>
      <c r="FM1060" s="104"/>
      <c r="FN1060" s="103"/>
      <c r="FZ1060" s="104"/>
      <c r="GA1060" s="103"/>
      <c r="GM1060" s="104"/>
      <c r="GN1060" s="103"/>
      <c r="GZ1060" s="104"/>
      <c r="HA1060" s="103"/>
      <c r="HM1060" s="104"/>
      <c r="HN1060" s="103"/>
      <c r="HZ1060" s="104"/>
      <c r="IA1060" s="103"/>
      <c r="IM1060" s="104"/>
      <c r="IN1060" s="103"/>
      <c r="IZ1060" s="104"/>
      <c r="JA1060" s="103"/>
      <c r="JM1060" s="104"/>
      <c r="JN1060" s="103"/>
      <c r="JZ1060" s="104"/>
      <c r="KA1060" s="103"/>
      <c r="KM1060" s="104"/>
      <c r="KN1060" s="103"/>
      <c r="KZ1060" s="104"/>
      <c r="LA1060" s="103"/>
      <c r="LM1060" s="104"/>
      <c r="LN1060" s="103"/>
      <c r="LZ1060" s="104"/>
      <c r="MA1060" s="103"/>
      <c r="MM1060" s="104"/>
      <c r="MN1060" s="103"/>
      <c r="MZ1060" s="104"/>
      <c r="NA1060" s="103"/>
      <c r="NM1060" s="104"/>
      <c r="NN1060" s="103"/>
      <c r="NZ1060" s="104"/>
      <c r="OA1060" s="103"/>
      <c r="OM1060" s="104"/>
      <c r="ON1060" s="103"/>
      <c r="OZ1060" s="104"/>
      <c r="PA1060" s="103"/>
      <c r="PM1060" s="104"/>
      <c r="PN1060" s="103"/>
      <c r="PZ1060" s="104"/>
      <c r="QA1060" s="103"/>
      <c r="QM1060" s="104"/>
      <c r="QN1060" s="103"/>
      <c r="QZ1060" s="104"/>
      <c r="RA1060" s="103"/>
      <c r="RM1060" s="104"/>
      <c r="RN1060" s="103"/>
      <c r="RZ1060" s="104"/>
      <c r="SA1060" s="103"/>
      <c r="SM1060" s="104"/>
      <c r="SN1060" s="103"/>
      <c r="SZ1060" s="104"/>
      <c r="TA1060" s="103"/>
      <c r="TM1060" s="104"/>
      <c r="TN1060" s="103"/>
      <c r="TZ1060" s="104"/>
      <c r="UA1060" s="103"/>
      <c r="UM1060" s="104"/>
      <c r="UN1060" s="103"/>
      <c r="UZ1060" s="104"/>
      <c r="VA1060" s="103"/>
      <c r="VM1060" s="104"/>
      <c r="VN1060" s="103"/>
      <c r="VZ1060" s="104"/>
      <c r="WA1060" s="103"/>
      <c r="WM1060" s="104"/>
      <c r="WN1060" s="103"/>
      <c r="WZ1060" s="104"/>
      <c r="XA1060" s="103"/>
      <c r="XM1060" s="104"/>
      <c r="XN1060" s="103"/>
      <c r="XZ1060" s="104"/>
      <c r="YA1060" s="103"/>
      <c r="YM1060" s="104"/>
      <c r="YN1060" s="103"/>
      <c r="YZ1060" s="104"/>
      <c r="ZA1060" s="103"/>
      <c r="ZM1060" s="104"/>
      <c r="ZN1060" s="103"/>
      <c r="ZZ1060" s="104"/>
      <c r="AAA1060" s="103"/>
      <c r="AAM1060" s="104"/>
      <c r="AAN1060" s="103"/>
      <c r="AAZ1060" s="104"/>
      <c r="ABA1060" s="103"/>
      <c r="ABM1060" s="104"/>
      <c r="ABN1060" s="103"/>
      <c r="ABZ1060" s="104"/>
      <c r="ACA1060" s="103"/>
      <c r="ACM1060" s="104"/>
      <c r="ACN1060" s="103"/>
      <c r="ACZ1060" s="104"/>
      <c r="ADA1060" s="103"/>
      <c r="ADM1060" s="104"/>
      <c r="ADN1060" s="103"/>
      <c r="ADZ1060" s="104"/>
      <c r="AEA1060" s="103"/>
      <c r="AEM1060" s="104"/>
      <c r="AEN1060" s="103"/>
      <c r="AEZ1060" s="104"/>
      <c r="AFA1060" s="103"/>
      <c r="AFM1060" s="104"/>
      <c r="AFN1060" s="103"/>
      <c r="AFZ1060" s="104"/>
      <c r="AGA1060" s="103"/>
      <c r="AGM1060" s="104"/>
      <c r="AGN1060" s="103"/>
      <c r="AGZ1060" s="104"/>
      <c r="AHA1060" s="103"/>
      <c r="AHM1060" s="104"/>
      <c r="AHN1060" s="103"/>
      <c r="AHZ1060" s="104"/>
      <c r="AIA1060" s="103"/>
      <c r="AIM1060" s="104"/>
      <c r="AIN1060" s="103"/>
      <c r="AIZ1060" s="104"/>
      <c r="AJA1060" s="103"/>
      <c r="AJM1060" s="104"/>
      <c r="AJN1060" s="103"/>
      <c r="AJZ1060" s="104"/>
      <c r="AKA1060" s="103"/>
      <c r="AKM1060" s="104"/>
      <c r="AKN1060" s="103"/>
      <c r="AKZ1060" s="104"/>
      <c r="ALA1060" s="103"/>
      <c r="ALM1060" s="104"/>
      <c r="ALN1060" s="103"/>
      <c r="ALZ1060" s="104"/>
      <c r="AMA1060" s="103"/>
      <c r="AMM1060" s="104"/>
      <c r="AMN1060" s="103"/>
      <c r="AMZ1060" s="104"/>
      <c r="ANA1060" s="103"/>
      <c r="ANM1060" s="104"/>
      <c r="ANN1060" s="103"/>
      <c r="ANZ1060" s="104"/>
      <c r="AOA1060" s="103"/>
      <c r="AOM1060" s="104"/>
      <c r="AON1060" s="103"/>
      <c r="AOZ1060" s="104"/>
      <c r="APA1060" s="103"/>
      <c r="APM1060" s="104"/>
      <c r="APN1060" s="103"/>
      <c r="APZ1060" s="104"/>
      <c r="AQA1060" s="103"/>
      <c r="AQM1060" s="104"/>
      <c r="AQN1060" s="103"/>
      <c r="AQZ1060" s="104"/>
      <c r="ARA1060" s="103"/>
      <c r="ARM1060" s="104"/>
      <c r="ARN1060" s="103"/>
      <c r="ARZ1060" s="104"/>
      <c r="ASA1060" s="103"/>
      <c r="ASM1060" s="104"/>
      <c r="ASN1060" s="103"/>
      <c r="ASZ1060" s="104"/>
      <c r="ATA1060" s="103"/>
      <c r="ATM1060" s="104"/>
      <c r="ATN1060" s="103"/>
      <c r="ATZ1060" s="104"/>
      <c r="AUA1060" s="103"/>
      <c r="AUM1060" s="104"/>
      <c r="AUN1060" s="103"/>
      <c r="AUZ1060" s="104"/>
      <c r="AVA1060" s="103"/>
      <c r="AVM1060" s="104"/>
      <c r="AVN1060" s="103"/>
      <c r="AVZ1060" s="104"/>
      <c r="AWA1060" s="103"/>
      <c r="AWM1060" s="104"/>
      <c r="AWN1060" s="103"/>
      <c r="AWZ1060" s="104"/>
      <c r="AXA1060" s="103"/>
      <c r="AXM1060" s="104"/>
      <c r="AXN1060" s="103"/>
      <c r="AXZ1060" s="104"/>
      <c r="AYA1060" s="103"/>
      <c r="AYM1060" s="104"/>
      <c r="AYN1060" s="103"/>
      <c r="AYZ1060" s="104"/>
      <c r="AZA1060" s="103"/>
      <c r="AZM1060" s="104"/>
      <c r="AZN1060" s="103"/>
      <c r="AZZ1060" s="104"/>
      <c r="BAA1060" s="103"/>
      <c r="BAM1060" s="104"/>
      <c r="BAN1060" s="103"/>
      <c r="BAZ1060" s="104"/>
      <c r="BBA1060" s="103"/>
      <c r="BBM1060" s="104"/>
      <c r="BBN1060" s="103"/>
      <c r="BBZ1060" s="104"/>
      <c r="BCA1060" s="103"/>
      <c r="BCM1060" s="104"/>
      <c r="BCN1060" s="103"/>
      <c r="BCZ1060" s="104"/>
      <c r="BDA1060" s="103"/>
      <c r="BDM1060" s="104"/>
      <c r="BDN1060" s="103"/>
      <c r="BDZ1060" s="104"/>
      <c r="BEA1060" s="103"/>
      <c r="BEM1060" s="104"/>
      <c r="BEN1060" s="103"/>
      <c r="BEZ1060" s="104"/>
      <c r="BFA1060" s="103"/>
      <c r="BFM1060" s="104"/>
      <c r="BFN1060" s="103"/>
      <c r="BFZ1060" s="104"/>
      <c r="BGA1060" s="103"/>
      <c r="BGM1060" s="104"/>
      <c r="BGN1060" s="103"/>
      <c r="BGZ1060" s="104"/>
      <c r="BHA1060" s="103"/>
      <c r="BHM1060" s="104"/>
      <c r="BHN1060" s="103"/>
      <c r="BHZ1060" s="104"/>
      <c r="BIA1060" s="103"/>
      <c r="BIM1060" s="104"/>
      <c r="BIN1060" s="103"/>
      <c r="BIZ1060" s="104"/>
      <c r="BJA1060" s="103"/>
      <c r="BJM1060" s="104"/>
      <c r="BJN1060" s="103"/>
      <c r="BJZ1060" s="104"/>
      <c r="BKA1060" s="103"/>
      <c r="BKM1060" s="104"/>
      <c r="BKN1060" s="103"/>
      <c r="BKZ1060" s="104"/>
      <c r="BLA1060" s="103"/>
      <c r="BLM1060" s="104"/>
      <c r="BLN1060" s="103"/>
      <c r="BLZ1060" s="104"/>
      <c r="BMA1060" s="103"/>
      <c r="BMM1060" s="104"/>
      <c r="BMN1060" s="103"/>
      <c r="BMZ1060" s="104"/>
      <c r="BNA1060" s="103"/>
      <c r="BNM1060" s="104"/>
      <c r="BNN1060" s="103"/>
      <c r="BNZ1060" s="104"/>
      <c r="BOA1060" s="103"/>
      <c r="BOM1060" s="104"/>
      <c r="BON1060" s="103"/>
      <c r="BOZ1060" s="104"/>
      <c r="BPA1060" s="103"/>
      <c r="BPM1060" s="104"/>
      <c r="BPN1060" s="103"/>
      <c r="BPZ1060" s="104"/>
      <c r="BQA1060" s="103"/>
      <c r="BQM1060" s="104"/>
      <c r="BQN1060" s="103"/>
      <c r="BQZ1060" s="104"/>
      <c r="BRA1060" s="103"/>
      <c r="BRM1060" s="104"/>
      <c r="BRN1060" s="103"/>
      <c r="BRZ1060" s="104"/>
      <c r="BSA1060" s="103"/>
      <c r="BSM1060" s="104"/>
      <c r="BSN1060" s="103"/>
      <c r="BSZ1060" s="104"/>
      <c r="BTA1060" s="103"/>
      <c r="BTM1060" s="104"/>
      <c r="BTN1060" s="103"/>
      <c r="BTZ1060" s="104"/>
      <c r="BUA1060" s="103"/>
      <c r="BUM1060" s="104"/>
      <c r="BUN1060" s="103"/>
      <c r="BUZ1060" s="104"/>
      <c r="BVA1060" s="103"/>
      <c r="BVM1060" s="104"/>
      <c r="BVN1060" s="103"/>
      <c r="BVZ1060" s="104"/>
      <c r="BWA1060" s="103"/>
      <c r="BWM1060" s="104"/>
      <c r="BWN1060" s="103"/>
      <c r="BWZ1060" s="104"/>
      <c r="BXA1060" s="103"/>
      <c r="BXM1060" s="104"/>
      <c r="BXN1060" s="103"/>
      <c r="BXZ1060" s="104"/>
      <c r="BYA1060" s="103"/>
      <c r="BYM1060" s="104"/>
      <c r="BYN1060" s="103"/>
      <c r="BYZ1060" s="104"/>
      <c r="BZA1060" s="103"/>
      <c r="BZM1060" s="104"/>
      <c r="BZN1060" s="103"/>
      <c r="BZZ1060" s="104"/>
      <c r="CAA1060" s="103"/>
      <c r="CAM1060" s="104"/>
      <c r="CAN1060" s="103"/>
      <c r="CAZ1060" s="104"/>
      <c r="CBA1060" s="103"/>
      <c r="CBM1060" s="104"/>
      <c r="CBN1060" s="103"/>
      <c r="CBZ1060" s="104"/>
      <c r="CCA1060" s="103"/>
      <c r="CCM1060" s="104"/>
      <c r="CCN1060" s="103"/>
      <c r="CCZ1060" s="104"/>
      <c r="CDA1060" s="103"/>
      <c r="CDM1060" s="104"/>
      <c r="CDN1060" s="103"/>
      <c r="CDZ1060" s="104"/>
      <c r="CEA1060" s="103"/>
      <c r="CEM1060" s="104"/>
      <c r="CEN1060" s="103"/>
      <c r="CEZ1060" s="104"/>
      <c r="CFA1060" s="103"/>
      <c r="CFM1060" s="104"/>
      <c r="CFN1060" s="103"/>
      <c r="CFZ1060" s="104"/>
      <c r="CGA1060" s="103"/>
      <c r="CGM1060" s="104"/>
      <c r="CGN1060" s="103"/>
      <c r="CGZ1060" s="104"/>
      <c r="CHA1060" s="103"/>
      <c r="CHM1060" s="104"/>
      <c r="CHN1060" s="103"/>
      <c r="CHZ1060" s="104"/>
      <c r="CIA1060" s="103"/>
      <c r="CIM1060" s="104"/>
      <c r="CIN1060" s="103"/>
      <c r="CIZ1060" s="104"/>
      <c r="CJA1060" s="103"/>
      <c r="CJM1060" s="104"/>
      <c r="CJN1060" s="103"/>
      <c r="CJZ1060" s="104"/>
      <c r="CKA1060" s="103"/>
      <c r="CKM1060" s="104"/>
      <c r="CKN1060" s="103"/>
      <c r="CKZ1060" s="104"/>
      <c r="CLA1060" s="103"/>
      <c r="CLM1060" s="104"/>
      <c r="CLN1060" s="103"/>
      <c r="CLZ1060" s="104"/>
      <c r="CMA1060" s="103"/>
      <c r="CMM1060" s="104"/>
      <c r="CMN1060" s="103"/>
      <c r="CMZ1060" s="104"/>
      <c r="CNA1060" s="103"/>
      <c r="CNM1060" s="104"/>
      <c r="CNN1060" s="103"/>
      <c r="CNZ1060" s="104"/>
      <c r="COA1060" s="103"/>
      <c r="COM1060" s="104"/>
      <c r="CON1060" s="103"/>
      <c r="COZ1060" s="104"/>
      <c r="CPA1060" s="103"/>
      <c r="CPM1060" s="104"/>
      <c r="CPN1060" s="103"/>
      <c r="CPZ1060" s="104"/>
      <c r="CQA1060" s="103"/>
      <c r="CQM1060" s="104"/>
      <c r="CQN1060" s="103"/>
      <c r="CQZ1060" s="104"/>
      <c r="CRA1060" s="103"/>
      <c r="CRM1060" s="104"/>
      <c r="CRN1060" s="103"/>
      <c r="CRZ1060" s="104"/>
      <c r="CSA1060" s="103"/>
      <c r="CSM1060" s="104"/>
      <c r="CSN1060" s="103"/>
      <c r="CSZ1060" s="104"/>
      <c r="CTA1060" s="103"/>
      <c r="CTM1060" s="104"/>
      <c r="CTN1060" s="103"/>
      <c r="CTZ1060" s="104"/>
      <c r="CUA1060" s="103"/>
      <c r="CUM1060" s="104"/>
      <c r="CUN1060" s="103"/>
      <c r="CUZ1060" s="104"/>
      <c r="CVA1060" s="103"/>
      <c r="CVM1060" s="104"/>
      <c r="CVN1060" s="103"/>
      <c r="CVZ1060" s="104"/>
      <c r="CWA1060" s="103"/>
      <c r="CWM1060" s="104"/>
      <c r="CWN1060" s="103"/>
      <c r="CWZ1060" s="104"/>
      <c r="CXA1060" s="103"/>
      <c r="CXM1060" s="104"/>
      <c r="CXN1060" s="103"/>
      <c r="CXZ1060" s="104"/>
      <c r="CYA1060" s="103"/>
      <c r="CYM1060" s="104"/>
      <c r="CYN1060" s="103"/>
      <c r="CYZ1060" s="104"/>
      <c r="CZA1060" s="103"/>
      <c r="CZM1060" s="104"/>
      <c r="CZN1060" s="103"/>
      <c r="CZZ1060" s="104"/>
      <c r="DAA1060" s="103"/>
      <c r="DAM1060" s="104"/>
      <c r="DAN1060" s="103"/>
      <c r="DAZ1060" s="104"/>
      <c r="DBA1060" s="103"/>
      <c r="DBM1060" s="104"/>
      <c r="DBN1060" s="103"/>
      <c r="DBZ1060" s="104"/>
      <c r="DCA1060" s="103"/>
      <c r="DCM1060" s="104"/>
      <c r="DCN1060" s="103"/>
      <c r="DCZ1060" s="104"/>
      <c r="DDA1060" s="103"/>
      <c r="DDM1060" s="104"/>
      <c r="DDN1060" s="103"/>
      <c r="DDZ1060" s="104"/>
      <c r="DEA1060" s="103"/>
      <c r="DEM1060" s="104"/>
      <c r="DEN1060" s="103"/>
      <c r="DEZ1060" s="104"/>
      <c r="DFA1060" s="103"/>
      <c r="DFM1060" s="104"/>
      <c r="DFN1060" s="103"/>
      <c r="DFZ1060" s="104"/>
      <c r="DGA1060" s="103"/>
      <c r="DGM1060" s="104"/>
      <c r="DGN1060" s="103"/>
      <c r="DGZ1060" s="104"/>
      <c r="DHA1060" s="103"/>
      <c r="DHM1060" s="104"/>
      <c r="DHN1060" s="103"/>
      <c r="DHZ1060" s="104"/>
      <c r="DIA1060" s="103"/>
      <c r="DIM1060" s="104"/>
      <c r="DIN1060" s="103"/>
      <c r="DIZ1060" s="104"/>
      <c r="DJA1060" s="103"/>
      <c r="DJM1060" s="104"/>
      <c r="DJN1060" s="103"/>
      <c r="DJZ1060" s="104"/>
      <c r="DKA1060" s="103"/>
      <c r="DKM1060" s="104"/>
      <c r="DKN1060" s="103"/>
      <c r="DKZ1060" s="104"/>
      <c r="DLA1060" s="103"/>
      <c r="DLM1060" s="104"/>
      <c r="DLN1060" s="103"/>
      <c r="DLZ1060" s="104"/>
      <c r="DMA1060" s="103"/>
      <c r="DMM1060" s="104"/>
      <c r="DMN1060" s="103"/>
      <c r="DMZ1060" s="104"/>
      <c r="DNA1060" s="103"/>
      <c r="DNM1060" s="104"/>
      <c r="DNN1060" s="103"/>
      <c r="DNZ1060" s="104"/>
      <c r="DOA1060" s="103"/>
      <c r="DOM1060" s="104"/>
      <c r="DON1060" s="103"/>
      <c r="DOZ1060" s="104"/>
      <c r="DPA1060" s="103"/>
      <c r="DPM1060" s="104"/>
      <c r="DPN1060" s="103"/>
      <c r="DPZ1060" s="104"/>
      <c r="DQA1060" s="103"/>
      <c r="DQM1060" s="104"/>
      <c r="DQN1060" s="103"/>
      <c r="DQZ1060" s="104"/>
      <c r="DRA1060" s="103"/>
      <c r="DRM1060" s="104"/>
      <c r="DRN1060" s="103"/>
      <c r="DRZ1060" s="104"/>
      <c r="DSA1060" s="103"/>
      <c r="DSM1060" s="104"/>
      <c r="DSN1060" s="103"/>
      <c r="DSZ1060" s="104"/>
      <c r="DTA1060" s="103"/>
      <c r="DTM1060" s="104"/>
      <c r="DTN1060" s="103"/>
      <c r="DTZ1060" s="104"/>
      <c r="DUA1060" s="103"/>
      <c r="DUM1060" s="104"/>
      <c r="DUN1060" s="103"/>
      <c r="DUZ1060" s="104"/>
      <c r="DVA1060" s="103"/>
      <c r="DVM1060" s="104"/>
      <c r="DVN1060" s="103"/>
      <c r="DVZ1060" s="104"/>
      <c r="DWA1060" s="103"/>
      <c r="DWM1060" s="104"/>
      <c r="DWN1060" s="103"/>
      <c r="DWZ1060" s="104"/>
      <c r="DXA1060" s="103"/>
      <c r="DXM1060" s="104"/>
      <c r="DXN1060" s="103"/>
      <c r="DXZ1060" s="104"/>
      <c r="DYA1060" s="103"/>
      <c r="DYM1060" s="104"/>
      <c r="DYN1060" s="103"/>
      <c r="DYZ1060" s="104"/>
      <c r="DZA1060" s="103"/>
      <c r="DZM1060" s="104"/>
      <c r="DZN1060" s="103"/>
      <c r="DZZ1060" s="104"/>
      <c r="EAA1060" s="103"/>
      <c r="EAM1060" s="104"/>
      <c r="EAN1060" s="103"/>
      <c r="EAZ1060" s="104"/>
      <c r="EBA1060" s="103"/>
      <c r="EBM1060" s="104"/>
      <c r="EBN1060" s="103"/>
      <c r="EBZ1060" s="104"/>
      <c r="ECA1060" s="103"/>
      <c r="ECM1060" s="104"/>
      <c r="ECN1060" s="103"/>
      <c r="ECZ1060" s="104"/>
      <c r="EDA1060" s="103"/>
      <c r="EDM1060" s="104"/>
      <c r="EDN1060" s="103"/>
      <c r="EDZ1060" s="104"/>
      <c r="EEA1060" s="103"/>
      <c r="EEM1060" s="104"/>
      <c r="EEN1060" s="103"/>
      <c r="EEZ1060" s="104"/>
      <c r="EFA1060" s="103"/>
      <c r="EFM1060" s="104"/>
      <c r="EFN1060" s="103"/>
      <c r="EFZ1060" s="104"/>
      <c r="EGA1060" s="103"/>
      <c r="EGM1060" s="104"/>
      <c r="EGN1060" s="103"/>
      <c r="EGZ1060" s="104"/>
      <c r="EHA1060" s="103"/>
      <c r="EHM1060" s="104"/>
      <c r="EHN1060" s="103"/>
      <c r="EHZ1060" s="104"/>
      <c r="EIA1060" s="103"/>
      <c r="EIM1060" s="104"/>
      <c r="EIN1060" s="103"/>
      <c r="EIZ1060" s="104"/>
      <c r="EJA1060" s="103"/>
      <c r="EJM1060" s="104"/>
      <c r="EJN1060" s="103"/>
      <c r="EJZ1060" s="104"/>
      <c r="EKA1060" s="103"/>
      <c r="EKM1060" s="104"/>
      <c r="EKN1060" s="103"/>
      <c r="EKZ1060" s="104"/>
      <c r="ELA1060" s="103"/>
      <c r="ELM1060" s="104"/>
      <c r="ELN1060" s="103"/>
      <c r="ELZ1060" s="104"/>
      <c r="EMA1060" s="103"/>
      <c r="EMM1060" s="104"/>
      <c r="EMN1060" s="103"/>
      <c r="EMZ1060" s="104"/>
      <c r="ENA1060" s="103"/>
      <c r="ENM1060" s="104"/>
      <c r="ENN1060" s="103"/>
      <c r="ENZ1060" s="104"/>
      <c r="EOA1060" s="103"/>
      <c r="EOM1060" s="104"/>
      <c r="EON1060" s="103"/>
      <c r="EOZ1060" s="104"/>
      <c r="EPA1060" s="103"/>
      <c r="EPM1060" s="104"/>
      <c r="EPN1060" s="103"/>
      <c r="EPZ1060" s="104"/>
      <c r="EQA1060" s="103"/>
      <c r="EQM1060" s="104"/>
      <c r="EQN1060" s="103"/>
      <c r="EQZ1060" s="104"/>
      <c r="ERA1060" s="103"/>
      <c r="ERM1060" s="104"/>
      <c r="ERN1060" s="103"/>
      <c r="ERZ1060" s="104"/>
      <c r="ESA1060" s="103"/>
      <c r="ESM1060" s="104"/>
      <c r="ESN1060" s="103"/>
      <c r="ESZ1060" s="104"/>
      <c r="ETA1060" s="103"/>
      <c r="ETM1060" s="104"/>
      <c r="ETN1060" s="103"/>
      <c r="ETZ1060" s="104"/>
      <c r="EUA1060" s="103"/>
      <c r="EUM1060" s="104"/>
      <c r="EUN1060" s="103"/>
      <c r="EUZ1060" s="104"/>
      <c r="EVA1060" s="103"/>
      <c r="EVM1060" s="104"/>
      <c r="EVN1060" s="103"/>
      <c r="EVZ1060" s="104"/>
      <c r="EWA1060" s="103"/>
      <c r="EWM1060" s="104"/>
      <c r="EWN1060" s="103"/>
      <c r="EWZ1060" s="104"/>
      <c r="EXA1060" s="103"/>
      <c r="EXM1060" s="104"/>
      <c r="EXN1060" s="103"/>
      <c r="EXZ1060" s="104"/>
      <c r="EYA1060" s="103"/>
      <c r="EYM1060" s="104"/>
      <c r="EYN1060" s="103"/>
      <c r="EYZ1060" s="104"/>
      <c r="EZA1060" s="103"/>
      <c r="EZM1060" s="104"/>
      <c r="EZN1060" s="103"/>
      <c r="EZZ1060" s="104"/>
      <c r="FAA1060" s="103"/>
      <c r="FAM1060" s="104"/>
      <c r="FAN1060" s="103"/>
      <c r="FAZ1060" s="104"/>
      <c r="FBA1060" s="103"/>
      <c r="FBM1060" s="104"/>
      <c r="FBN1060" s="103"/>
      <c r="FBZ1060" s="104"/>
      <c r="FCA1060" s="103"/>
      <c r="FCM1060" s="104"/>
      <c r="FCN1060" s="103"/>
      <c r="FCZ1060" s="104"/>
      <c r="FDA1060" s="103"/>
      <c r="FDM1060" s="104"/>
      <c r="FDN1060" s="103"/>
      <c r="FDZ1060" s="104"/>
      <c r="FEA1060" s="103"/>
      <c r="FEM1060" s="104"/>
      <c r="FEN1060" s="103"/>
      <c r="FEZ1060" s="104"/>
      <c r="FFA1060" s="103"/>
      <c r="FFM1060" s="104"/>
      <c r="FFN1060" s="103"/>
      <c r="FFZ1060" s="104"/>
      <c r="FGA1060" s="103"/>
      <c r="FGM1060" s="104"/>
      <c r="FGN1060" s="103"/>
      <c r="FGZ1060" s="104"/>
      <c r="FHA1060" s="103"/>
      <c r="FHM1060" s="104"/>
      <c r="FHN1060" s="103"/>
      <c r="FHZ1060" s="104"/>
      <c r="FIA1060" s="103"/>
      <c r="FIM1060" s="104"/>
      <c r="FIN1060" s="103"/>
      <c r="FIZ1060" s="104"/>
      <c r="FJA1060" s="103"/>
      <c r="FJM1060" s="104"/>
      <c r="FJN1060" s="103"/>
      <c r="FJZ1060" s="104"/>
      <c r="FKA1060" s="103"/>
      <c r="FKM1060" s="104"/>
      <c r="FKN1060" s="103"/>
      <c r="FKZ1060" s="104"/>
      <c r="FLA1060" s="103"/>
      <c r="FLM1060" s="104"/>
      <c r="FLN1060" s="103"/>
      <c r="FLZ1060" s="104"/>
      <c r="FMA1060" s="103"/>
      <c r="FMM1060" s="104"/>
      <c r="FMN1060" s="103"/>
      <c r="FMZ1060" s="104"/>
      <c r="FNA1060" s="103"/>
      <c r="FNM1060" s="104"/>
      <c r="FNN1060" s="103"/>
      <c r="FNZ1060" s="104"/>
      <c r="FOA1060" s="103"/>
      <c r="FOM1060" s="104"/>
      <c r="FON1060" s="103"/>
      <c r="FOZ1060" s="104"/>
      <c r="FPA1060" s="103"/>
      <c r="FPM1060" s="104"/>
      <c r="FPN1060" s="103"/>
      <c r="FPZ1060" s="104"/>
      <c r="FQA1060" s="103"/>
      <c r="FQM1060" s="104"/>
      <c r="FQN1060" s="103"/>
      <c r="FQZ1060" s="104"/>
      <c r="FRA1060" s="103"/>
      <c r="FRM1060" s="104"/>
      <c r="FRN1060" s="103"/>
      <c r="FRZ1060" s="104"/>
      <c r="FSA1060" s="103"/>
      <c r="FSM1060" s="104"/>
      <c r="FSN1060" s="103"/>
      <c r="FSZ1060" s="104"/>
      <c r="FTA1060" s="103"/>
      <c r="FTM1060" s="104"/>
      <c r="FTN1060" s="103"/>
      <c r="FTZ1060" s="104"/>
      <c r="FUA1060" s="103"/>
      <c r="FUM1060" s="104"/>
      <c r="FUN1060" s="103"/>
      <c r="FUZ1060" s="104"/>
      <c r="FVA1060" s="103"/>
      <c r="FVM1060" s="104"/>
      <c r="FVN1060" s="103"/>
      <c r="FVZ1060" s="104"/>
      <c r="FWA1060" s="103"/>
      <c r="FWM1060" s="104"/>
      <c r="FWN1060" s="103"/>
      <c r="FWZ1060" s="104"/>
      <c r="FXA1060" s="103"/>
      <c r="FXM1060" s="104"/>
      <c r="FXN1060" s="103"/>
      <c r="FXZ1060" s="104"/>
      <c r="FYA1060" s="103"/>
      <c r="FYM1060" s="104"/>
      <c r="FYN1060" s="103"/>
      <c r="FYZ1060" s="104"/>
      <c r="FZA1060" s="103"/>
      <c r="FZM1060" s="104"/>
      <c r="FZN1060" s="103"/>
      <c r="FZZ1060" s="104"/>
      <c r="GAA1060" s="103"/>
      <c r="GAM1060" s="104"/>
      <c r="GAN1060" s="103"/>
      <c r="GAZ1060" s="104"/>
      <c r="GBA1060" s="103"/>
      <c r="GBM1060" s="104"/>
      <c r="GBN1060" s="103"/>
      <c r="GBZ1060" s="104"/>
      <c r="GCA1060" s="103"/>
      <c r="GCM1060" s="104"/>
      <c r="GCN1060" s="103"/>
      <c r="GCZ1060" s="104"/>
      <c r="GDA1060" s="103"/>
      <c r="GDM1060" s="104"/>
      <c r="GDN1060" s="103"/>
      <c r="GDZ1060" s="104"/>
      <c r="GEA1060" s="103"/>
      <c r="GEM1060" s="104"/>
      <c r="GEN1060" s="103"/>
      <c r="GEZ1060" s="104"/>
      <c r="GFA1060" s="103"/>
      <c r="GFM1060" s="104"/>
      <c r="GFN1060" s="103"/>
      <c r="GFZ1060" s="104"/>
      <c r="GGA1060" s="103"/>
      <c r="GGM1060" s="104"/>
      <c r="GGN1060" s="103"/>
      <c r="GGZ1060" s="104"/>
      <c r="GHA1060" s="103"/>
      <c r="GHM1060" s="104"/>
      <c r="GHN1060" s="103"/>
      <c r="GHZ1060" s="104"/>
      <c r="GIA1060" s="103"/>
      <c r="GIM1060" s="104"/>
      <c r="GIN1060" s="103"/>
      <c r="GIZ1060" s="104"/>
      <c r="GJA1060" s="103"/>
      <c r="GJM1060" s="104"/>
      <c r="GJN1060" s="103"/>
      <c r="GJZ1060" s="104"/>
      <c r="GKA1060" s="103"/>
      <c r="GKM1060" s="104"/>
      <c r="GKN1060" s="103"/>
      <c r="GKZ1060" s="104"/>
      <c r="GLA1060" s="103"/>
      <c r="GLM1060" s="104"/>
      <c r="GLN1060" s="103"/>
      <c r="GLZ1060" s="104"/>
      <c r="GMA1060" s="103"/>
      <c r="GMM1060" s="104"/>
      <c r="GMN1060" s="103"/>
      <c r="GMZ1060" s="104"/>
      <c r="GNA1060" s="103"/>
      <c r="GNM1060" s="104"/>
      <c r="GNN1060" s="103"/>
      <c r="GNZ1060" s="104"/>
      <c r="GOA1060" s="103"/>
      <c r="GOM1060" s="104"/>
      <c r="GON1060" s="103"/>
      <c r="GOZ1060" s="104"/>
      <c r="GPA1060" s="103"/>
      <c r="GPM1060" s="104"/>
      <c r="GPN1060" s="103"/>
      <c r="GPZ1060" s="104"/>
      <c r="GQA1060" s="103"/>
      <c r="GQM1060" s="104"/>
      <c r="GQN1060" s="103"/>
      <c r="GQZ1060" s="104"/>
      <c r="GRA1060" s="103"/>
      <c r="GRM1060" s="104"/>
      <c r="GRN1060" s="103"/>
      <c r="GRZ1060" s="104"/>
      <c r="GSA1060" s="103"/>
      <c r="GSM1060" s="104"/>
      <c r="GSN1060" s="103"/>
      <c r="GSZ1060" s="104"/>
      <c r="GTA1060" s="103"/>
      <c r="GTM1060" s="104"/>
      <c r="GTN1060" s="103"/>
      <c r="GTZ1060" s="104"/>
      <c r="GUA1060" s="103"/>
      <c r="GUM1060" s="104"/>
      <c r="GUN1060" s="103"/>
      <c r="GUZ1060" s="104"/>
      <c r="GVA1060" s="103"/>
      <c r="GVM1060" s="104"/>
      <c r="GVN1060" s="103"/>
      <c r="GVZ1060" s="104"/>
      <c r="GWA1060" s="103"/>
      <c r="GWM1060" s="104"/>
      <c r="GWN1060" s="103"/>
      <c r="GWZ1060" s="104"/>
      <c r="GXA1060" s="103"/>
      <c r="GXM1060" s="104"/>
      <c r="GXN1060" s="103"/>
      <c r="GXZ1060" s="104"/>
      <c r="GYA1060" s="103"/>
      <c r="GYM1060" s="104"/>
      <c r="GYN1060" s="103"/>
      <c r="GYZ1060" s="104"/>
      <c r="GZA1060" s="103"/>
      <c r="GZM1060" s="104"/>
      <c r="GZN1060" s="103"/>
      <c r="GZZ1060" s="104"/>
      <c r="HAA1060" s="103"/>
      <c r="HAM1060" s="104"/>
      <c r="HAN1060" s="103"/>
      <c r="HAZ1060" s="104"/>
      <c r="HBA1060" s="103"/>
      <c r="HBM1060" s="104"/>
      <c r="HBN1060" s="103"/>
      <c r="HBZ1060" s="104"/>
      <c r="HCA1060" s="103"/>
      <c r="HCM1060" s="104"/>
      <c r="HCN1060" s="103"/>
      <c r="HCZ1060" s="104"/>
      <c r="HDA1060" s="103"/>
      <c r="HDM1060" s="104"/>
      <c r="HDN1060" s="103"/>
      <c r="HDZ1060" s="104"/>
      <c r="HEA1060" s="103"/>
      <c r="HEM1060" s="104"/>
      <c r="HEN1060" s="103"/>
      <c r="HEZ1060" s="104"/>
      <c r="HFA1060" s="103"/>
      <c r="HFM1060" s="104"/>
      <c r="HFN1060" s="103"/>
      <c r="HFZ1060" s="104"/>
      <c r="HGA1060" s="103"/>
      <c r="HGM1060" s="104"/>
      <c r="HGN1060" s="103"/>
      <c r="HGZ1060" s="104"/>
      <c r="HHA1060" s="103"/>
      <c r="HHM1060" s="104"/>
      <c r="HHN1060" s="103"/>
      <c r="HHZ1060" s="104"/>
      <c r="HIA1060" s="103"/>
      <c r="HIM1060" s="104"/>
      <c r="HIN1060" s="103"/>
      <c r="HIZ1060" s="104"/>
      <c r="HJA1060" s="103"/>
      <c r="HJM1060" s="104"/>
      <c r="HJN1060" s="103"/>
      <c r="HJZ1060" s="104"/>
      <c r="HKA1060" s="103"/>
      <c r="HKM1060" s="104"/>
      <c r="HKN1060" s="103"/>
      <c r="HKZ1060" s="104"/>
      <c r="HLA1060" s="103"/>
      <c r="HLM1060" s="104"/>
      <c r="HLN1060" s="103"/>
      <c r="HLZ1060" s="104"/>
      <c r="HMA1060" s="103"/>
      <c r="HMM1060" s="104"/>
      <c r="HMN1060" s="103"/>
      <c r="HMZ1060" s="104"/>
      <c r="HNA1060" s="103"/>
      <c r="HNM1060" s="104"/>
      <c r="HNN1060" s="103"/>
      <c r="HNZ1060" s="104"/>
      <c r="HOA1060" s="103"/>
      <c r="HOM1060" s="104"/>
      <c r="HON1060" s="103"/>
      <c r="HOZ1060" s="104"/>
      <c r="HPA1060" s="103"/>
      <c r="HPM1060" s="104"/>
      <c r="HPN1060" s="103"/>
      <c r="HPZ1060" s="104"/>
      <c r="HQA1060" s="103"/>
      <c r="HQM1060" s="104"/>
      <c r="HQN1060" s="103"/>
      <c r="HQZ1060" s="104"/>
      <c r="HRA1060" s="103"/>
      <c r="HRM1060" s="104"/>
      <c r="HRN1060" s="103"/>
      <c r="HRZ1060" s="104"/>
      <c r="HSA1060" s="103"/>
      <c r="HSM1060" s="104"/>
      <c r="HSN1060" s="103"/>
      <c r="HSZ1060" s="104"/>
      <c r="HTA1060" s="103"/>
      <c r="HTM1060" s="104"/>
      <c r="HTN1060" s="103"/>
      <c r="HTZ1060" s="104"/>
      <c r="HUA1060" s="103"/>
      <c r="HUM1060" s="104"/>
      <c r="HUN1060" s="103"/>
      <c r="HUZ1060" s="104"/>
      <c r="HVA1060" s="103"/>
      <c r="HVM1060" s="104"/>
      <c r="HVN1060" s="103"/>
      <c r="HVZ1060" s="104"/>
      <c r="HWA1060" s="103"/>
      <c r="HWM1060" s="104"/>
      <c r="HWN1060" s="103"/>
      <c r="HWZ1060" s="104"/>
      <c r="HXA1060" s="103"/>
      <c r="HXM1060" s="104"/>
      <c r="HXN1060" s="103"/>
      <c r="HXZ1060" s="104"/>
      <c r="HYA1060" s="103"/>
      <c r="HYM1060" s="104"/>
      <c r="HYN1060" s="103"/>
      <c r="HYZ1060" s="104"/>
      <c r="HZA1060" s="103"/>
      <c r="HZM1060" s="104"/>
      <c r="HZN1060" s="103"/>
      <c r="HZZ1060" s="104"/>
      <c r="IAA1060" s="103"/>
      <c r="IAM1060" s="104"/>
      <c r="IAN1060" s="103"/>
      <c r="IAZ1060" s="104"/>
      <c r="IBA1060" s="103"/>
      <c r="IBM1060" s="104"/>
      <c r="IBN1060" s="103"/>
      <c r="IBZ1060" s="104"/>
      <c r="ICA1060" s="103"/>
      <c r="ICM1060" s="104"/>
      <c r="ICN1060" s="103"/>
      <c r="ICZ1060" s="104"/>
      <c r="IDA1060" s="103"/>
      <c r="IDM1060" s="104"/>
      <c r="IDN1060" s="103"/>
      <c r="IDZ1060" s="104"/>
      <c r="IEA1060" s="103"/>
      <c r="IEM1060" s="104"/>
      <c r="IEN1060" s="103"/>
      <c r="IEZ1060" s="104"/>
      <c r="IFA1060" s="103"/>
      <c r="IFM1060" s="104"/>
      <c r="IFN1060" s="103"/>
      <c r="IFZ1060" s="104"/>
      <c r="IGA1060" s="103"/>
      <c r="IGM1060" s="104"/>
      <c r="IGN1060" s="103"/>
      <c r="IGZ1060" s="104"/>
      <c r="IHA1060" s="103"/>
      <c r="IHM1060" s="104"/>
      <c r="IHN1060" s="103"/>
      <c r="IHZ1060" s="104"/>
      <c r="IIA1060" s="103"/>
      <c r="IIM1060" s="104"/>
      <c r="IIN1060" s="103"/>
      <c r="IIZ1060" s="104"/>
      <c r="IJA1060" s="103"/>
      <c r="IJM1060" s="104"/>
      <c r="IJN1060" s="103"/>
      <c r="IJZ1060" s="104"/>
      <c r="IKA1060" s="103"/>
      <c r="IKM1060" s="104"/>
      <c r="IKN1060" s="103"/>
      <c r="IKZ1060" s="104"/>
      <c r="ILA1060" s="103"/>
      <c r="ILM1060" s="104"/>
      <c r="ILN1060" s="103"/>
      <c r="ILZ1060" s="104"/>
      <c r="IMA1060" s="103"/>
      <c r="IMM1060" s="104"/>
      <c r="IMN1060" s="103"/>
      <c r="IMZ1060" s="104"/>
      <c r="INA1060" s="103"/>
      <c r="INM1060" s="104"/>
      <c r="INN1060" s="103"/>
      <c r="INZ1060" s="104"/>
      <c r="IOA1060" s="103"/>
      <c r="IOM1060" s="104"/>
      <c r="ION1060" s="103"/>
      <c r="IOZ1060" s="104"/>
      <c r="IPA1060" s="103"/>
      <c r="IPM1060" s="104"/>
      <c r="IPN1060" s="103"/>
      <c r="IPZ1060" s="104"/>
      <c r="IQA1060" s="103"/>
      <c r="IQM1060" s="104"/>
      <c r="IQN1060" s="103"/>
      <c r="IQZ1060" s="104"/>
      <c r="IRA1060" s="103"/>
      <c r="IRM1060" s="104"/>
      <c r="IRN1060" s="103"/>
      <c r="IRZ1060" s="104"/>
      <c r="ISA1060" s="103"/>
      <c r="ISM1060" s="104"/>
      <c r="ISN1060" s="103"/>
      <c r="ISZ1060" s="104"/>
      <c r="ITA1060" s="103"/>
      <c r="ITM1060" s="104"/>
      <c r="ITN1060" s="103"/>
      <c r="ITZ1060" s="104"/>
      <c r="IUA1060" s="103"/>
      <c r="IUM1060" s="104"/>
      <c r="IUN1060" s="103"/>
      <c r="IUZ1060" s="104"/>
      <c r="IVA1060" s="103"/>
      <c r="IVM1060" s="104"/>
      <c r="IVN1060" s="103"/>
      <c r="IVZ1060" s="104"/>
      <c r="IWA1060" s="103"/>
      <c r="IWM1060" s="104"/>
      <c r="IWN1060" s="103"/>
      <c r="IWZ1060" s="104"/>
      <c r="IXA1060" s="103"/>
      <c r="IXM1060" s="104"/>
      <c r="IXN1060" s="103"/>
      <c r="IXZ1060" s="104"/>
      <c r="IYA1060" s="103"/>
      <c r="IYM1060" s="104"/>
      <c r="IYN1060" s="103"/>
      <c r="IYZ1060" s="104"/>
      <c r="IZA1060" s="103"/>
      <c r="IZM1060" s="104"/>
      <c r="IZN1060" s="103"/>
      <c r="IZZ1060" s="104"/>
      <c r="JAA1060" s="103"/>
      <c r="JAM1060" s="104"/>
      <c r="JAN1060" s="103"/>
      <c r="JAZ1060" s="104"/>
      <c r="JBA1060" s="103"/>
      <c r="JBM1060" s="104"/>
      <c r="JBN1060" s="103"/>
      <c r="JBZ1060" s="104"/>
      <c r="JCA1060" s="103"/>
      <c r="JCM1060" s="104"/>
      <c r="JCN1060" s="103"/>
      <c r="JCZ1060" s="104"/>
      <c r="JDA1060" s="103"/>
      <c r="JDM1060" s="104"/>
      <c r="JDN1060" s="103"/>
      <c r="JDZ1060" s="104"/>
      <c r="JEA1060" s="103"/>
      <c r="JEM1060" s="104"/>
      <c r="JEN1060" s="103"/>
      <c r="JEZ1060" s="104"/>
      <c r="JFA1060" s="103"/>
      <c r="JFM1060" s="104"/>
      <c r="JFN1060" s="103"/>
      <c r="JFZ1060" s="104"/>
      <c r="JGA1060" s="103"/>
      <c r="JGM1060" s="104"/>
      <c r="JGN1060" s="103"/>
      <c r="JGZ1060" s="104"/>
      <c r="JHA1060" s="103"/>
      <c r="JHM1060" s="104"/>
      <c r="JHN1060" s="103"/>
      <c r="JHZ1060" s="104"/>
      <c r="JIA1060" s="103"/>
      <c r="JIM1060" s="104"/>
      <c r="JIN1060" s="103"/>
      <c r="JIZ1060" s="104"/>
      <c r="JJA1060" s="103"/>
      <c r="JJM1060" s="104"/>
      <c r="JJN1060" s="103"/>
      <c r="JJZ1060" s="104"/>
      <c r="JKA1060" s="103"/>
      <c r="JKM1060" s="104"/>
      <c r="JKN1060" s="103"/>
      <c r="JKZ1060" s="104"/>
      <c r="JLA1060" s="103"/>
      <c r="JLM1060" s="104"/>
      <c r="JLN1060" s="103"/>
      <c r="JLZ1060" s="104"/>
      <c r="JMA1060" s="103"/>
      <c r="JMM1060" s="104"/>
      <c r="JMN1060" s="103"/>
      <c r="JMZ1060" s="104"/>
      <c r="JNA1060" s="103"/>
      <c r="JNM1060" s="104"/>
      <c r="JNN1060" s="103"/>
      <c r="JNZ1060" s="104"/>
      <c r="JOA1060" s="103"/>
      <c r="JOM1060" s="104"/>
      <c r="JON1060" s="103"/>
      <c r="JOZ1060" s="104"/>
      <c r="JPA1060" s="103"/>
      <c r="JPM1060" s="104"/>
      <c r="JPN1060" s="103"/>
      <c r="JPZ1060" s="104"/>
      <c r="JQA1060" s="103"/>
      <c r="JQM1060" s="104"/>
      <c r="JQN1060" s="103"/>
      <c r="JQZ1060" s="104"/>
      <c r="JRA1060" s="103"/>
      <c r="JRM1060" s="104"/>
      <c r="JRN1060" s="103"/>
      <c r="JRZ1060" s="104"/>
      <c r="JSA1060" s="103"/>
      <c r="JSM1060" s="104"/>
      <c r="JSN1060" s="103"/>
      <c r="JSZ1060" s="104"/>
      <c r="JTA1060" s="103"/>
      <c r="JTM1060" s="104"/>
      <c r="JTN1060" s="103"/>
      <c r="JTZ1060" s="104"/>
      <c r="JUA1060" s="103"/>
      <c r="JUM1060" s="104"/>
      <c r="JUN1060" s="103"/>
      <c r="JUZ1060" s="104"/>
      <c r="JVA1060" s="103"/>
      <c r="JVM1060" s="104"/>
      <c r="JVN1060" s="103"/>
      <c r="JVZ1060" s="104"/>
      <c r="JWA1060" s="103"/>
      <c r="JWM1060" s="104"/>
      <c r="JWN1060" s="103"/>
      <c r="JWZ1060" s="104"/>
      <c r="JXA1060" s="103"/>
      <c r="JXM1060" s="104"/>
      <c r="JXN1060" s="103"/>
      <c r="JXZ1060" s="104"/>
      <c r="JYA1060" s="103"/>
      <c r="JYM1060" s="104"/>
      <c r="JYN1060" s="103"/>
      <c r="JYZ1060" s="104"/>
      <c r="JZA1060" s="103"/>
      <c r="JZM1060" s="104"/>
      <c r="JZN1060" s="103"/>
      <c r="JZZ1060" s="104"/>
      <c r="KAA1060" s="103"/>
      <c r="KAM1060" s="104"/>
      <c r="KAN1060" s="103"/>
      <c r="KAZ1060" s="104"/>
      <c r="KBA1060" s="103"/>
      <c r="KBM1060" s="104"/>
      <c r="KBN1060" s="103"/>
      <c r="KBZ1060" s="104"/>
      <c r="KCA1060" s="103"/>
      <c r="KCM1060" s="104"/>
      <c r="KCN1060" s="103"/>
      <c r="KCZ1060" s="104"/>
      <c r="KDA1060" s="103"/>
      <c r="KDM1060" s="104"/>
      <c r="KDN1060" s="103"/>
      <c r="KDZ1060" s="104"/>
      <c r="KEA1060" s="103"/>
      <c r="KEM1060" s="104"/>
      <c r="KEN1060" s="103"/>
      <c r="KEZ1060" s="104"/>
      <c r="KFA1060" s="103"/>
      <c r="KFM1060" s="104"/>
      <c r="KFN1060" s="103"/>
      <c r="KFZ1060" s="104"/>
      <c r="KGA1060" s="103"/>
      <c r="KGM1060" s="104"/>
      <c r="KGN1060" s="103"/>
      <c r="KGZ1060" s="104"/>
      <c r="KHA1060" s="103"/>
      <c r="KHM1060" s="104"/>
      <c r="KHN1060" s="103"/>
      <c r="KHZ1060" s="104"/>
      <c r="KIA1060" s="103"/>
      <c r="KIM1060" s="104"/>
      <c r="KIN1060" s="103"/>
      <c r="KIZ1060" s="104"/>
      <c r="KJA1060" s="103"/>
      <c r="KJM1060" s="104"/>
      <c r="KJN1060" s="103"/>
      <c r="KJZ1060" s="104"/>
      <c r="KKA1060" s="103"/>
      <c r="KKM1060" s="104"/>
      <c r="KKN1060" s="103"/>
      <c r="KKZ1060" s="104"/>
      <c r="KLA1060" s="103"/>
      <c r="KLM1060" s="104"/>
      <c r="KLN1060" s="103"/>
      <c r="KLZ1060" s="104"/>
      <c r="KMA1060" s="103"/>
      <c r="KMM1060" s="104"/>
      <c r="KMN1060" s="103"/>
      <c r="KMZ1060" s="104"/>
      <c r="KNA1060" s="103"/>
      <c r="KNM1060" s="104"/>
      <c r="KNN1060" s="103"/>
      <c r="KNZ1060" s="104"/>
      <c r="KOA1060" s="103"/>
      <c r="KOM1060" s="104"/>
      <c r="KON1060" s="103"/>
      <c r="KOZ1060" s="104"/>
      <c r="KPA1060" s="103"/>
      <c r="KPM1060" s="104"/>
      <c r="KPN1060" s="103"/>
      <c r="KPZ1060" s="104"/>
      <c r="KQA1060" s="103"/>
      <c r="KQM1060" s="104"/>
      <c r="KQN1060" s="103"/>
      <c r="KQZ1060" s="104"/>
      <c r="KRA1060" s="103"/>
      <c r="KRM1060" s="104"/>
      <c r="KRN1060" s="103"/>
      <c r="KRZ1060" s="104"/>
      <c r="KSA1060" s="103"/>
      <c r="KSM1060" s="104"/>
      <c r="KSN1060" s="103"/>
      <c r="KSZ1060" s="104"/>
      <c r="KTA1060" s="103"/>
      <c r="KTM1060" s="104"/>
      <c r="KTN1060" s="103"/>
      <c r="KTZ1060" s="104"/>
      <c r="KUA1060" s="103"/>
      <c r="KUM1060" s="104"/>
      <c r="KUN1060" s="103"/>
      <c r="KUZ1060" s="104"/>
      <c r="KVA1060" s="103"/>
      <c r="KVM1060" s="104"/>
      <c r="KVN1060" s="103"/>
      <c r="KVZ1060" s="104"/>
      <c r="KWA1060" s="103"/>
      <c r="KWM1060" s="104"/>
      <c r="KWN1060" s="103"/>
      <c r="KWZ1060" s="104"/>
      <c r="KXA1060" s="103"/>
      <c r="KXM1060" s="104"/>
      <c r="KXN1060" s="103"/>
      <c r="KXZ1060" s="104"/>
      <c r="KYA1060" s="103"/>
      <c r="KYM1060" s="104"/>
      <c r="KYN1060" s="103"/>
      <c r="KYZ1060" s="104"/>
      <c r="KZA1060" s="103"/>
      <c r="KZM1060" s="104"/>
      <c r="KZN1060" s="103"/>
      <c r="KZZ1060" s="104"/>
      <c r="LAA1060" s="103"/>
      <c r="LAM1060" s="104"/>
      <c r="LAN1060" s="103"/>
      <c r="LAZ1060" s="104"/>
      <c r="LBA1060" s="103"/>
      <c r="LBM1060" s="104"/>
      <c r="LBN1060" s="103"/>
      <c r="LBZ1060" s="104"/>
      <c r="LCA1060" s="103"/>
      <c r="LCM1060" s="104"/>
      <c r="LCN1060" s="103"/>
      <c r="LCZ1060" s="104"/>
      <c r="LDA1060" s="103"/>
      <c r="LDM1060" s="104"/>
      <c r="LDN1060" s="103"/>
      <c r="LDZ1060" s="104"/>
      <c r="LEA1060" s="103"/>
      <c r="LEM1060" s="104"/>
      <c r="LEN1060" s="103"/>
      <c r="LEZ1060" s="104"/>
      <c r="LFA1060" s="103"/>
      <c r="LFM1060" s="104"/>
      <c r="LFN1060" s="103"/>
      <c r="LFZ1060" s="104"/>
      <c r="LGA1060" s="103"/>
      <c r="LGM1060" s="104"/>
      <c r="LGN1060" s="103"/>
      <c r="LGZ1060" s="104"/>
      <c r="LHA1060" s="103"/>
      <c r="LHM1060" s="104"/>
      <c r="LHN1060" s="103"/>
      <c r="LHZ1060" s="104"/>
      <c r="LIA1060" s="103"/>
      <c r="LIM1060" s="104"/>
      <c r="LIN1060" s="103"/>
      <c r="LIZ1060" s="104"/>
      <c r="LJA1060" s="103"/>
      <c r="LJM1060" s="104"/>
      <c r="LJN1060" s="103"/>
      <c r="LJZ1060" s="104"/>
      <c r="LKA1060" s="103"/>
      <c r="LKM1060" s="104"/>
      <c r="LKN1060" s="103"/>
      <c r="LKZ1060" s="104"/>
      <c r="LLA1060" s="103"/>
      <c r="LLM1060" s="104"/>
      <c r="LLN1060" s="103"/>
      <c r="LLZ1060" s="104"/>
      <c r="LMA1060" s="103"/>
      <c r="LMM1060" s="104"/>
      <c r="LMN1060" s="103"/>
      <c r="LMZ1060" s="104"/>
      <c r="LNA1060" s="103"/>
      <c r="LNM1060" s="104"/>
      <c r="LNN1060" s="103"/>
      <c r="LNZ1060" s="104"/>
      <c r="LOA1060" s="103"/>
      <c r="LOM1060" s="104"/>
      <c r="LON1060" s="103"/>
      <c r="LOZ1060" s="104"/>
      <c r="LPA1060" s="103"/>
      <c r="LPM1060" s="104"/>
      <c r="LPN1060" s="103"/>
      <c r="LPZ1060" s="104"/>
      <c r="LQA1060" s="103"/>
      <c r="LQM1060" s="104"/>
      <c r="LQN1060" s="103"/>
      <c r="LQZ1060" s="104"/>
      <c r="LRA1060" s="103"/>
      <c r="LRM1060" s="104"/>
      <c r="LRN1060" s="103"/>
      <c r="LRZ1060" s="104"/>
      <c r="LSA1060" s="103"/>
      <c r="LSM1060" s="104"/>
      <c r="LSN1060" s="103"/>
      <c r="LSZ1060" s="104"/>
      <c r="LTA1060" s="103"/>
      <c r="LTM1060" s="104"/>
      <c r="LTN1060" s="103"/>
      <c r="LTZ1060" s="104"/>
      <c r="LUA1060" s="103"/>
      <c r="LUM1060" s="104"/>
      <c r="LUN1060" s="103"/>
      <c r="LUZ1060" s="104"/>
      <c r="LVA1060" s="103"/>
      <c r="LVM1060" s="104"/>
      <c r="LVN1060" s="103"/>
      <c r="LVZ1060" s="104"/>
      <c r="LWA1060" s="103"/>
      <c r="LWM1060" s="104"/>
      <c r="LWN1060" s="103"/>
      <c r="LWZ1060" s="104"/>
      <c r="LXA1060" s="103"/>
      <c r="LXM1060" s="104"/>
      <c r="LXN1060" s="103"/>
      <c r="LXZ1060" s="104"/>
      <c r="LYA1060" s="103"/>
      <c r="LYM1060" s="104"/>
      <c r="LYN1060" s="103"/>
      <c r="LYZ1060" s="104"/>
      <c r="LZA1060" s="103"/>
      <c r="LZM1060" s="104"/>
      <c r="LZN1060" s="103"/>
      <c r="LZZ1060" s="104"/>
      <c r="MAA1060" s="103"/>
      <c r="MAM1060" s="104"/>
      <c r="MAN1060" s="103"/>
      <c r="MAZ1060" s="104"/>
      <c r="MBA1060" s="103"/>
      <c r="MBM1060" s="104"/>
      <c r="MBN1060" s="103"/>
      <c r="MBZ1060" s="104"/>
      <c r="MCA1060" s="103"/>
      <c r="MCM1060" s="104"/>
      <c r="MCN1060" s="103"/>
      <c r="MCZ1060" s="104"/>
      <c r="MDA1060" s="103"/>
      <c r="MDM1060" s="104"/>
      <c r="MDN1060" s="103"/>
      <c r="MDZ1060" s="104"/>
      <c r="MEA1060" s="103"/>
      <c r="MEM1060" s="104"/>
      <c r="MEN1060" s="103"/>
      <c r="MEZ1060" s="104"/>
      <c r="MFA1060" s="103"/>
      <c r="MFM1060" s="104"/>
      <c r="MFN1060" s="103"/>
      <c r="MFZ1060" s="104"/>
      <c r="MGA1060" s="103"/>
      <c r="MGM1060" s="104"/>
      <c r="MGN1060" s="103"/>
      <c r="MGZ1060" s="104"/>
      <c r="MHA1060" s="103"/>
      <c r="MHM1060" s="104"/>
      <c r="MHN1060" s="103"/>
      <c r="MHZ1060" s="104"/>
      <c r="MIA1060" s="103"/>
      <c r="MIM1060" s="104"/>
      <c r="MIN1060" s="103"/>
      <c r="MIZ1060" s="104"/>
      <c r="MJA1060" s="103"/>
      <c r="MJM1060" s="104"/>
      <c r="MJN1060" s="103"/>
      <c r="MJZ1060" s="104"/>
      <c r="MKA1060" s="103"/>
      <c r="MKM1060" s="104"/>
      <c r="MKN1060" s="103"/>
      <c r="MKZ1060" s="104"/>
      <c r="MLA1060" s="103"/>
      <c r="MLM1060" s="104"/>
      <c r="MLN1060" s="103"/>
      <c r="MLZ1060" s="104"/>
      <c r="MMA1060" s="103"/>
      <c r="MMM1060" s="104"/>
      <c r="MMN1060" s="103"/>
      <c r="MMZ1060" s="104"/>
      <c r="MNA1060" s="103"/>
      <c r="MNM1060" s="104"/>
      <c r="MNN1060" s="103"/>
      <c r="MNZ1060" s="104"/>
      <c r="MOA1060" s="103"/>
      <c r="MOM1060" s="104"/>
      <c r="MON1060" s="103"/>
      <c r="MOZ1060" s="104"/>
      <c r="MPA1060" s="103"/>
      <c r="MPM1060" s="104"/>
      <c r="MPN1060" s="103"/>
      <c r="MPZ1060" s="104"/>
      <c r="MQA1060" s="103"/>
      <c r="MQM1060" s="104"/>
      <c r="MQN1060" s="103"/>
      <c r="MQZ1060" s="104"/>
      <c r="MRA1060" s="103"/>
      <c r="MRM1060" s="104"/>
      <c r="MRN1060" s="103"/>
      <c r="MRZ1060" s="104"/>
      <c r="MSA1060" s="103"/>
      <c r="MSM1060" s="104"/>
      <c r="MSN1060" s="103"/>
      <c r="MSZ1060" s="104"/>
      <c r="MTA1060" s="103"/>
      <c r="MTM1060" s="104"/>
      <c r="MTN1060" s="103"/>
      <c r="MTZ1060" s="104"/>
      <c r="MUA1060" s="103"/>
      <c r="MUM1060" s="104"/>
      <c r="MUN1060" s="103"/>
      <c r="MUZ1060" s="104"/>
      <c r="MVA1060" s="103"/>
      <c r="MVM1060" s="104"/>
      <c r="MVN1060" s="103"/>
      <c r="MVZ1060" s="104"/>
      <c r="MWA1060" s="103"/>
      <c r="MWM1060" s="104"/>
      <c r="MWN1060" s="103"/>
      <c r="MWZ1060" s="104"/>
      <c r="MXA1060" s="103"/>
      <c r="MXM1060" s="104"/>
      <c r="MXN1060" s="103"/>
      <c r="MXZ1060" s="104"/>
      <c r="MYA1060" s="103"/>
      <c r="MYM1060" s="104"/>
      <c r="MYN1060" s="103"/>
      <c r="MYZ1060" s="104"/>
      <c r="MZA1060" s="103"/>
      <c r="MZM1060" s="104"/>
      <c r="MZN1060" s="103"/>
      <c r="MZZ1060" s="104"/>
      <c r="NAA1060" s="103"/>
      <c r="NAM1060" s="104"/>
      <c r="NAN1060" s="103"/>
      <c r="NAZ1060" s="104"/>
      <c r="NBA1060" s="103"/>
      <c r="NBM1060" s="104"/>
      <c r="NBN1060" s="103"/>
      <c r="NBZ1060" s="104"/>
      <c r="NCA1060" s="103"/>
      <c r="NCM1060" s="104"/>
      <c r="NCN1060" s="103"/>
      <c r="NCZ1060" s="104"/>
      <c r="NDA1060" s="103"/>
      <c r="NDM1060" s="104"/>
      <c r="NDN1060" s="103"/>
      <c r="NDZ1060" s="104"/>
      <c r="NEA1060" s="103"/>
      <c r="NEM1060" s="104"/>
      <c r="NEN1060" s="103"/>
      <c r="NEZ1060" s="104"/>
      <c r="NFA1060" s="103"/>
      <c r="NFM1060" s="104"/>
      <c r="NFN1060" s="103"/>
      <c r="NFZ1060" s="104"/>
      <c r="NGA1060" s="103"/>
      <c r="NGM1060" s="104"/>
      <c r="NGN1060" s="103"/>
      <c r="NGZ1060" s="104"/>
      <c r="NHA1060" s="103"/>
      <c r="NHM1060" s="104"/>
      <c r="NHN1060" s="103"/>
      <c r="NHZ1060" s="104"/>
      <c r="NIA1060" s="103"/>
      <c r="NIM1060" s="104"/>
      <c r="NIN1060" s="103"/>
      <c r="NIZ1060" s="104"/>
      <c r="NJA1060" s="103"/>
      <c r="NJM1060" s="104"/>
      <c r="NJN1060" s="103"/>
      <c r="NJZ1060" s="104"/>
      <c r="NKA1060" s="103"/>
      <c r="NKM1060" s="104"/>
      <c r="NKN1060" s="103"/>
      <c r="NKZ1060" s="104"/>
      <c r="NLA1060" s="103"/>
      <c r="NLM1060" s="104"/>
      <c r="NLN1060" s="103"/>
      <c r="NLZ1060" s="104"/>
      <c r="NMA1060" s="103"/>
      <c r="NMM1060" s="104"/>
      <c r="NMN1060" s="103"/>
      <c r="NMZ1060" s="104"/>
      <c r="NNA1060" s="103"/>
      <c r="NNM1060" s="104"/>
      <c r="NNN1060" s="103"/>
      <c r="NNZ1060" s="104"/>
      <c r="NOA1060" s="103"/>
      <c r="NOM1060" s="104"/>
      <c r="NON1060" s="103"/>
      <c r="NOZ1060" s="104"/>
      <c r="NPA1060" s="103"/>
      <c r="NPM1060" s="104"/>
      <c r="NPN1060" s="103"/>
      <c r="NPZ1060" s="104"/>
      <c r="NQA1060" s="103"/>
      <c r="NQM1060" s="104"/>
      <c r="NQN1060" s="103"/>
      <c r="NQZ1060" s="104"/>
      <c r="NRA1060" s="103"/>
      <c r="NRM1060" s="104"/>
      <c r="NRN1060" s="103"/>
      <c r="NRZ1060" s="104"/>
      <c r="NSA1060" s="103"/>
      <c r="NSM1060" s="104"/>
      <c r="NSN1060" s="103"/>
      <c r="NSZ1060" s="104"/>
      <c r="NTA1060" s="103"/>
      <c r="NTM1060" s="104"/>
      <c r="NTN1060" s="103"/>
      <c r="NTZ1060" s="104"/>
      <c r="NUA1060" s="103"/>
      <c r="NUM1060" s="104"/>
      <c r="NUN1060" s="103"/>
      <c r="NUZ1060" s="104"/>
      <c r="NVA1060" s="103"/>
      <c r="NVM1060" s="104"/>
      <c r="NVN1060" s="103"/>
      <c r="NVZ1060" s="104"/>
      <c r="NWA1060" s="103"/>
      <c r="NWM1060" s="104"/>
      <c r="NWN1060" s="103"/>
      <c r="NWZ1060" s="104"/>
      <c r="NXA1060" s="103"/>
      <c r="NXM1060" s="104"/>
      <c r="NXN1060" s="103"/>
      <c r="NXZ1060" s="104"/>
      <c r="NYA1060" s="103"/>
      <c r="NYM1060" s="104"/>
      <c r="NYN1060" s="103"/>
      <c r="NYZ1060" s="104"/>
      <c r="NZA1060" s="103"/>
      <c r="NZM1060" s="104"/>
      <c r="NZN1060" s="103"/>
      <c r="NZZ1060" s="104"/>
      <c r="OAA1060" s="103"/>
      <c r="OAM1060" s="104"/>
      <c r="OAN1060" s="103"/>
      <c r="OAZ1060" s="104"/>
      <c r="OBA1060" s="103"/>
      <c r="OBM1060" s="104"/>
      <c r="OBN1060" s="103"/>
      <c r="OBZ1060" s="104"/>
      <c r="OCA1060" s="103"/>
      <c r="OCM1060" s="104"/>
      <c r="OCN1060" s="103"/>
      <c r="OCZ1060" s="104"/>
      <c r="ODA1060" s="103"/>
      <c r="ODM1060" s="104"/>
      <c r="ODN1060" s="103"/>
      <c r="ODZ1060" s="104"/>
      <c r="OEA1060" s="103"/>
      <c r="OEM1060" s="104"/>
      <c r="OEN1060" s="103"/>
      <c r="OEZ1060" s="104"/>
      <c r="OFA1060" s="103"/>
      <c r="OFM1060" s="104"/>
      <c r="OFN1060" s="103"/>
      <c r="OFZ1060" s="104"/>
      <c r="OGA1060" s="103"/>
      <c r="OGM1060" s="104"/>
      <c r="OGN1060" s="103"/>
      <c r="OGZ1060" s="104"/>
      <c r="OHA1060" s="103"/>
      <c r="OHM1060" s="104"/>
      <c r="OHN1060" s="103"/>
      <c r="OHZ1060" s="104"/>
      <c r="OIA1060" s="103"/>
      <c r="OIM1060" s="104"/>
      <c r="OIN1060" s="103"/>
      <c r="OIZ1060" s="104"/>
      <c r="OJA1060" s="103"/>
      <c r="OJM1060" s="104"/>
      <c r="OJN1060" s="103"/>
      <c r="OJZ1060" s="104"/>
      <c r="OKA1060" s="103"/>
      <c r="OKM1060" s="104"/>
      <c r="OKN1060" s="103"/>
      <c r="OKZ1060" s="104"/>
      <c r="OLA1060" s="103"/>
      <c r="OLM1060" s="104"/>
      <c r="OLN1060" s="103"/>
      <c r="OLZ1060" s="104"/>
      <c r="OMA1060" s="103"/>
      <c r="OMM1060" s="104"/>
      <c r="OMN1060" s="103"/>
      <c r="OMZ1060" s="104"/>
      <c r="ONA1060" s="103"/>
      <c r="ONM1060" s="104"/>
      <c r="ONN1060" s="103"/>
      <c r="ONZ1060" s="104"/>
      <c r="OOA1060" s="103"/>
      <c r="OOM1060" s="104"/>
      <c r="OON1060" s="103"/>
      <c r="OOZ1060" s="104"/>
      <c r="OPA1060" s="103"/>
      <c r="OPM1060" s="104"/>
      <c r="OPN1060" s="103"/>
      <c r="OPZ1060" s="104"/>
      <c r="OQA1060" s="103"/>
      <c r="OQM1060" s="104"/>
      <c r="OQN1060" s="103"/>
      <c r="OQZ1060" s="104"/>
      <c r="ORA1060" s="103"/>
      <c r="ORM1060" s="104"/>
      <c r="ORN1060" s="103"/>
      <c r="ORZ1060" s="104"/>
      <c r="OSA1060" s="103"/>
      <c r="OSM1060" s="104"/>
      <c r="OSN1060" s="103"/>
      <c r="OSZ1060" s="104"/>
      <c r="OTA1060" s="103"/>
      <c r="OTM1060" s="104"/>
      <c r="OTN1060" s="103"/>
      <c r="OTZ1060" s="104"/>
      <c r="OUA1060" s="103"/>
      <c r="OUM1060" s="104"/>
      <c r="OUN1060" s="103"/>
      <c r="OUZ1060" s="104"/>
      <c r="OVA1060" s="103"/>
      <c r="OVM1060" s="104"/>
      <c r="OVN1060" s="103"/>
      <c r="OVZ1060" s="104"/>
      <c r="OWA1060" s="103"/>
      <c r="OWM1060" s="104"/>
      <c r="OWN1060" s="103"/>
      <c r="OWZ1060" s="104"/>
      <c r="OXA1060" s="103"/>
      <c r="OXM1060" s="104"/>
      <c r="OXN1060" s="103"/>
      <c r="OXZ1060" s="104"/>
      <c r="OYA1060" s="103"/>
      <c r="OYM1060" s="104"/>
      <c r="OYN1060" s="103"/>
      <c r="OYZ1060" s="104"/>
      <c r="OZA1060" s="103"/>
      <c r="OZM1060" s="104"/>
      <c r="OZN1060" s="103"/>
      <c r="OZZ1060" s="104"/>
      <c r="PAA1060" s="103"/>
      <c r="PAM1060" s="104"/>
      <c r="PAN1060" s="103"/>
      <c r="PAZ1060" s="104"/>
      <c r="PBA1060" s="103"/>
      <c r="PBM1060" s="104"/>
      <c r="PBN1060" s="103"/>
      <c r="PBZ1060" s="104"/>
      <c r="PCA1060" s="103"/>
      <c r="PCM1060" s="104"/>
      <c r="PCN1060" s="103"/>
      <c r="PCZ1060" s="104"/>
      <c r="PDA1060" s="103"/>
      <c r="PDM1060" s="104"/>
      <c r="PDN1060" s="103"/>
      <c r="PDZ1060" s="104"/>
      <c r="PEA1060" s="103"/>
      <c r="PEM1060" s="104"/>
      <c r="PEN1060" s="103"/>
      <c r="PEZ1060" s="104"/>
      <c r="PFA1060" s="103"/>
      <c r="PFM1060" s="104"/>
      <c r="PFN1060" s="103"/>
      <c r="PFZ1060" s="104"/>
      <c r="PGA1060" s="103"/>
      <c r="PGM1060" s="104"/>
      <c r="PGN1060" s="103"/>
      <c r="PGZ1060" s="104"/>
      <c r="PHA1060" s="103"/>
      <c r="PHM1060" s="104"/>
      <c r="PHN1060" s="103"/>
      <c r="PHZ1060" s="104"/>
      <c r="PIA1060" s="103"/>
      <c r="PIM1060" s="104"/>
      <c r="PIN1060" s="103"/>
      <c r="PIZ1060" s="104"/>
      <c r="PJA1060" s="103"/>
      <c r="PJM1060" s="104"/>
      <c r="PJN1060" s="103"/>
      <c r="PJZ1060" s="104"/>
      <c r="PKA1060" s="103"/>
      <c r="PKM1060" s="104"/>
      <c r="PKN1060" s="103"/>
      <c r="PKZ1060" s="104"/>
      <c r="PLA1060" s="103"/>
      <c r="PLM1060" s="104"/>
      <c r="PLN1060" s="103"/>
      <c r="PLZ1060" s="104"/>
      <c r="PMA1060" s="103"/>
      <c r="PMM1060" s="104"/>
      <c r="PMN1060" s="103"/>
      <c r="PMZ1060" s="104"/>
      <c r="PNA1060" s="103"/>
      <c r="PNM1060" s="104"/>
      <c r="PNN1060" s="103"/>
      <c r="PNZ1060" s="104"/>
      <c r="POA1060" s="103"/>
      <c r="POM1060" s="104"/>
      <c r="PON1060" s="103"/>
      <c r="POZ1060" s="104"/>
      <c r="PPA1060" s="103"/>
      <c r="PPM1060" s="104"/>
      <c r="PPN1060" s="103"/>
      <c r="PPZ1060" s="104"/>
      <c r="PQA1060" s="103"/>
      <c r="PQM1060" s="104"/>
      <c r="PQN1060" s="103"/>
      <c r="PQZ1060" s="104"/>
      <c r="PRA1060" s="103"/>
      <c r="PRM1060" s="104"/>
      <c r="PRN1060" s="103"/>
      <c r="PRZ1060" s="104"/>
      <c r="PSA1060" s="103"/>
      <c r="PSM1060" s="104"/>
      <c r="PSN1060" s="103"/>
      <c r="PSZ1060" s="104"/>
      <c r="PTA1060" s="103"/>
      <c r="PTM1060" s="104"/>
      <c r="PTN1060" s="103"/>
      <c r="PTZ1060" s="104"/>
      <c r="PUA1060" s="103"/>
      <c r="PUM1060" s="104"/>
      <c r="PUN1060" s="103"/>
      <c r="PUZ1060" s="104"/>
      <c r="PVA1060" s="103"/>
      <c r="PVM1060" s="104"/>
      <c r="PVN1060" s="103"/>
      <c r="PVZ1060" s="104"/>
      <c r="PWA1060" s="103"/>
      <c r="PWM1060" s="104"/>
      <c r="PWN1060" s="103"/>
      <c r="PWZ1060" s="104"/>
      <c r="PXA1060" s="103"/>
      <c r="PXM1060" s="104"/>
      <c r="PXN1060" s="103"/>
      <c r="PXZ1060" s="104"/>
      <c r="PYA1060" s="103"/>
      <c r="PYM1060" s="104"/>
      <c r="PYN1060" s="103"/>
      <c r="PYZ1060" s="104"/>
      <c r="PZA1060" s="103"/>
      <c r="PZM1060" s="104"/>
      <c r="PZN1060" s="103"/>
      <c r="PZZ1060" s="104"/>
      <c r="QAA1060" s="103"/>
      <c r="QAM1060" s="104"/>
      <c r="QAN1060" s="103"/>
      <c r="QAZ1060" s="104"/>
      <c r="QBA1060" s="103"/>
      <c r="QBM1060" s="104"/>
      <c r="QBN1060" s="103"/>
      <c r="QBZ1060" s="104"/>
      <c r="QCA1060" s="103"/>
      <c r="QCM1060" s="104"/>
      <c r="QCN1060" s="103"/>
      <c r="QCZ1060" s="104"/>
      <c r="QDA1060" s="103"/>
      <c r="QDM1060" s="104"/>
      <c r="QDN1060" s="103"/>
      <c r="QDZ1060" s="104"/>
      <c r="QEA1060" s="103"/>
      <c r="QEM1060" s="104"/>
      <c r="QEN1060" s="103"/>
      <c r="QEZ1060" s="104"/>
      <c r="QFA1060" s="103"/>
      <c r="QFM1060" s="104"/>
      <c r="QFN1060" s="103"/>
      <c r="QFZ1060" s="104"/>
      <c r="QGA1060" s="103"/>
      <c r="QGM1060" s="104"/>
      <c r="QGN1060" s="103"/>
      <c r="QGZ1060" s="104"/>
      <c r="QHA1060" s="103"/>
      <c r="QHM1060" s="104"/>
      <c r="QHN1060" s="103"/>
      <c r="QHZ1060" s="104"/>
      <c r="QIA1060" s="103"/>
      <c r="QIM1060" s="104"/>
      <c r="QIN1060" s="103"/>
      <c r="QIZ1060" s="104"/>
      <c r="QJA1060" s="103"/>
      <c r="QJM1060" s="104"/>
      <c r="QJN1060" s="103"/>
      <c r="QJZ1060" s="104"/>
      <c r="QKA1060" s="103"/>
      <c r="QKM1060" s="104"/>
      <c r="QKN1060" s="103"/>
      <c r="QKZ1060" s="104"/>
      <c r="QLA1060" s="103"/>
      <c r="QLM1060" s="104"/>
      <c r="QLN1060" s="103"/>
      <c r="QLZ1060" s="104"/>
      <c r="QMA1060" s="103"/>
      <c r="QMM1060" s="104"/>
      <c r="QMN1060" s="103"/>
      <c r="QMZ1060" s="104"/>
      <c r="QNA1060" s="103"/>
      <c r="QNM1060" s="104"/>
      <c r="QNN1060" s="103"/>
      <c r="QNZ1060" s="104"/>
      <c r="QOA1060" s="103"/>
      <c r="QOM1060" s="104"/>
      <c r="QON1060" s="103"/>
      <c r="QOZ1060" s="104"/>
      <c r="QPA1060" s="103"/>
      <c r="QPM1060" s="104"/>
      <c r="QPN1060" s="103"/>
      <c r="QPZ1060" s="104"/>
      <c r="QQA1060" s="103"/>
      <c r="QQM1060" s="104"/>
      <c r="QQN1060" s="103"/>
      <c r="QQZ1060" s="104"/>
      <c r="QRA1060" s="103"/>
      <c r="QRM1060" s="104"/>
      <c r="QRN1060" s="103"/>
      <c r="QRZ1060" s="104"/>
      <c r="QSA1060" s="103"/>
      <c r="QSM1060" s="104"/>
      <c r="QSN1060" s="103"/>
      <c r="QSZ1060" s="104"/>
      <c r="QTA1060" s="103"/>
      <c r="QTM1060" s="104"/>
      <c r="QTN1060" s="103"/>
      <c r="QTZ1060" s="104"/>
      <c r="QUA1060" s="103"/>
      <c r="QUM1060" s="104"/>
      <c r="QUN1060" s="103"/>
      <c r="QUZ1060" s="104"/>
      <c r="QVA1060" s="103"/>
      <c r="QVM1060" s="104"/>
      <c r="QVN1060" s="103"/>
      <c r="QVZ1060" s="104"/>
      <c r="QWA1060" s="103"/>
      <c r="QWM1060" s="104"/>
      <c r="QWN1060" s="103"/>
      <c r="QWZ1060" s="104"/>
      <c r="QXA1060" s="103"/>
      <c r="QXM1060" s="104"/>
      <c r="QXN1060" s="103"/>
      <c r="QXZ1060" s="104"/>
      <c r="QYA1060" s="103"/>
      <c r="QYM1060" s="104"/>
      <c r="QYN1060" s="103"/>
      <c r="QYZ1060" s="104"/>
      <c r="QZA1060" s="103"/>
      <c r="QZM1060" s="104"/>
      <c r="QZN1060" s="103"/>
      <c r="QZZ1060" s="104"/>
      <c r="RAA1060" s="103"/>
      <c r="RAM1060" s="104"/>
      <c r="RAN1060" s="103"/>
      <c r="RAZ1060" s="104"/>
      <c r="RBA1060" s="103"/>
      <c r="RBM1060" s="104"/>
      <c r="RBN1060" s="103"/>
      <c r="RBZ1060" s="104"/>
      <c r="RCA1060" s="103"/>
      <c r="RCM1060" s="104"/>
      <c r="RCN1060" s="103"/>
      <c r="RCZ1060" s="104"/>
      <c r="RDA1060" s="103"/>
      <c r="RDM1060" s="104"/>
      <c r="RDN1060" s="103"/>
      <c r="RDZ1060" s="104"/>
      <c r="REA1060" s="103"/>
      <c r="REM1060" s="104"/>
      <c r="REN1060" s="103"/>
      <c r="REZ1060" s="104"/>
      <c r="RFA1060" s="103"/>
      <c r="RFM1060" s="104"/>
      <c r="RFN1060" s="103"/>
      <c r="RFZ1060" s="104"/>
      <c r="RGA1060" s="103"/>
      <c r="RGM1060" s="104"/>
      <c r="RGN1060" s="103"/>
      <c r="RGZ1060" s="104"/>
      <c r="RHA1060" s="103"/>
      <c r="RHM1060" s="104"/>
      <c r="RHN1060" s="103"/>
      <c r="RHZ1060" s="104"/>
      <c r="RIA1060" s="103"/>
      <c r="RIM1060" s="104"/>
      <c r="RIN1060" s="103"/>
      <c r="RIZ1060" s="104"/>
      <c r="RJA1060" s="103"/>
      <c r="RJM1060" s="104"/>
      <c r="RJN1060" s="103"/>
      <c r="RJZ1060" s="104"/>
      <c r="RKA1060" s="103"/>
      <c r="RKM1060" s="104"/>
      <c r="RKN1060" s="103"/>
      <c r="RKZ1060" s="104"/>
      <c r="RLA1060" s="103"/>
      <c r="RLM1060" s="104"/>
      <c r="RLN1060" s="103"/>
      <c r="RLZ1060" s="104"/>
      <c r="RMA1060" s="103"/>
      <c r="RMM1060" s="104"/>
      <c r="RMN1060" s="103"/>
      <c r="RMZ1060" s="104"/>
      <c r="RNA1060" s="103"/>
      <c r="RNM1060" s="104"/>
      <c r="RNN1060" s="103"/>
      <c r="RNZ1060" s="104"/>
      <c r="ROA1060" s="103"/>
      <c r="ROM1060" s="104"/>
      <c r="RON1060" s="103"/>
      <c r="ROZ1060" s="104"/>
      <c r="RPA1060" s="103"/>
      <c r="RPM1060" s="104"/>
      <c r="RPN1060" s="103"/>
      <c r="RPZ1060" s="104"/>
      <c r="RQA1060" s="103"/>
      <c r="RQM1060" s="104"/>
      <c r="RQN1060" s="103"/>
      <c r="RQZ1060" s="104"/>
      <c r="RRA1060" s="103"/>
      <c r="RRM1060" s="104"/>
      <c r="RRN1060" s="103"/>
      <c r="RRZ1060" s="104"/>
      <c r="RSA1060" s="103"/>
      <c r="RSM1060" s="104"/>
      <c r="RSN1060" s="103"/>
      <c r="RSZ1060" s="104"/>
      <c r="RTA1060" s="103"/>
      <c r="RTM1060" s="104"/>
      <c r="RTN1060" s="103"/>
      <c r="RTZ1060" s="104"/>
      <c r="RUA1060" s="103"/>
      <c r="RUM1060" s="104"/>
      <c r="RUN1060" s="103"/>
      <c r="RUZ1060" s="104"/>
      <c r="RVA1060" s="103"/>
      <c r="RVM1060" s="104"/>
      <c r="RVN1060" s="103"/>
      <c r="RVZ1060" s="104"/>
      <c r="RWA1060" s="103"/>
      <c r="RWM1060" s="104"/>
      <c r="RWN1060" s="103"/>
      <c r="RWZ1060" s="104"/>
      <c r="RXA1060" s="103"/>
      <c r="RXM1060" s="104"/>
      <c r="RXN1060" s="103"/>
      <c r="RXZ1060" s="104"/>
      <c r="RYA1060" s="103"/>
      <c r="RYM1060" s="104"/>
      <c r="RYN1060" s="103"/>
      <c r="RYZ1060" s="104"/>
      <c r="RZA1060" s="103"/>
      <c r="RZM1060" s="104"/>
      <c r="RZN1060" s="103"/>
      <c r="RZZ1060" s="104"/>
      <c r="SAA1060" s="103"/>
      <c r="SAM1060" s="104"/>
      <c r="SAN1060" s="103"/>
      <c r="SAZ1060" s="104"/>
      <c r="SBA1060" s="103"/>
      <c r="SBM1060" s="104"/>
      <c r="SBN1060" s="103"/>
      <c r="SBZ1060" s="104"/>
      <c r="SCA1060" s="103"/>
      <c r="SCM1060" s="104"/>
      <c r="SCN1060" s="103"/>
      <c r="SCZ1060" s="104"/>
      <c r="SDA1060" s="103"/>
      <c r="SDM1060" s="104"/>
      <c r="SDN1060" s="103"/>
      <c r="SDZ1060" s="104"/>
      <c r="SEA1060" s="103"/>
      <c r="SEM1060" s="104"/>
      <c r="SEN1060" s="103"/>
      <c r="SEZ1060" s="104"/>
      <c r="SFA1060" s="103"/>
      <c r="SFM1060" s="104"/>
      <c r="SFN1060" s="103"/>
      <c r="SFZ1060" s="104"/>
      <c r="SGA1060" s="103"/>
      <c r="SGM1060" s="104"/>
      <c r="SGN1060" s="103"/>
      <c r="SGZ1060" s="104"/>
      <c r="SHA1060" s="103"/>
      <c r="SHM1060" s="104"/>
      <c r="SHN1060" s="103"/>
      <c r="SHZ1060" s="104"/>
      <c r="SIA1060" s="103"/>
      <c r="SIM1060" s="104"/>
      <c r="SIN1060" s="103"/>
      <c r="SIZ1060" s="104"/>
      <c r="SJA1060" s="103"/>
      <c r="SJM1060" s="104"/>
      <c r="SJN1060" s="103"/>
      <c r="SJZ1060" s="104"/>
      <c r="SKA1060" s="103"/>
      <c r="SKM1060" s="104"/>
      <c r="SKN1060" s="103"/>
      <c r="SKZ1060" s="104"/>
      <c r="SLA1060" s="103"/>
      <c r="SLM1060" s="104"/>
      <c r="SLN1060" s="103"/>
      <c r="SLZ1060" s="104"/>
      <c r="SMA1060" s="103"/>
      <c r="SMM1060" s="104"/>
      <c r="SMN1060" s="103"/>
      <c r="SMZ1060" s="104"/>
      <c r="SNA1060" s="103"/>
      <c r="SNM1060" s="104"/>
      <c r="SNN1060" s="103"/>
      <c r="SNZ1060" s="104"/>
      <c r="SOA1060" s="103"/>
      <c r="SOM1060" s="104"/>
      <c r="SON1060" s="103"/>
      <c r="SOZ1060" s="104"/>
      <c r="SPA1060" s="103"/>
      <c r="SPM1060" s="104"/>
      <c r="SPN1060" s="103"/>
      <c r="SPZ1060" s="104"/>
      <c r="SQA1060" s="103"/>
      <c r="SQM1060" s="104"/>
      <c r="SQN1060" s="103"/>
      <c r="SQZ1060" s="104"/>
      <c r="SRA1060" s="103"/>
      <c r="SRM1060" s="104"/>
      <c r="SRN1060" s="103"/>
      <c r="SRZ1060" s="104"/>
      <c r="SSA1060" s="103"/>
      <c r="SSM1060" s="104"/>
      <c r="SSN1060" s="103"/>
      <c r="SSZ1060" s="104"/>
      <c r="STA1060" s="103"/>
      <c r="STM1060" s="104"/>
      <c r="STN1060" s="103"/>
      <c r="STZ1060" s="104"/>
      <c r="SUA1060" s="103"/>
      <c r="SUM1060" s="104"/>
      <c r="SUN1060" s="103"/>
      <c r="SUZ1060" s="104"/>
      <c r="SVA1060" s="103"/>
      <c r="SVM1060" s="104"/>
      <c r="SVN1060" s="103"/>
      <c r="SVZ1060" s="104"/>
      <c r="SWA1060" s="103"/>
      <c r="SWM1060" s="104"/>
      <c r="SWN1060" s="103"/>
      <c r="SWZ1060" s="104"/>
      <c r="SXA1060" s="103"/>
      <c r="SXM1060" s="104"/>
      <c r="SXN1060" s="103"/>
      <c r="SXZ1060" s="104"/>
      <c r="SYA1060" s="103"/>
      <c r="SYM1060" s="104"/>
      <c r="SYN1060" s="103"/>
      <c r="SYZ1060" s="104"/>
      <c r="SZA1060" s="103"/>
      <c r="SZM1060" s="104"/>
      <c r="SZN1060" s="103"/>
      <c r="SZZ1060" s="104"/>
      <c r="TAA1060" s="103"/>
      <c r="TAM1060" s="104"/>
      <c r="TAN1060" s="103"/>
      <c r="TAZ1060" s="104"/>
      <c r="TBA1060" s="103"/>
      <c r="TBM1060" s="104"/>
      <c r="TBN1060" s="103"/>
      <c r="TBZ1060" s="104"/>
      <c r="TCA1060" s="103"/>
      <c r="TCM1060" s="104"/>
      <c r="TCN1060" s="103"/>
      <c r="TCZ1060" s="104"/>
      <c r="TDA1060" s="103"/>
      <c r="TDM1060" s="104"/>
      <c r="TDN1060" s="103"/>
      <c r="TDZ1060" s="104"/>
      <c r="TEA1060" s="103"/>
      <c r="TEM1060" s="104"/>
      <c r="TEN1060" s="103"/>
      <c r="TEZ1060" s="104"/>
      <c r="TFA1060" s="103"/>
      <c r="TFM1060" s="104"/>
      <c r="TFN1060" s="103"/>
      <c r="TFZ1060" s="104"/>
      <c r="TGA1060" s="103"/>
      <c r="TGM1060" s="104"/>
      <c r="TGN1060" s="103"/>
      <c r="TGZ1060" s="104"/>
      <c r="THA1060" s="103"/>
      <c r="THM1060" s="104"/>
      <c r="THN1060" s="103"/>
      <c r="THZ1060" s="104"/>
      <c r="TIA1060" s="103"/>
      <c r="TIM1060" s="104"/>
      <c r="TIN1060" s="103"/>
      <c r="TIZ1060" s="104"/>
      <c r="TJA1060" s="103"/>
      <c r="TJM1060" s="104"/>
      <c r="TJN1060" s="103"/>
      <c r="TJZ1060" s="104"/>
      <c r="TKA1060" s="103"/>
      <c r="TKM1060" s="104"/>
      <c r="TKN1060" s="103"/>
      <c r="TKZ1060" s="104"/>
      <c r="TLA1060" s="103"/>
      <c r="TLM1060" s="104"/>
      <c r="TLN1060" s="103"/>
      <c r="TLZ1060" s="104"/>
      <c r="TMA1060" s="103"/>
      <c r="TMM1060" s="104"/>
      <c r="TMN1060" s="103"/>
      <c r="TMZ1060" s="104"/>
      <c r="TNA1060" s="103"/>
      <c r="TNM1060" s="104"/>
      <c r="TNN1060" s="103"/>
      <c r="TNZ1060" s="104"/>
      <c r="TOA1060" s="103"/>
      <c r="TOM1060" s="104"/>
      <c r="TON1060" s="103"/>
      <c r="TOZ1060" s="104"/>
      <c r="TPA1060" s="103"/>
      <c r="TPM1060" s="104"/>
      <c r="TPN1060" s="103"/>
      <c r="TPZ1060" s="104"/>
      <c r="TQA1060" s="103"/>
      <c r="TQM1060" s="104"/>
      <c r="TQN1060" s="103"/>
      <c r="TQZ1060" s="104"/>
      <c r="TRA1060" s="103"/>
      <c r="TRM1060" s="104"/>
      <c r="TRN1060" s="103"/>
      <c r="TRZ1060" s="104"/>
      <c r="TSA1060" s="103"/>
      <c r="TSM1060" s="104"/>
      <c r="TSN1060" s="103"/>
      <c r="TSZ1060" s="104"/>
      <c r="TTA1060" s="103"/>
      <c r="TTM1060" s="104"/>
      <c r="TTN1060" s="103"/>
      <c r="TTZ1060" s="104"/>
      <c r="TUA1060" s="103"/>
      <c r="TUM1060" s="104"/>
      <c r="TUN1060" s="103"/>
      <c r="TUZ1060" s="104"/>
      <c r="TVA1060" s="103"/>
      <c r="TVM1060" s="104"/>
      <c r="TVN1060" s="103"/>
      <c r="TVZ1060" s="104"/>
      <c r="TWA1060" s="103"/>
      <c r="TWM1060" s="104"/>
      <c r="TWN1060" s="103"/>
      <c r="TWZ1060" s="104"/>
      <c r="TXA1060" s="103"/>
      <c r="TXM1060" s="104"/>
      <c r="TXN1060" s="103"/>
      <c r="TXZ1060" s="104"/>
      <c r="TYA1060" s="103"/>
      <c r="TYM1060" s="104"/>
      <c r="TYN1060" s="103"/>
      <c r="TYZ1060" s="104"/>
      <c r="TZA1060" s="103"/>
      <c r="TZM1060" s="104"/>
      <c r="TZN1060" s="103"/>
      <c r="TZZ1060" s="104"/>
      <c r="UAA1060" s="103"/>
      <c r="UAM1060" s="104"/>
      <c r="UAN1060" s="103"/>
      <c r="UAZ1060" s="104"/>
      <c r="UBA1060" s="103"/>
      <c r="UBM1060" s="104"/>
      <c r="UBN1060" s="103"/>
      <c r="UBZ1060" s="104"/>
      <c r="UCA1060" s="103"/>
      <c r="UCM1060" s="104"/>
      <c r="UCN1060" s="103"/>
      <c r="UCZ1060" s="104"/>
      <c r="UDA1060" s="103"/>
      <c r="UDM1060" s="104"/>
      <c r="UDN1060" s="103"/>
      <c r="UDZ1060" s="104"/>
      <c r="UEA1060" s="103"/>
      <c r="UEM1060" s="104"/>
      <c r="UEN1060" s="103"/>
      <c r="UEZ1060" s="104"/>
      <c r="UFA1060" s="103"/>
      <c r="UFM1060" s="104"/>
      <c r="UFN1060" s="103"/>
      <c r="UFZ1060" s="104"/>
      <c r="UGA1060" s="103"/>
      <c r="UGM1060" s="104"/>
      <c r="UGN1060" s="103"/>
      <c r="UGZ1060" s="104"/>
      <c r="UHA1060" s="103"/>
      <c r="UHM1060" s="104"/>
      <c r="UHN1060" s="103"/>
      <c r="UHZ1060" s="104"/>
      <c r="UIA1060" s="103"/>
      <c r="UIM1060" s="104"/>
      <c r="UIN1060" s="103"/>
      <c r="UIZ1060" s="104"/>
      <c r="UJA1060" s="103"/>
      <c r="UJM1060" s="104"/>
      <c r="UJN1060" s="103"/>
      <c r="UJZ1060" s="104"/>
      <c r="UKA1060" s="103"/>
      <c r="UKM1060" s="104"/>
      <c r="UKN1060" s="103"/>
      <c r="UKZ1060" s="104"/>
      <c r="ULA1060" s="103"/>
      <c r="ULM1060" s="104"/>
      <c r="ULN1060" s="103"/>
      <c r="ULZ1060" s="104"/>
      <c r="UMA1060" s="103"/>
      <c r="UMM1060" s="104"/>
      <c r="UMN1060" s="103"/>
      <c r="UMZ1060" s="104"/>
      <c r="UNA1060" s="103"/>
      <c r="UNM1060" s="104"/>
      <c r="UNN1060" s="103"/>
      <c r="UNZ1060" s="104"/>
      <c r="UOA1060" s="103"/>
      <c r="UOM1060" s="104"/>
      <c r="UON1060" s="103"/>
      <c r="UOZ1060" s="104"/>
      <c r="UPA1060" s="103"/>
      <c r="UPM1060" s="104"/>
      <c r="UPN1060" s="103"/>
      <c r="UPZ1060" s="104"/>
      <c r="UQA1060" s="103"/>
      <c r="UQM1060" s="104"/>
      <c r="UQN1060" s="103"/>
      <c r="UQZ1060" s="104"/>
      <c r="URA1060" s="103"/>
      <c r="URM1060" s="104"/>
      <c r="URN1060" s="103"/>
      <c r="URZ1060" s="104"/>
      <c r="USA1060" s="103"/>
      <c r="USM1060" s="104"/>
      <c r="USN1060" s="103"/>
      <c r="USZ1060" s="104"/>
      <c r="UTA1060" s="103"/>
      <c r="UTM1060" s="104"/>
      <c r="UTN1060" s="103"/>
      <c r="UTZ1060" s="104"/>
      <c r="UUA1060" s="103"/>
      <c r="UUM1060" s="104"/>
      <c r="UUN1060" s="103"/>
      <c r="UUZ1060" s="104"/>
      <c r="UVA1060" s="103"/>
      <c r="UVM1060" s="104"/>
      <c r="UVN1060" s="103"/>
      <c r="UVZ1060" s="104"/>
      <c r="UWA1060" s="103"/>
      <c r="UWM1060" s="104"/>
      <c r="UWN1060" s="103"/>
      <c r="UWZ1060" s="104"/>
      <c r="UXA1060" s="103"/>
      <c r="UXM1060" s="104"/>
      <c r="UXN1060" s="103"/>
      <c r="UXZ1060" s="104"/>
      <c r="UYA1060" s="103"/>
      <c r="UYM1060" s="104"/>
      <c r="UYN1060" s="103"/>
      <c r="UYZ1060" s="104"/>
      <c r="UZA1060" s="103"/>
      <c r="UZM1060" s="104"/>
      <c r="UZN1060" s="103"/>
      <c r="UZZ1060" s="104"/>
      <c r="VAA1060" s="103"/>
      <c r="VAM1060" s="104"/>
      <c r="VAN1060" s="103"/>
      <c r="VAZ1060" s="104"/>
      <c r="VBA1060" s="103"/>
      <c r="VBM1060" s="104"/>
      <c r="VBN1060" s="103"/>
      <c r="VBZ1060" s="104"/>
      <c r="VCA1060" s="103"/>
      <c r="VCM1060" s="104"/>
      <c r="VCN1060" s="103"/>
      <c r="VCZ1060" s="104"/>
      <c r="VDA1060" s="103"/>
      <c r="VDM1060" s="104"/>
      <c r="VDN1060" s="103"/>
      <c r="VDZ1060" s="104"/>
      <c r="VEA1060" s="103"/>
      <c r="VEM1060" s="104"/>
      <c r="VEN1060" s="103"/>
      <c r="VEZ1060" s="104"/>
      <c r="VFA1060" s="103"/>
      <c r="VFM1060" s="104"/>
      <c r="VFN1060" s="103"/>
      <c r="VFZ1060" s="104"/>
      <c r="VGA1060" s="103"/>
      <c r="VGM1060" s="104"/>
      <c r="VGN1060" s="103"/>
      <c r="VGZ1060" s="104"/>
      <c r="VHA1060" s="103"/>
      <c r="VHM1060" s="104"/>
      <c r="VHN1060" s="103"/>
      <c r="VHZ1060" s="104"/>
      <c r="VIA1060" s="103"/>
      <c r="VIM1060" s="104"/>
      <c r="VIN1060" s="103"/>
      <c r="VIZ1060" s="104"/>
      <c r="VJA1060" s="103"/>
      <c r="VJM1060" s="104"/>
      <c r="VJN1060" s="103"/>
      <c r="VJZ1060" s="104"/>
      <c r="VKA1060" s="103"/>
      <c r="VKM1060" s="104"/>
      <c r="VKN1060" s="103"/>
      <c r="VKZ1060" s="104"/>
      <c r="VLA1060" s="103"/>
      <c r="VLM1060" s="104"/>
      <c r="VLN1060" s="103"/>
      <c r="VLZ1060" s="104"/>
      <c r="VMA1060" s="103"/>
      <c r="VMM1060" s="104"/>
      <c r="VMN1060" s="103"/>
      <c r="VMZ1060" s="104"/>
      <c r="VNA1060" s="103"/>
      <c r="VNM1060" s="104"/>
      <c r="VNN1060" s="103"/>
      <c r="VNZ1060" s="104"/>
      <c r="VOA1060" s="103"/>
      <c r="VOM1060" s="104"/>
      <c r="VON1060" s="103"/>
      <c r="VOZ1060" s="104"/>
      <c r="VPA1060" s="103"/>
      <c r="VPM1060" s="104"/>
      <c r="VPN1060" s="103"/>
      <c r="VPZ1060" s="104"/>
      <c r="VQA1060" s="103"/>
      <c r="VQM1060" s="104"/>
      <c r="VQN1060" s="103"/>
      <c r="VQZ1060" s="104"/>
      <c r="VRA1060" s="103"/>
      <c r="VRM1060" s="104"/>
      <c r="VRN1060" s="103"/>
      <c r="VRZ1060" s="104"/>
      <c r="VSA1060" s="103"/>
      <c r="VSM1060" s="104"/>
      <c r="VSN1060" s="103"/>
      <c r="VSZ1060" s="104"/>
      <c r="VTA1060" s="103"/>
      <c r="VTM1060" s="104"/>
      <c r="VTN1060" s="103"/>
      <c r="VTZ1060" s="104"/>
      <c r="VUA1060" s="103"/>
      <c r="VUM1060" s="104"/>
      <c r="VUN1060" s="103"/>
      <c r="VUZ1060" s="104"/>
      <c r="VVA1060" s="103"/>
      <c r="VVM1060" s="104"/>
      <c r="VVN1060" s="103"/>
      <c r="VVZ1060" s="104"/>
      <c r="VWA1060" s="103"/>
      <c r="VWM1060" s="104"/>
      <c r="VWN1060" s="103"/>
      <c r="VWZ1060" s="104"/>
      <c r="VXA1060" s="103"/>
      <c r="VXM1060" s="104"/>
      <c r="VXN1060" s="103"/>
      <c r="VXZ1060" s="104"/>
      <c r="VYA1060" s="103"/>
      <c r="VYM1060" s="104"/>
      <c r="VYN1060" s="103"/>
      <c r="VYZ1060" s="104"/>
      <c r="VZA1060" s="103"/>
      <c r="VZM1060" s="104"/>
      <c r="VZN1060" s="103"/>
      <c r="VZZ1060" s="104"/>
      <c r="WAA1060" s="103"/>
      <c r="WAM1060" s="104"/>
      <c r="WAN1060" s="103"/>
      <c r="WAZ1060" s="104"/>
      <c r="WBA1060" s="103"/>
      <c r="WBM1060" s="104"/>
      <c r="WBN1060" s="103"/>
      <c r="WBZ1060" s="104"/>
      <c r="WCA1060" s="103"/>
      <c r="WCM1060" s="104"/>
      <c r="WCN1060" s="103"/>
      <c r="WCZ1060" s="104"/>
      <c r="WDA1060" s="103"/>
      <c r="WDM1060" s="104"/>
      <c r="WDN1060" s="103"/>
      <c r="WDZ1060" s="104"/>
      <c r="WEA1060" s="103"/>
      <c r="WEM1060" s="104"/>
      <c r="WEN1060" s="103"/>
      <c r="WEZ1060" s="104"/>
      <c r="WFA1060" s="103"/>
      <c r="WFM1060" s="104"/>
      <c r="WFN1060" s="103"/>
      <c r="WFZ1060" s="104"/>
      <c r="WGA1060" s="103"/>
      <c r="WGM1060" s="104"/>
      <c r="WGN1060" s="103"/>
      <c r="WGZ1060" s="104"/>
      <c r="WHA1060" s="103"/>
      <c r="WHM1060" s="104"/>
      <c r="WHN1060" s="103"/>
      <c r="WHZ1060" s="104"/>
      <c r="WIA1060" s="103"/>
      <c r="WIM1060" s="104"/>
      <c r="WIN1060" s="103"/>
      <c r="WIZ1060" s="104"/>
      <c r="WJA1060" s="103"/>
      <c r="WJM1060" s="104"/>
      <c r="WJN1060" s="103"/>
      <c r="WJZ1060" s="104"/>
      <c r="WKA1060" s="103"/>
      <c r="WKM1060" s="104"/>
      <c r="WKN1060" s="103"/>
      <c r="WKZ1060" s="104"/>
      <c r="WLA1060" s="103"/>
      <c r="WLM1060" s="104"/>
      <c r="WLN1060" s="103"/>
      <c r="WLZ1060" s="104"/>
      <c r="WMA1060" s="103"/>
      <c r="WMM1060" s="104"/>
      <c r="WMN1060" s="103"/>
      <c r="WMZ1060" s="104"/>
      <c r="WNA1060" s="103"/>
      <c r="WNM1060" s="104"/>
      <c r="WNN1060" s="103"/>
      <c r="WNZ1060" s="104"/>
      <c r="WOA1060" s="103"/>
      <c r="WOM1060" s="104"/>
      <c r="WON1060" s="103"/>
      <c r="WOZ1060" s="104"/>
      <c r="WPA1060" s="103"/>
      <c r="WPM1060" s="104"/>
      <c r="WPN1060" s="103"/>
      <c r="WPZ1060" s="104"/>
      <c r="WQA1060" s="103"/>
      <c r="WQM1060" s="104"/>
      <c r="WQN1060" s="103"/>
      <c r="WQZ1060" s="104"/>
      <c r="WRA1060" s="103"/>
      <c r="WRM1060" s="104"/>
      <c r="WRN1060" s="103"/>
      <c r="WRZ1060" s="104"/>
      <c r="WSA1060" s="103"/>
      <c r="WSM1060" s="104"/>
      <c r="WSN1060" s="103"/>
      <c r="WSZ1060" s="104"/>
      <c r="WTA1060" s="103"/>
      <c r="WTM1060" s="104"/>
      <c r="WTN1060" s="103"/>
      <c r="WTZ1060" s="104"/>
      <c r="WUA1060" s="103"/>
      <c r="WUM1060" s="104"/>
      <c r="WUN1060" s="103"/>
      <c r="WUZ1060" s="104"/>
      <c r="WVA1060" s="103"/>
      <c r="WVM1060" s="104"/>
      <c r="WVN1060" s="103"/>
      <c r="WVZ1060" s="104"/>
      <c r="WWA1060" s="103"/>
      <c r="WWM1060" s="104"/>
      <c r="WWN1060" s="103"/>
      <c r="WWZ1060" s="104"/>
      <c r="WXA1060" s="103"/>
      <c r="WXM1060" s="104"/>
      <c r="WXN1060" s="103"/>
      <c r="WXZ1060" s="104"/>
      <c r="WYA1060" s="103"/>
      <c r="WYM1060" s="104"/>
      <c r="WYN1060" s="103"/>
      <c r="WYZ1060" s="104"/>
      <c r="WZA1060" s="103"/>
      <c r="WZM1060" s="104"/>
      <c r="WZN1060" s="103"/>
      <c r="WZZ1060" s="104"/>
      <c r="XAA1060" s="103"/>
      <c r="XAM1060" s="104"/>
      <c r="XAN1060" s="103"/>
      <c r="XAZ1060" s="104"/>
      <c r="XBA1060" s="103"/>
      <c r="XBM1060" s="104"/>
      <c r="XBN1060" s="103"/>
      <c r="XBZ1060" s="104"/>
      <c r="XCA1060" s="103"/>
      <c r="XCM1060" s="104"/>
      <c r="XCN1060" s="103"/>
      <c r="XCZ1060" s="104"/>
      <c r="XDA1060" s="103"/>
      <c r="XDM1060" s="104"/>
      <c r="XDN1060" s="103"/>
      <c r="XDZ1060" s="104"/>
      <c r="XEA1060" s="103"/>
      <c r="XEM1060" s="104"/>
      <c r="XEN1060" s="103"/>
      <c r="XEZ1060" s="104"/>
      <c r="XFA1060" s="103"/>
    </row>
    <row r="1061" spans="2:1015 1027:2042 2054:3069 3081:4096 4108:5110 5122:6137 6149:7164 7176:8191 8203:9205 9217:10232 10244:11259 11271:12286 12298:14327 14339:15354 15366:16381">
      <c r="B1061" s="116" t="s">
        <v>90</v>
      </c>
      <c r="C1061" s="112">
        <v>30535</v>
      </c>
      <c r="D1061" s="113">
        <f>C1061*$N$1055</f>
        <v>588.22962820265843</v>
      </c>
      <c r="E1061" s="114"/>
      <c r="F1061" s="114"/>
      <c r="Z1061" s="104"/>
      <c r="AA1061" s="103"/>
      <c r="AM1061" s="104"/>
      <c r="AN1061" s="103"/>
      <c r="AZ1061" s="104"/>
      <c r="BA1061" s="103"/>
      <c r="BM1061" s="104"/>
      <c r="BN1061" s="103"/>
      <c r="BZ1061" s="104"/>
      <c r="CA1061" s="103"/>
      <c r="CM1061" s="104"/>
      <c r="CN1061" s="103"/>
      <c r="CZ1061" s="104"/>
      <c r="DA1061" s="103"/>
      <c r="DM1061" s="104"/>
      <c r="DN1061" s="103"/>
      <c r="DZ1061" s="104"/>
      <c r="EA1061" s="103"/>
      <c r="EM1061" s="104"/>
      <c r="EN1061" s="103"/>
      <c r="EZ1061" s="104"/>
      <c r="FA1061" s="103"/>
      <c r="FM1061" s="104"/>
      <c r="FN1061" s="103"/>
      <c r="FZ1061" s="104"/>
      <c r="GA1061" s="103"/>
      <c r="GM1061" s="104"/>
      <c r="GN1061" s="103"/>
      <c r="GZ1061" s="104"/>
      <c r="HA1061" s="103"/>
      <c r="HM1061" s="104"/>
      <c r="HN1061" s="103"/>
      <c r="HZ1061" s="104"/>
      <c r="IA1061" s="103"/>
      <c r="IM1061" s="104"/>
      <c r="IN1061" s="103"/>
      <c r="IZ1061" s="104"/>
      <c r="JA1061" s="103"/>
      <c r="JM1061" s="104"/>
      <c r="JN1061" s="103"/>
      <c r="JZ1061" s="104"/>
      <c r="KA1061" s="103"/>
      <c r="KM1061" s="104"/>
      <c r="KN1061" s="103"/>
      <c r="KZ1061" s="104"/>
      <c r="LA1061" s="103"/>
      <c r="LM1061" s="104"/>
      <c r="LN1061" s="103"/>
      <c r="LZ1061" s="104"/>
      <c r="MA1061" s="103"/>
      <c r="MM1061" s="104"/>
      <c r="MN1061" s="103"/>
      <c r="MZ1061" s="104"/>
      <c r="NA1061" s="103"/>
      <c r="NM1061" s="104"/>
      <c r="NN1061" s="103"/>
      <c r="NZ1061" s="104"/>
      <c r="OA1061" s="103"/>
      <c r="OM1061" s="104"/>
      <c r="ON1061" s="103"/>
      <c r="OZ1061" s="104"/>
      <c r="PA1061" s="103"/>
      <c r="PM1061" s="104"/>
      <c r="PN1061" s="103"/>
      <c r="PZ1061" s="104"/>
      <c r="QA1061" s="103"/>
      <c r="QM1061" s="104"/>
      <c r="QN1061" s="103"/>
      <c r="QZ1061" s="104"/>
      <c r="RA1061" s="103"/>
      <c r="RM1061" s="104"/>
      <c r="RN1061" s="103"/>
      <c r="RZ1061" s="104"/>
      <c r="SA1061" s="103"/>
      <c r="SM1061" s="104"/>
      <c r="SN1061" s="103"/>
      <c r="SZ1061" s="104"/>
      <c r="TA1061" s="103"/>
      <c r="TM1061" s="104"/>
      <c r="TN1061" s="103"/>
      <c r="TZ1061" s="104"/>
      <c r="UA1061" s="103"/>
      <c r="UM1061" s="104"/>
      <c r="UN1061" s="103"/>
      <c r="UZ1061" s="104"/>
      <c r="VA1061" s="103"/>
      <c r="VM1061" s="104"/>
      <c r="VN1061" s="103"/>
      <c r="VZ1061" s="104"/>
      <c r="WA1061" s="103"/>
      <c r="WM1061" s="104"/>
      <c r="WN1061" s="103"/>
      <c r="WZ1061" s="104"/>
      <c r="XA1061" s="103"/>
      <c r="XM1061" s="104"/>
      <c r="XN1061" s="103"/>
      <c r="XZ1061" s="104"/>
      <c r="YA1061" s="103"/>
      <c r="YM1061" s="104"/>
      <c r="YN1061" s="103"/>
      <c r="YZ1061" s="104"/>
      <c r="ZA1061" s="103"/>
      <c r="ZM1061" s="104"/>
      <c r="ZN1061" s="103"/>
      <c r="ZZ1061" s="104"/>
      <c r="AAA1061" s="103"/>
      <c r="AAM1061" s="104"/>
      <c r="AAN1061" s="103"/>
      <c r="AAZ1061" s="104"/>
      <c r="ABA1061" s="103"/>
      <c r="ABM1061" s="104"/>
      <c r="ABN1061" s="103"/>
      <c r="ABZ1061" s="104"/>
      <c r="ACA1061" s="103"/>
      <c r="ACM1061" s="104"/>
      <c r="ACN1061" s="103"/>
      <c r="ACZ1061" s="104"/>
      <c r="ADA1061" s="103"/>
      <c r="ADM1061" s="104"/>
      <c r="ADN1061" s="103"/>
      <c r="ADZ1061" s="104"/>
      <c r="AEA1061" s="103"/>
      <c r="AEM1061" s="104"/>
      <c r="AEN1061" s="103"/>
      <c r="AEZ1061" s="104"/>
      <c r="AFA1061" s="103"/>
      <c r="AFM1061" s="104"/>
      <c r="AFN1061" s="103"/>
      <c r="AFZ1061" s="104"/>
      <c r="AGA1061" s="103"/>
      <c r="AGM1061" s="104"/>
      <c r="AGN1061" s="103"/>
      <c r="AGZ1061" s="104"/>
      <c r="AHA1061" s="103"/>
      <c r="AHM1061" s="104"/>
      <c r="AHN1061" s="103"/>
      <c r="AHZ1061" s="104"/>
      <c r="AIA1061" s="103"/>
      <c r="AIM1061" s="104"/>
      <c r="AIN1061" s="103"/>
      <c r="AIZ1061" s="104"/>
      <c r="AJA1061" s="103"/>
      <c r="AJM1061" s="104"/>
      <c r="AJN1061" s="103"/>
      <c r="AJZ1061" s="104"/>
      <c r="AKA1061" s="103"/>
      <c r="AKM1061" s="104"/>
      <c r="AKN1061" s="103"/>
      <c r="AKZ1061" s="104"/>
      <c r="ALA1061" s="103"/>
      <c r="ALM1061" s="104"/>
      <c r="ALN1061" s="103"/>
      <c r="ALZ1061" s="104"/>
      <c r="AMA1061" s="103"/>
      <c r="AMM1061" s="104"/>
      <c r="AMN1061" s="103"/>
      <c r="AMZ1061" s="104"/>
      <c r="ANA1061" s="103"/>
      <c r="ANM1061" s="104"/>
      <c r="ANN1061" s="103"/>
      <c r="ANZ1061" s="104"/>
      <c r="AOA1061" s="103"/>
      <c r="AOM1061" s="104"/>
      <c r="AON1061" s="103"/>
      <c r="AOZ1061" s="104"/>
      <c r="APA1061" s="103"/>
      <c r="APM1061" s="104"/>
      <c r="APN1061" s="103"/>
      <c r="APZ1061" s="104"/>
      <c r="AQA1061" s="103"/>
      <c r="AQM1061" s="104"/>
      <c r="AQN1061" s="103"/>
      <c r="AQZ1061" s="104"/>
      <c r="ARA1061" s="103"/>
      <c r="ARM1061" s="104"/>
      <c r="ARN1061" s="103"/>
      <c r="ARZ1061" s="104"/>
      <c r="ASA1061" s="103"/>
      <c r="ASM1061" s="104"/>
      <c r="ASN1061" s="103"/>
      <c r="ASZ1061" s="104"/>
      <c r="ATA1061" s="103"/>
      <c r="ATM1061" s="104"/>
      <c r="ATN1061" s="103"/>
      <c r="ATZ1061" s="104"/>
      <c r="AUA1061" s="103"/>
      <c r="AUM1061" s="104"/>
      <c r="AUN1061" s="103"/>
      <c r="AUZ1061" s="104"/>
      <c r="AVA1061" s="103"/>
      <c r="AVM1061" s="104"/>
      <c r="AVN1061" s="103"/>
      <c r="AVZ1061" s="104"/>
      <c r="AWA1061" s="103"/>
      <c r="AWM1061" s="104"/>
      <c r="AWN1061" s="103"/>
      <c r="AWZ1061" s="104"/>
      <c r="AXA1061" s="103"/>
      <c r="AXM1061" s="104"/>
      <c r="AXN1061" s="103"/>
      <c r="AXZ1061" s="104"/>
      <c r="AYA1061" s="103"/>
      <c r="AYM1061" s="104"/>
      <c r="AYN1061" s="103"/>
      <c r="AYZ1061" s="104"/>
      <c r="AZA1061" s="103"/>
      <c r="AZM1061" s="104"/>
      <c r="AZN1061" s="103"/>
      <c r="AZZ1061" s="104"/>
      <c r="BAA1061" s="103"/>
      <c r="BAM1061" s="104"/>
      <c r="BAN1061" s="103"/>
      <c r="BAZ1061" s="104"/>
      <c r="BBA1061" s="103"/>
      <c r="BBM1061" s="104"/>
      <c r="BBN1061" s="103"/>
      <c r="BBZ1061" s="104"/>
      <c r="BCA1061" s="103"/>
      <c r="BCM1061" s="104"/>
      <c r="BCN1061" s="103"/>
      <c r="BCZ1061" s="104"/>
      <c r="BDA1061" s="103"/>
      <c r="BDM1061" s="104"/>
      <c r="BDN1061" s="103"/>
      <c r="BDZ1061" s="104"/>
      <c r="BEA1061" s="103"/>
      <c r="BEM1061" s="104"/>
      <c r="BEN1061" s="103"/>
      <c r="BEZ1061" s="104"/>
      <c r="BFA1061" s="103"/>
      <c r="BFM1061" s="104"/>
      <c r="BFN1061" s="103"/>
      <c r="BFZ1061" s="104"/>
      <c r="BGA1061" s="103"/>
      <c r="BGM1061" s="104"/>
      <c r="BGN1061" s="103"/>
      <c r="BGZ1061" s="104"/>
      <c r="BHA1061" s="103"/>
      <c r="BHM1061" s="104"/>
      <c r="BHN1061" s="103"/>
      <c r="BHZ1061" s="104"/>
      <c r="BIA1061" s="103"/>
      <c r="BIM1061" s="104"/>
      <c r="BIN1061" s="103"/>
      <c r="BIZ1061" s="104"/>
      <c r="BJA1061" s="103"/>
      <c r="BJM1061" s="104"/>
      <c r="BJN1061" s="103"/>
      <c r="BJZ1061" s="104"/>
      <c r="BKA1061" s="103"/>
      <c r="BKM1061" s="104"/>
      <c r="BKN1061" s="103"/>
      <c r="BKZ1061" s="104"/>
      <c r="BLA1061" s="103"/>
      <c r="BLM1061" s="104"/>
      <c r="BLN1061" s="103"/>
      <c r="BLZ1061" s="104"/>
      <c r="BMA1061" s="103"/>
      <c r="BMM1061" s="104"/>
      <c r="BMN1061" s="103"/>
      <c r="BMZ1061" s="104"/>
      <c r="BNA1061" s="103"/>
      <c r="BNM1061" s="104"/>
      <c r="BNN1061" s="103"/>
      <c r="BNZ1061" s="104"/>
      <c r="BOA1061" s="103"/>
      <c r="BOM1061" s="104"/>
      <c r="BON1061" s="103"/>
      <c r="BOZ1061" s="104"/>
      <c r="BPA1061" s="103"/>
      <c r="BPM1061" s="104"/>
      <c r="BPN1061" s="103"/>
      <c r="BPZ1061" s="104"/>
      <c r="BQA1061" s="103"/>
      <c r="BQM1061" s="104"/>
      <c r="BQN1061" s="103"/>
      <c r="BQZ1061" s="104"/>
      <c r="BRA1061" s="103"/>
      <c r="BRM1061" s="104"/>
      <c r="BRN1061" s="103"/>
      <c r="BRZ1061" s="104"/>
      <c r="BSA1061" s="103"/>
      <c r="BSM1061" s="104"/>
      <c r="BSN1061" s="103"/>
      <c r="BSZ1061" s="104"/>
      <c r="BTA1061" s="103"/>
      <c r="BTM1061" s="104"/>
      <c r="BTN1061" s="103"/>
      <c r="BTZ1061" s="104"/>
      <c r="BUA1061" s="103"/>
      <c r="BUM1061" s="104"/>
      <c r="BUN1061" s="103"/>
      <c r="BUZ1061" s="104"/>
      <c r="BVA1061" s="103"/>
      <c r="BVM1061" s="104"/>
      <c r="BVN1061" s="103"/>
      <c r="BVZ1061" s="104"/>
      <c r="BWA1061" s="103"/>
      <c r="BWM1061" s="104"/>
      <c r="BWN1061" s="103"/>
      <c r="BWZ1061" s="104"/>
      <c r="BXA1061" s="103"/>
      <c r="BXM1061" s="104"/>
      <c r="BXN1061" s="103"/>
      <c r="BXZ1061" s="104"/>
      <c r="BYA1061" s="103"/>
      <c r="BYM1061" s="104"/>
      <c r="BYN1061" s="103"/>
      <c r="BYZ1061" s="104"/>
      <c r="BZA1061" s="103"/>
      <c r="BZM1061" s="104"/>
      <c r="BZN1061" s="103"/>
      <c r="BZZ1061" s="104"/>
      <c r="CAA1061" s="103"/>
      <c r="CAM1061" s="104"/>
      <c r="CAN1061" s="103"/>
      <c r="CAZ1061" s="104"/>
      <c r="CBA1061" s="103"/>
      <c r="CBM1061" s="104"/>
      <c r="CBN1061" s="103"/>
      <c r="CBZ1061" s="104"/>
      <c r="CCA1061" s="103"/>
      <c r="CCM1061" s="104"/>
      <c r="CCN1061" s="103"/>
      <c r="CCZ1061" s="104"/>
      <c r="CDA1061" s="103"/>
      <c r="CDM1061" s="104"/>
      <c r="CDN1061" s="103"/>
      <c r="CDZ1061" s="104"/>
      <c r="CEA1061" s="103"/>
      <c r="CEM1061" s="104"/>
      <c r="CEN1061" s="103"/>
      <c r="CEZ1061" s="104"/>
      <c r="CFA1061" s="103"/>
      <c r="CFM1061" s="104"/>
      <c r="CFN1061" s="103"/>
      <c r="CFZ1061" s="104"/>
      <c r="CGA1061" s="103"/>
      <c r="CGM1061" s="104"/>
      <c r="CGN1061" s="103"/>
      <c r="CGZ1061" s="104"/>
      <c r="CHA1061" s="103"/>
      <c r="CHM1061" s="104"/>
      <c r="CHN1061" s="103"/>
      <c r="CHZ1061" s="104"/>
      <c r="CIA1061" s="103"/>
      <c r="CIM1061" s="104"/>
      <c r="CIN1061" s="103"/>
      <c r="CIZ1061" s="104"/>
      <c r="CJA1061" s="103"/>
      <c r="CJM1061" s="104"/>
      <c r="CJN1061" s="103"/>
      <c r="CJZ1061" s="104"/>
      <c r="CKA1061" s="103"/>
      <c r="CKM1061" s="104"/>
      <c r="CKN1061" s="103"/>
      <c r="CKZ1061" s="104"/>
      <c r="CLA1061" s="103"/>
      <c r="CLM1061" s="104"/>
      <c r="CLN1061" s="103"/>
      <c r="CLZ1061" s="104"/>
      <c r="CMA1061" s="103"/>
      <c r="CMM1061" s="104"/>
      <c r="CMN1061" s="103"/>
      <c r="CMZ1061" s="104"/>
      <c r="CNA1061" s="103"/>
      <c r="CNM1061" s="104"/>
      <c r="CNN1061" s="103"/>
      <c r="CNZ1061" s="104"/>
      <c r="COA1061" s="103"/>
      <c r="COM1061" s="104"/>
      <c r="CON1061" s="103"/>
      <c r="COZ1061" s="104"/>
      <c r="CPA1061" s="103"/>
      <c r="CPM1061" s="104"/>
      <c r="CPN1061" s="103"/>
      <c r="CPZ1061" s="104"/>
      <c r="CQA1061" s="103"/>
      <c r="CQM1061" s="104"/>
      <c r="CQN1061" s="103"/>
      <c r="CQZ1061" s="104"/>
      <c r="CRA1061" s="103"/>
      <c r="CRM1061" s="104"/>
      <c r="CRN1061" s="103"/>
      <c r="CRZ1061" s="104"/>
      <c r="CSA1061" s="103"/>
      <c r="CSM1061" s="104"/>
      <c r="CSN1061" s="103"/>
      <c r="CSZ1061" s="104"/>
      <c r="CTA1061" s="103"/>
      <c r="CTM1061" s="104"/>
      <c r="CTN1061" s="103"/>
      <c r="CTZ1061" s="104"/>
      <c r="CUA1061" s="103"/>
      <c r="CUM1061" s="104"/>
      <c r="CUN1061" s="103"/>
      <c r="CUZ1061" s="104"/>
      <c r="CVA1061" s="103"/>
      <c r="CVM1061" s="104"/>
      <c r="CVN1061" s="103"/>
      <c r="CVZ1061" s="104"/>
      <c r="CWA1061" s="103"/>
      <c r="CWM1061" s="104"/>
      <c r="CWN1061" s="103"/>
      <c r="CWZ1061" s="104"/>
      <c r="CXA1061" s="103"/>
      <c r="CXM1061" s="104"/>
      <c r="CXN1061" s="103"/>
      <c r="CXZ1061" s="104"/>
      <c r="CYA1061" s="103"/>
      <c r="CYM1061" s="104"/>
      <c r="CYN1061" s="103"/>
      <c r="CYZ1061" s="104"/>
      <c r="CZA1061" s="103"/>
      <c r="CZM1061" s="104"/>
      <c r="CZN1061" s="103"/>
      <c r="CZZ1061" s="104"/>
      <c r="DAA1061" s="103"/>
      <c r="DAM1061" s="104"/>
      <c r="DAN1061" s="103"/>
      <c r="DAZ1061" s="104"/>
      <c r="DBA1061" s="103"/>
      <c r="DBM1061" s="104"/>
      <c r="DBN1061" s="103"/>
      <c r="DBZ1061" s="104"/>
      <c r="DCA1061" s="103"/>
      <c r="DCM1061" s="104"/>
      <c r="DCN1061" s="103"/>
      <c r="DCZ1061" s="104"/>
      <c r="DDA1061" s="103"/>
      <c r="DDM1061" s="104"/>
      <c r="DDN1061" s="103"/>
      <c r="DDZ1061" s="104"/>
      <c r="DEA1061" s="103"/>
      <c r="DEM1061" s="104"/>
      <c r="DEN1061" s="103"/>
      <c r="DEZ1061" s="104"/>
      <c r="DFA1061" s="103"/>
      <c r="DFM1061" s="104"/>
      <c r="DFN1061" s="103"/>
      <c r="DFZ1061" s="104"/>
      <c r="DGA1061" s="103"/>
      <c r="DGM1061" s="104"/>
      <c r="DGN1061" s="103"/>
      <c r="DGZ1061" s="104"/>
      <c r="DHA1061" s="103"/>
      <c r="DHM1061" s="104"/>
      <c r="DHN1061" s="103"/>
      <c r="DHZ1061" s="104"/>
      <c r="DIA1061" s="103"/>
      <c r="DIM1061" s="104"/>
      <c r="DIN1061" s="103"/>
      <c r="DIZ1061" s="104"/>
      <c r="DJA1061" s="103"/>
      <c r="DJM1061" s="104"/>
      <c r="DJN1061" s="103"/>
      <c r="DJZ1061" s="104"/>
      <c r="DKA1061" s="103"/>
      <c r="DKM1061" s="104"/>
      <c r="DKN1061" s="103"/>
      <c r="DKZ1061" s="104"/>
      <c r="DLA1061" s="103"/>
      <c r="DLM1061" s="104"/>
      <c r="DLN1061" s="103"/>
      <c r="DLZ1061" s="104"/>
      <c r="DMA1061" s="103"/>
      <c r="DMM1061" s="104"/>
      <c r="DMN1061" s="103"/>
      <c r="DMZ1061" s="104"/>
      <c r="DNA1061" s="103"/>
      <c r="DNM1061" s="104"/>
      <c r="DNN1061" s="103"/>
      <c r="DNZ1061" s="104"/>
      <c r="DOA1061" s="103"/>
      <c r="DOM1061" s="104"/>
      <c r="DON1061" s="103"/>
      <c r="DOZ1061" s="104"/>
      <c r="DPA1061" s="103"/>
      <c r="DPM1061" s="104"/>
      <c r="DPN1061" s="103"/>
      <c r="DPZ1061" s="104"/>
      <c r="DQA1061" s="103"/>
      <c r="DQM1061" s="104"/>
      <c r="DQN1061" s="103"/>
      <c r="DQZ1061" s="104"/>
      <c r="DRA1061" s="103"/>
      <c r="DRM1061" s="104"/>
      <c r="DRN1061" s="103"/>
      <c r="DRZ1061" s="104"/>
      <c r="DSA1061" s="103"/>
      <c r="DSM1061" s="104"/>
      <c r="DSN1061" s="103"/>
      <c r="DSZ1061" s="104"/>
      <c r="DTA1061" s="103"/>
      <c r="DTM1061" s="104"/>
      <c r="DTN1061" s="103"/>
      <c r="DTZ1061" s="104"/>
      <c r="DUA1061" s="103"/>
      <c r="DUM1061" s="104"/>
      <c r="DUN1061" s="103"/>
      <c r="DUZ1061" s="104"/>
      <c r="DVA1061" s="103"/>
      <c r="DVM1061" s="104"/>
      <c r="DVN1061" s="103"/>
      <c r="DVZ1061" s="104"/>
      <c r="DWA1061" s="103"/>
      <c r="DWM1061" s="104"/>
      <c r="DWN1061" s="103"/>
      <c r="DWZ1061" s="104"/>
      <c r="DXA1061" s="103"/>
      <c r="DXM1061" s="104"/>
      <c r="DXN1061" s="103"/>
      <c r="DXZ1061" s="104"/>
      <c r="DYA1061" s="103"/>
      <c r="DYM1061" s="104"/>
      <c r="DYN1061" s="103"/>
      <c r="DYZ1061" s="104"/>
      <c r="DZA1061" s="103"/>
      <c r="DZM1061" s="104"/>
      <c r="DZN1061" s="103"/>
      <c r="DZZ1061" s="104"/>
      <c r="EAA1061" s="103"/>
      <c r="EAM1061" s="104"/>
      <c r="EAN1061" s="103"/>
      <c r="EAZ1061" s="104"/>
      <c r="EBA1061" s="103"/>
      <c r="EBM1061" s="104"/>
      <c r="EBN1061" s="103"/>
      <c r="EBZ1061" s="104"/>
      <c r="ECA1061" s="103"/>
      <c r="ECM1061" s="104"/>
      <c r="ECN1061" s="103"/>
      <c r="ECZ1061" s="104"/>
      <c r="EDA1061" s="103"/>
      <c r="EDM1061" s="104"/>
      <c r="EDN1061" s="103"/>
      <c r="EDZ1061" s="104"/>
      <c r="EEA1061" s="103"/>
      <c r="EEM1061" s="104"/>
      <c r="EEN1061" s="103"/>
      <c r="EEZ1061" s="104"/>
      <c r="EFA1061" s="103"/>
      <c r="EFM1061" s="104"/>
      <c r="EFN1061" s="103"/>
      <c r="EFZ1061" s="104"/>
      <c r="EGA1061" s="103"/>
      <c r="EGM1061" s="104"/>
      <c r="EGN1061" s="103"/>
      <c r="EGZ1061" s="104"/>
      <c r="EHA1061" s="103"/>
      <c r="EHM1061" s="104"/>
      <c r="EHN1061" s="103"/>
      <c r="EHZ1061" s="104"/>
      <c r="EIA1061" s="103"/>
      <c r="EIM1061" s="104"/>
      <c r="EIN1061" s="103"/>
      <c r="EIZ1061" s="104"/>
      <c r="EJA1061" s="103"/>
      <c r="EJM1061" s="104"/>
      <c r="EJN1061" s="103"/>
      <c r="EJZ1061" s="104"/>
      <c r="EKA1061" s="103"/>
      <c r="EKM1061" s="104"/>
      <c r="EKN1061" s="103"/>
      <c r="EKZ1061" s="104"/>
      <c r="ELA1061" s="103"/>
      <c r="ELM1061" s="104"/>
      <c r="ELN1061" s="103"/>
      <c r="ELZ1061" s="104"/>
      <c r="EMA1061" s="103"/>
      <c r="EMM1061" s="104"/>
      <c r="EMN1061" s="103"/>
      <c r="EMZ1061" s="104"/>
      <c r="ENA1061" s="103"/>
      <c r="ENM1061" s="104"/>
      <c r="ENN1061" s="103"/>
      <c r="ENZ1061" s="104"/>
      <c r="EOA1061" s="103"/>
      <c r="EOM1061" s="104"/>
      <c r="EON1061" s="103"/>
      <c r="EOZ1061" s="104"/>
      <c r="EPA1061" s="103"/>
      <c r="EPM1061" s="104"/>
      <c r="EPN1061" s="103"/>
      <c r="EPZ1061" s="104"/>
      <c r="EQA1061" s="103"/>
      <c r="EQM1061" s="104"/>
      <c r="EQN1061" s="103"/>
      <c r="EQZ1061" s="104"/>
      <c r="ERA1061" s="103"/>
      <c r="ERM1061" s="104"/>
      <c r="ERN1061" s="103"/>
      <c r="ERZ1061" s="104"/>
      <c r="ESA1061" s="103"/>
      <c r="ESM1061" s="104"/>
      <c r="ESN1061" s="103"/>
      <c r="ESZ1061" s="104"/>
      <c r="ETA1061" s="103"/>
      <c r="ETM1061" s="104"/>
      <c r="ETN1061" s="103"/>
      <c r="ETZ1061" s="104"/>
      <c r="EUA1061" s="103"/>
      <c r="EUM1061" s="104"/>
      <c r="EUN1061" s="103"/>
      <c r="EUZ1061" s="104"/>
      <c r="EVA1061" s="103"/>
      <c r="EVM1061" s="104"/>
      <c r="EVN1061" s="103"/>
      <c r="EVZ1061" s="104"/>
      <c r="EWA1061" s="103"/>
      <c r="EWM1061" s="104"/>
      <c r="EWN1061" s="103"/>
      <c r="EWZ1061" s="104"/>
      <c r="EXA1061" s="103"/>
      <c r="EXM1061" s="104"/>
      <c r="EXN1061" s="103"/>
      <c r="EXZ1061" s="104"/>
      <c r="EYA1061" s="103"/>
      <c r="EYM1061" s="104"/>
      <c r="EYN1061" s="103"/>
      <c r="EYZ1061" s="104"/>
      <c r="EZA1061" s="103"/>
      <c r="EZM1061" s="104"/>
      <c r="EZN1061" s="103"/>
      <c r="EZZ1061" s="104"/>
      <c r="FAA1061" s="103"/>
      <c r="FAM1061" s="104"/>
      <c r="FAN1061" s="103"/>
      <c r="FAZ1061" s="104"/>
      <c r="FBA1061" s="103"/>
      <c r="FBM1061" s="104"/>
      <c r="FBN1061" s="103"/>
      <c r="FBZ1061" s="104"/>
      <c r="FCA1061" s="103"/>
      <c r="FCM1061" s="104"/>
      <c r="FCN1061" s="103"/>
      <c r="FCZ1061" s="104"/>
      <c r="FDA1061" s="103"/>
      <c r="FDM1061" s="104"/>
      <c r="FDN1061" s="103"/>
      <c r="FDZ1061" s="104"/>
      <c r="FEA1061" s="103"/>
      <c r="FEM1061" s="104"/>
      <c r="FEN1061" s="103"/>
      <c r="FEZ1061" s="104"/>
      <c r="FFA1061" s="103"/>
      <c r="FFM1061" s="104"/>
      <c r="FFN1061" s="103"/>
      <c r="FFZ1061" s="104"/>
      <c r="FGA1061" s="103"/>
      <c r="FGM1061" s="104"/>
      <c r="FGN1061" s="103"/>
      <c r="FGZ1061" s="104"/>
      <c r="FHA1061" s="103"/>
      <c r="FHM1061" s="104"/>
      <c r="FHN1061" s="103"/>
      <c r="FHZ1061" s="104"/>
      <c r="FIA1061" s="103"/>
      <c r="FIM1061" s="104"/>
      <c r="FIN1061" s="103"/>
      <c r="FIZ1061" s="104"/>
      <c r="FJA1061" s="103"/>
      <c r="FJM1061" s="104"/>
      <c r="FJN1061" s="103"/>
      <c r="FJZ1061" s="104"/>
      <c r="FKA1061" s="103"/>
      <c r="FKM1061" s="104"/>
      <c r="FKN1061" s="103"/>
      <c r="FKZ1061" s="104"/>
      <c r="FLA1061" s="103"/>
      <c r="FLM1061" s="104"/>
      <c r="FLN1061" s="103"/>
      <c r="FLZ1061" s="104"/>
      <c r="FMA1061" s="103"/>
      <c r="FMM1061" s="104"/>
      <c r="FMN1061" s="103"/>
      <c r="FMZ1061" s="104"/>
      <c r="FNA1061" s="103"/>
      <c r="FNM1061" s="104"/>
      <c r="FNN1061" s="103"/>
      <c r="FNZ1061" s="104"/>
      <c r="FOA1061" s="103"/>
      <c r="FOM1061" s="104"/>
      <c r="FON1061" s="103"/>
      <c r="FOZ1061" s="104"/>
      <c r="FPA1061" s="103"/>
      <c r="FPM1061" s="104"/>
      <c r="FPN1061" s="103"/>
      <c r="FPZ1061" s="104"/>
      <c r="FQA1061" s="103"/>
      <c r="FQM1061" s="104"/>
      <c r="FQN1061" s="103"/>
      <c r="FQZ1061" s="104"/>
      <c r="FRA1061" s="103"/>
      <c r="FRM1061" s="104"/>
      <c r="FRN1061" s="103"/>
      <c r="FRZ1061" s="104"/>
      <c r="FSA1061" s="103"/>
      <c r="FSM1061" s="104"/>
      <c r="FSN1061" s="103"/>
      <c r="FSZ1061" s="104"/>
      <c r="FTA1061" s="103"/>
      <c r="FTM1061" s="104"/>
      <c r="FTN1061" s="103"/>
      <c r="FTZ1061" s="104"/>
      <c r="FUA1061" s="103"/>
      <c r="FUM1061" s="104"/>
      <c r="FUN1061" s="103"/>
      <c r="FUZ1061" s="104"/>
      <c r="FVA1061" s="103"/>
      <c r="FVM1061" s="104"/>
      <c r="FVN1061" s="103"/>
      <c r="FVZ1061" s="104"/>
      <c r="FWA1061" s="103"/>
      <c r="FWM1061" s="104"/>
      <c r="FWN1061" s="103"/>
      <c r="FWZ1061" s="104"/>
      <c r="FXA1061" s="103"/>
      <c r="FXM1061" s="104"/>
      <c r="FXN1061" s="103"/>
      <c r="FXZ1061" s="104"/>
      <c r="FYA1061" s="103"/>
      <c r="FYM1061" s="104"/>
      <c r="FYN1061" s="103"/>
      <c r="FYZ1061" s="104"/>
      <c r="FZA1061" s="103"/>
      <c r="FZM1061" s="104"/>
      <c r="FZN1061" s="103"/>
      <c r="FZZ1061" s="104"/>
      <c r="GAA1061" s="103"/>
      <c r="GAM1061" s="104"/>
      <c r="GAN1061" s="103"/>
      <c r="GAZ1061" s="104"/>
      <c r="GBA1061" s="103"/>
      <c r="GBM1061" s="104"/>
      <c r="GBN1061" s="103"/>
      <c r="GBZ1061" s="104"/>
      <c r="GCA1061" s="103"/>
      <c r="GCM1061" s="104"/>
      <c r="GCN1061" s="103"/>
      <c r="GCZ1061" s="104"/>
      <c r="GDA1061" s="103"/>
      <c r="GDM1061" s="104"/>
      <c r="GDN1061" s="103"/>
      <c r="GDZ1061" s="104"/>
      <c r="GEA1061" s="103"/>
      <c r="GEM1061" s="104"/>
      <c r="GEN1061" s="103"/>
      <c r="GEZ1061" s="104"/>
      <c r="GFA1061" s="103"/>
      <c r="GFM1061" s="104"/>
      <c r="GFN1061" s="103"/>
      <c r="GFZ1061" s="104"/>
      <c r="GGA1061" s="103"/>
      <c r="GGM1061" s="104"/>
      <c r="GGN1061" s="103"/>
      <c r="GGZ1061" s="104"/>
      <c r="GHA1061" s="103"/>
      <c r="GHM1061" s="104"/>
      <c r="GHN1061" s="103"/>
      <c r="GHZ1061" s="104"/>
      <c r="GIA1061" s="103"/>
      <c r="GIM1061" s="104"/>
      <c r="GIN1061" s="103"/>
      <c r="GIZ1061" s="104"/>
      <c r="GJA1061" s="103"/>
      <c r="GJM1061" s="104"/>
      <c r="GJN1061" s="103"/>
      <c r="GJZ1061" s="104"/>
      <c r="GKA1061" s="103"/>
      <c r="GKM1061" s="104"/>
      <c r="GKN1061" s="103"/>
      <c r="GKZ1061" s="104"/>
      <c r="GLA1061" s="103"/>
      <c r="GLM1061" s="104"/>
      <c r="GLN1061" s="103"/>
      <c r="GLZ1061" s="104"/>
      <c r="GMA1061" s="103"/>
      <c r="GMM1061" s="104"/>
      <c r="GMN1061" s="103"/>
      <c r="GMZ1061" s="104"/>
      <c r="GNA1061" s="103"/>
      <c r="GNM1061" s="104"/>
      <c r="GNN1061" s="103"/>
      <c r="GNZ1061" s="104"/>
      <c r="GOA1061" s="103"/>
      <c r="GOM1061" s="104"/>
      <c r="GON1061" s="103"/>
      <c r="GOZ1061" s="104"/>
      <c r="GPA1061" s="103"/>
      <c r="GPM1061" s="104"/>
      <c r="GPN1061" s="103"/>
      <c r="GPZ1061" s="104"/>
      <c r="GQA1061" s="103"/>
      <c r="GQM1061" s="104"/>
      <c r="GQN1061" s="103"/>
      <c r="GQZ1061" s="104"/>
      <c r="GRA1061" s="103"/>
      <c r="GRM1061" s="104"/>
      <c r="GRN1061" s="103"/>
      <c r="GRZ1061" s="104"/>
      <c r="GSA1061" s="103"/>
      <c r="GSM1061" s="104"/>
      <c r="GSN1061" s="103"/>
      <c r="GSZ1061" s="104"/>
      <c r="GTA1061" s="103"/>
      <c r="GTM1061" s="104"/>
      <c r="GTN1061" s="103"/>
      <c r="GTZ1061" s="104"/>
      <c r="GUA1061" s="103"/>
      <c r="GUM1061" s="104"/>
      <c r="GUN1061" s="103"/>
      <c r="GUZ1061" s="104"/>
      <c r="GVA1061" s="103"/>
      <c r="GVM1061" s="104"/>
      <c r="GVN1061" s="103"/>
      <c r="GVZ1061" s="104"/>
      <c r="GWA1061" s="103"/>
      <c r="GWM1061" s="104"/>
      <c r="GWN1061" s="103"/>
      <c r="GWZ1061" s="104"/>
      <c r="GXA1061" s="103"/>
      <c r="GXM1061" s="104"/>
      <c r="GXN1061" s="103"/>
      <c r="GXZ1061" s="104"/>
      <c r="GYA1061" s="103"/>
      <c r="GYM1061" s="104"/>
      <c r="GYN1061" s="103"/>
      <c r="GYZ1061" s="104"/>
      <c r="GZA1061" s="103"/>
      <c r="GZM1061" s="104"/>
      <c r="GZN1061" s="103"/>
      <c r="GZZ1061" s="104"/>
      <c r="HAA1061" s="103"/>
      <c r="HAM1061" s="104"/>
      <c r="HAN1061" s="103"/>
      <c r="HAZ1061" s="104"/>
      <c r="HBA1061" s="103"/>
      <c r="HBM1061" s="104"/>
      <c r="HBN1061" s="103"/>
      <c r="HBZ1061" s="104"/>
      <c r="HCA1061" s="103"/>
      <c r="HCM1061" s="104"/>
      <c r="HCN1061" s="103"/>
      <c r="HCZ1061" s="104"/>
      <c r="HDA1061" s="103"/>
      <c r="HDM1061" s="104"/>
      <c r="HDN1061" s="103"/>
      <c r="HDZ1061" s="104"/>
      <c r="HEA1061" s="103"/>
      <c r="HEM1061" s="104"/>
      <c r="HEN1061" s="103"/>
      <c r="HEZ1061" s="104"/>
      <c r="HFA1061" s="103"/>
      <c r="HFM1061" s="104"/>
      <c r="HFN1061" s="103"/>
      <c r="HFZ1061" s="104"/>
      <c r="HGA1061" s="103"/>
      <c r="HGM1061" s="104"/>
      <c r="HGN1061" s="103"/>
      <c r="HGZ1061" s="104"/>
      <c r="HHA1061" s="103"/>
      <c r="HHM1061" s="104"/>
      <c r="HHN1061" s="103"/>
      <c r="HHZ1061" s="104"/>
      <c r="HIA1061" s="103"/>
      <c r="HIM1061" s="104"/>
      <c r="HIN1061" s="103"/>
      <c r="HIZ1061" s="104"/>
      <c r="HJA1061" s="103"/>
      <c r="HJM1061" s="104"/>
      <c r="HJN1061" s="103"/>
      <c r="HJZ1061" s="104"/>
      <c r="HKA1061" s="103"/>
      <c r="HKM1061" s="104"/>
      <c r="HKN1061" s="103"/>
      <c r="HKZ1061" s="104"/>
      <c r="HLA1061" s="103"/>
      <c r="HLM1061" s="104"/>
      <c r="HLN1061" s="103"/>
      <c r="HLZ1061" s="104"/>
      <c r="HMA1061" s="103"/>
      <c r="HMM1061" s="104"/>
      <c r="HMN1061" s="103"/>
      <c r="HMZ1061" s="104"/>
      <c r="HNA1061" s="103"/>
      <c r="HNM1061" s="104"/>
      <c r="HNN1061" s="103"/>
      <c r="HNZ1061" s="104"/>
      <c r="HOA1061" s="103"/>
      <c r="HOM1061" s="104"/>
      <c r="HON1061" s="103"/>
      <c r="HOZ1061" s="104"/>
      <c r="HPA1061" s="103"/>
      <c r="HPM1061" s="104"/>
      <c r="HPN1061" s="103"/>
      <c r="HPZ1061" s="104"/>
      <c r="HQA1061" s="103"/>
      <c r="HQM1061" s="104"/>
      <c r="HQN1061" s="103"/>
      <c r="HQZ1061" s="104"/>
      <c r="HRA1061" s="103"/>
      <c r="HRM1061" s="104"/>
      <c r="HRN1061" s="103"/>
      <c r="HRZ1061" s="104"/>
      <c r="HSA1061" s="103"/>
      <c r="HSM1061" s="104"/>
      <c r="HSN1061" s="103"/>
      <c r="HSZ1061" s="104"/>
      <c r="HTA1061" s="103"/>
      <c r="HTM1061" s="104"/>
      <c r="HTN1061" s="103"/>
      <c r="HTZ1061" s="104"/>
      <c r="HUA1061" s="103"/>
      <c r="HUM1061" s="104"/>
      <c r="HUN1061" s="103"/>
      <c r="HUZ1061" s="104"/>
      <c r="HVA1061" s="103"/>
      <c r="HVM1061" s="104"/>
      <c r="HVN1061" s="103"/>
      <c r="HVZ1061" s="104"/>
      <c r="HWA1061" s="103"/>
      <c r="HWM1061" s="104"/>
      <c r="HWN1061" s="103"/>
      <c r="HWZ1061" s="104"/>
      <c r="HXA1061" s="103"/>
      <c r="HXM1061" s="104"/>
      <c r="HXN1061" s="103"/>
      <c r="HXZ1061" s="104"/>
      <c r="HYA1061" s="103"/>
      <c r="HYM1061" s="104"/>
      <c r="HYN1061" s="103"/>
      <c r="HYZ1061" s="104"/>
      <c r="HZA1061" s="103"/>
      <c r="HZM1061" s="104"/>
      <c r="HZN1061" s="103"/>
      <c r="HZZ1061" s="104"/>
      <c r="IAA1061" s="103"/>
      <c r="IAM1061" s="104"/>
      <c r="IAN1061" s="103"/>
      <c r="IAZ1061" s="104"/>
      <c r="IBA1061" s="103"/>
      <c r="IBM1061" s="104"/>
      <c r="IBN1061" s="103"/>
      <c r="IBZ1061" s="104"/>
      <c r="ICA1061" s="103"/>
      <c r="ICM1061" s="104"/>
      <c r="ICN1061" s="103"/>
      <c r="ICZ1061" s="104"/>
      <c r="IDA1061" s="103"/>
      <c r="IDM1061" s="104"/>
      <c r="IDN1061" s="103"/>
      <c r="IDZ1061" s="104"/>
      <c r="IEA1061" s="103"/>
      <c r="IEM1061" s="104"/>
      <c r="IEN1061" s="103"/>
      <c r="IEZ1061" s="104"/>
      <c r="IFA1061" s="103"/>
      <c r="IFM1061" s="104"/>
      <c r="IFN1061" s="103"/>
      <c r="IFZ1061" s="104"/>
      <c r="IGA1061" s="103"/>
      <c r="IGM1061" s="104"/>
      <c r="IGN1061" s="103"/>
      <c r="IGZ1061" s="104"/>
      <c r="IHA1061" s="103"/>
      <c r="IHM1061" s="104"/>
      <c r="IHN1061" s="103"/>
      <c r="IHZ1061" s="104"/>
      <c r="IIA1061" s="103"/>
      <c r="IIM1061" s="104"/>
      <c r="IIN1061" s="103"/>
      <c r="IIZ1061" s="104"/>
      <c r="IJA1061" s="103"/>
      <c r="IJM1061" s="104"/>
      <c r="IJN1061" s="103"/>
      <c r="IJZ1061" s="104"/>
      <c r="IKA1061" s="103"/>
      <c r="IKM1061" s="104"/>
      <c r="IKN1061" s="103"/>
      <c r="IKZ1061" s="104"/>
      <c r="ILA1061" s="103"/>
      <c r="ILM1061" s="104"/>
      <c r="ILN1061" s="103"/>
      <c r="ILZ1061" s="104"/>
      <c r="IMA1061" s="103"/>
      <c r="IMM1061" s="104"/>
      <c r="IMN1061" s="103"/>
      <c r="IMZ1061" s="104"/>
      <c r="INA1061" s="103"/>
      <c r="INM1061" s="104"/>
      <c r="INN1061" s="103"/>
      <c r="INZ1061" s="104"/>
      <c r="IOA1061" s="103"/>
      <c r="IOM1061" s="104"/>
      <c r="ION1061" s="103"/>
      <c r="IOZ1061" s="104"/>
      <c r="IPA1061" s="103"/>
      <c r="IPM1061" s="104"/>
      <c r="IPN1061" s="103"/>
      <c r="IPZ1061" s="104"/>
      <c r="IQA1061" s="103"/>
      <c r="IQM1061" s="104"/>
      <c r="IQN1061" s="103"/>
      <c r="IQZ1061" s="104"/>
      <c r="IRA1061" s="103"/>
      <c r="IRM1061" s="104"/>
      <c r="IRN1061" s="103"/>
      <c r="IRZ1061" s="104"/>
      <c r="ISA1061" s="103"/>
      <c r="ISM1061" s="104"/>
      <c r="ISN1061" s="103"/>
      <c r="ISZ1061" s="104"/>
      <c r="ITA1061" s="103"/>
      <c r="ITM1061" s="104"/>
      <c r="ITN1061" s="103"/>
      <c r="ITZ1061" s="104"/>
      <c r="IUA1061" s="103"/>
      <c r="IUM1061" s="104"/>
      <c r="IUN1061" s="103"/>
      <c r="IUZ1061" s="104"/>
      <c r="IVA1061" s="103"/>
      <c r="IVM1061" s="104"/>
      <c r="IVN1061" s="103"/>
      <c r="IVZ1061" s="104"/>
      <c r="IWA1061" s="103"/>
      <c r="IWM1061" s="104"/>
      <c r="IWN1061" s="103"/>
      <c r="IWZ1061" s="104"/>
      <c r="IXA1061" s="103"/>
      <c r="IXM1061" s="104"/>
      <c r="IXN1061" s="103"/>
      <c r="IXZ1061" s="104"/>
      <c r="IYA1061" s="103"/>
      <c r="IYM1061" s="104"/>
      <c r="IYN1061" s="103"/>
      <c r="IYZ1061" s="104"/>
      <c r="IZA1061" s="103"/>
      <c r="IZM1061" s="104"/>
      <c r="IZN1061" s="103"/>
      <c r="IZZ1061" s="104"/>
      <c r="JAA1061" s="103"/>
      <c r="JAM1061" s="104"/>
      <c r="JAN1061" s="103"/>
      <c r="JAZ1061" s="104"/>
      <c r="JBA1061" s="103"/>
      <c r="JBM1061" s="104"/>
      <c r="JBN1061" s="103"/>
      <c r="JBZ1061" s="104"/>
      <c r="JCA1061" s="103"/>
      <c r="JCM1061" s="104"/>
      <c r="JCN1061" s="103"/>
      <c r="JCZ1061" s="104"/>
      <c r="JDA1061" s="103"/>
      <c r="JDM1061" s="104"/>
      <c r="JDN1061" s="103"/>
      <c r="JDZ1061" s="104"/>
      <c r="JEA1061" s="103"/>
      <c r="JEM1061" s="104"/>
      <c r="JEN1061" s="103"/>
      <c r="JEZ1061" s="104"/>
      <c r="JFA1061" s="103"/>
      <c r="JFM1061" s="104"/>
      <c r="JFN1061" s="103"/>
      <c r="JFZ1061" s="104"/>
      <c r="JGA1061" s="103"/>
      <c r="JGM1061" s="104"/>
      <c r="JGN1061" s="103"/>
      <c r="JGZ1061" s="104"/>
      <c r="JHA1061" s="103"/>
      <c r="JHM1061" s="104"/>
      <c r="JHN1061" s="103"/>
      <c r="JHZ1061" s="104"/>
      <c r="JIA1061" s="103"/>
      <c r="JIM1061" s="104"/>
      <c r="JIN1061" s="103"/>
      <c r="JIZ1061" s="104"/>
      <c r="JJA1061" s="103"/>
      <c r="JJM1061" s="104"/>
      <c r="JJN1061" s="103"/>
      <c r="JJZ1061" s="104"/>
      <c r="JKA1061" s="103"/>
      <c r="JKM1061" s="104"/>
      <c r="JKN1061" s="103"/>
      <c r="JKZ1061" s="104"/>
      <c r="JLA1061" s="103"/>
      <c r="JLM1061" s="104"/>
      <c r="JLN1061" s="103"/>
      <c r="JLZ1061" s="104"/>
      <c r="JMA1061" s="103"/>
      <c r="JMM1061" s="104"/>
      <c r="JMN1061" s="103"/>
      <c r="JMZ1061" s="104"/>
      <c r="JNA1061" s="103"/>
      <c r="JNM1061" s="104"/>
      <c r="JNN1061" s="103"/>
      <c r="JNZ1061" s="104"/>
      <c r="JOA1061" s="103"/>
      <c r="JOM1061" s="104"/>
      <c r="JON1061" s="103"/>
      <c r="JOZ1061" s="104"/>
      <c r="JPA1061" s="103"/>
      <c r="JPM1061" s="104"/>
      <c r="JPN1061" s="103"/>
      <c r="JPZ1061" s="104"/>
      <c r="JQA1061" s="103"/>
      <c r="JQM1061" s="104"/>
      <c r="JQN1061" s="103"/>
      <c r="JQZ1061" s="104"/>
      <c r="JRA1061" s="103"/>
      <c r="JRM1061" s="104"/>
      <c r="JRN1061" s="103"/>
      <c r="JRZ1061" s="104"/>
      <c r="JSA1061" s="103"/>
      <c r="JSM1061" s="104"/>
      <c r="JSN1061" s="103"/>
      <c r="JSZ1061" s="104"/>
      <c r="JTA1061" s="103"/>
      <c r="JTM1061" s="104"/>
      <c r="JTN1061" s="103"/>
      <c r="JTZ1061" s="104"/>
      <c r="JUA1061" s="103"/>
      <c r="JUM1061" s="104"/>
      <c r="JUN1061" s="103"/>
      <c r="JUZ1061" s="104"/>
      <c r="JVA1061" s="103"/>
      <c r="JVM1061" s="104"/>
      <c r="JVN1061" s="103"/>
      <c r="JVZ1061" s="104"/>
      <c r="JWA1061" s="103"/>
      <c r="JWM1061" s="104"/>
      <c r="JWN1061" s="103"/>
      <c r="JWZ1061" s="104"/>
      <c r="JXA1061" s="103"/>
      <c r="JXM1061" s="104"/>
      <c r="JXN1061" s="103"/>
      <c r="JXZ1061" s="104"/>
      <c r="JYA1061" s="103"/>
      <c r="JYM1061" s="104"/>
      <c r="JYN1061" s="103"/>
      <c r="JYZ1061" s="104"/>
      <c r="JZA1061" s="103"/>
      <c r="JZM1061" s="104"/>
      <c r="JZN1061" s="103"/>
      <c r="JZZ1061" s="104"/>
      <c r="KAA1061" s="103"/>
      <c r="KAM1061" s="104"/>
      <c r="KAN1061" s="103"/>
      <c r="KAZ1061" s="104"/>
      <c r="KBA1061" s="103"/>
      <c r="KBM1061" s="104"/>
      <c r="KBN1061" s="103"/>
      <c r="KBZ1061" s="104"/>
      <c r="KCA1061" s="103"/>
      <c r="KCM1061" s="104"/>
      <c r="KCN1061" s="103"/>
      <c r="KCZ1061" s="104"/>
      <c r="KDA1061" s="103"/>
      <c r="KDM1061" s="104"/>
      <c r="KDN1061" s="103"/>
      <c r="KDZ1061" s="104"/>
      <c r="KEA1061" s="103"/>
      <c r="KEM1061" s="104"/>
      <c r="KEN1061" s="103"/>
      <c r="KEZ1061" s="104"/>
      <c r="KFA1061" s="103"/>
      <c r="KFM1061" s="104"/>
      <c r="KFN1061" s="103"/>
      <c r="KFZ1061" s="104"/>
      <c r="KGA1061" s="103"/>
      <c r="KGM1061" s="104"/>
      <c r="KGN1061" s="103"/>
      <c r="KGZ1061" s="104"/>
      <c r="KHA1061" s="103"/>
      <c r="KHM1061" s="104"/>
      <c r="KHN1061" s="103"/>
      <c r="KHZ1061" s="104"/>
      <c r="KIA1061" s="103"/>
      <c r="KIM1061" s="104"/>
      <c r="KIN1061" s="103"/>
      <c r="KIZ1061" s="104"/>
      <c r="KJA1061" s="103"/>
      <c r="KJM1061" s="104"/>
      <c r="KJN1061" s="103"/>
      <c r="KJZ1061" s="104"/>
      <c r="KKA1061" s="103"/>
      <c r="KKM1061" s="104"/>
      <c r="KKN1061" s="103"/>
      <c r="KKZ1061" s="104"/>
      <c r="KLA1061" s="103"/>
      <c r="KLM1061" s="104"/>
      <c r="KLN1061" s="103"/>
      <c r="KLZ1061" s="104"/>
      <c r="KMA1061" s="103"/>
      <c r="KMM1061" s="104"/>
      <c r="KMN1061" s="103"/>
      <c r="KMZ1061" s="104"/>
      <c r="KNA1061" s="103"/>
      <c r="KNM1061" s="104"/>
      <c r="KNN1061" s="103"/>
      <c r="KNZ1061" s="104"/>
      <c r="KOA1061" s="103"/>
      <c r="KOM1061" s="104"/>
      <c r="KON1061" s="103"/>
      <c r="KOZ1061" s="104"/>
      <c r="KPA1061" s="103"/>
      <c r="KPM1061" s="104"/>
      <c r="KPN1061" s="103"/>
      <c r="KPZ1061" s="104"/>
      <c r="KQA1061" s="103"/>
      <c r="KQM1061" s="104"/>
      <c r="KQN1061" s="103"/>
      <c r="KQZ1061" s="104"/>
      <c r="KRA1061" s="103"/>
      <c r="KRM1061" s="104"/>
      <c r="KRN1061" s="103"/>
      <c r="KRZ1061" s="104"/>
      <c r="KSA1061" s="103"/>
      <c r="KSM1061" s="104"/>
      <c r="KSN1061" s="103"/>
      <c r="KSZ1061" s="104"/>
      <c r="KTA1061" s="103"/>
      <c r="KTM1061" s="104"/>
      <c r="KTN1061" s="103"/>
      <c r="KTZ1061" s="104"/>
      <c r="KUA1061" s="103"/>
      <c r="KUM1061" s="104"/>
      <c r="KUN1061" s="103"/>
      <c r="KUZ1061" s="104"/>
      <c r="KVA1061" s="103"/>
      <c r="KVM1061" s="104"/>
      <c r="KVN1061" s="103"/>
      <c r="KVZ1061" s="104"/>
      <c r="KWA1061" s="103"/>
      <c r="KWM1061" s="104"/>
      <c r="KWN1061" s="103"/>
      <c r="KWZ1061" s="104"/>
      <c r="KXA1061" s="103"/>
      <c r="KXM1061" s="104"/>
      <c r="KXN1061" s="103"/>
      <c r="KXZ1061" s="104"/>
      <c r="KYA1061" s="103"/>
      <c r="KYM1061" s="104"/>
      <c r="KYN1061" s="103"/>
      <c r="KYZ1061" s="104"/>
      <c r="KZA1061" s="103"/>
      <c r="KZM1061" s="104"/>
      <c r="KZN1061" s="103"/>
      <c r="KZZ1061" s="104"/>
      <c r="LAA1061" s="103"/>
      <c r="LAM1061" s="104"/>
      <c r="LAN1061" s="103"/>
      <c r="LAZ1061" s="104"/>
      <c r="LBA1061" s="103"/>
      <c r="LBM1061" s="104"/>
      <c r="LBN1061" s="103"/>
      <c r="LBZ1061" s="104"/>
      <c r="LCA1061" s="103"/>
      <c r="LCM1061" s="104"/>
      <c r="LCN1061" s="103"/>
      <c r="LCZ1061" s="104"/>
      <c r="LDA1061" s="103"/>
      <c r="LDM1061" s="104"/>
      <c r="LDN1061" s="103"/>
      <c r="LDZ1061" s="104"/>
      <c r="LEA1061" s="103"/>
      <c r="LEM1061" s="104"/>
      <c r="LEN1061" s="103"/>
      <c r="LEZ1061" s="104"/>
      <c r="LFA1061" s="103"/>
      <c r="LFM1061" s="104"/>
      <c r="LFN1061" s="103"/>
      <c r="LFZ1061" s="104"/>
      <c r="LGA1061" s="103"/>
      <c r="LGM1061" s="104"/>
      <c r="LGN1061" s="103"/>
      <c r="LGZ1061" s="104"/>
      <c r="LHA1061" s="103"/>
      <c r="LHM1061" s="104"/>
      <c r="LHN1061" s="103"/>
      <c r="LHZ1061" s="104"/>
      <c r="LIA1061" s="103"/>
      <c r="LIM1061" s="104"/>
      <c r="LIN1061" s="103"/>
      <c r="LIZ1061" s="104"/>
      <c r="LJA1061" s="103"/>
      <c r="LJM1061" s="104"/>
      <c r="LJN1061" s="103"/>
      <c r="LJZ1061" s="104"/>
      <c r="LKA1061" s="103"/>
      <c r="LKM1061" s="104"/>
      <c r="LKN1061" s="103"/>
      <c r="LKZ1061" s="104"/>
      <c r="LLA1061" s="103"/>
      <c r="LLM1061" s="104"/>
      <c r="LLN1061" s="103"/>
      <c r="LLZ1061" s="104"/>
      <c r="LMA1061" s="103"/>
      <c r="LMM1061" s="104"/>
      <c r="LMN1061" s="103"/>
      <c r="LMZ1061" s="104"/>
      <c r="LNA1061" s="103"/>
      <c r="LNM1061" s="104"/>
      <c r="LNN1061" s="103"/>
      <c r="LNZ1061" s="104"/>
      <c r="LOA1061" s="103"/>
      <c r="LOM1061" s="104"/>
      <c r="LON1061" s="103"/>
      <c r="LOZ1061" s="104"/>
      <c r="LPA1061" s="103"/>
      <c r="LPM1061" s="104"/>
      <c r="LPN1061" s="103"/>
      <c r="LPZ1061" s="104"/>
      <c r="LQA1061" s="103"/>
      <c r="LQM1061" s="104"/>
      <c r="LQN1061" s="103"/>
      <c r="LQZ1061" s="104"/>
      <c r="LRA1061" s="103"/>
      <c r="LRM1061" s="104"/>
      <c r="LRN1061" s="103"/>
      <c r="LRZ1061" s="104"/>
      <c r="LSA1061" s="103"/>
      <c r="LSM1061" s="104"/>
      <c r="LSN1061" s="103"/>
      <c r="LSZ1061" s="104"/>
      <c r="LTA1061" s="103"/>
      <c r="LTM1061" s="104"/>
      <c r="LTN1061" s="103"/>
      <c r="LTZ1061" s="104"/>
      <c r="LUA1061" s="103"/>
      <c r="LUM1061" s="104"/>
      <c r="LUN1061" s="103"/>
      <c r="LUZ1061" s="104"/>
      <c r="LVA1061" s="103"/>
      <c r="LVM1061" s="104"/>
      <c r="LVN1061" s="103"/>
      <c r="LVZ1061" s="104"/>
      <c r="LWA1061" s="103"/>
      <c r="LWM1061" s="104"/>
      <c r="LWN1061" s="103"/>
      <c r="LWZ1061" s="104"/>
      <c r="LXA1061" s="103"/>
      <c r="LXM1061" s="104"/>
      <c r="LXN1061" s="103"/>
      <c r="LXZ1061" s="104"/>
      <c r="LYA1061" s="103"/>
      <c r="LYM1061" s="104"/>
      <c r="LYN1061" s="103"/>
      <c r="LYZ1061" s="104"/>
      <c r="LZA1061" s="103"/>
      <c r="LZM1061" s="104"/>
      <c r="LZN1061" s="103"/>
      <c r="LZZ1061" s="104"/>
      <c r="MAA1061" s="103"/>
      <c r="MAM1061" s="104"/>
      <c r="MAN1061" s="103"/>
      <c r="MAZ1061" s="104"/>
      <c r="MBA1061" s="103"/>
      <c r="MBM1061" s="104"/>
      <c r="MBN1061" s="103"/>
      <c r="MBZ1061" s="104"/>
      <c r="MCA1061" s="103"/>
      <c r="MCM1061" s="104"/>
      <c r="MCN1061" s="103"/>
      <c r="MCZ1061" s="104"/>
      <c r="MDA1061" s="103"/>
      <c r="MDM1061" s="104"/>
      <c r="MDN1061" s="103"/>
      <c r="MDZ1061" s="104"/>
      <c r="MEA1061" s="103"/>
      <c r="MEM1061" s="104"/>
      <c r="MEN1061" s="103"/>
      <c r="MEZ1061" s="104"/>
      <c r="MFA1061" s="103"/>
      <c r="MFM1061" s="104"/>
      <c r="MFN1061" s="103"/>
      <c r="MFZ1061" s="104"/>
      <c r="MGA1061" s="103"/>
      <c r="MGM1061" s="104"/>
      <c r="MGN1061" s="103"/>
      <c r="MGZ1061" s="104"/>
      <c r="MHA1061" s="103"/>
      <c r="MHM1061" s="104"/>
      <c r="MHN1061" s="103"/>
      <c r="MHZ1061" s="104"/>
      <c r="MIA1061" s="103"/>
      <c r="MIM1061" s="104"/>
      <c r="MIN1061" s="103"/>
      <c r="MIZ1061" s="104"/>
      <c r="MJA1061" s="103"/>
      <c r="MJM1061" s="104"/>
      <c r="MJN1061" s="103"/>
      <c r="MJZ1061" s="104"/>
      <c r="MKA1061" s="103"/>
      <c r="MKM1061" s="104"/>
      <c r="MKN1061" s="103"/>
      <c r="MKZ1061" s="104"/>
      <c r="MLA1061" s="103"/>
      <c r="MLM1061" s="104"/>
      <c r="MLN1061" s="103"/>
      <c r="MLZ1061" s="104"/>
      <c r="MMA1061" s="103"/>
      <c r="MMM1061" s="104"/>
      <c r="MMN1061" s="103"/>
      <c r="MMZ1061" s="104"/>
      <c r="MNA1061" s="103"/>
      <c r="MNM1061" s="104"/>
      <c r="MNN1061" s="103"/>
      <c r="MNZ1061" s="104"/>
      <c r="MOA1061" s="103"/>
      <c r="MOM1061" s="104"/>
      <c r="MON1061" s="103"/>
      <c r="MOZ1061" s="104"/>
      <c r="MPA1061" s="103"/>
      <c r="MPM1061" s="104"/>
      <c r="MPN1061" s="103"/>
      <c r="MPZ1061" s="104"/>
      <c r="MQA1061" s="103"/>
      <c r="MQM1061" s="104"/>
      <c r="MQN1061" s="103"/>
      <c r="MQZ1061" s="104"/>
      <c r="MRA1061" s="103"/>
      <c r="MRM1061" s="104"/>
      <c r="MRN1061" s="103"/>
      <c r="MRZ1061" s="104"/>
      <c r="MSA1061" s="103"/>
      <c r="MSM1061" s="104"/>
      <c r="MSN1061" s="103"/>
      <c r="MSZ1061" s="104"/>
      <c r="MTA1061" s="103"/>
      <c r="MTM1061" s="104"/>
      <c r="MTN1061" s="103"/>
      <c r="MTZ1061" s="104"/>
      <c r="MUA1061" s="103"/>
      <c r="MUM1061" s="104"/>
      <c r="MUN1061" s="103"/>
      <c r="MUZ1061" s="104"/>
      <c r="MVA1061" s="103"/>
      <c r="MVM1061" s="104"/>
      <c r="MVN1061" s="103"/>
      <c r="MVZ1061" s="104"/>
      <c r="MWA1061" s="103"/>
      <c r="MWM1061" s="104"/>
      <c r="MWN1061" s="103"/>
      <c r="MWZ1061" s="104"/>
      <c r="MXA1061" s="103"/>
      <c r="MXM1061" s="104"/>
      <c r="MXN1061" s="103"/>
      <c r="MXZ1061" s="104"/>
      <c r="MYA1061" s="103"/>
      <c r="MYM1061" s="104"/>
      <c r="MYN1061" s="103"/>
      <c r="MYZ1061" s="104"/>
      <c r="MZA1061" s="103"/>
      <c r="MZM1061" s="104"/>
      <c r="MZN1061" s="103"/>
      <c r="MZZ1061" s="104"/>
      <c r="NAA1061" s="103"/>
      <c r="NAM1061" s="104"/>
      <c r="NAN1061" s="103"/>
      <c r="NAZ1061" s="104"/>
      <c r="NBA1061" s="103"/>
      <c r="NBM1061" s="104"/>
      <c r="NBN1061" s="103"/>
      <c r="NBZ1061" s="104"/>
      <c r="NCA1061" s="103"/>
      <c r="NCM1061" s="104"/>
      <c r="NCN1061" s="103"/>
      <c r="NCZ1061" s="104"/>
      <c r="NDA1061" s="103"/>
      <c r="NDM1061" s="104"/>
      <c r="NDN1061" s="103"/>
      <c r="NDZ1061" s="104"/>
      <c r="NEA1061" s="103"/>
      <c r="NEM1061" s="104"/>
      <c r="NEN1061" s="103"/>
      <c r="NEZ1061" s="104"/>
      <c r="NFA1061" s="103"/>
      <c r="NFM1061" s="104"/>
      <c r="NFN1061" s="103"/>
      <c r="NFZ1061" s="104"/>
      <c r="NGA1061" s="103"/>
      <c r="NGM1061" s="104"/>
      <c r="NGN1061" s="103"/>
      <c r="NGZ1061" s="104"/>
      <c r="NHA1061" s="103"/>
      <c r="NHM1061" s="104"/>
      <c r="NHN1061" s="103"/>
      <c r="NHZ1061" s="104"/>
      <c r="NIA1061" s="103"/>
      <c r="NIM1061" s="104"/>
      <c r="NIN1061" s="103"/>
      <c r="NIZ1061" s="104"/>
      <c r="NJA1061" s="103"/>
      <c r="NJM1061" s="104"/>
      <c r="NJN1061" s="103"/>
      <c r="NJZ1061" s="104"/>
      <c r="NKA1061" s="103"/>
      <c r="NKM1061" s="104"/>
      <c r="NKN1061" s="103"/>
      <c r="NKZ1061" s="104"/>
      <c r="NLA1061" s="103"/>
      <c r="NLM1061" s="104"/>
      <c r="NLN1061" s="103"/>
      <c r="NLZ1061" s="104"/>
      <c r="NMA1061" s="103"/>
      <c r="NMM1061" s="104"/>
      <c r="NMN1061" s="103"/>
      <c r="NMZ1061" s="104"/>
      <c r="NNA1061" s="103"/>
      <c r="NNM1061" s="104"/>
      <c r="NNN1061" s="103"/>
      <c r="NNZ1061" s="104"/>
      <c r="NOA1061" s="103"/>
      <c r="NOM1061" s="104"/>
      <c r="NON1061" s="103"/>
      <c r="NOZ1061" s="104"/>
      <c r="NPA1061" s="103"/>
      <c r="NPM1061" s="104"/>
      <c r="NPN1061" s="103"/>
      <c r="NPZ1061" s="104"/>
      <c r="NQA1061" s="103"/>
      <c r="NQM1061" s="104"/>
      <c r="NQN1061" s="103"/>
      <c r="NQZ1061" s="104"/>
      <c r="NRA1061" s="103"/>
      <c r="NRM1061" s="104"/>
      <c r="NRN1061" s="103"/>
      <c r="NRZ1061" s="104"/>
      <c r="NSA1061" s="103"/>
      <c r="NSM1061" s="104"/>
      <c r="NSN1061" s="103"/>
      <c r="NSZ1061" s="104"/>
      <c r="NTA1061" s="103"/>
      <c r="NTM1061" s="104"/>
      <c r="NTN1061" s="103"/>
      <c r="NTZ1061" s="104"/>
      <c r="NUA1061" s="103"/>
      <c r="NUM1061" s="104"/>
      <c r="NUN1061" s="103"/>
      <c r="NUZ1061" s="104"/>
      <c r="NVA1061" s="103"/>
      <c r="NVM1061" s="104"/>
      <c r="NVN1061" s="103"/>
      <c r="NVZ1061" s="104"/>
      <c r="NWA1061" s="103"/>
      <c r="NWM1061" s="104"/>
      <c r="NWN1061" s="103"/>
      <c r="NWZ1061" s="104"/>
      <c r="NXA1061" s="103"/>
      <c r="NXM1061" s="104"/>
      <c r="NXN1061" s="103"/>
      <c r="NXZ1061" s="104"/>
      <c r="NYA1061" s="103"/>
      <c r="NYM1061" s="104"/>
      <c r="NYN1061" s="103"/>
      <c r="NYZ1061" s="104"/>
      <c r="NZA1061" s="103"/>
      <c r="NZM1061" s="104"/>
      <c r="NZN1061" s="103"/>
      <c r="NZZ1061" s="104"/>
      <c r="OAA1061" s="103"/>
      <c r="OAM1061" s="104"/>
      <c r="OAN1061" s="103"/>
      <c r="OAZ1061" s="104"/>
      <c r="OBA1061" s="103"/>
      <c r="OBM1061" s="104"/>
      <c r="OBN1061" s="103"/>
      <c r="OBZ1061" s="104"/>
      <c r="OCA1061" s="103"/>
      <c r="OCM1061" s="104"/>
      <c r="OCN1061" s="103"/>
      <c r="OCZ1061" s="104"/>
      <c r="ODA1061" s="103"/>
      <c r="ODM1061" s="104"/>
      <c r="ODN1061" s="103"/>
      <c r="ODZ1061" s="104"/>
      <c r="OEA1061" s="103"/>
      <c r="OEM1061" s="104"/>
      <c r="OEN1061" s="103"/>
      <c r="OEZ1061" s="104"/>
      <c r="OFA1061" s="103"/>
      <c r="OFM1061" s="104"/>
      <c r="OFN1061" s="103"/>
      <c r="OFZ1061" s="104"/>
      <c r="OGA1061" s="103"/>
      <c r="OGM1061" s="104"/>
      <c r="OGN1061" s="103"/>
      <c r="OGZ1061" s="104"/>
      <c r="OHA1061" s="103"/>
      <c r="OHM1061" s="104"/>
      <c r="OHN1061" s="103"/>
      <c r="OHZ1061" s="104"/>
      <c r="OIA1061" s="103"/>
      <c r="OIM1061" s="104"/>
      <c r="OIN1061" s="103"/>
      <c r="OIZ1061" s="104"/>
      <c r="OJA1061" s="103"/>
      <c r="OJM1061" s="104"/>
      <c r="OJN1061" s="103"/>
      <c r="OJZ1061" s="104"/>
      <c r="OKA1061" s="103"/>
      <c r="OKM1061" s="104"/>
      <c r="OKN1061" s="103"/>
      <c r="OKZ1061" s="104"/>
      <c r="OLA1061" s="103"/>
      <c r="OLM1061" s="104"/>
      <c r="OLN1061" s="103"/>
      <c r="OLZ1061" s="104"/>
      <c r="OMA1061" s="103"/>
      <c r="OMM1061" s="104"/>
      <c r="OMN1061" s="103"/>
      <c r="OMZ1061" s="104"/>
      <c r="ONA1061" s="103"/>
      <c r="ONM1061" s="104"/>
      <c r="ONN1061" s="103"/>
      <c r="ONZ1061" s="104"/>
      <c r="OOA1061" s="103"/>
      <c r="OOM1061" s="104"/>
      <c r="OON1061" s="103"/>
      <c r="OOZ1061" s="104"/>
      <c r="OPA1061" s="103"/>
      <c r="OPM1061" s="104"/>
      <c r="OPN1061" s="103"/>
      <c r="OPZ1061" s="104"/>
      <c r="OQA1061" s="103"/>
      <c r="OQM1061" s="104"/>
      <c r="OQN1061" s="103"/>
      <c r="OQZ1061" s="104"/>
      <c r="ORA1061" s="103"/>
      <c r="ORM1061" s="104"/>
      <c r="ORN1061" s="103"/>
      <c r="ORZ1061" s="104"/>
      <c r="OSA1061" s="103"/>
      <c r="OSM1061" s="104"/>
      <c r="OSN1061" s="103"/>
      <c r="OSZ1061" s="104"/>
      <c r="OTA1061" s="103"/>
      <c r="OTM1061" s="104"/>
      <c r="OTN1061" s="103"/>
      <c r="OTZ1061" s="104"/>
      <c r="OUA1061" s="103"/>
      <c r="OUM1061" s="104"/>
      <c r="OUN1061" s="103"/>
      <c r="OUZ1061" s="104"/>
      <c r="OVA1061" s="103"/>
      <c r="OVM1061" s="104"/>
      <c r="OVN1061" s="103"/>
      <c r="OVZ1061" s="104"/>
      <c r="OWA1061" s="103"/>
      <c r="OWM1061" s="104"/>
      <c r="OWN1061" s="103"/>
      <c r="OWZ1061" s="104"/>
      <c r="OXA1061" s="103"/>
      <c r="OXM1061" s="104"/>
      <c r="OXN1061" s="103"/>
      <c r="OXZ1061" s="104"/>
      <c r="OYA1061" s="103"/>
      <c r="OYM1061" s="104"/>
      <c r="OYN1061" s="103"/>
      <c r="OYZ1061" s="104"/>
      <c r="OZA1061" s="103"/>
      <c r="OZM1061" s="104"/>
      <c r="OZN1061" s="103"/>
      <c r="OZZ1061" s="104"/>
      <c r="PAA1061" s="103"/>
      <c r="PAM1061" s="104"/>
      <c r="PAN1061" s="103"/>
      <c r="PAZ1061" s="104"/>
      <c r="PBA1061" s="103"/>
      <c r="PBM1061" s="104"/>
      <c r="PBN1061" s="103"/>
      <c r="PBZ1061" s="104"/>
      <c r="PCA1061" s="103"/>
      <c r="PCM1061" s="104"/>
      <c r="PCN1061" s="103"/>
      <c r="PCZ1061" s="104"/>
      <c r="PDA1061" s="103"/>
      <c r="PDM1061" s="104"/>
      <c r="PDN1061" s="103"/>
      <c r="PDZ1061" s="104"/>
      <c r="PEA1061" s="103"/>
      <c r="PEM1061" s="104"/>
      <c r="PEN1061" s="103"/>
      <c r="PEZ1061" s="104"/>
      <c r="PFA1061" s="103"/>
      <c r="PFM1061" s="104"/>
      <c r="PFN1061" s="103"/>
      <c r="PFZ1061" s="104"/>
      <c r="PGA1061" s="103"/>
      <c r="PGM1061" s="104"/>
      <c r="PGN1061" s="103"/>
      <c r="PGZ1061" s="104"/>
      <c r="PHA1061" s="103"/>
      <c r="PHM1061" s="104"/>
      <c r="PHN1061" s="103"/>
      <c r="PHZ1061" s="104"/>
      <c r="PIA1061" s="103"/>
      <c r="PIM1061" s="104"/>
      <c r="PIN1061" s="103"/>
      <c r="PIZ1061" s="104"/>
      <c r="PJA1061" s="103"/>
      <c r="PJM1061" s="104"/>
      <c r="PJN1061" s="103"/>
      <c r="PJZ1061" s="104"/>
      <c r="PKA1061" s="103"/>
      <c r="PKM1061" s="104"/>
      <c r="PKN1061" s="103"/>
      <c r="PKZ1061" s="104"/>
      <c r="PLA1061" s="103"/>
      <c r="PLM1061" s="104"/>
      <c r="PLN1061" s="103"/>
      <c r="PLZ1061" s="104"/>
      <c r="PMA1061" s="103"/>
      <c r="PMM1061" s="104"/>
      <c r="PMN1061" s="103"/>
      <c r="PMZ1061" s="104"/>
      <c r="PNA1061" s="103"/>
      <c r="PNM1061" s="104"/>
      <c r="PNN1061" s="103"/>
      <c r="PNZ1061" s="104"/>
      <c r="POA1061" s="103"/>
      <c r="POM1061" s="104"/>
      <c r="PON1061" s="103"/>
      <c r="POZ1061" s="104"/>
      <c r="PPA1061" s="103"/>
      <c r="PPM1061" s="104"/>
      <c r="PPN1061" s="103"/>
      <c r="PPZ1061" s="104"/>
      <c r="PQA1061" s="103"/>
      <c r="PQM1061" s="104"/>
      <c r="PQN1061" s="103"/>
      <c r="PQZ1061" s="104"/>
      <c r="PRA1061" s="103"/>
      <c r="PRM1061" s="104"/>
      <c r="PRN1061" s="103"/>
      <c r="PRZ1061" s="104"/>
      <c r="PSA1061" s="103"/>
      <c r="PSM1061" s="104"/>
      <c r="PSN1061" s="103"/>
      <c r="PSZ1061" s="104"/>
      <c r="PTA1061" s="103"/>
      <c r="PTM1061" s="104"/>
      <c r="PTN1061" s="103"/>
      <c r="PTZ1061" s="104"/>
      <c r="PUA1061" s="103"/>
      <c r="PUM1061" s="104"/>
      <c r="PUN1061" s="103"/>
      <c r="PUZ1061" s="104"/>
      <c r="PVA1061" s="103"/>
      <c r="PVM1061" s="104"/>
      <c r="PVN1061" s="103"/>
      <c r="PVZ1061" s="104"/>
      <c r="PWA1061" s="103"/>
      <c r="PWM1061" s="104"/>
      <c r="PWN1061" s="103"/>
      <c r="PWZ1061" s="104"/>
      <c r="PXA1061" s="103"/>
      <c r="PXM1061" s="104"/>
      <c r="PXN1061" s="103"/>
      <c r="PXZ1061" s="104"/>
      <c r="PYA1061" s="103"/>
      <c r="PYM1061" s="104"/>
      <c r="PYN1061" s="103"/>
      <c r="PYZ1061" s="104"/>
      <c r="PZA1061" s="103"/>
      <c r="PZM1061" s="104"/>
      <c r="PZN1061" s="103"/>
      <c r="PZZ1061" s="104"/>
      <c r="QAA1061" s="103"/>
      <c r="QAM1061" s="104"/>
      <c r="QAN1061" s="103"/>
      <c r="QAZ1061" s="104"/>
      <c r="QBA1061" s="103"/>
      <c r="QBM1061" s="104"/>
      <c r="QBN1061" s="103"/>
      <c r="QBZ1061" s="104"/>
      <c r="QCA1061" s="103"/>
      <c r="QCM1061" s="104"/>
      <c r="QCN1061" s="103"/>
      <c r="QCZ1061" s="104"/>
      <c r="QDA1061" s="103"/>
      <c r="QDM1061" s="104"/>
      <c r="QDN1061" s="103"/>
      <c r="QDZ1061" s="104"/>
      <c r="QEA1061" s="103"/>
      <c r="QEM1061" s="104"/>
      <c r="QEN1061" s="103"/>
      <c r="QEZ1061" s="104"/>
      <c r="QFA1061" s="103"/>
      <c r="QFM1061" s="104"/>
      <c r="QFN1061" s="103"/>
      <c r="QFZ1061" s="104"/>
      <c r="QGA1061" s="103"/>
      <c r="QGM1061" s="104"/>
      <c r="QGN1061" s="103"/>
      <c r="QGZ1061" s="104"/>
      <c r="QHA1061" s="103"/>
      <c r="QHM1061" s="104"/>
      <c r="QHN1061" s="103"/>
      <c r="QHZ1061" s="104"/>
      <c r="QIA1061" s="103"/>
      <c r="QIM1061" s="104"/>
      <c r="QIN1061" s="103"/>
      <c r="QIZ1061" s="104"/>
      <c r="QJA1061" s="103"/>
      <c r="QJM1061" s="104"/>
      <c r="QJN1061" s="103"/>
      <c r="QJZ1061" s="104"/>
      <c r="QKA1061" s="103"/>
      <c r="QKM1061" s="104"/>
      <c r="QKN1061" s="103"/>
      <c r="QKZ1061" s="104"/>
      <c r="QLA1061" s="103"/>
      <c r="QLM1061" s="104"/>
      <c r="QLN1061" s="103"/>
      <c r="QLZ1061" s="104"/>
      <c r="QMA1061" s="103"/>
      <c r="QMM1061" s="104"/>
      <c r="QMN1061" s="103"/>
      <c r="QMZ1061" s="104"/>
      <c r="QNA1061" s="103"/>
      <c r="QNM1061" s="104"/>
      <c r="QNN1061" s="103"/>
      <c r="QNZ1061" s="104"/>
      <c r="QOA1061" s="103"/>
      <c r="QOM1061" s="104"/>
      <c r="QON1061" s="103"/>
      <c r="QOZ1061" s="104"/>
      <c r="QPA1061" s="103"/>
      <c r="QPM1061" s="104"/>
      <c r="QPN1061" s="103"/>
      <c r="QPZ1061" s="104"/>
      <c r="QQA1061" s="103"/>
      <c r="QQM1061" s="104"/>
      <c r="QQN1061" s="103"/>
      <c r="QQZ1061" s="104"/>
      <c r="QRA1061" s="103"/>
      <c r="QRM1061" s="104"/>
      <c r="QRN1061" s="103"/>
      <c r="QRZ1061" s="104"/>
      <c r="QSA1061" s="103"/>
      <c r="QSM1061" s="104"/>
      <c r="QSN1061" s="103"/>
      <c r="QSZ1061" s="104"/>
      <c r="QTA1061" s="103"/>
      <c r="QTM1061" s="104"/>
      <c r="QTN1061" s="103"/>
      <c r="QTZ1061" s="104"/>
      <c r="QUA1061" s="103"/>
      <c r="QUM1061" s="104"/>
      <c r="QUN1061" s="103"/>
      <c r="QUZ1061" s="104"/>
      <c r="QVA1061" s="103"/>
      <c r="QVM1061" s="104"/>
      <c r="QVN1061" s="103"/>
      <c r="QVZ1061" s="104"/>
      <c r="QWA1061" s="103"/>
      <c r="QWM1061" s="104"/>
      <c r="QWN1061" s="103"/>
      <c r="QWZ1061" s="104"/>
      <c r="QXA1061" s="103"/>
      <c r="QXM1061" s="104"/>
      <c r="QXN1061" s="103"/>
      <c r="QXZ1061" s="104"/>
      <c r="QYA1061" s="103"/>
      <c r="QYM1061" s="104"/>
      <c r="QYN1061" s="103"/>
      <c r="QYZ1061" s="104"/>
      <c r="QZA1061" s="103"/>
      <c r="QZM1061" s="104"/>
      <c r="QZN1061" s="103"/>
      <c r="QZZ1061" s="104"/>
      <c r="RAA1061" s="103"/>
      <c r="RAM1061" s="104"/>
      <c r="RAN1061" s="103"/>
      <c r="RAZ1061" s="104"/>
      <c r="RBA1061" s="103"/>
      <c r="RBM1061" s="104"/>
      <c r="RBN1061" s="103"/>
      <c r="RBZ1061" s="104"/>
      <c r="RCA1061" s="103"/>
      <c r="RCM1061" s="104"/>
      <c r="RCN1061" s="103"/>
      <c r="RCZ1061" s="104"/>
      <c r="RDA1061" s="103"/>
      <c r="RDM1061" s="104"/>
      <c r="RDN1061" s="103"/>
      <c r="RDZ1061" s="104"/>
      <c r="REA1061" s="103"/>
      <c r="REM1061" s="104"/>
      <c r="REN1061" s="103"/>
      <c r="REZ1061" s="104"/>
      <c r="RFA1061" s="103"/>
      <c r="RFM1061" s="104"/>
      <c r="RFN1061" s="103"/>
      <c r="RFZ1061" s="104"/>
      <c r="RGA1061" s="103"/>
      <c r="RGM1061" s="104"/>
      <c r="RGN1061" s="103"/>
      <c r="RGZ1061" s="104"/>
      <c r="RHA1061" s="103"/>
      <c r="RHM1061" s="104"/>
      <c r="RHN1061" s="103"/>
      <c r="RHZ1061" s="104"/>
      <c r="RIA1061" s="103"/>
      <c r="RIM1061" s="104"/>
      <c r="RIN1061" s="103"/>
      <c r="RIZ1061" s="104"/>
      <c r="RJA1061" s="103"/>
      <c r="RJM1061" s="104"/>
      <c r="RJN1061" s="103"/>
      <c r="RJZ1061" s="104"/>
      <c r="RKA1061" s="103"/>
      <c r="RKM1061" s="104"/>
      <c r="RKN1061" s="103"/>
      <c r="RKZ1061" s="104"/>
      <c r="RLA1061" s="103"/>
      <c r="RLM1061" s="104"/>
      <c r="RLN1061" s="103"/>
      <c r="RLZ1061" s="104"/>
      <c r="RMA1061" s="103"/>
      <c r="RMM1061" s="104"/>
      <c r="RMN1061" s="103"/>
      <c r="RMZ1061" s="104"/>
      <c r="RNA1061" s="103"/>
      <c r="RNM1061" s="104"/>
      <c r="RNN1061" s="103"/>
      <c r="RNZ1061" s="104"/>
      <c r="ROA1061" s="103"/>
      <c r="ROM1061" s="104"/>
      <c r="RON1061" s="103"/>
      <c r="ROZ1061" s="104"/>
      <c r="RPA1061" s="103"/>
      <c r="RPM1061" s="104"/>
      <c r="RPN1061" s="103"/>
      <c r="RPZ1061" s="104"/>
      <c r="RQA1061" s="103"/>
      <c r="RQM1061" s="104"/>
      <c r="RQN1061" s="103"/>
      <c r="RQZ1061" s="104"/>
      <c r="RRA1061" s="103"/>
      <c r="RRM1061" s="104"/>
      <c r="RRN1061" s="103"/>
      <c r="RRZ1061" s="104"/>
      <c r="RSA1061" s="103"/>
      <c r="RSM1061" s="104"/>
      <c r="RSN1061" s="103"/>
      <c r="RSZ1061" s="104"/>
      <c r="RTA1061" s="103"/>
      <c r="RTM1061" s="104"/>
      <c r="RTN1061" s="103"/>
      <c r="RTZ1061" s="104"/>
      <c r="RUA1061" s="103"/>
      <c r="RUM1061" s="104"/>
      <c r="RUN1061" s="103"/>
      <c r="RUZ1061" s="104"/>
      <c r="RVA1061" s="103"/>
      <c r="RVM1061" s="104"/>
      <c r="RVN1061" s="103"/>
      <c r="RVZ1061" s="104"/>
      <c r="RWA1061" s="103"/>
      <c r="RWM1061" s="104"/>
      <c r="RWN1061" s="103"/>
      <c r="RWZ1061" s="104"/>
      <c r="RXA1061" s="103"/>
      <c r="RXM1061" s="104"/>
      <c r="RXN1061" s="103"/>
      <c r="RXZ1061" s="104"/>
      <c r="RYA1061" s="103"/>
      <c r="RYM1061" s="104"/>
      <c r="RYN1061" s="103"/>
      <c r="RYZ1061" s="104"/>
      <c r="RZA1061" s="103"/>
      <c r="RZM1061" s="104"/>
      <c r="RZN1061" s="103"/>
      <c r="RZZ1061" s="104"/>
      <c r="SAA1061" s="103"/>
      <c r="SAM1061" s="104"/>
      <c r="SAN1061" s="103"/>
      <c r="SAZ1061" s="104"/>
      <c r="SBA1061" s="103"/>
      <c r="SBM1061" s="104"/>
      <c r="SBN1061" s="103"/>
      <c r="SBZ1061" s="104"/>
      <c r="SCA1061" s="103"/>
      <c r="SCM1061" s="104"/>
      <c r="SCN1061" s="103"/>
      <c r="SCZ1061" s="104"/>
      <c r="SDA1061" s="103"/>
      <c r="SDM1061" s="104"/>
      <c r="SDN1061" s="103"/>
      <c r="SDZ1061" s="104"/>
      <c r="SEA1061" s="103"/>
      <c r="SEM1061" s="104"/>
      <c r="SEN1061" s="103"/>
      <c r="SEZ1061" s="104"/>
      <c r="SFA1061" s="103"/>
      <c r="SFM1061" s="104"/>
      <c r="SFN1061" s="103"/>
      <c r="SFZ1061" s="104"/>
      <c r="SGA1061" s="103"/>
      <c r="SGM1061" s="104"/>
      <c r="SGN1061" s="103"/>
      <c r="SGZ1061" s="104"/>
      <c r="SHA1061" s="103"/>
      <c r="SHM1061" s="104"/>
      <c r="SHN1061" s="103"/>
      <c r="SHZ1061" s="104"/>
      <c r="SIA1061" s="103"/>
      <c r="SIM1061" s="104"/>
      <c r="SIN1061" s="103"/>
      <c r="SIZ1061" s="104"/>
      <c r="SJA1061" s="103"/>
      <c r="SJM1061" s="104"/>
      <c r="SJN1061" s="103"/>
      <c r="SJZ1061" s="104"/>
      <c r="SKA1061" s="103"/>
      <c r="SKM1061" s="104"/>
      <c r="SKN1061" s="103"/>
      <c r="SKZ1061" s="104"/>
      <c r="SLA1061" s="103"/>
      <c r="SLM1061" s="104"/>
      <c r="SLN1061" s="103"/>
      <c r="SLZ1061" s="104"/>
      <c r="SMA1061" s="103"/>
      <c r="SMM1061" s="104"/>
      <c r="SMN1061" s="103"/>
      <c r="SMZ1061" s="104"/>
      <c r="SNA1061" s="103"/>
      <c r="SNM1061" s="104"/>
      <c r="SNN1061" s="103"/>
      <c r="SNZ1061" s="104"/>
      <c r="SOA1061" s="103"/>
      <c r="SOM1061" s="104"/>
      <c r="SON1061" s="103"/>
      <c r="SOZ1061" s="104"/>
      <c r="SPA1061" s="103"/>
      <c r="SPM1061" s="104"/>
      <c r="SPN1061" s="103"/>
      <c r="SPZ1061" s="104"/>
      <c r="SQA1061" s="103"/>
      <c r="SQM1061" s="104"/>
      <c r="SQN1061" s="103"/>
      <c r="SQZ1061" s="104"/>
      <c r="SRA1061" s="103"/>
      <c r="SRM1061" s="104"/>
      <c r="SRN1061" s="103"/>
      <c r="SRZ1061" s="104"/>
      <c r="SSA1061" s="103"/>
      <c r="SSM1061" s="104"/>
      <c r="SSN1061" s="103"/>
      <c r="SSZ1061" s="104"/>
      <c r="STA1061" s="103"/>
      <c r="STM1061" s="104"/>
      <c r="STN1061" s="103"/>
      <c r="STZ1061" s="104"/>
      <c r="SUA1061" s="103"/>
      <c r="SUM1061" s="104"/>
      <c r="SUN1061" s="103"/>
      <c r="SUZ1061" s="104"/>
      <c r="SVA1061" s="103"/>
      <c r="SVM1061" s="104"/>
      <c r="SVN1061" s="103"/>
      <c r="SVZ1061" s="104"/>
      <c r="SWA1061" s="103"/>
      <c r="SWM1061" s="104"/>
      <c r="SWN1061" s="103"/>
      <c r="SWZ1061" s="104"/>
      <c r="SXA1061" s="103"/>
      <c r="SXM1061" s="104"/>
      <c r="SXN1061" s="103"/>
      <c r="SXZ1061" s="104"/>
      <c r="SYA1061" s="103"/>
      <c r="SYM1061" s="104"/>
      <c r="SYN1061" s="103"/>
      <c r="SYZ1061" s="104"/>
      <c r="SZA1061" s="103"/>
      <c r="SZM1061" s="104"/>
      <c r="SZN1061" s="103"/>
      <c r="SZZ1061" s="104"/>
      <c r="TAA1061" s="103"/>
      <c r="TAM1061" s="104"/>
      <c r="TAN1061" s="103"/>
      <c r="TAZ1061" s="104"/>
      <c r="TBA1061" s="103"/>
      <c r="TBM1061" s="104"/>
      <c r="TBN1061" s="103"/>
      <c r="TBZ1061" s="104"/>
      <c r="TCA1061" s="103"/>
      <c r="TCM1061" s="104"/>
      <c r="TCN1061" s="103"/>
      <c r="TCZ1061" s="104"/>
      <c r="TDA1061" s="103"/>
      <c r="TDM1061" s="104"/>
      <c r="TDN1061" s="103"/>
      <c r="TDZ1061" s="104"/>
      <c r="TEA1061" s="103"/>
      <c r="TEM1061" s="104"/>
      <c r="TEN1061" s="103"/>
      <c r="TEZ1061" s="104"/>
      <c r="TFA1061" s="103"/>
      <c r="TFM1061" s="104"/>
      <c r="TFN1061" s="103"/>
      <c r="TFZ1061" s="104"/>
      <c r="TGA1061" s="103"/>
      <c r="TGM1061" s="104"/>
      <c r="TGN1061" s="103"/>
      <c r="TGZ1061" s="104"/>
      <c r="THA1061" s="103"/>
      <c r="THM1061" s="104"/>
      <c r="THN1061" s="103"/>
      <c r="THZ1061" s="104"/>
      <c r="TIA1061" s="103"/>
      <c r="TIM1061" s="104"/>
      <c r="TIN1061" s="103"/>
      <c r="TIZ1061" s="104"/>
      <c r="TJA1061" s="103"/>
      <c r="TJM1061" s="104"/>
      <c r="TJN1061" s="103"/>
      <c r="TJZ1061" s="104"/>
      <c r="TKA1061" s="103"/>
      <c r="TKM1061" s="104"/>
      <c r="TKN1061" s="103"/>
      <c r="TKZ1061" s="104"/>
      <c r="TLA1061" s="103"/>
      <c r="TLM1061" s="104"/>
      <c r="TLN1061" s="103"/>
      <c r="TLZ1061" s="104"/>
      <c r="TMA1061" s="103"/>
      <c r="TMM1061" s="104"/>
      <c r="TMN1061" s="103"/>
      <c r="TMZ1061" s="104"/>
      <c r="TNA1061" s="103"/>
      <c r="TNM1061" s="104"/>
      <c r="TNN1061" s="103"/>
      <c r="TNZ1061" s="104"/>
      <c r="TOA1061" s="103"/>
      <c r="TOM1061" s="104"/>
      <c r="TON1061" s="103"/>
      <c r="TOZ1061" s="104"/>
      <c r="TPA1061" s="103"/>
      <c r="TPM1061" s="104"/>
      <c r="TPN1061" s="103"/>
      <c r="TPZ1061" s="104"/>
      <c r="TQA1061" s="103"/>
      <c r="TQM1061" s="104"/>
      <c r="TQN1061" s="103"/>
      <c r="TQZ1061" s="104"/>
      <c r="TRA1061" s="103"/>
      <c r="TRM1061" s="104"/>
      <c r="TRN1061" s="103"/>
      <c r="TRZ1061" s="104"/>
      <c r="TSA1061" s="103"/>
      <c r="TSM1061" s="104"/>
      <c r="TSN1061" s="103"/>
      <c r="TSZ1061" s="104"/>
      <c r="TTA1061" s="103"/>
      <c r="TTM1061" s="104"/>
      <c r="TTN1061" s="103"/>
      <c r="TTZ1061" s="104"/>
      <c r="TUA1061" s="103"/>
      <c r="TUM1061" s="104"/>
      <c r="TUN1061" s="103"/>
      <c r="TUZ1061" s="104"/>
      <c r="TVA1061" s="103"/>
      <c r="TVM1061" s="104"/>
      <c r="TVN1061" s="103"/>
      <c r="TVZ1061" s="104"/>
      <c r="TWA1061" s="103"/>
      <c r="TWM1061" s="104"/>
      <c r="TWN1061" s="103"/>
      <c r="TWZ1061" s="104"/>
      <c r="TXA1061" s="103"/>
      <c r="TXM1061" s="104"/>
      <c r="TXN1061" s="103"/>
      <c r="TXZ1061" s="104"/>
      <c r="TYA1061" s="103"/>
      <c r="TYM1061" s="104"/>
      <c r="TYN1061" s="103"/>
      <c r="TYZ1061" s="104"/>
      <c r="TZA1061" s="103"/>
      <c r="TZM1061" s="104"/>
      <c r="TZN1061" s="103"/>
      <c r="TZZ1061" s="104"/>
      <c r="UAA1061" s="103"/>
      <c r="UAM1061" s="104"/>
      <c r="UAN1061" s="103"/>
      <c r="UAZ1061" s="104"/>
      <c r="UBA1061" s="103"/>
      <c r="UBM1061" s="104"/>
      <c r="UBN1061" s="103"/>
      <c r="UBZ1061" s="104"/>
      <c r="UCA1061" s="103"/>
      <c r="UCM1061" s="104"/>
      <c r="UCN1061" s="103"/>
      <c r="UCZ1061" s="104"/>
      <c r="UDA1061" s="103"/>
      <c r="UDM1061" s="104"/>
      <c r="UDN1061" s="103"/>
      <c r="UDZ1061" s="104"/>
      <c r="UEA1061" s="103"/>
      <c r="UEM1061" s="104"/>
      <c r="UEN1061" s="103"/>
      <c r="UEZ1061" s="104"/>
      <c r="UFA1061" s="103"/>
      <c r="UFM1061" s="104"/>
      <c r="UFN1061" s="103"/>
      <c r="UFZ1061" s="104"/>
      <c r="UGA1061" s="103"/>
      <c r="UGM1061" s="104"/>
      <c r="UGN1061" s="103"/>
      <c r="UGZ1061" s="104"/>
      <c r="UHA1061" s="103"/>
      <c r="UHM1061" s="104"/>
      <c r="UHN1061" s="103"/>
      <c r="UHZ1061" s="104"/>
      <c r="UIA1061" s="103"/>
      <c r="UIM1061" s="104"/>
      <c r="UIN1061" s="103"/>
      <c r="UIZ1061" s="104"/>
      <c r="UJA1061" s="103"/>
      <c r="UJM1061" s="104"/>
      <c r="UJN1061" s="103"/>
      <c r="UJZ1061" s="104"/>
      <c r="UKA1061" s="103"/>
      <c r="UKM1061" s="104"/>
      <c r="UKN1061" s="103"/>
      <c r="UKZ1061" s="104"/>
      <c r="ULA1061" s="103"/>
      <c r="ULM1061" s="104"/>
      <c r="ULN1061" s="103"/>
      <c r="ULZ1061" s="104"/>
      <c r="UMA1061" s="103"/>
      <c r="UMM1061" s="104"/>
      <c r="UMN1061" s="103"/>
      <c r="UMZ1061" s="104"/>
      <c r="UNA1061" s="103"/>
      <c r="UNM1061" s="104"/>
      <c r="UNN1061" s="103"/>
      <c r="UNZ1061" s="104"/>
      <c r="UOA1061" s="103"/>
      <c r="UOM1061" s="104"/>
      <c r="UON1061" s="103"/>
      <c r="UOZ1061" s="104"/>
      <c r="UPA1061" s="103"/>
      <c r="UPM1061" s="104"/>
      <c r="UPN1061" s="103"/>
      <c r="UPZ1061" s="104"/>
      <c r="UQA1061" s="103"/>
      <c r="UQM1061" s="104"/>
      <c r="UQN1061" s="103"/>
      <c r="UQZ1061" s="104"/>
      <c r="URA1061" s="103"/>
      <c r="URM1061" s="104"/>
      <c r="URN1061" s="103"/>
      <c r="URZ1061" s="104"/>
      <c r="USA1061" s="103"/>
      <c r="USM1061" s="104"/>
      <c r="USN1061" s="103"/>
      <c r="USZ1061" s="104"/>
      <c r="UTA1061" s="103"/>
      <c r="UTM1061" s="104"/>
      <c r="UTN1061" s="103"/>
      <c r="UTZ1061" s="104"/>
      <c r="UUA1061" s="103"/>
      <c r="UUM1061" s="104"/>
      <c r="UUN1061" s="103"/>
      <c r="UUZ1061" s="104"/>
      <c r="UVA1061" s="103"/>
      <c r="UVM1061" s="104"/>
      <c r="UVN1061" s="103"/>
      <c r="UVZ1061" s="104"/>
      <c r="UWA1061" s="103"/>
      <c r="UWM1061" s="104"/>
      <c r="UWN1061" s="103"/>
      <c r="UWZ1061" s="104"/>
      <c r="UXA1061" s="103"/>
      <c r="UXM1061" s="104"/>
      <c r="UXN1061" s="103"/>
      <c r="UXZ1061" s="104"/>
      <c r="UYA1061" s="103"/>
      <c r="UYM1061" s="104"/>
      <c r="UYN1061" s="103"/>
      <c r="UYZ1061" s="104"/>
      <c r="UZA1061" s="103"/>
      <c r="UZM1061" s="104"/>
      <c r="UZN1061" s="103"/>
      <c r="UZZ1061" s="104"/>
      <c r="VAA1061" s="103"/>
      <c r="VAM1061" s="104"/>
      <c r="VAN1061" s="103"/>
      <c r="VAZ1061" s="104"/>
      <c r="VBA1061" s="103"/>
      <c r="VBM1061" s="104"/>
      <c r="VBN1061" s="103"/>
      <c r="VBZ1061" s="104"/>
      <c r="VCA1061" s="103"/>
      <c r="VCM1061" s="104"/>
      <c r="VCN1061" s="103"/>
      <c r="VCZ1061" s="104"/>
      <c r="VDA1061" s="103"/>
      <c r="VDM1061" s="104"/>
      <c r="VDN1061" s="103"/>
      <c r="VDZ1061" s="104"/>
      <c r="VEA1061" s="103"/>
      <c r="VEM1061" s="104"/>
      <c r="VEN1061" s="103"/>
      <c r="VEZ1061" s="104"/>
      <c r="VFA1061" s="103"/>
      <c r="VFM1061" s="104"/>
      <c r="VFN1061" s="103"/>
      <c r="VFZ1061" s="104"/>
      <c r="VGA1061" s="103"/>
      <c r="VGM1061" s="104"/>
      <c r="VGN1061" s="103"/>
      <c r="VGZ1061" s="104"/>
      <c r="VHA1061" s="103"/>
      <c r="VHM1061" s="104"/>
      <c r="VHN1061" s="103"/>
      <c r="VHZ1061" s="104"/>
      <c r="VIA1061" s="103"/>
      <c r="VIM1061" s="104"/>
      <c r="VIN1061" s="103"/>
      <c r="VIZ1061" s="104"/>
      <c r="VJA1061" s="103"/>
      <c r="VJM1061" s="104"/>
      <c r="VJN1061" s="103"/>
      <c r="VJZ1061" s="104"/>
      <c r="VKA1061" s="103"/>
      <c r="VKM1061" s="104"/>
      <c r="VKN1061" s="103"/>
      <c r="VKZ1061" s="104"/>
      <c r="VLA1061" s="103"/>
      <c r="VLM1061" s="104"/>
      <c r="VLN1061" s="103"/>
      <c r="VLZ1061" s="104"/>
      <c r="VMA1061" s="103"/>
      <c r="VMM1061" s="104"/>
      <c r="VMN1061" s="103"/>
      <c r="VMZ1061" s="104"/>
      <c r="VNA1061" s="103"/>
      <c r="VNM1061" s="104"/>
      <c r="VNN1061" s="103"/>
      <c r="VNZ1061" s="104"/>
      <c r="VOA1061" s="103"/>
      <c r="VOM1061" s="104"/>
      <c r="VON1061" s="103"/>
      <c r="VOZ1061" s="104"/>
      <c r="VPA1061" s="103"/>
      <c r="VPM1061" s="104"/>
      <c r="VPN1061" s="103"/>
      <c r="VPZ1061" s="104"/>
      <c r="VQA1061" s="103"/>
      <c r="VQM1061" s="104"/>
      <c r="VQN1061" s="103"/>
      <c r="VQZ1061" s="104"/>
      <c r="VRA1061" s="103"/>
      <c r="VRM1061" s="104"/>
      <c r="VRN1061" s="103"/>
      <c r="VRZ1061" s="104"/>
      <c r="VSA1061" s="103"/>
      <c r="VSM1061" s="104"/>
      <c r="VSN1061" s="103"/>
      <c r="VSZ1061" s="104"/>
      <c r="VTA1061" s="103"/>
      <c r="VTM1061" s="104"/>
      <c r="VTN1061" s="103"/>
      <c r="VTZ1061" s="104"/>
      <c r="VUA1061" s="103"/>
      <c r="VUM1061" s="104"/>
      <c r="VUN1061" s="103"/>
      <c r="VUZ1061" s="104"/>
      <c r="VVA1061" s="103"/>
      <c r="VVM1061" s="104"/>
      <c r="VVN1061" s="103"/>
      <c r="VVZ1061" s="104"/>
      <c r="VWA1061" s="103"/>
      <c r="VWM1061" s="104"/>
      <c r="VWN1061" s="103"/>
      <c r="VWZ1061" s="104"/>
      <c r="VXA1061" s="103"/>
      <c r="VXM1061" s="104"/>
      <c r="VXN1061" s="103"/>
      <c r="VXZ1061" s="104"/>
      <c r="VYA1061" s="103"/>
      <c r="VYM1061" s="104"/>
      <c r="VYN1061" s="103"/>
      <c r="VYZ1061" s="104"/>
      <c r="VZA1061" s="103"/>
      <c r="VZM1061" s="104"/>
      <c r="VZN1061" s="103"/>
      <c r="VZZ1061" s="104"/>
      <c r="WAA1061" s="103"/>
      <c r="WAM1061" s="104"/>
      <c r="WAN1061" s="103"/>
      <c r="WAZ1061" s="104"/>
      <c r="WBA1061" s="103"/>
      <c r="WBM1061" s="104"/>
      <c r="WBN1061" s="103"/>
      <c r="WBZ1061" s="104"/>
      <c r="WCA1061" s="103"/>
      <c r="WCM1061" s="104"/>
      <c r="WCN1061" s="103"/>
      <c r="WCZ1061" s="104"/>
      <c r="WDA1061" s="103"/>
      <c r="WDM1061" s="104"/>
      <c r="WDN1061" s="103"/>
      <c r="WDZ1061" s="104"/>
      <c r="WEA1061" s="103"/>
      <c r="WEM1061" s="104"/>
      <c r="WEN1061" s="103"/>
      <c r="WEZ1061" s="104"/>
      <c r="WFA1061" s="103"/>
      <c r="WFM1061" s="104"/>
      <c r="WFN1061" s="103"/>
      <c r="WFZ1061" s="104"/>
      <c r="WGA1061" s="103"/>
      <c r="WGM1061" s="104"/>
      <c r="WGN1061" s="103"/>
      <c r="WGZ1061" s="104"/>
      <c r="WHA1061" s="103"/>
      <c r="WHM1061" s="104"/>
      <c r="WHN1061" s="103"/>
      <c r="WHZ1061" s="104"/>
      <c r="WIA1061" s="103"/>
      <c r="WIM1061" s="104"/>
      <c r="WIN1061" s="103"/>
      <c r="WIZ1061" s="104"/>
      <c r="WJA1061" s="103"/>
      <c r="WJM1061" s="104"/>
      <c r="WJN1061" s="103"/>
      <c r="WJZ1061" s="104"/>
      <c r="WKA1061" s="103"/>
      <c r="WKM1061" s="104"/>
      <c r="WKN1061" s="103"/>
      <c r="WKZ1061" s="104"/>
      <c r="WLA1061" s="103"/>
      <c r="WLM1061" s="104"/>
      <c r="WLN1061" s="103"/>
      <c r="WLZ1061" s="104"/>
      <c r="WMA1061" s="103"/>
      <c r="WMM1061" s="104"/>
      <c r="WMN1061" s="103"/>
      <c r="WMZ1061" s="104"/>
      <c r="WNA1061" s="103"/>
      <c r="WNM1061" s="104"/>
      <c r="WNN1061" s="103"/>
      <c r="WNZ1061" s="104"/>
      <c r="WOA1061" s="103"/>
      <c r="WOM1061" s="104"/>
      <c r="WON1061" s="103"/>
      <c r="WOZ1061" s="104"/>
      <c r="WPA1061" s="103"/>
      <c r="WPM1061" s="104"/>
      <c r="WPN1061" s="103"/>
      <c r="WPZ1061" s="104"/>
      <c r="WQA1061" s="103"/>
      <c r="WQM1061" s="104"/>
      <c r="WQN1061" s="103"/>
      <c r="WQZ1061" s="104"/>
      <c r="WRA1061" s="103"/>
      <c r="WRM1061" s="104"/>
      <c r="WRN1061" s="103"/>
      <c r="WRZ1061" s="104"/>
      <c r="WSA1061" s="103"/>
      <c r="WSM1061" s="104"/>
      <c r="WSN1061" s="103"/>
      <c r="WSZ1061" s="104"/>
      <c r="WTA1061" s="103"/>
      <c r="WTM1061" s="104"/>
      <c r="WTN1061" s="103"/>
      <c r="WTZ1061" s="104"/>
      <c r="WUA1061" s="103"/>
      <c r="WUM1061" s="104"/>
      <c r="WUN1061" s="103"/>
      <c r="WUZ1061" s="104"/>
      <c r="WVA1061" s="103"/>
      <c r="WVM1061" s="104"/>
      <c r="WVN1061" s="103"/>
      <c r="WVZ1061" s="104"/>
      <c r="WWA1061" s="103"/>
      <c r="WWM1061" s="104"/>
      <c r="WWN1061" s="103"/>
      <c r="WWZ1061" s="104"/>
      <c r="WXA1061" s="103"/>
      <c r="WXM1061" s="104"/>
      <c r="WXN1061" s="103"/>
      <c r="WXZ1061" s="104"/>
      <c r="WYA1061" s="103"/>
      <c r="WYM1061" s="104"/>
      <c r="WYN1061" s="103"/>
      <c r="WYZ1061" s="104"/>
      <c r="WZA1061" s="103"/>
      <c r="WZM1061" s="104"/>
      <c r="WZN1061" s="103"/>
      <c r="WZZ1061" s="104"/>
      <c r="XAA1061" s="103"/>
      <c r="XAM1061" s="104"/>
      <c r="XAN1061" s="103"/>
      <c r="XAZ1061" s="104"/>
      <c r="XBA1061" s="103"/>
      <c r="XBM1061" s="104"/>
      <c r="XBN1061" s="103"/>
      <c r="XBZ1061" s="104"/>
      <c r="XCA1061" s="103"/>
      <c r="XCM1061" s="104"/>
      <c r="XCN1061" s="103"/>
      <c r="XCZ1061" s="104"/>
      <c r="XDA1061" s="103"/>
      <c r="XDM1061" s="104"/>
      <c r="XDN1061" s="103"/>
      <c r="XDZ1061" s="104"/>
      <c r="XEA1061" s="103"/>
      <c r="XEM1061" s="104"/>
      <c r="XEN1061" s="103"/>
      <c r="XEZ1061" s="104"/>
      <c r="XFA1061" s="103"/>
    </row>
    <row r="1062" spans="2:1015 1027:2042 2054:3069 3081:4096 4108:5110 5122:6137 6149:7164 7176:8191 8203:9205 9217:10232 10244:11259 11271:12286 12298:14327 14339:15354 15366:16381">
      <c r="B1062" s="115" t="s">
        <v>91</v>
      </c>
      <c r="C1062" s="112">
        <v>0</v>
      </c>
      <c r="D1062" s="113">
        <f t="shared" ref="D1062:D1082" si="50">C1062*$N$1055</f>
        <v>0</v>
      </c>
      <c r="E1062" s="114"/>
      <c r="F1062" s="114"/>
      <c r="Z1062" s="104"/>
      <c r="AA1062" s="103"/>
      <c r="AM1062" s="104"/>
      <c r="AN1062" s="103"/>
      <c r="AZ1062" s="104"/>
      <c r="BA1062" s="103"/>
      <c r="BM1062" s="104"/>
      <c r="BN1062" s="103"/>
      <c r="BZ1062" s="104"/>
      <c r="CA1062" s="103"/>
      <c r="CM1062" s="104"/>
      <c r="CN1062" s="103"/>
      <c r="CZ1062" s="104"/>
      <c r="DA1062" s="103"/>
      <c r="DM1062" s="104"/>
      <c r="DN1062" s="103"/>
      <c r="DZ1062" s="104"/>
      <c r="EA1062" s="103"/>
      <c r="EM1062" s="104"/>
      <c r="EN1062" s="103"/>
      <c r="EZ1062" s="104"/>
      <c r="FA1062" s="103"/>
      <c r="FM1062" s="104"/>
      <c r="FN1062" s="103"/>
      <c r="FZ1062" s="104"/>
      <c r="GA1062" s="103"/>
      <c r="GM1062" s="104"/>
      <c r="GN1062" s="103"/>
      <c r="GZ1062" s="104"/>
      <c r="HA1062" s="103"/>
      <c r="HM1062" s="104"/>
      <c r="HN1062" s="103"/>
      <c r="HZ1062" s="104"/>
      <c r="IA1062" s="103"/>
      <c r="IM1062" s="104"/>
      <c r="IN1062" s="103"/>
      <c r="IZ1062" s="104"/>
      <c r="JA1062" s="103"/>
      <c r="JM1062" s="104"/>
      <c r="JN1062" s="103"/>
      <c r="JZ1062" s="104"/>
      <c r="KA1062" s="103"/>
      <c r="KM1062" s="104"/>
      <c r="KN1062" s="103"/>
      <c r="KZ1062" s="104"/>
      <c r="LA1062" s="103"/>
      <c r="LM1062" s="104"/>
      <c r="LN1062" s="103"/>
      <c r="LZ1062" s="104"/>
      <c r="MA1062" s="103"/>
      <c r="MM1062" s="104"/>
      <c r="MN1062" s="103"/>
      <c r="MZ1062" s="104"/>
      <c r="NA1062" s="103"/>
      <c r="NM1062" s="104"/>
      <c r="NN1062" s="103"/>
      <c r="NZ1062" s="104"/>
      <c r="OA1062" s="103"/>
      <c r="OM1062" s="104"/>
      <c r="ON1062" s="103"/>
      <c r="OZ1062" s="104"/>
      <c r="PA1062" s="103"/>
      <c r="PM1062" s="104"/>
      <c r="PN1062" s="103"/>
      <c r="PZ1062" s="104"/>
      <c r="QA1062" s="103"/>
      <c r="QM1062" s="104"/>
      <c r="QN1062" s="103"/>
      <c r="QZ1062" s="104"/>
      <c r="RA1062" s="103"/>
      <c r="RM1062" s="104"/>
      <c r="RN1062" s="103"/>
      <c r="RZ1062" s="104"/>
      <c r="SA1062" s="103"/>
      <c r="SM1062" s="104"/>
      <c r="SN1062" s="103"/>
      <c r="SZ1062" s="104"/>
      <c r="TA1062" s="103"/>
      <c r="TM1062" s="104"/>
      <c r="TN1062" s="103"/>
      <c r="TZ1062" s="104"/>
      <c r="UA1062" s="103"/>
      <c r="UM1062" s="104"/>
      <c r="UN1062" s="103"/>
      <c r="UZ1062" s="104"/>
      <c r="VA1062" s="103"/>
      <c r="VM1062" s="104"/>
      <c r="VN1062" s="103"/>
      <c r="VZ1062" s="104"/>
      <c r="WA1062" s="103"/>
      <c r="WM1062" s="104"/>
      <c r="WN1062" s="103"/>
      <c r="WZ1062" s="104"/>
      <c r="XA1062" s="103"/>
      <c r="XM1062" s="104"/>
      <c r="XN1062" s="103"/>
      <c r="XZ1062" s="104"/>
      <c r="YA1062" s="103"/>
      <c r="YM1062" s="104"/>
      <c r="YN1062" s="103"/>
      <c r="YZ1062" s="104"/>
      <c r="ZA1062" s="103"/>
      <c r="ZM1062" s="104"/>
      <c r="ZN1062" s="103"/>
      <c r="ZZ1062" s="104"/>
      <c r="AAA1062" s="103"/>
      <c r="AAM1062" s="104"/>
      <c r="AAN1062" s="103"/>
      <c r="AAZ1062" s="104"/>
      <c r="ABA1062" s="103"/>
      <c r="ABM1062" s="104"/>
      <c r="ABN1062" s="103"/>
      <c r="ABZ1062" s="104"/>
      <c r="ACA1062" s="103"/>
      <c r="ACM1062" s="104"/>
      <c r="ACN1062" s="103"/>
      <c r="ACZ1062" s="104"/>
      <c r="ADA1062" s="103"/>
      <c r="ADM1062" s="104"/>
      <c r="ADN1062" s="103"/>
      <c r="ADZ1062" s="104"/>
      <c r="AEA1062" s="103"/>
      <c r="AEM1062" s="104"/>
      <c r="AEN1062" s="103"/>
      <c r="AEZ1062" s="104"/>
      <c r="AFA1062" s="103"/>
      <c r="AFM1062" s="104"/>
      <c r="AFN1062" s="103"/>
      <c r="AFZ1062" s="104"/>
      <c r="AGA1062" s="103"/>
      <c r="AGM1062" s="104"/>
      <c r="AGN1062" s="103"/>
      <c r="AGZ1062" s="104"/>
      <c r="AHA1062" s="103"/>
      <c r="AHM1062" s="104"/>
      <c r="AHN1062" s="103"/>
      <c r="AHZ1062" s="104"/>
      <c r="AIA1062" s="103"/>
      <c r="AIM1062" s="104"/>
      <c r="AIN1062" s="103"/>
      <c r="AIZ1062" s="104"/>
      <c r="AJA1062" s="103"/>
      <c r="AJM1062" s="104"/>
      <c r="AJN1062" s="103"/>
      <c r="AJZ1062" s="104"/>
      <c r="AKA1062" s="103"/>
      <c r="AKM1062" s="104"/>
      <c r="AKN1062" s="103"/>
      <c r="AKZ1062" s="104"/>
      <c r="ALA1062" s="103"/>
      <c r="ALM1062" s="104"/>
      <c r="ALN1062" s="103"/>
      <c r="ALZ1062" s="104"/>
      <c r="AMA1062" s="103"/>
      <c r="AMM1062" s="104"/>
      <c r="AMN1062" s="103"/>
      <c r="AMZ1062" s="104"/>
      <c r="ANA1062" s="103"/>
      <c r="ANM1062" s="104"/>
      <c r="ANN1062" s="103"/>
      <c r="ANZ1062" s="104"/>
      <c r="AOA1062" s="103"/>
      <c r="AOM1062" s="104"/>
      <c r="AON1062" s="103"/>
      <c r="AOZ1062" s="104"/>
      <c r="APA1062" s="103"/>
      <c r="APM1062" s="104"/>
      <c r="APN1062" s="103"/>
      <c r="APZ1062" s="104"/>
      <c r="AQA1062" s="103"/>
      <c r="AQM1062" s="104"/>
      <c r="AQN1062" s="103"/>
      <c r="AQZ1062" s="104"/>
      <c r="ARA1062" s="103"/>
      <c r="ARM1062" s="104"/>
      <c r="ARN1062" s="103"/>
      <c r="ARZ1062" s="104"/>
      <c r="ASA1062" s="103"/>
      <c r="ASM1062" s="104"/>
      <c r="ASN1062" s="103"/>
      <c r="ASZ1062" s="104"/>
      <c r="ATA1062" s="103"/>
      <c r="ATM1062" s="104"/>
      <c r="ATN1062" s="103"/>
      <c r="ATZ1062" s="104"/>
      <c r="AUA1062" s="103"/>
      <c r="AUM1062" s="104"/>
      <c r="AUN1062" s="103"/>
      <c r="AUZ1062" s="104"/>
      <c r="AVA1062" s="103"/>
      <c r="AVM1062" s="104"/>
      <c r="AVN1062" s="103"/>
      <c r="AVZ1062" s="104"/>
      <c r="AWA1062" s="103"/>
      <c r="AWM1062" s="104"/>
      <c r="AWN1062" s="103"/>
      <c r="AWZ1062" s="104"/>
      <c r="AXA1062" s="103"/>
      <c r="AXM1062" s="104"/>
      <c r="AXN1062" s="103"/>
      <c r="AXZ1062" s="104"/>
      <c r="AYA1062" s="103"/>
      <c r="AYM1062" s="104"/>
      <c r="AYN1062" s="103"/>
      <c r="AYZ1062" s="104"/>
      <c r="AZA1062" s="103"/>
      <c r="AZM1062" s="104"/>
      <c r="AZN1062" s="103"/>
      <c r="AZZ1062" s="104"/>
      <c r="BAA1062" s="103"/>
      <c r="BAM1062" s="104"/>
      <c r="BAN1062" s="103"/>
      <c r="BAZ1062" s="104"/>
      <c r="BBA1062" s="103"/>
      <c r="BBM1062" s="104"/>
      <c r="BBN1062" s="103"/>
      <c r="BBZ1062" s="104"/>
      <c r="BCA1062" s="103"/>
      <c r="BCM1062" s="104"/>
      <c r="BCN1062" s="103"/>
      <c r="BCZ1062" s="104"/>
      <c r="BDA1062" s="103"/>
      <c r="BDM1062" s="104"/>
      <c r="BDN1062" s="103"/>
      <c r="BDZ1062" s="104"/>
      <c r="BEA1062" s="103"/>
      <c r="BEM1062" s="104"/>
      <c r="BEN1062" s="103"/>
      <c r="BEZ1062" s="104"/>
      <c r="BFA1062" s="103"/>
      <c r="BFM1062" s="104"/>
      <c r="BFN1062" s="103"/>
      <c r="BFZ1062" s="104"/>
      <c r="BGA1062" s="103"/>
      <c r="BGM1062" s="104"/>
      <c r="BGN1062" s="103"/>
      <c r="BGZ1062" s="104"/>
      <c r="BHA1062" s="103"/>
      <c r="BHM1062" s="104"/>
      <c r="BHN1062" s="103"/>
      <c r="BHZ1062" s="104"/>
      <c r="BIA1062" s="103"/>
      <c r="BIM1062" s="104"/>
      <c r="BIN1062" s="103"/>
      <c r="BIZ1062" s="104"/>
      <c r="BJA1062" s="103"/>
      <c r="BJM1062" s="104"/>
      <c r="BJN1062" s="103"/>
      <c r="BJZ1062" s="104"/>
      <c r="BKA1062" s="103"/>
      <c r="BKM1062" s="104"/>
      <c r="BKN1062" s="103"/>
      <c r="BKZ1062" s="104"/>
      <c r="BLA1062" s="103"/>
      <c r="BLM1062" s="104"/>
      <c r="BLN1062" s="103"/>
      <c r="BLZ1062" s="104"/>
      <c r="BMA1062" s="103"/>
      <c r="BMM1062" s="104"/>
      <c r="BMN1062" s="103"/>
      <c r="BMZ1062" s="104"/>
      <c r="BNA1062" s="103"/>
      <c r="BNM1062" s="104"/>
      <c r="BNN1062" s="103"/>
      <c r="BNZ1062" s="104"/>
      <c r="BOA1062" s="103"/>
      <c r="BOM1062" s="104"/>
      <c r="BON1062" s="103"/>
      <c r="BOZ1062" s="104"/>
      <c r="BPA1062" s="103"/>
      <c r="BPM1062" s="104"/>
      <c r="BPN1062" s="103"/>
      <c r="BPZ1062" s="104"/>
      <c r="BQA1062" s="103"/>
      <c r="BQM1062" s="104"/>
      <c r="BQN1062" s="103"/>
      <c r="BQZ1062" s="104"/>
      <c r="BRA1062" s="103"/>
      <c r="BRM1062" s="104"/>
      <c r="BRN1062" s="103"/>
      <c r="BRZ1062" s="104"/>
      <c r="BSA1062" s="103"/>
      <c r="BSM1062" s="104"/>
      <c r="BSN1062" s="103"/>
      <c r="BSZ1062" s="104"/>
      <c r="BTA1062" s="103"/>
      <c r="BTM1062" s="104"/>
      <c r="BTN1062" s="103"/>
      <c r="BTZ1062" s="104"/>
      <c r="BUA1062" s="103"/>
      <c r="BUM1062" s="104"/>
      <c r="BUN1062" s="103"/>
      <c r="BUZ1062" s="104"/>
      <c r="BVA1062" s="103"/>
      <c r="BVM1062" s="104"/>
      <c r="BVN1062" s="103"/>
      <c r="BVZ1062" s="104"/>
      <c r="BWA1062" s="103"/>
      <c r="BWM1062" s="104"/>
      <c r="BWN1062" s="103"/>
      <c r="BWZ1062" s="104"/>
      <c r="BXA1062" s="103"/>
      <c r="BXM1062" s="104"/>
      <c r="BXN1062" s="103"/>
      <c r="BXZ1062" s="104"/>
      <c r="BYA1062" s="103"/>
      <c r="BYM1062" s="104"/>
      <c r="BYN1062" s="103"/>
      <c r="BYZ1062" s="104"/>
      <c r="BZA1062" s="103"/>
      <c r="BZM1062" s="104"/>
      <c r="BZN1062" s="103"/>
      <c r="BZZ1062" s="104"/>
      <c r="CAA1062" s="103"/>
      <c r="CAM1062" s="104"/>
      <c r="CAN1062" s="103"/>
      <c r="CAZ1062" s="104"/>
      <c r="CBA1062" s="103"/>
      <c r="CBM1062" s="104"/>
      <c r="CBN1062" s="103"/>
      <c r="CBZ1062" s="104"/>
      <c r="CCA1062" s="103"/>
      <c r="CCM1062" s="104"/>
      <c r="CCN1062" s="103"/>
      <c r="CCZ1062" s="104"/>
      <c r="CDA1062" s="103"/>
      <c r="CDM1062" s="104"/>
      <c r="CDN1062" s="103"/>
      <c r="CDZ1062" s="104"/>
      <c r="CEA1062" s="103"/>
      <c r="CEM1062" s="104"/>
      <c r="CEN1062" s="103"/>
      <c r="CEZ1062" s="104"/>
      <c r="CFA1062" s="103"/>
      <c r="CFM1062" s="104"/>
      <c r="CFN1062" s="103"/>
      <c r="CFZ1062" s="104"/>
      <c r="CGA1062" s="103"/>
      <c r="CGM1062" s="104"/>
      <c r="CGN1062" s="103"/>
      <c r="CGZ1062" s="104"/>
      <c r="CHA1062" s="103"/>
      <c r="CHM1062" s="104"/>
      <c r="CHN1062" s="103"/>
      <c r="CHZ1062" s="104"/>
      <c r="CIA1062" s="103"/>
      <c r="CIM1062" s="104"/>
      <c r="CIN1062" s="103"/>
      <c r="CIZ1062" s="104"/>
      <c r="CJA1062" s="103"/>
      <c r="CJM1062" s="104"/>
      <c r="CJN1062" s="103"/>
      <c r="CJZ1062" s="104"/>
      <c r="CKA1062" s="103"/>
      <c r="CKM1062" s="104"/>
      <c r="CKN1062" s="103"/>
      <c r="CKZ1062" s="104"/>
      <c r="CLA1062" s="103"/>
      <c r="CLM1062" s="104"/>
      <c r="CLN1062" s="103"/>
      <c r="CLZ1062" s="104"/>
      <c r="CMA1062" s="103"/>
      <c r="CMM1062" s="104"/>
      <c r="CMN1062" s="103"/>
      <c r="CMZ1062" s="104"/>
      <c r="CNA1062" s="103"/>
      <c r="CNM1062" s="104"/>
      <c r="CNN1062" s="103"/>
      <c r="CNZ1062" s="104"/>
      <c r="COA1062" s="103"/>
      <c r="COM1062" s="104"/>
      <c r="CON1062" s="103"/>
      <c r="COZ1062" s="104"/>
      <c r="CPA1062" s="103"/>
      <c r="CPM1062" s="104"/>
      <c r="CPN1062" s="103"/>
      <c r="CPZ1062" s="104"/>
      <c r="CQA1062" s="103"/>
      <c r="CQM1062" s="104"/>
      <c r="CQN1062" s="103"/>
      <c r="CQZ1062" s="104"/>
      <c r="CRA1062" s="103"/>
      <c r="CRM1062" s="104"/>
      <c r="CRN1062" s="103"/>
      <c r="CRZ1062" s="104"/>
      <c r="CSA1062" s="103"/>
      <c r="CSM1062" s="104"/>
      <c r="CSN1062" s="103"/>
      <c r="CSZ1062" s="104"/>
      <c r="CTA1062" s="103"/>
      <c r="CTM1062" s="104"/>
      <c r="CTN1062" s="103"/>
      <c r="CTZ1062" s="104"/>
      <c r="CUA1062" s="103"/>
      <c r="CUM1062" s="104"/>
      <c r="CUN1062" s="103"/>
      <c r="CUZ1062" s="104"/>
      <c r="CVA1062" s="103"/>
      <c r="CVM1062" s="104"/>
      <c r="CVN1062" s="103"/>
      <c r="CVZ1062" s="104"/>
      <c r="CWA1062" s="103"/>
      <c r="CWM1062" s="104"/>
      <c r="CWN1062" s="103"/>
      <c r="CWZ1062" s="104"/>
      <c r="CXA1062" s="103"/>
      <c r="CXM1062" s="104"/>
      <c r="CXN1062" s="103"/>
      <c r="CXZ1062" s="104"/>
      <c r="CYA1062" s="103"/>
      <c r="CYM1062" s="104"/>
      <c r="CYN1062" s="103"/>
      <c r="CYZ1062" s="104"/>
      <c r="CZA1062" s="103"/>
      <c r="CZM1062" s="104"/>
      <c r="CZN1062" s="103"/>
      <c r="CZZ1062" s="104"/>
      <c r="DAA1062" s="103"/>
      <c r="DAM1062" s="104"/>
      <c r="DAN1062" s="103"/>
      <c r="DAZ1062" s="104"/>
      <c r="DBA1062" s="103"/>
      <c r="DBM1062" s="104"/>
      <c r="DBN1062" s="103"/>
      <c r="DBZ1062" s="104"/>
      <c r="DCA1062" s="103"/>
      <c r="DCM1062" s="104"/>
      <c r="DCN1062" s="103"/>
      <c r="DCZ1062" s="104"/>
      <c r="DDA1062" s="103"/>
      <c r="DDM1062" s="104"/>
      <c r="DDN1062" s="103"/>
      <c r="DDZ1062" s="104"/>
      <c r="DEA1062" s="103"/>
      <c r="DEM1062" s="104"/>
      <c r="DEN1062" s="103"/>
      <c r="DEZ1062" s="104"/>
      <c r="DFA1062" s="103"/>
      <c r="DFM1062" s="104"/>
      <c r="DFN1062" s="103"/>
      <c r="DFZ1062" s="104"/>
      <c r="DGA1062" s="103"/>
      <c r="DGM1062" s="104"/>
      <c r="DGN1062" s="103"/>
      <c r="DGZ1062" s="104"/>
      <c r="DHA1062" s="103"/>
      <c r="DHM1062" s="104"/>
      <c r="DHN1062" s="103"/>
      <c r="DHZ1062" s="104"/>
      <c r="DIA1062" s="103"/>
      <c r="DIM1062" s="104"/>
      <c r="DIN1062" s="103"/>
      <c r="DIZ1062" s="104"/>
      <c r="DJA1062" s="103"/>
      <c r="DJM1062" s="104"/>
      <c r="DJN1062" s="103"/>
      <c r="DJZ1062" s="104"/>
      <c r="DKA1062" s="103"/>
      <c r="DKM1062" s="104"/>
      <c r="DKN1062" s="103"/>
      <c r="DKZ1062" s="104"/>
      <c r="DLA1062" s="103"/>
      <c r="DLM1062" s="104"/>
      <c r="DLN1062" s="103"/>
      <c r="DLZ1062" s="104"/>
      <c r="DMA1062" s="103"/>
      <c r="DMM1062" s="104"/>
      <c r="DMN1062" s="103"/>
      <c r="DMZ1062" s="104"/>
      <c r="DNA1062" s="103"/>
      <c r="DNM1062" s="104"/>
      <c r="DNN1062" s="103"/>
      <c r="DNZ1062" s="104"/>
      <c r="DOA1062" s="103"/>
      <c r="DOM1062" s="104"/>
      <c r="DON1062" s="103"/>
      <c r="DOZ1062" s="104"/>
      <c r="DPA1062" s="103"/>
      <c r="DPM1062" s="104"/>
      <c r="DPN1062" s="103"/>
      <c r="DPZ1062" s="104"/>
      <c r="DQA1062" s="103"/>
      <c r="DQM1062" s="104"/>
      <c r="DQN1062" s="103"/>
      <c r="DQZ1062" s="104"/>
      <c r="DRA1062" s="103"/>
      <c r="DRM1062" s="104"/>
      <c r="DRN1062" s="103"/>
      <c r="DRZ1062" s="104"/>
      <c r="DSA1062" s="103"/>
      <c r="DSM1062" s="104"/>
      <c r="DSN1062" s="103"/>
      <c r="DSZ1062" s="104"/>
      <c r="DTA1062" s="103"/>
      <c r="DTM1062" s="104"/>
      <c r="DTN1062" s="103"/>
      <c r="DTZ1062" s="104"/>
      <c r="DUA1062" s="103"/>
      <c r="DUM1062" s="104"/>
      <c r="DUN1062" s="103"/>
      <c r="DUZ1062" s="104"/>
      <c r="DVA1062" s="103"/>
      <c r="DVM1062" s="104"/>
      <c r="DVN1062" s="103"/>
      <c r="DVZ1062" s="104"/>
      <c r="DWA1062" s="103"/>
      <c r="DWM1062" s="104"/>
      <c r="DWN1062" s="103"/>
      <c r="DWZ1062" s="104"/>
      <c r="DXA1062" s="103"/>
      <c r="DXM1062" s="104"/>
      <c r="DXN1062" s="103"/>
      <c r="DXZ1062" s="104"/>
      <c r="DYA1062" s="103"/>
      <c r="DYM1062" s="104"/>
      <c r="DYN1062" s="103"/>
      <c r="DYZ1062" s="104"/>
      <c r="DZA1062" s="103"/>
      <c r="DZM1062" s="104"/>
      <c r="DZN1062" s="103"/>
      <c r="DZZ1062" s="104"/>
      <c r="EAA1062" s="103"/>
      <c r="EAM1062" s="104"/>
      <c r="EAN1062" s="103"/>
      <c r="EAZ1062" s="104"/>
      <c r="EBA1062" s="103"/>
      <c r="EBM1062" s="104"/>
      <c r="EBN1062" s="103"/>
      <c r="EBZ1062" s="104"/>
      <c r="ECA1062" s="103"/>
      <c r="ECM1062" s="104"/>
      <c r="ECN1062" s="103"/>
      <c r="ECZ1062" s="104"/>
      <c r="EDA1062" s="103"/>
      <c r="EDM1062" s="104"/>
      <c r="EDN1062" s="103"/>
      <c r="EDZ1062" s="104"/>
      <c r="EEA1062" s="103"/>
      <c r="EEM1062" s="104"/>
      <c r="EEN1062" s="103"/>
      <c r="EEZ1062" s="104"/>
      <c r="EFA1062" s="103"/>
      <c r="EFM1062" s="104"/>
      <c r="EFN1062" s="103"/>
      <c r="EFZ1062" s="104"/>
      <c r="EGA1062" s="103"/>
      <c r="EGM1062" s="104"/>
      <c r="EGN1062" s="103"/>
      <c r="EGZ1062" s="104"/>
      <c r="EHA1062" s="103"/>
      <c r="EHM1062" s="104"/>
      <c r="EHN1062" s="103"/>
      <c r="EHZ1062" s="104"/>
      <c r="EIA1062" s="103"/>
      <c r="EIM1062" s="104"/>
      <c r="EIN1062" s="103"/>
      <c r="EIZ1062" s="104"/>
      <c r="EJA1062" s="103"/>
      <c r="EJM1062" s="104"/>
      <c r="EJN1062" s="103"/>
      <c r="EJZ1062" s="104"/>
      <c r="EKA1062" s="103"/>
      <c r="EKM1062" s="104"/>
      <c r="EKN1062" s="103"/>
      <c r="EKZ1062" s="104"/>
      <c r="ELA1062" s="103"/>
      <c r="ELM1062" s="104"/>
      <c r="ELN1062" s="103"/>
      <c r="ELZ1062" s="104"/>
      <c r="EMA1062" s="103"/>
      <c r="EMM1062" s="104"/>
      <c r="EMN1062" s="103"/>
      <c r="EMZ1062" s="104"/>
      <c r="ENA1062" s="103"/>
      <c r="ENM1062" s="104"/>
      <c r="ENN1062" s="103"/>
      <c r="ENZ1062" s="104"/>
      <c r="EOA1062" s="103"/>
      <c r="EOM1062" s="104"/>
      <c r="EON1062" s="103"/>
      <c r="EOZ1062" s="104"/>
      <c r="EPA1062" s="103"/>
      <c r="EPM1062" s="104"/>
      <c r="EPN1062" s="103"/>
      <c r="EPZ1062" s="104"/>
      <c r="EQA1062" s="103"/>
      <c r="EQM1062" s="104"/>
      <c r="EQN1062" s="103"/>
      <c r="EQZ1062" s="104"/>
      <c r="ERA1062" s="103"/>
      <c r="ERM1062" s="104"/>
      <c r="ERN1062" s="103"/>
      <c r="ERZ1062" s="104"/>
      <c r="ESA1062" s="103"/>
      <c r="ESM1062" s="104"/>
      <c r="ESN1062" s="103"/>
      <c r="ESZ1062" s="104"/>
      <c r="ETA1062" s="103"/>
      <c r="ETM1062" s="104"/>
      <c r="ETN1062" s="103"/>
      <c r="ETZ1062" s="104"/>
      <c r="EUA1062" s="103"/>
      <c r="EUM1062" s="104"/>
      <c r="EUN1062" s="103"/>
      <c r="EUZ1062" s="104"/>
      <c r="EVA1062" s="103"/>
      <c r="EVM1062" s="104"/>
      <c r="EVN1062" s="103"/>
      <c r="EVZ1062" s="104"/>
      <c r="EWA1062" s="103"/>
      <c r="EWM1062" s="104"/>
      <c r="EWN1062" s="103"/>
      <c r="EWZ1062" s="104"/>
      <c r="EXA1062" s="103"/>
      <c r="EXM1062" s="104"/>
      <c r="EXN1062" s="103"/>
      <c r="EXZ1062" s="104"/>
      <c r="EYA1062" s="103"/>
      <c r="EYM1062" s="104"/>
      <c r="EYN1062" s="103"/>
      <c r="EYZ1062" s="104"/>
      <c r="EZA1062" s="103"/>
      <c r="EZM1062" s="104"/>
      <c r="EZN1062" s="103"/>
      <c r="EZZ1062" s="104"/>
      <c r="FAA1062" s="103"/>
      <c r="FAM1062" s="104"/>
      <c r="FAN1062" s="103"/>
      <c r="FAZ1062" s="104"/>
      <c r="FBA1062" s="103"/>
      <c r="FBM1062" s="104"/>
      <c r="FBN1062" s="103"/>
      <c r="FBZ1062" s="104"/>
      <c r="FCA1062" s="103"/>
      <c r="FCM1062" s="104"/>
      <c r="FCN1062" s="103"/>
      <c r="FCZ1062" s="104"/>
      <c r="FDA1062" s="103"/>
      <c r="FDM1062" s="104"/>
      <c r="FDN1062" s="103"/>
      <c r="FDZ1062" s="104"/>
      <c r="FEA1062" s="103"/>
      <c r="FEM1062" s="104"/>
      <c r="FEN1062" s="103"/>
      <c r="FEZ1062" s="104"/>
      <c r="FFA1062" s="103"/>
      <c r="FFM1062" s="104"/>
      <c r="FFN1062" s="103"/>
      <c r="FFZ1062" s="104"/>
      <c r="FGA1062" s="103"/>
      <c r="FGM1062" s="104"/>
      <c r="FGN1062" s="103"/>
      <c r="FGZ1062" s="104"/>
      <c r="FHA1062" s="103"/>
      <c r="FHM1062" s="104"/>
      <c r="FHN1062" s="103"/>
      <c r="FHZ1062" s="104"/>
      <c r="FIA1062" s="103"/>
      <c r="FIM1062" s="104"/>
      <c r="FIN1062" s="103"/>
      <c r="FIZ1062" s="104"/>
      <c r="FJA1062" s="103"/>
      <c r="FJM1062" s="104"/>
      <c r="FJN1062" s="103"/>
      <c r="FJZ1062" s="104"/>
      <c r="FKA1062" s="103"/>
      <c r="FKM1062" s="104"/>
      <c r="FKN1062" s="103"/>
      <c r="FKZ1062" s="104"/>
      <c r="FLA1062" s="103"/>
      <c r="FLM1062" s="104"/>
      <c r="FLN1062" s="103"/>
      <c r="FLZ1062" s="104"/>
      <c r="FMA1062" s="103"/>
      <c r="FMM1062" s="104"/>
      <c r="FMN1062" s="103"/>
      <c r="FMZ1062" s="104"/>
      <c r="FNA1062" s="103"/>
      <c r="FNM1062" s="104"/>
      <c r="FNN1062" s="103"/>
      <c r="FNZ1062" s="104"/>
      <c r="FOA1062" s="103"/>
      <c r="FOM1062" s="104"/>
      <c r="FON1062" s="103"/>
      <c r="FOZ1062" s="104"/>
      <c r="FPA1062" s="103"/>
      <c r="FPM1062" s="104"/>
      <c r="FPN1062" s="103"/>
      <c r="FPZ1062" s="104"/>
      <c r="FQA1062" s="103"/>
      <c r="FQM1062" s="104"/>
      <c r="FQN1062" s="103"/>
      <c r="FQZ1062" s="104"/>
      <c r="FRA1062" s="103"/>
      <c r="FRM1062" s="104"/>
      <c r="FRN1062" s="103"/>
      <c r="FRZ1062" s="104"/>
      <c r="FSA1062" s="103"/>
      <c r="FSM1062" s="104"/>
      <c r="FSN1062" s="103"/>
      <c r="FSZ1062" s="104"/>
      <c r="FTA1062" s="103"/>
      <c r="FTM1062" s="104"/>
      <c r="FTN1062" s="103"/>
      <c r="FTZ1062" s="104"/>
      <c r="FUA1062" s="103"/>
      <c r="FUM1062" s="104"/>
      <c r="FUN1062" s="103"/>
      <c r="FUZ1062" s="104"/>
      <c r="FVA1062" s="103"/>
      <c r="FVM1062" s="104"/>
      <c r="FVN1062" s="103"/>
      <c r="FVZ1062" s="104"/>
      <c r="FWA1062" s="103"/>
      <c r="FWM1062" s="104"/>
      <c r="FWN1062" s="103"/>
      <c r="FWZ1062" s="104"/>
      <c r="FXA1062" s="103"/>
      <c r="FXM1062" s="104"/>
      <c r="FXN1062" s="103"/>
      <c r="FXZ1062" s="104"/>
      <c r="FYA1062" s="103"/>
      <c r="FYM1062" s="104"/>
      <c r="FYN1062" s="103"/>
      <c r="FYZ1062" s="104"/>
      <c r="FZA1062" s="103"/>
      <c r="FZM1062" s="104"/>
      <c r="FZN1062" s="103"/>
      <c r="FZZ1062" s="104"/>
      <c r="GAA1062" s="103"/>
      <c r="GAM1062" s="104"/>
      <c r="GAN1062" s="103"/>
      <c r="GAZ1062" s="104"/>
      <c r="GBA1062" s="103"/>
      <c r="GBM1062" s="104"/>
      <c r="GBN1062" s="103"/>
      <c r="GBZ1062" s="104"/>
      <c r="GCA1062" s="103"/>
      <c r="GCM1062" s="104"/>
      <c r="GCN1062" s="103"/>
      <c r="GCZ1062" s="104"/>
      <c r="GDA1062" s="103"/>
      <c r="GDM1062" s="104"/>
      <c r="GDN1062" s="103"/>
      <c r="GDZ1062" s="104"/>
      <c r="GEA1062" s="103"/>
      <c r="GEM1062" s="104"/>
      <c r="GEN1062" s="103"/>
      <c r="GEZ1062" s="104"/>
      <c r="GFA1062" s="103"/>
      <c r="GFM1062" s="104"/>
      <c r="GFN1062" s="103"/>
      <c r="GFZ1062" s="104"/>
      <c r="GGA1062" s="103"/>
      <c r="GGM1062" s="104"/>
      <c r="GGN1062" s="103"/>
      <c r="GGZ1062" s="104"/>
      <c r="GHA1062" s="103"/>
      <c r="GHM1062" s="104"/>
      <c r="GHN1062" s="103"/>
      <c r="GHZ1062" s="104"/>
      <c r="GIA1062" s="103"/>
      <c r="GIM1062" s="104"/>
      <c r="GIN1062" s="103"/>
      <c r="GIZ1062" s="104"/>
      <c r="GJA1062" s="103"/>
      <c r="GJM1062" s="104"/>
      <c r="GJN1062" s="103"/>
      <c r="GJZ1062" s="104"/>
      <c r="GKA1062" s="103"/>
      <c r="GKM1062" s="104"/>
      <c r="GKN1062" s="103"/>
      <c r="GKZ1062" s="104"/>
      <c r="GLA1062" s="103"/>
      <c r="GLM1062" s="104"/>
      <c r="GLN1062" s="103"/>
      <c r="GLZ1062" s="104"/>
      <c r="GMA1062" s="103"/>
      <c r="GMM1062" s="104"/>
      <c r="GMN1062" s="103"/>
      <c r="GMZ1062" s="104"/>
      <c r="GNA1062" s="103"/>
      <c r="GNM1062" s="104"/>
      <c r="GNN1062" s="103"/>
      <c r="GNZ1062" s="104"/>
      <c r="GOA1062" s="103"/>
      <c r="GOM1062" s="104"/>
      <c r="GON1062" s="103"/>
      <c r="GOZ1062" s="104"/>
      <c r="GPA1062" s="103"/>
      <c r="GPM1062" s="104"/>
      <c r="GPN1062" s="103"/>
      <c r="GPZ1062" s="104"/>
      <c r="GQA1062" s="103"/>
      <c r="GQM1062" s="104"/>
      <c r="GQN1062" s="103"/>
      <c r="GQZ1062" s="104"/>
      <c r="GRA1062" s="103"/>
      <c r="GRM1062" s="104"/>
      <c r="GRN1062" s="103"/>
      <c r="GRZ1062" s="104"/>
      <c r="GSA1062" s="103"/>
      <c r="GSM1062" s="104"/>
      <c r="GSN1062" s="103"/>
      <c r="GSZ1062" s="104"/>
      <c r="GTA1062" s="103"/>
      <c r="GTM1062" s="104"/>
      <c r="GTN1062" s="103"/>
      <c r="GTZ1062" s="104"/>
      <c r="GUA1062" s="103"/>
      <c r="GUM1062" s="104"/>
      <c r="GUN1062" s="103"/>
      <c r="GUZ1062" s="104"/>
      <c r="GVA1062" s="103"/>
      <c r="GVM1062" s="104"/>
      <c r="GVN1062" s="103"/>
      <c r="GVZ1062" s="104"/>
      <c r="GWA1062" s="103"/>
      <c r="GWM1062" s="104"/>
      <c r="GWN1062" s="103"/>
      <c r="GWZ1062" s="104"/>
      <c r="GXA1062" s="103"/>
      <c r="GXM1062" s="104"/>
      <c r="GXN1062" s="103"/>
      <c r="GXZ1062" s="104"/>
      <c r="GYA1062" s="103"/>
      <c r="GYM1062" s="104"/>
      <c r="GYN1062" s="103"/>
      <c r="GYZ1062" s="104"/>
      <c r="GZA1062" s="103"/>
      <c r="GZM1062" s="104"/>
      <c r="GZN1062" s="103"/>
      <c r="GZZ1062" s="104"/>
      <c r="HAA1062" s="103"/>
      <c r="HAM1062" s="104"/>
      <c r="HAN1062" s="103"/>
      <c r="HAZ1062" s="104"/>
      <c r="HBA1062" s="103"/>
      <c r="HBM1062" s="104"/>
      <c r="HBN1062" s="103"/>
      <c r="HBZ1062" s="104"/>
      <c r="HCA1062" s="103"/>
      <c r="HCM1062" s="104"/>
      <c r="HCN1062" s="103"/>
      <c r="HCZ1062" s="104"/>
      <c r="HDA1062" s="103"/>
      <c r="HDM1062" s="104"/>
      <c r="HDN1062" s="103"/>
      <c r="HDZ1062" s="104"/>
      <c r="HEA1062" s="103"/>
      <c r="HEM1062" s="104"/>
      <c r="HEN1062" s="103"/>
      <c r="HEZ1062" s="104"/>
      <c r="HFA1062" s="103"/>
      <c r="HFM1062" s="104"/>
      <c r="HFN1062" s="103"/>
      <c r="HFZ1062" s="104"/>
      <c r="HGA1062" s="103"/>
      <c r="HGM1062" s="104"/>
      <c r="HGN1062" s="103"/>
      <c r="HGZ1062" s="104"/>
      <c r="HHA1062" s="103"/>
      <c r="HHM1062" s="104"/>
      <c r="HHN1062" s="103"/>
      <c r="HHZ1062" s="104"/>
      <c r="HIA1062" s="103"/>
      <c r="HIM1062" s="104"/>
      <c r="HIN1062" s="103"/>
      <c r="HIZ1062" s="104"/>
      <c r="HJA1062" s="103"/>
      <c r="HJM1062" s="104"/>
      <c r="HJN1062" s="103"/>
      <c r="HJZ1062" s="104"/>
      <c r="HKA1062" s="103"/>
      <c r="HKM1062" s="104"/>
      <c r="HKN1062" s="103"/>
      <c r="HKZ1062" s="104"/>
      <c r="HLA1062" s="103"/>
      <c r="HLM1062" s="104"/>
      <c r="HLN1062" s="103"/>
      <c r="HLZ1062" s="104"/>
      <c r="HMA1062" s="103"/>
      <c r="HMM1062" s="104"/>
      <c r="HMN1062" s="103"/>
      <c r="HMZ1062" s="104"/>
      <c r="HNA1062" s="103"/>
      <c r="HNM1062" s="104"/>
      <c r="HNN1062" s="103"/>
      <c r="HNZ1062" s="104"/>
      <c r="HOA1062" s="103"/>
      <c r="HOM1062" s="104"/>
      <c r="HON1062" s="103"/>
      <c r="HOZ1062" s="104"/>
      <c r="HPA1062" s="103"/>
      <c r="HPM1062" s="104"/>
      <c r="HPN1062" s="103"/>
      <c r="HPZ1062" s="104"/>
      <c r="HQA1062" s="103"/>
      <c r="HQM1062" s="104"/>
      <c r="HQN1062" s="103"/>
      <c r="HQZ1062" s="104"/>
      <c r="HRA1062" s="103"/>
      <c r="HRM1062" s="104"/>
      <c r="HRN1062" s="103"/>
      <c r="HRZ1062" s="104"/>
      <c r="HSA1062" s="103"/>
      <c r="HSM1062" s="104"/>
      <c r="HSN1062" s="103"/>
      <c r="HSZ1062" s="104"/>
      <c r="HTA1062" s="103"/>
      <c r="HTM1062" s="104"/>
      <c r="HTN1062" s="103"/>
      <c r="HTZ1062" s="104"/>
      <c r="HUA1062" s="103"/>
      <c r="HUM1062" s="104"/>
      <c r="HUN1062" s="103"/>
      <c r="HUZ1062" s="104"/>
      <c r="HVA1062" s="103"/>
      <c r="HVM1062" s="104"/>
      <c r="HVN1062" s="103"/>
      <c r="HVZ1062" s="104"/>
      <c r="HWA1062" s="103"/>
      <c r="HWM1062" s="104"/>
      <c r="HWN1062" s="103"/>
      <c r="HWZ1062" s="104"/>
      <c r="HXA1062" s="103"/>
      <c r="HXM1062" s="104"/>
      <c r="HXN1062" s="103"/>
      <c r="HXZ1062" s="104"/>
      <c r="HYA1062" s="103"/>
      <c r="HYM1062" s="104"/>
      <c r="HYN1062" s="103"/>
      <c r="HYZ1062" s="104"/>
      <c r="HZA1062" s="103"/>
      <c r="HZM1062" s="104"/>
      <c r="HZN1062" s="103"/>
      <c r="HZZ1062" s="104"/>
      <c r="IAA1062" s="103"/>
      <c r="IAM1062" s="104"/>
      <c r="IAN1062" s="103"/>
      <c r="IAZ1062" s="104"/>
      <c r="IBA1062" s="103"/>
      <c r="IBM1062" s="104"/>
      <c r="IBN1062" s="103"/>
      <c r="IBZ1062" s="104"/>
      <c r="ICA1062" s="103"/>
      <c r="ICM1062" s="104"/>
      <c r="ICN1062" s="103"/>
      <c r="ICZ1062" s="104"/>
      <c r="IDA1062" s="103"/>
      <c r="IDM1062" s="104"/>
      <c r="IDN1062" s="103"/>
      <c r="IDZ1062" s="104"/>
      <c r="IEA1062" s="103"/>
      <c r="IEM1062" s="104"/>
      <c r="IEN1062" s="103"/>
      <c r="IEZ1062" s="104"/>
      <c r="IFA1062" s="103"/>
      <c r="IFM1062" s="104"/>
      <c r="IFN1062" s="103"/>
      <c r="IFZ1062" s="104"/>
      <c r="IGA1062" s="103"/>
      <c r="IGM1062" s="104"/>
      <c r="IGN1062" s="103"/>
      <c r="IGZ1062" s="104"/>
      <c r="IHA1062" s="103"/>
      <c r="IHM1062" s="104"/>
      <c r="IHN1062" s="103"/>
      <c r="IHZ1062" s="104"/>
      <c r="IIA1062" s="103"/>
      <c r="IIM1062" s="104"/>
      <c r="IIN1062" s="103"/>
      <c r="IIZ1062" s="104"/>
      <c r="IJA1062" s="103"/>
      <c r="IJM1062" s="104"/>
      <c r="IJN1062" s="103"/>
      <c r="IJZ1062" s="104"/>
      <c r="IKA1062" s="103"/>
      <c r="IKM1062" s="104"/>
      <c r="IKN1062" s="103"/>
      <c r="IKZ1062" s="104"/>
      <c r="ILA1062" s="103"/>
      <c r="ILM1062" s="104"/>
      <c r="ILN1062" s="103"/>
      <c r="ILZ1062" s="104"/>
      <c r="IMA1062" s="103"/>
      <c r="IMM1062" s="104"/>
      <c r="IMN1062" s="103"/>
      <c r="IMZ1062" s="104"/>
      <c r="INA1062" s="103"/>
      <c r="INM1062" s="104"/>
      <c r="INN1062" s="103"/>
      <c r="INZ1062" s="104"/>
      <c r="IOA1062" s="103"/>
      <c r="IOM1062" s="104"/>
      <c r="ION1062" s="103"/>
      <c r="IOZ1062" s="104"/>
      <c r="IPA1062" s="103"/>
      <c r="IPM1062" s="104"/>
      <c r="IPN1062" s="103"/>
      <c r="IPZ1062" s="104"/>
      <c r="IQA1062" s="103"/>
      <c r="IQM1062" s="104"/>
      <c r="IQN1062" s="103"/>
      <c r="IQZ1062" s="104"/>
      <c r="IRA1062" s="103"/>
      <c r="IRM1062" s="104"/>
      <c r="IRN1062" s="103"/>
      <c r="IRZ1062" s="104"/>
      <c r="ISA1062" s="103"/>
      <c r="ISM1062" s="104"/>
      <c r="ISN1062" s="103"/>
      <c r="ISZ1062" s="104"/>
      <c r="ITA1062" s="103"/>
      <c r="ITM1062" s="104"/>
      <c r="ITN1062" s="103"/>
      <c r="ITZ1062" s="104"/>
      <c r="IUA1062" s="103"/>
      <c r="IUM1062" s="104"/>
      <c r="IUN1062" s="103"/>
      <c r="IUZ1062" s="104"/>
      <c r="IVA1062" s="103"/>
      <c r="IVM1062" s="104"/>
      <c r="IVN1062" s="103"/>
      <c r="IVZ1062" s="104"/>
      <c r="IWA1062" s="103"/>
      <c r="IWM1062" s="104"/>
      <c r="IWN1062" s="103"/>
      <c r="IWZ1062" s="104"/>
      <c r="IXA1062" s="103"/>
      <c r="IXM1062" s="104"/>
      <c r="IXN1062" s="103"/>
      <c r="IXZ1062" s="104"/>
      <c r="IYA1062" s="103"/>
      <c r="IYM1062" s="104"/>
      <c r="IYN1062" s="103"/>
      <c r="IYZ1062" s="104"/>
      <c r="IZA1062" s="103"/>
      <c r="IZM1062" s="104"/>
      <c r="IZN1062" s="103"/>
      <c r="IZZ1062" s="104"/>
      <c r="JAA1062" s="103"/>
      <c r="JAM1062" s="104"/>
      <c r="JAN1062" s="103"/>
      <c r="JAZ1062" s="104"/>
      <c r="JBA1062" s="103"/>
      <c r="JBM1062" s="104"/>
      <c r="JBN1062" s="103"/>
      <c r="JBZ1062" s="104"/>
      <c r="JCA1062" s="103"/>
      <c r="JCM1062" s="104"/>
      <c r="JCN1062" s="103"/>
      <c r="JCZ1062" s="104"/>
      <c r="JDA1062" s="103"/>
      <c r="JDM1062" s="104"/>
      <c r="JDN1062" s="103"/>
      <c r="JDZ1062" s="104"/>
      <c r="JEA1062" s="103"/>
      <c r="JEM1062" s="104"/>
      <c r="JEN1062" s="103"/>
      <c r="JEZ1062" s="104"/>
      <c r="JFA1062" s="103"/>
      <c r="JFM1062" s="104"/>
      <c r="JFN1062" s="103"/>
      <c r="JFZ1062" s="104"/>
      <c r="JGA1062" s="103"/>
      <c r="JGM1062" s="104"/>
      <c r="JGN1062" s="103"/>
      <c r="JGZ1062" s="104"/>
      <c r="JHA1062" s="103"/>
      <c r="JHM1062" s="104"/>
      <c r="JHN1062" s="103"/>
      <c r="JHZ1062" s="104"/>
      <c r="JIA1062" s="103"/>
      <c r="JIM1062" s="104"/>
      <c r="JIN1062" s="103"/>
      <c r="JIZ1062" s="104"/>
      <c r="JJA1062" s="103"/>
      <c r="JJM1062" s="104"/>
      <c r="JJN1062" s="103"/>
      <c r="JJZ1062" s="104"/>
      <c r="JKA1062" s="103"/>
      <c r="JKM1062" s="104"/>
      <c r="JKN1062" s="103"/>
      <c r="JKZ1062" s="104"/>
      <c r="JLA1062" s="103"/>
      <c r="JLM1062" s="104"/>
      <c r="JLN1062" s="103"/>
      <c r="JLZ1062" s="104"/>
      <c r="JMA1062" s="103"/>
      <c r="JMM1062" s="104"/>
      <c r="JMN1062" s="103"/>
      <c r="JMZ1062" s="104"/>
      <c r="JNA1062" s="103"/>
      <c r="JNM1062" s="104"/>
      <c r="JNN1062" s="103"/>
      <c r="JNZ1062" s="104"/>
      <c r="JOA1062" s="103"/>
      <c r="JOM1062" s="104"/>
      <c r="JON1062" s="103"/>
      <c r="JOZ1062" s="104"/>
      <c r="JPA1062" s="103"/>
      <c r="JPM1062" s="104"/>
      <c r="JPN1062" s="103"/>
      <c r="JPZ1062" s="104"/>
      <c r="JQA1062" s="103"/>
      <c r="JQM1062" s="104"/>
      <c r="JQN1062" s="103"/>
      <c r="JQZ1062" s="104"/>
      <c r="JRA1062" s="103"/>
      <c r="JRM1062" s="104"/>
      <c r="JRN1062" s="103"/>
      <c r="JRZ1062" s="104"/>
      <c r="JSA1062" s="103"/>
      <c r="JSM1062" s="104"/>
      <c r="JSN1062" s="103"/>
      <c r="JSZ1062" s="104"/>
      <c r="JTA1062" s="103"/>
      <c r="JTM1062" s="104"/>
      <c r="JTN1062" s="103"/>
      <c r="JTZ1062" s="104"/>
      <c r="JUA1062" s="103"/>
      <c r="JUM1062" s="104"/>
      <c r="JUN1062" s="103"/>
      <c r="JUZ1062" s="104"/>
      <c r="JVA1062" s="103"/>
      <c r="JVM1062" s="104"/>
      <c r="JVN1062" s="103"/>
      <c r="JVZ1062" s="104"/>
      <c r="JWA1062" s="103"/>
      <c r="JWM1062" s="104"/>
      <c r="JWN1062" s="103"/>
      <c r="JWZ1062" s="104"/>
      <c r="JXA1062" s="103"/>
      <c r="JXM1062" s="104"/>
      <c r="JXN1062" s="103"/>
      <c r="JXZ1062" s="104"/>
      <c r="JYA1062" s="103"/>
      <c r="JYM1062" s="104"/>
      <c r="JYN1062" s="103"/>
      <c r="JYZ1062" s="104"/>
      <c r="JZA1062" s="103"/>
      <c r="JZM1062" s="104"/>
      <c r="JZN1062" s="103"/>
      <c r="JZZ1062" s="104"/>
      <c r="KAA1062" s="103"/>
      <c r="KAM1062" s="104"/>
      <c r="KAN1062" s="103"/>
      <c r="KAZ1062" s="104"/>
      <c r="KBA1062" s="103"/>
      <c r="KBM1062" s="104"/>
      <c r="KBN1062" s="103"/>
      <c r="KBZ1062" s="104"/>
      <c r="KCA1062" s="103"/>
      <c r="KCM1062" s="104"/>
      <c r="KCN1062" s="103"/>
      <c r="KCZ1062" s="104"/>
      <c r="KDA1062" s="103"/>
      <c r="KDM1062" s="104"/>
      <c r="KDN1062" s="103"/>
      <c r="KDZ1062" s="104"/>
      <c r="KEA1062" s="103"/>
      <c r="KEM1062" s="104"/>
      <c r="KEN1062" s="103"/>
      <c r="KEZ1062" s="104"/>
      <c r="KFA1062" s="103"/>
      <c r="KFM1062" s="104"/>
      <c r="KFN1062" s="103"/>
      <c r="KFZ1062" s="104"/>
      <c r="KGA1062" s="103"/>
      <c r="KGM1062" s="104"/>
      <c r="KGN1062" s="103"/>
      <c r="KGZ1062" s="104"/>
      <c r="KHA1062" s="103"/>
      <c r="KHM1062" s="104"/>
      <c r="KHN1062" s="103"/>
      <c r="KHZ1062" s="104"/>
      <c r="KIA1062" s="103"/>
      <c r="KIM1062" s="104"/>
      <c r="KIN1062" s="103"/>
      <c r="KIZ1062" s="104"/>
      <c r="KJA1062" s="103"/>
      <c r="KJM1062" s="104"/>
      <c r="KJN1062" s="103"/>
      <c r="KJZ1062" s="104"/>
      <c r="KKA1062" s="103"/>
      <c r="KKM1062" s="104"/>
      <c r="KKN1062" s="103"/>
      <c r="KKZ1062" s="104"/>
      <c r="KLA1062" s="103"/>
      <c r="KLM1062" s="104"/>
      <c r="KLN1062" s="103"/>
      <c r="KLZ1062" s="104"/>
      <c r="KMA1062" s="103"/>
      <c r="KMM1062" s="104"/>
      <c r="KMN1062" s="103"/>
      <c r="KMZ1062" s="104"/>
      <c r="KNA1062" s="103"/>
      <c r="KNM1062" s="104"/>
      <c r="KNN1062" s="103"/>
      <c r="KNZ1062" s="104"/>
      <c r="KOA1062" s="103"/>
      <c r="KOM1062" s="104"/>
      <c r="KON1062" s="103"/>
      <c r="KOZ1062" s="104"/>
      <c r="KPA1062" s="103"/>
      <c r="KPM1062" s="104"/>
      <c r="KPN1062" s="103"/>
      <c r="KPZ1062" s="104"/>
      <c r="KQA1062" s="103"/>
      <c r="KQM1062" s="104"/>
      <c r="KQN1062" s="103"/>
      <c r="KQZ1062" s="104"/>
      <c r="KRA1062" s="103"/>
      <c r="KRM1062" s="104"/>
      <c r="KRN1062" s="103"/>
      <c r="KRZ1062" s="104"/>
      <c r="KSA1062" s="103"/>
      <c r="KSM1062" s="104"/>
      <c r="KSN1062" s="103"/>
      <c r="KSZ1062" s="104"/>
      <c r="KTA1062" s="103"/>
      <c r="KTM1062" s="104"/>
      <c r="KTN1062" s="103"/>
      <c r="KTZ1062" s="104"/>
      <c r="KUA1062" s="103"/>
      <c r="KUM1062" s="104"/>
      <c r="KUN1062" s="103"/>
      <c r="KUZ1062" s="104"/>
      <c r="KVA1062" s="103"/>
      <c r="KVM1062" s="104"/>
      <c r="KVN1062" s="103"/>
      <c r="KVZ1062" s="104"/>
      <c r="KWA1062" s="103"/>
      <c r="KWM1062" s="104"/>
      <c r="KWN1062" s="103"/>
      <c r="KWZ1062" s="104"/>
      <c r="KXA1062" s="103"/>
      <c r="KXM1062" s="104"/>
      <c r="KXN1062" s="103"/>
      <c r="KXZ1062" s="104"/>
      <c r="KYA1062" s="103"/>
      <c r="KYM1062" s="104"/>
      <c r="KYN1062" s="103"/>
      <c r="KYZ1062" s="104"/>
      <c r="KZA1062" s="103"/>
      <c r="KZM1062" s="104"/>
      <c r="KZN1062" s="103"/>
      <c r="KZZ1062" s="104"/>
      <c r="LAA1062" s="103"/>
      <c r="LAM1062" s="104"/>
      <c r="LAN1062" s="103"/>
      <c r="LAZ1062" s="104"/>
      <c r="LBA1062" s="103"/>
      <c r="LBM1062" s="104"/>
      <c r="LBN1062" s="103"/>
      <c r="LBZ1062" s="104"/>
      <c r="LCA1062" s="103"/>
      <c r="LCM1062" s="104"/>
      <c r="LCN1062" s="103"/>
      <c r="LCZ1062" s="104"/>
      <c r="LDA1062" s="103"/>
      <c r="LDM1062" s="104"/>
      <c r="LDN1062" s="103"/>
      <c r="LDZ1062" s="104"/>
      <c r="LEA1062" s="103"/>
      <c r="LEM1062" s="104"/>
      <c r="LEN1062" s="103"/>
      <c r="LEZ1062" s="104"/>
      <c r="LFA1062" s="103"/>
      <c r="LFM1062" s="104"/>
      <c r="LFN1062" s="103"/>
      <c r="LFZ1062" s="104"/>
      <c r="LGA1062" s="103"/>
      <c r="LGM1062" s="104"/>
      <c r="LGN1062" s="103"/>
      <c r="LGZ1062" s="104"/>
      <c r="LHA1062" s="103"/>
      <c r="LHM1062" s="104"/>
      <c r="LHN1062" s="103"/>
      <c r="LHZ1062" s="104"/>
      <c r="LIA1062" s="103"/>
      <c r="LIM1062" s="104"/>
      <c r="LIN1062" s="103"/>
      <c r="LIZ1062" s="104"/>
      <c r="LJA1062" s="103"/>
      <c r="LJM1062" s="104"/>
      <c r="LJN1062" s="103"/>
      <c r="LJZ1062" s="104"/>
      <c r="LKA1062" s="103"/>
      <c r="LKM1062" s="104"/>
      <c r="LKN1062" s="103"/>
      <c r="LKZ1062" s="104"/>
      <c r="LLA1062" s="103"/>
      <c r="LLM1062" s="104"/>
      <c r="LLN1062" s="103"/>
      <c r="LLZ1062" s="104"/>
      <c r="LMA1062" s="103"/>
      <c r="LMM1062" s="104"/>
      <c r="LMN1062" s="103"/>
      <c r="LMZ1062" s="104"/>
      <c r="LNA1062" s="103"/>
      <c r="LNM1062" s="104"/>
      <c r="LNN1062" s="103"/>
      <c r="LNZ1062" s="104"/>
      <c r="LOA1062" s="103"/>
      <c r="LOM1062" s="104"/>
      <c r="LON1062" s="103"/>
      <c r="LOZ1062" s="104"/>
      <c r="LPA1062" s="103"/>
      <c r="LPM1062" s="104"/>
      <c r="LPN1062" s="103"/>
      <c r="LPZ1062" s="104"/>
      <c r="LQA1062" s="103"/>
      <c r="LQM1062" s="104"/>
      <c r="LQN1062" s="103"/>
      <c r="LQZ1062" s="104"/>
      <c r="LRA1062" s="103"/>
      <c r="LRM1062" s="104"/>
      <c r="LRN1062" s="103"/>
      <c r="LRZ1062" s="104"/>
      <c r="LSA1062" s="103"/>
      <c r="LSM1062" s="104"/>
      <c r="LSN1062" s="103"/>
      <c r="LSZ1062" s="104"/>
      <c r="LTA1062" s="103"/>
      <c r="LTM1062" s="104"/>
      <c r="LTN1062" s="103"/>
      <c r="LTZ1062" s="104"/>
      <c r="LUA1062" s="103"/>
      <c r="LUM1062" s="104"/>
      <c r="LUN1062" s="103"/>
      <c r="LUZ1062" s="104"/>
      <c r="LVA1062" s="103"/>
      <c r="LVM1062" s="104"/>
      <c r="LVN1062" s="103"/>
      <c r="LVZ1062" s="104"/>
      <c r="LWA1062" s="103"/>
      <c r="LWM1062" s="104"/>
      <c r="LWN1062" s="103"/>
      <c r="LWZ1062" s="104"/>
      <c r="LXA1062" s="103"/>
      <c r="LXM1062" s="104"/>
      <c r="LXN1062" s="103"/>
      <c r="LXZ1062" s="104"/>
      <c r="LYA1062" s="103"/>
      <c r="LYM1062" s="104"/>
      <c r="LYN1062" s="103"/>
      <c r="LYZ1062" s="104"/>
      <c r="LZA1062" s="103"/>
      <c r="LZM1062" s="104"/>
      <c r="LZN1062" s="103"/>
      <c r="LZZ1062" s="104"/>
      <c r="MAA1062" s="103"/>
      <c r="MAM1062" s="104"/>
      <c r="MAN1062" s="103"/>
      <c r="MAZ1062" s="104"/>
      <c r="MBA1062" s="103"/>
      <c r="MBM1062" s="104"/>
      <c r="MBN1062" s="103"/>
      <c r="MBZ1062" s="104"/>
      <c r="MCA1062" s="103"/>
      <c r="MCM1062" s="104"/>
      <c r="MCN1062" s="103"/>
      <c r="MCZ1062" s="104"/>
      <c r="MDA1062" s="103"/>
      <c r="MDM1062" s="104"/>
      <c r="MDN1062" s="103"/>
      <c r="MDZ1062" s="104"/>
      <c r="MEA1062" s="103"/>
      <c r="MEM1062" s="104"/>
      <c r="MEN1062" s="103"/>
      <c r="MEZ1062" s="104"/>
      <c r="MFA1062" s="103"/>
      <c r="MFM1062" s="104"/>
      <c r="MFN1062" s="103"/>
      <c r="MFZ1062" s="104"/>
      <c r="MGA1062" s="103"/>
      <c r="MGM1062" s="104"/>
      <c r="MGN1062" s="103"/>
      <c r="MGZ1062" s="104"/>
      <c r="MHA1062" s="103"/>
      <c r="MHM1062" s="104"/>
      <c r="MHN1062" s="103"/>
      <c r="MHZ1062" s="104"/>
      <c r="MIA1062" s="103"/>
      <c r="MIM1062" s="104"/>
      <c r="MIN1062" s="103"/>
      <c r="MIZ1062" s="104"/>
      <c r="MJA1062" s="103"/>
      <c r="MJM1062" s="104"/>
      <c r="MJN1062" s="103"/>
      <c r="MJZ1062" s="104"/>
      <c r="MKA1062" s="103"/>
      <c r="MKM1062" s="104"/>
      <c r="MKN1062" s="103"/>
      <c r="MKZ1062" s="104"/>
      <c r="MLA1062" s="103"/>
      <c r="MLM1062" s="104"/>
      <c r="MLN1062" s="103"/>
      <c r="MLZ1062" s="104"/>
      <c r="MMA1062" s="103"/>
      <c r="MMM1062" s="104"/>
      <c r="MMN1062" s="103"/>
      <c r="MMZ1062" s="104"/>
      <c r="MNA1062" s="103"/>
      <c r="MNM1062" s="104"/>
      <c r="MNN1062" s="103"/>
      <c r="MNZ1062" s="104"/>
      <c r="MOA1062" s="103"/>
      <c r="MOM1062" s="104"/>
      <c r="MON1062" s="103"/>
      <c r="MOZ1062" s="104"/>
      <c r="MPA1062" s="103"/>
      <c r="MPM1062" s="104"/>
      <c r="MPN1062" s="103"/>
      <c r="MPZ1062" s="104"/>
      <c r="MQA1062" s="103"/>
      <c r="MQM1062" s="104"/>
      <c r="MQN1062" s="103"/>
      <c r="MQZ1062" s="104"/>
      <c r="MRA1062" s="103"/>
      <c r="MRM1062" s="104"/>
      <c r="MRN1062" s="103"/>
      <c r="MRZ1062" s="104"/>
      <c r="MSA1062" s="103"/>
      <c r="MSM1062" s="104"/>
      <c r="MSN1062" s="103"/>
      <c r="MSZ1062" s="104"/>
      <c r="MTA1062" s="103"/>
      <c r="MTM1062" s="104"/>
      <c r="MTN1062" s="103"/>
      <c r="MTZ1062" s="104"/>
      <c r="MUA1062" s="103"/>
      <c r="MUM1062" s="104"/>
      <c r="MUN1062" s="103"/>
      <c r="MUZ1062" s="104"/>
      <c r="MVA1062" s="103"/>
      <c r="MVM1062" s="104"/>
      <c r="MVN1062" s="103"/>
      <c r="MVZ1062" s="104"/>
      <c r="MWA1062" s="103"/>
      <c r="MWM1062" s="104"/>
      <c r="MWN1062" s="103"/>
      <c r="MWZ1062" s="104"/>
      <c r="MXA1062" s="103"/>
      <c r="MXM1062" s="104"/>
      <c r="MXN1062" s="103"/>
      <c r="MXZ1062" s="104"/>
      <c r="MYA1062" s="103"/>
      <c r="MYM1062" s="104"/>
      <c r="MYN1062" s="103"/>
      <c r="MYZ1062" s="104"/>
      <c r="MZA1062" s="103"/>
      <c r="MZM1062" s="104"/>
      <c r="MZN1062" s="103"/>
      <c r="MZZ1062" s="104"/>
      <c r="NAA1062" s="103"/>
      <c r="NAM1062" s="104"/>
      <c r="NAN1062" s="103"/>
      <c r="NAZ1062" s="104"/>
      <c r="NBA1062" s="103"/>
      <c r="NBM1062" s="104"/>
      <c r="NBN1062" s="103"/>
      <c r="NBZ1062" s="104"/>
      <c r="NCA1062" s="103"/>
      <c r="NCM1062" s="104"/>
      <c r="NCN1062" s="103"/>
      <c r="NCZ1062" s="104"/>
      <c r="NDA1062" s="103"/>
      <c r="NDM1062" s="104"/>
      <c r="NDN1062" s="103"/>
      <c r="NDZ1062" s="104"/>
      <c r="NEA1062" s="103"/>
      <c r="NEM1062" s="104"/>
      <c r="NEN1062" s="103"/>
      <c r="NEZ1062" s="104"/>
      <c r="NFA1062" s="103"/>
      <c r="NFM1062" s="104"/>
      <c r="NFN1062" s="103"/>
      <c r="NFZ1062" s="104"/>
      <c r="NGA1062" s="103"/>
      <c r="NGM1062" s="104"/>
      <c r="NGN1062" s="103"/>
      <c r="NGZ1062" s="104"/>
      <c r="NHA1062" s="103"/>
      <c r="NHM1062" s="104"/>
      <c r="NHN1062" s="103"/>
      <c r="NHZ1062" s="104"/>
      <c r="NIA1062" s="103"/>
      <c r="NIM1062" s="104"/>
      <c r="NIN1062" s="103"/>
      <c r="NIZ1062" s="104"/>
      <c r="NJA1062" s="103"/>
      <c r="NJM1062" s="104"/>
      <c r="NJN1062" s="103"/>
      <c r="NJZ1062" s="104"/>
      <c r="NKA1062" s="103"/>
      <c r="NKM1062" s="104"/>
      <c r="NKN1062" s="103"/>
      <c r="NKZ1062" s="104"/>
      <c r="NLA1062" s="103"/>
      <c r="NLM1062" s="104"/>
      <c r="NLN1062" s="103"/>
      <c r="NLZ1062" s="104"/>
      <c r="NMA1062" s="103"/>
      <c r="NMM1062" s="104"/>
      <c r="NMN1062" s="103"/>
      <c r="NMZ1062" s="104"/>
      <c r="NNA1062" s="103"/>
      <c r="NNM1062" s="104"/>
      <c r="NNN1062" s="103"/>
      <c r="NNZ1062" s="104"/>
      <c r="NOA1062" s="103"/>
      <c r="NOM1062" s="104"/>
      <c r="NON1062" s="103"/>
      <c r="NOZ1062" s="104"/>
      <c r="NPA1062" s="103"/>
      <c r="NPM1062" s="104"/>
      <c r="NPN1062" s="103"/>
      <c r="NPZ1062" s="104"/>
      <c r="NQA1062" s="103"/>
      <c r="NQM1062" s="104"/>
      <c r="NQN1062" s="103"/>
      <c r="NQZ1062" s="104"/>
      <c r="NRA1062" s="103"/>
      <c r="NRM1062" s="104"/>
      <c r="NRN1062" s="103"/>
      <c r="NRZ1062" s="104"/>
      <c r="NSA1062" s="103"/>
      <c r="NSM1062" s="104"/>
      <c r="NSN1062" s="103"/>
      <c r="NSZ1062" s="104"/>
      <c r="NTA1062" s="103"/>
      <c r="NTM1062" s="104"/>
      <c r="NTN1062" s="103"/>
      <c r="NTZ1062" s="104"/>
      <c r="NUA1062" s="103"/>
      <c r="NUM1062" s="104"/>
      <c r="NUN1062" s="103"/>
      <c r="NUZ1062" s="104"/>
      <c r="NVA1062" s="103"/>
      <c r="NVM1062" s="104"/>
      <c r="NVN1062" s="103"/>
      <c r="NVZ1062" s="104"/>
      <c r="NWA1062" s="103"/>
      <c r="NWM1062" s="104"/>
      <c r="NWN1062" s="103"/>
      <c r="NWZ1062" s="104"/>
      <c r="NXA1062" s="103"/>
      <c r="NXM1062" s="104"/>
      <c r="NXN1062" s="103"/>
      <c r="NXZ1062" s="104"/>
      <c r="NYA1062" s="103"/>
      <c r="NYM1062" s="104"/>
      <c r="NYN1062" s="103"/>
      <c r="NYZ1062" s="104"/>
      <c r="NZA1062" s="103"/>
      <c r="NZM1062" s="104"/>
      <c r="NZN1062" s="103"/>
      <c r="NZZ1062" s="104"/>
      <c r="OAA1062" s="103"/>
      <c r="OAM1062" s="104"/>
      <c r="OAN1062" s="103"/>
      <c r="OAZ1062" s="104"/>
      <c r="OBA1062" s="103"/>
      <c r="OBM1062" s="104"/>
      <c r="OBN1062" s="103"/>
      <c r="OBZ1062" s="104"/>
      <c r="OCA1062" s="103"/>
      <c r="OCM1062" s="104"/>
      <c r="OCN1062" s="103"/>
      <c r="OCZ1062" s="104"/>
      <c r="ODA1062" s="103"/>
      <c r="ODM1062" s="104"/>
      <c r="ODN1062" s="103"/>
      <c r="ODZ1062" s="104"/>
      <c r="OEA1062" s="103"/>
      <c r="OEM1062" s="104"/>
      <c r="OEN1062" s="103"/>
      <c r="OEZ1062" s="104"/>
      <c r="OFA1062" s="103"/>
      <c r="OFM1062" s="104"/>
      <c r="OFN1062" s="103"/>
      <c r="OFZ1062" s="104"/>
      <c r="OGA1062" s="103"/>
      <c r="OGM1062" s="104"/>
      <c r="OGN1062" s="103"/>
      <c r="OGZ1062" s="104"/>
      <c r="OHA1062" s="103"/>
      <c r="OHM1062" s="104"/>
      <c r="OHN1062" s="103"/>
      <c r="OHZ1062" s="104"/>
      <c r="OIA1062" s="103"/>
      <c r="OIM1062" s="104"/>
      <c r="OIN1062" s="103"/>
      <c r="OIZ1062" s="104"/>
      <c r="OJA1062" s="103"/>
      <c r="OJM1062" s="104"/>
      <c r="OJN1062" s="103"/>
      <c r="OJZ1062" s="104"/>
      <c r="OKA1062" s="103"/>
      <c r="OKM1062" s="104"/>
      <c r="OKN1062" s="103"/>
      <c r="OKZ1062" s="104"/>
      <c r="OLA1062" s="103"/>
      <c r="OLM1062" s="104"/>
      <c r="OLN1062" s="103"/>
      <c r="OLZ1062" s="104"/>
      <c r="OMA1062" s="103"/>
      <c r="OMM1062" s="104"/>
      <c r="OMN1062" s="103"/>
      <c r="OMZ1062" s="104"/>
      <c r="ONA1062" s="103"/>
      <c r="ONM1062" s="104"/>
      <c r="ONN1062" s="103"/>
      <c r="ONZ1062" s="104"/>
      <c r="OOA1062" s="103"/>
      <c r="OOM1062" s="104"/>
      <c r="OON1062" s="103"/>
      <c r="OOZ1062" s="104"/>
      <c r="OPA1062" s="103"/>
      <c r="OPM1062" s="104"/>
      <c r="OPN1062" s="103"/>
      <c r="OPZ1062" s="104"/>
      <c r="OQA1062" s="103"/>
      <c r="OQM1062" s="104"/>
      <c r="OQN1062" s="103"/>
      <c r="OQZ1062" s="104"/>
      <c r="ORA1062" s="103"/>
      <c r="ORM1062" s="104"/>
      <c r="ORN1062" s="103"/>
      <c r="ORZ1062" s="104"/>
      <c r="OSA1062" s="103"/>
      <c r="OSM1062" s="104"/>
      <c r="OSN1062" s="103"/>
      <c r="OSZ1062" s="104"/>
      <c r="OTA1062" s="103"/>
      <c r="OTM1062" s="104"/>
      <c r="OTN1062" s="103"/>
      <c r="OTZ1062" s="104"/>
      <c r="OUA1062" s="103"/>
      <c r="OUM1062" s="104"/>
      <c r="OUN1062" s="103"/>
      <c r="OUZ1062" s="104"/>
      <c r="OVA1062" s="103"/>
      <c r="OVM1062" s="104"/>
      <c r="OVN1062" s="103"/>
      <c r="OVZ1062" s="104"/>
      <c r="OWA1062" s="103"/>
      <c r="OWM1062" s="104"/>
      <c r="OWN1062" s="103"/>
      <c r="OWZ1062" s="104"/>
      <c r="OXA1062" s="103"/>
      <c r="OXM1062" s="104"/>
      <c r="OXN1062" s="103"/>
      <c r="OXZ1062" s="104"/>
      <c r="OYA1062" s="103"/>
      <c r="OYM1062" s="104"/>
      <c r="OYN1062" s="103"/>
      <c r="OYZ1062" s="104"/>
      <c r="OZA1062" s="103"/>
      <c r="OZM1062" s="104"/>
      <c r="OZN1062" s="103"/>
      <c r="OZZ1062" s="104"/>
      <c r="PAA1062" s="103"/>
      <c r="PAM1062" s="104"/>
      <c r="PAN1062" s="103"/>
      <c r="PAZ1062" s="104"/>
      <c r="PBA1062" s="103"/>
      <c r="PBM1062" s="104"/>
      <c r="PBN1062" s="103"/>
      <c r="PBZ1062" s="104"/>
      <c r="PCA1062" s="103"/>
      <c r="PCM1062" s="104"/>
      <c r="PCN1062" s="103"/>
      <c r="PCZ1062" s="104"/>
      <c r="PDA1062" s="103"/>
      <c r="PDM1062" s="104"/>
      <c r="PDN1062" s="103"/>
      <c r="PDZ1062" s="104"/>
      <c r="PEA1062" s="103"/>
      <c r="PEM1062" s="104"/>
      <c r="PEN1062" s="103"/>
      <c r="PEZ1062" s="104"/>
      <c r="PFA1062" s="103"/>
      <c r="PFM1062" s="104"/>
      <c r="PFN1062" s="103"/>
      <c r="PFZ1062" s="104"/>
      <c r="PGA1062" s="103"/>
      <c r="PGM1062" s="104"/>
      <c r="PGN1062" s="103"/>
      <c r="PGZ1062" s="104"/>
      <c r="PHA1062" s="103"/>
      <c r="PHM1062" s="104"/>
      <c r="PHN1062" s="103"/>
      <c r="PHZ1062" s="104"/>
      <c r="PIA1062" s="103"/>
      <c r="PIM1062" s="104"/>
      <c r="PIN1062" s="103"/>
      <c r="PIZ1062" s="104"/>
      <c r="PJA1062" s="103"/>
      <c r="PJM1062" s="104"/>
      <c r="PJN1062" s="103"/>
      <c r="PJZ1062" s="104"/>
      <c r="PKA1062" s="103"/>
      <c r="PKM1062" s="104"/>
      <c r="PKN1062" s="103"/>
      <c r="PKZ1062" s="104"/>
      <c r="PLA1062" s="103"/>
      <c r="PLM1062" s="104"/>
      <c r="PLN1062" s="103"/>
      <c r="PLZ1062" s="104"/>
      <c r="PMA1062" s="103"/>
      <c r="PMM1062" s="104"/>
      <c r="PMN1062" s="103"/>
      <c r="PMZ1062" s="104"/>
      <c r="PNA1062" s="103"/>
      <c r="PNM1062" s="104"/>
      <c r="PNN1062" s="103"/>
      <c r="PNZ1062" s="104"/>
      <c r="POA1062" s="103"/>
      <c r="POM1062" s="104"/>
      <c r="PON1062" s="103"/>
      <c r="POZ1062" s="104"/>
      <c r="PPA1062" s="103"/>
      <c r="PPM1062" s="104"/>
      <c r="PPN1062" s="103"/>
      <c r="PPZ1062" s="104"/>
      <c r="PQA1062" s="103"/>
      <c r="PQM1062" s="104"/>
      <c r="PQN1062" s="103"/>
      <c r="PQZ1062" s="104"/>
      <c r="PRA1062" s="103"/>
      <c r="PRM1062" s="104"/>
      <c r="PRN1062" s="103"/>
      <c r="PRZ1062" s="104"/>
      <c r="PSA1062" s="103"/>
      <c r="PSM1062" s="104"/>
      <c r="PSN1062" s="103"/>
      <c r="PSZ1062" s="104"/>
      <c r="PTA1062" s="103"/>
      <c r="PTM1062" s="104"/>
      <c r="PTN1062" s="103"/>
      <c r="PTZ1062" s="104"/>
      <c r="PUA1062" s="103"/>
      <c r="PUM1062" s="104"/>
      <c r="PUN1062" s="103"/>
      <c r="PUZ1062" s="104"/>
      <c r="PVA1062" s="103"/>
      <c r="PVM1062" s="104"/>
      <c r="PVN1062" s="103"/>
      <c r="PVZ1062" s="104"/>
      <c r="PWA1062" s="103"/>
      <c r="PWM1062" s="104"/>
      <c r="PWN1062" s="103"/>
      <c r="PWZ1062" s="104"/>
      <c r="PXA1062" s="103"/>
      <c r="PXM1062" s="104"/>
      <c r="PXN1062" s="103"/>
      <c r="PXZ1062" s="104"/>
      <c r="PYA1062" s="103"/>
      <c r="PYM1062" s="104"/>
      <c r="PYN1062" s="103"/>
      <c r="PYZ1062" s="104"/>
      <c r="PZA1062" s="103"/>
      <c r="PZM1062" s="104"/>
      <c r="PZN1062" s="103"/>
      <c r="PZZ1062" s="104"/>
      <c r="QAA1062" s="103"/>
      <c r="QAM1062" s="104"/>
      <c r="QAN1062" s="103"/>
      <c r="QAZ1062" s="104"/>
      <c r="QBA1062" s="103"/>
      <c r="QBM1062" s="104"/>
      <c r="QBN1062" s="103"/>
      <c r="QBZ1062" s="104"/>
      <c r="QCA1062" s="103"/>
      <c r="QCM1062" s="104"/>
      <c r="QCN1062" s="103"/>
      <c r="QCZ1062" s="104"/>
      <c r="QDA1062" s="103"/>
      <c r="QDM1062" s="104"/>
      <c r="QDN1062" s="103"/>
      <c r="QDZ1062" s="104"/>
      <c r="QEA1062" s="103"/>
      <c r="QEM1062" s="104"/>
      <c r="QEN1062" s="103"/>
      <c r="QEZ1062" s="104"/>
      <c r="QFA1062" s="103"/>
      <c r="QFM1062" s="104"/>
      <c r="QFN1062" s="103"/>
      <c r="QFZ1062" s="104"/>
      <c r="QGA1062" s="103"/>
      <c r="QGM1062" s="104"/>
      <c r="QGN1062" s="103"/>
      <c r="QGZ1062" s="104"/>
      <c r="QHA1062" s="103"/>
      <c r="QHM1062" s="104"/>
      <c r="QHN1062" s="103"/>
      <c r="QHZ1062" s="104"/>
      <c r="QIA1062" s="103"/>
      <c r="QIM1062" s="104"/>
      <c r="QIN1062" s="103"/>
      <c r="QIZ1062" s="104"/>
      <c r="QJA1062" s="103"/>
      <c r="QJM1062" s="104"/>
      <c r="QJN1062" s="103"/>
      <c r="QJZ1062" s="104"/>
      <c r="QKA1062" s="103"/>
      <c r="QKM1062" s="104"/>
      <c r="QKN1062" s="103"/>
      <c r="QKZ1062" s="104"/>
      <c r="QLA1062" s="103"/>
      <c r="QLM1062" s="104"/>
      <c r="QLN1062" s="103"/>
      <c r="QLZ1062" s="104"/>
      <c r="QMA1062" s="103"/>
      <c r="QMM1062" s="104"/>
      <c r="QMN1062" s="103"/>
      <c r="QMZ1062" s="104"/>
      <c r="QNA1062" s="103"/>
      <c r="QNM1062" s="104"/>
      <c r="QNN1062" s="103"/>
      <c r="QNZ1062" s="104"/>
      <c r="QOA1062" s="103"/>
      <c r="QOM1062" s="104"/>
      <c r="QON1062" s="103"/>
      <c r="QOZ1062" s="104"/>
      <c r="QPA1062" s="103"/>
      <c r="QPM1062" s="104"/>
      <c r="QPN1062" s="103"/>
      <c r="QPZ1062" s="104"/>
      <c r="QQA1062" s="103"/>
      <c r="QQM1062" s="104"/>
      <c r="QQN1062" s="103"/>
      <c r="QQZ1062" s="104"/>
      <c r="QRA1062" s="103"/>
      <c r="QRM1062" s="104"/>
      <c r="QRN1062" s="103"/>
      <c r="QRZ1062" s="104"/>
      <c r="QSA1062" s="103"/>
      <c r="QSM1062" s="104"/>
      <c r="QSN1062" s="103"/>
      <c r="QSZ1062" s="104"/>
      <c r="QTA1062" s="103"/>
      <c r="QTM1062" s="104"/>
      <c r="QTN1062" s="103"/>
      <c r="QTZ1062" s="104"/>
      <c r="QUA1062" s="103"/>
      <c r="QUM1062" s="104"/>
      <c r="QUN1062" s="103"/>
      <c r="QUZ1062" s="104"/>
      <c r="QVA1062" s="103"/>
      <c r="QVM1062" s="104"/>
      <c r="QVN1062" s="103"/>
      <c r="QVZ1062" s="104"/>
      <c r="QWA1062" s="103"/>
      <c r="QWM1062" s="104"/>
      <c r="QWN1062" s="103"/>
      <c r="QWZ1062" s="104"/>
      <c r="QXA1062" s="103"/>
      <c r="QXM1062" s="104"/>
      <c r="QXN1062" s="103"/>
      <c r="QXZ1062" s="104"/>
      <c r="QYA1062" s="103"/>
      <c r="QYM1062" s="104"/>
      <c r="QYN1062" s="103"/>
      <c r="QYZ1062" s="104"/>
      <c r="QZA1062" s="103"/>
      <c r="QZM1062" s="104"/>
      <c r="QZN1062" s="103"/>
      <c r="QZZ1062" s="104"/>
      <c r="RAA1062" s="103"/>
      <c r="RAM1062" s="104"/>
      <c r="RAN1062" s="103"/>
      <c r="RAZ1062" s="104"/>
      <c r="RBA1062" s="103"/>
      <c r="RBM1062" s="104"/>
      <c r="RBN1062" s="103"/>
      <c r="RBZ1062" s="104"/>
      <c r="RCA1062" s="103"/>
      <c r="RCM1062" s="104"/>
      <c r="RCN1062" s="103"/>
      <c r="RCZ1062" s="104"/>
      <c r="RDA1062" s="103"/>
      <c r="RDM1062" s="104"/>
      <c r="RDN1062" s="103"/>
      <c r="RDZ1062" s="104"/>
      <c r="REA1062" s="103"/>
      <c r="REM1062" s="104"/>
      <c r="REN1062" s="103"/>
      <c r="REZ1062" s="104"/>
      <c r="RFA1062" s="103"/>
      <c r="RFM1062" s="104"/>
      <c r="RFN1062" s="103"/>
      <c r="RFZ1062" s="104"/>
      <c r="RGA1062" s="103"/>
      <c r="RGM1062" s="104"/>
      <c r="RGN1062" s="103"/>
      <c r="RGZ1062" s="104"/>
      <c r="RHA1062" s="103"/>
      <c r="RHM1062" s="104"/>
      <c r="RHN1062" s="103"/>
      <c r="RHZ1062" s="104"/>
      <c r="RIA1062" s="103"/>
      <c r="RIM1062" s="104"/>
      <c r="RIN1062" s="103"/>
      <c r="RIZ1062" s="104"/>
      <c r="RJA1062" s="103"/>
      <c r="RJM1062" s="104"/>
      <c r="RJN1062" s="103"/>
      <c r="RJZ1062" s="104"/>
      <c r="RKA1062" s="103"/>
      <c r="RKM1062" s="104"/>
      <c r="RKN1062" s="103"/>
      <c r="RKZ1062" s="104"/>
      <c r="RLA1062" s="103"/>
      <c r="RLM1062" s="104"/>
      <c r="RLN1062" s="103"/>
      <c r="RLZ1062" s="104"/>
      <c r="RMA1062" s="103"/>
      <c r="RMM1062" s="104"/>
      <c r="RMN1062" s="103"/>
      <c r="RMZ1062" s="104"/>
      <c r="RNA1062" s="103"/>
      <c r="RNM1062" s="104"/>
      <c r="RNN1062" s="103"/>
      <c r="RNZ1062" s="104"/>
      <c r="ROA1062" s="103"/>
      <c r="ROM1062" s="104"/>
      <c r="RON1062" s="103"/>
      <c r="ROZ1062" s="104"/>
      <c r="RPA1062" s="103"/>
      <c r="RPM1062" s="104"/>
      <c r="RPN1062" s="103"/>
      <c r="RPZ1062" s="104"/>
      <c r="RQA1062" s="103"/>
      <c r="RQM1062" s="104"/>
      <c r="RQN1062" s="103"/>
      <c r="RQZ1062" s="104"/>
      <c r="RRA1062" s="103"/>
      <c r="RRM1062" s="104"/>
      <c r="RRN1062" s="103"/>
      <c r="RRZ1062" s="104"/>
      <c r="RSA1062" s="103"/>
      <c r="RSM1062" s="104"/>
      <c r="RSN1062" s="103"/>
      <c r="RSZ1062" s="104"/>
      <c r="RTA1062" s="103"/>
      <c r="RTM1062" s="104"/>
      <c r="RTN1062" s="103"/>
      <c r="RTZ1062" s="104"/>
      <c r="RUA1062" s="103"/>
      <c r="RUM1062" s="104"/>
      <c r="RUN1062" s="103"/>
      <c r="RUZ1062" s="104"/>
      <c r="RVA1062" s="103"/>
      <c r="RVM1062" s="104"/>
      <c r="RVN1062" s="103"/>
      <c r="RVZ1062" s="104"/>
      <c r="RWA1062" s="103"/>
      <c r="RWM1062" s="104"/>
      <c r="RWN1062" s="103"/>
      <c r="RWZ1062" s="104"/>
      <c r="RXA1062" s="103"/>
      <c r="RXM1062" s="104"/>
      <c r="RXN1062" s="103"/>
      <c r="RXZ1062" s="104"/>
      <c r="RYA1062" s="103"/>
      <c r="RYM1062" s="104"/>
      <c r="RYN1062" s="103"/>
      <c r="RYZ1062" s="104"/>
      <c r="RZA1062" s="103"/>
      <c r="RZM1062" s="104"/>
      <c r="RZN1062" s="103"/>
      <c r="RZZ1062" s="104"/>
      <c r="SAA1062" s="103"/>
      <c r="SAM1062" s="104"/>
      <c r="SAN1062" s="103"/>
      <c r="SAZ1062" s="104"/>
      <c r="SBA1062" s="103"/>
      <c r="SBM1062" s="104"/>
      <c r="SBN1062" s="103"/>
      <c r="SBZ1062" s="104"/>
      <c r="SCA1062" s="103"/>
      <c r="SCM1062" s="104"/>
      <c r="SCN1062" s="103"/>
      <c r="SCZ1062" s="104"/>
      <c r="SDA1062" s="103"/>
      <c r="SDM1062" s="104"/>
      <c r="SDN1062" s="103"/>
      <c r="SDZ1062" s="104"/>
      <c r="SEA1062" s="103"/>
      <c r="SEM1062" s="104"/>
      <c r="SEN1062" s="103"/>
      <c r="SEZ1062" s="104"/>
      <c r="SFA1062" s="103"/>
      <c r="SFM1062" s="104"/>
      <c r="SFN1062" s="103"/>
      <c r="SFZ1062" s="104"/>
      <c r="SGA1062" s="103"/>
      <c r="SGM1062" s="104"/>
      <c r="SGN1062" s="103"/>
      <c r="SGZ1062" s="104"/>
      <c r="SHA1062" s="103"/>
      <c r="SHM1062" s="104"/>
      <c r="SHN1062" s="103"/>
      <c r="SHZ1062" s="104"/>
      <c r="SIA1062" s="103"/>
      <c r="SIM1062" s="104"/>
      <c r="SIN1062" s="103"/>
      <c r="SIZ1062" s="104"/>
      <c r="SJA1062" s="103"/>
      <c r="SJM1062" s="104"/>
      <c r="SJN1062" s="103"/>
      <c r="SJZ1062" s="104"/>
      <c r="SKA1062" s="103"/>
      <c r="SKM1062" s="104"/>
      <c r="SKN1062" s="103"/>
      <c r="SKZ1062" s="104"/>
      <c r="SLA1062" s="103"/>
      <c r="SLM1062" s="104"/>
      <c r="SLN1062" s="103"/>
      <c r="SLZ1062" s="104"/>
      <c r="SMA1062" s="103"/>
      <c r="SMM1062" s="104"/>
      <c r="SMN1062" s="103"/>
      <c r="SMZ1062" s="104"/>
      <c r="SNA1062" s="103"/>
      <c r="SNM1062" s="104"/>
      <c r="SNN1062" s="103"/>
      <c r="SNZ1062" s="104"/>
      <c r="SOA1062" s="103"/>
      <c r="SOM1062" s="104"/>
      <c r="SON1062" s="103"/>
      <c r="SOZ1062" s="104"/>
      <c r="SPA1062" s="103"/>
      <c r="SPM1062" s="104"/>
      <c r="SPN1062" s="103"/>
      <c r="SPZ1062" s="104"/>
      <c r="SQA1062" s="103"/>
      <c r="SQM1062" s="104"/>
      <c r="SQN1062" s="103"/>
      <c r="SQZ1062" s="104"/>
      <c r="SRA1062" s="103"/>
      <c r="SRM1062" s="104"/>
      <c r="SRN1062" s="103"/>
      <c r="SRZ1062" s="104"/>
      <c r="SSA1062" s="103"/>
      <c r="SSM1062" s="104"/>
      <c r="SSN1062" s="103"/>
      <c r="SSZ1062" s="104"/>
      <c r="STA1062" s="103"/>
      <c r="STM1062" s="104"/>
      <c r="STN1062" s="103"/>
      <c r="STZ1062" s="104"/>
      <c r="SUA1062" s="103"/>
      <c r="SUM1062" s="104"/>
      <c r="SUN1062" s="103"/>
      <c r="SUZ1062" s="104"/>
      <c r="SVA1062" s="103"/>
      <c r="SVM1062" s="104"/>
      <c r="SVN1062" s="103"/>
      <c r="SVZ1062" s="104"/>
      <c r="SWA1062" s="103"/>
      <c r="SWM1062" s="104"/>
      <c r="SWN1062" s="103"/>
      <c r="SWZ1062" s="104"/>
      <c r="SXA1062" s="103"/>
      <c r="SXM1062" s="104"/>
      <c r="SXN1062" s="103"/>
      <c r="SXZ1062" s="104"/>
      <c r="SYA1062" s="103"/>
      <c r="SYM1062" s="104"/>
      <c r="SYN1062" s="103"/>
      <c r="SYZ1062" s="104"/>
      <c r="SZA1062" s="103"/>
      <c r="SZM1062" s="104"/>
      <c r="SZN1062" s="103"/>
      <c r="SZZ1062" s="104"/>
      <c r="TAA1062" s="103"/>
      <c r="TAM1062" s="104"/>
      <c r="TAN1062" s="103"/>
      <c r="TAZ1062" s="104"/>
      <c r="TBA1062" s="103"/>
      <c r="TBM1062" s="104"/>
      <c r="TBN1062" s="103"/>
      <c r="TBZ1062" s="104"/>
      <c r="TCA1062" s="103"/>
      <c r="TCM1062" s="104"/>
      <c r="TCN1062" s="103"/>
      <c r="TCZ1062" s="104"/>
      <c r="TDA1062" s="103"/>
      <c r="TDM1062" s="104"/>
      <c r="TDN1062" s="103"/>
      <c r="TDZ1062" s="104"/>
      <c r="TEA1062" s="103"/>
      <c r="TEM1062" s="104"/>
      <c r="TEN1062" s="103"/>
      <c r="TEZ1062" s="104"/>
      <c r="TFA1062" s="103"/>
      <c r="TFM1062" s="104"/>
      <c r="TFN1062" s="103"/>
      <c r="TFZ1062" s="104"/>
      <c r="TGA1062" s="103"/>
      <c r="TGM1062" s="104"/>
      <c r="TGN1062" s="103"/>
      <c r="TGZ1062" s="104"/>
      <c r="THA1062" s="103"/>
      <c r="THM1062" s="104"/>
      <c r="THN1062" s="103"/>
      <c r="THZ1062" s="104"/>
      <c r="TIA1062" s="103"/>
      <c r="TIM1062" s="104"/>
      <c r="TIN1062" s="103"/>
      <c r="TIZ1062" s="104"/>
      <c r="TJA1062" s="103"/>
      <c r="TJM1062" s="104"/>
      <c r="TJN1062" s="103"/>
      <c r="TJZ1062" s="104"/>
      <c r="TKA1062" s="103"/>
      <c r="TKM1062" s="104"/>
      <c r="TKN1062" s="103"/>
      <c r="TKZ1062" s="104"/>
      <c r="TLA1062" s="103"/>
      <c r="TLM1062" s="104"/>
      <c r="TLN1062" s="103"/>
      <c r="TLZ1062" s="104"/>
      <c r="TMA1062" s="103"/>
      <c r="TMM1062" s="104"/>
      <c r="TMN1062" s="103"/>
      <c r="TMZ1062" s="104"/>
      <c r="TNA1062" s="103"/>
      <c r="TNM1062" s="104"/>
      <c r="TNN1062" s="103"/>
      <c r="TNZ1062" s="104"/>
      <c r="TOA1062" s="103"/>
      <c r="TOM1062" s="104"/>
      <c r="TON1062" s="103"/>
      <c r="TOZ1062" s="104"/>
      <c r="TPA1062" s="103"/>
      <c r="TPM1062" s="104"/>
      <c r="TPN1062" s="103"/>
      <c r="TPZ1062" s="104"/>
      <c r="TQA1062" s="103"/>
      <c r="TQM1062" s="104"/>
      <c r="TQN1062" s="103"/>
      <c r="TQZ1062" s="104"/>
      <c r="TRA1062" s="103"/>
      <c r="TRM1062" s="104"/>
      <c r="TRN1062" s="103"/>
      <c r="TRZ1062" s="104"/>
      <c r="TSA1062" s="103"/>
      <c r="TSM1062" s="104"/>
      <c r="TSN1062" s="103"/>
      <c r="TSZ1062" s="104"/>
      <c r="TTA1062" s="103"/>
      <c r="TTM1062" s="104"/>
      <c r="TTN1062" s="103"/>
      <c r="TTZ1062" s="104"/>
      <c r="TUA1062" s="103"/>
      <c r="TUM1062" s="104"/>
      <c r="TUN1062" s="103"/>
      <c r="TUZ1062" s="104"/>
      <c r="TVA1062" s="103"/>
      <c r="TVM1062" s="104"/>
      <c r="TVN1062" s="103"/>
      <c r="TVZ1062" s="104"/>
      <c r="TWA1062" s="103"/>
      <c r="TWM1062" s="104"/>
      <c r="TWN1062" s="103"/>
      <c r="TWZ1062" s="104"/>
      <c r="TXA1062" s="103"/>
      <c r="TXM1062" s="104"/>
      <c r="TXN1062" s="103"/>
      <c r="TXZ1062" s="104"/>
      <c r="TYA1062" s="103"/>
      <c r="TYM1062" s="104"/>
      <c r="TYN1062" s="103"/>
      <c r="TYZ1062" s="104"/>
      <c r="TZA1062" s="103"/>
      <c r="TZM1062" s="104"/>
      <c r="TZN1062" s="103"/>
      <c r="TZZ1062" s="104"/>
      <c r="UAA1062" s="103"/>
      <c r="UAM1062" s="104"/>
      <c r="UAN1062" s="103"/>
      <c r="UAZ1062" s="104"/>
      <c r="UBA1062" s="103"/>
      <c r="UBM1062" s="104"/>
      <c r="UBN1062" s="103"/>
      <c r="UBZ1062" s="104"/>
      <c r="UCA1062" s="103"/>
      <c r="UCM1062" s="104"/>
      <c r="UCN1062" s="103"/>
      <c r="UCZ1062" s="104"/>
      <c r="UDA1062" s="103"/>
      <c r="UDM1062" s="104"/>
      <c r="UDN1062" s="103"/>
      <c r="UDZ1062" s="104"/>
      <c r="UEA1062" s="103"/>
      <c r="UEM1062" s="104"/>
      <c r="UEN1062" s="103"/>
      <c r="UEZ1062" s="104"/>
      <c r="UFA1062" s="103"/>
      <c r="UFM1062" s="104"/>
      <c r="UFN1062" s="103"/>
      <c r="UFZ1062" s="104"/>
      <c r="UGA1062" s="103"/>
      <c r="UGM1062" s="104"/>
      <c r="UGN1062" s="103"/>
      <c r="UGZ1062" s="104"/>
      <c r="UHA1062" s="103"/>
      <c r="UHM1062" s="104"/>
      <c r="UHN1062" s="103"/>
      <c r="UHZ1062" s="104"/>
      <c r="UIA1062" s="103"/>
      <c r="UIM1062" s="104"/>
      <c r="UIN1062" s="103"/>
      <c r="UIZ1062" s="104"/>
      <c r="UJA1062" s="103"/>
      <c r="UJM1062" s="104"/>
      <c r="UJN1062" s="103"/>
      <c r="UJZ1062" s="104"/>
      <c r="UKA1062" s="103"/>
      <c r="UKM1062" s="104"/>
      <c r="UKN1062" s="103"/>
      <c r="UKZ1062" s="104"/>
      <c r="ULA1062" s="103"/>
      <c r="ULM1062" s="104"/>
      <c r="ULN1062" s="103"/>
      <c r="ULZ1062" s="104"/>
      <c r="UMA1062" s="103"/>
      <c r="UMM1062" s="104"/>
      <c r="UMN1062" s="103"/>
      <c r="UMZ1062" s="104"/>
      <c r="UNA1062" s="103"/>
      <c r="UNM1062" s="104"/>
      <c r="UNN1062" s="103"/>
      <c r="UNZ1062" s="104"/>
      <c r="UOA1062" s="103"/>
      <c r="UOM1062" s="104"/>
      <c r="UON1062" s="103"/>
      <c r="UOZ1062" s="104"/>
      <c r="UPA1062" s="103"/>
      <c r="UPM1062" s="104"/>
      <c r="UPN1062" s="103"/>
      <c r="UPZ1062" s="104"/>
      <c r="UQA1062" s="103"/>
      <c r="UQM1062" s="104"/>
      <c r="UQN1062" s="103"/>
      <c r="UQZ1062" s="104"/>
      <c r="URA1062" s="103"/>
      <c r="URM1062" s="104"/>
      <c r="URN1062" s="103"/>
      <c r="URZ1062" s="104"/>
      <c r="USA1062" s="103"/>
      <c r="USM1062" s="104"/>
      <c r="USN1062" s="103"/>
      <c r="USZ1062" s="104"/>
      <c r="UTA1062" s="103"/>
      <c r="UTM1062" s="104"/>
      <c r="UTN1062" s="103"/>
      <c r="UTZ1062" s="104"/>
      <c r="UUA1062" s="103"/>
      <c r="UUM1062" s="104"/>
      <c r="UUN1062" s="103"/>
      <c r="UUZ1062" s="104"/>
      <c r="UVA1062" s="103"/>
      <c r="UVM1062" s="104"/>
      <c r="UVN1062" s="103"/>
      <c r="UVZ1062" s="104"/>
      <c r="UWA1062" s="103"/>
      <c r="UWM1062" s="104"/>
      <c r="UWN1062" s="103"/>
      <c r="UWZ1062" s="104"/>
      <c r="UXA1062" s="103"/>
      <c r="UXM1062" s="104"/>
      <c r="UXN1062" s="103"/>
      <c r="UXZ1062" s="104"/>
      <c r="UYA1062" s="103"/>
      <c r="UYM1062" s="104"/>
      <c r="UYN1062" s="103"/>
      <c r="UYZ1062" s="104"/>
      <c r="UZA1062" s="103"/>
      <c r="UZM1062" s="104"/>
      <c r="UZN1062" s="103"/>
      <c r="UZZ1062" s="104"/>
      <c r="VAA1062" s="103"/>
      <c r="VAM1062" s="104"/>
      <c r="VAN1062" s="103"/>
      <c r="VAZ1062" s="104"/>
      <c r="VBA1062" s="103"/>
      <c r="VBM1062" s="104"/>
      <c r="VBN1062" s="103"/>
      <c r="VBZ1062" s="104"/>
      <c r="VCA1062" s="103"/>
      <c r="VCM1062" s="104"/>
      <c r="VCN1062" s="103"/>
      <c r="VCZ1062" s="104"/>
      <c r="VDA1062" s="103"/>
      <c r="VDM1062" s="104"/>
      <c r="VDN1062" s="103"/>
      <c r="VDZ1062" s="104"/>
      <c r="VEA1062" s="103"/>
      <c r="VEM1062" s="104"/>
      <c r="VEN1062" s="103"/>
      <c r="VEZ1062" s="104"/>
      <c r="VFA1062" s="103"/>
      <c r="VFM1062" s="104"/>
      <c r="VFN1062" s="103"/>
      <c r="VFZ1062" s="104"/>
      <c r="VGA1062" s="103"/>
      <c r="VGM1062" s="104"/>
      <c r="VGN1062" s="103"/>
      <c r="VGZ1062" s="104"/>
      <c r="VHA1062" s="103"/>
      <c r="VHM1062" s="104"/>
      <c r="VHN1062" s="103"/>
      <c r="VHZ1062" s="104"/>
      <c r="VIA1062" s="103"/>
      <c r="VIM1062" s="104"/>
      <c r="VIN1062" s="103"/>
      <c r="VIZ1062" s="104"/>
      <c r="VJA1062" s="103"/>
      <c r="VJM1062" s="104"/>
      <c r="VJN1062" s="103"/>
      <c r="VJZ1062" s="104"/>
      <c r="VKA1062" s="103"/>
      <c r="VKM1062" s="104"/>
      <c r="VKN1062" s="103"/>
      <c r="VKZ1062" s="104"/>
      <c r="VLA1062" s="103"/>
      <c r="VLM1062" s="104"/>
      <c r="VLN1062" s="103"/>
      <c r="VLZ1062" s="104"/>
      <c r="VMA1062" s="103"/>
      <c r="VMM1062" s="104"/>
      <c r="VMN1062" s="103"/>
      <c r="VMZ1062" s="104"/>
      <c r="VNA1062" s="103"/>
      <c r="VNM1062" s="104"/>
      <c r="VNN1062" s="103"/>
      <c r="VNZ1062" s="104"/>
      <c r="VOA1062" s="103"/>
      <c r="VOM1062" s="104"/>
      <c r="VON1062" s="103"/>
      <c r="VOZ1062" s="104"/>
      <c r="VPA1062" s="103"/>
      <c r="VPM1062" s="104"/>
      <c r="VPN1062" s="103"/>
      <c r="VPZ1062" s="104"/>
      <c r="VQA1062" s="103"/>
      <c r="VQM1062" s="104"/>
      <c r="VQN1062" s="103"/>
      <c r="VQZ1062" s="104"/>
      <c r="VRA1062" s="103"/>
      <c r="VRM1062" s="104"/>
      <c r="VRN1062" s="103"/>
      <c r="VRZ1062" s="104"/>
      <c r="VSA1062" s="103"/>
      <c r="VSM1062" s="104"/>
      <c r="VSN1062" s="103"/>
      <c r="VSZ1062" s="104"/>
      <c r="VTA1062" s="103"/>
      <c r="VTM1062" s="104"/>
      <c r="VTN1062" s="103"/>
      <c r="VTZ1062" s="104"/>
      <c r="VUA1062" s="103"/>
      <c r="VUM1062" s="104"/>
      <c r="VUN1062" s="103"/>
      <c r="VUZ1062" s="104"/>
      <c r="VVA1062" s="103"/>
      <c r="VVM1062" s="104"/>
      <c r="VVN1062" s="103"/>
      <c r="VVZ1062" s="104"/>
      <c r="VWA1062" s="103"/>
      <c r="VWM1062" s="104"/>
      <c r="VWN1062" s="103"/>
      <c r="VWZ1062" s="104"/>
      <c r="VXA1062" s="103"/>
      <c r="VXM1062" s="104"/>
      <c r="VXN1062" s="103"/>
      <c r="VXZ1062" s="104"/>
      <c r="VYA1062" s="103"/>
      <c r="VYM1062" s="104"/>
      <c r="VYN1062" s="103"/>
      <c r="VYZ1062" s="104"/>
      <c r="VZA1062" s="103"/>
      <c r="VZM1062" s="104"/>
      <c r="VZN1062" s="103"/>
      <c r="VZZ1062" s="104"/>
      <c r="WAA1062" s="103"/>
      <c r="WAM1062" s="104"/>
      <c r="WAN1062" s="103"/>
      <c r="WAZ1062" s="104"/>
      <c r="WBA1062" s="103"/>
      <c r="WBM1062" s="104"/>
      <c r="WBN1062" s="103"/>
      <c r="WBZ1062" s="104"/>
      <c r="WCA1062" s="103"/>
      <c r="WCM1062" s="104"/>
      <c r="WCN1062" s="103"/>
      <c r="WCZ1062" s="104"/>
      <c r="WDA1062" s="103"/>
      <c r="WDM1062" s="104"/>
      <c r="WDN1062" s="103"/>
      <c r="WDZ1062" s="104"/>
      <c r="WEA1062" s="103"/>
      <c r="WEM1062" s="104"/>
      <c r="WEN1062" s="103"/>
      <c r="WEZ1062" s="104"/>
      <c r="WFA1062" s="103"/>
      <c r="WFM1062" s="104"/>
      <c r="WFN1062" s="103"/>
      <c r="WFZ1062" s="104"/>
      <c r="WGA1062" s="103"/>
      <c r="WGM1062" s="104"/>
      <c r="WGN1062" s="103"/>
      <c r="WGZ1062" s="104"/>
      <c r="WHA1062" s="103"/>
      <c r="WHM1062" s="104"/>
      <c r="WHN1062" s="103"/>
      <c r="WHZ1062" s="104"/>
      <c r="WIA1062" s="103"/>
      <c r="WIM1062" s="104"/>
      <c r="WIN1062" s="103"/>
      <c r="WIZ1062" s="104"/>
      <c r="WJA1062" s="103"/>
      <c r="WJM1062" s="104"/>
      <c r="WJN1062" s="103"/>
      <c r="WJZ1062" s="104"/>
      <c r="WKA1062" s="103"/>
      <c r="WKM1062" s="104"/>
      <c r="WKN1062" s="103"/>
      <c r="WKZ1062" s="104"/>
      <c r="WLA1062" s="103"/>
      <c r="WLM1062" s="104"/>
      <c r="WLN1062" s="103"/>
      <c r="WLZ1062" s="104"/>
      <c r="WMA1062" s="103"/>
      <c r="WMM1062" s="104"/>
      <c r="WMN1062" s="103"/>
      <c r="WMZ1062" s="104"/>
      <c r="WNA1062" s="103"/>
      <c r="WNM1062" s="104"/>
      <c r="WNN1062" s="103"/>
      <c r="WNZ1062" s="104"/>
      <c r="WOA1062" s="103"/>
      <c r="WOM1062" s="104"/>
      <c r="WON1062" s="103"/>
      <c r="WOZ1062" s="104"/>
      <c r="WPA1062" s="103"/>
      <c r="WPM1062" s="104"/>
      <c r="WPN1062" s="103"/>
      <c r="WPZ1062" s="104"/>
      <c r="WQA1062" s="103"/>
      <c r="WQM1062" s="104"/>
      <c r="WQN1062" s="103"/>
      <c r="WQZ1062" s="104"/>
      <c r="WRA1062" s="103"/>
      <c r="WRM1062" s="104"/>
      <c r="WRN1062" s="103"/>
      <c r="WRZ1062" s="104"/>
      <c r="WSA1062" s="103"/>
      <c r="WSM1062" s="104"/>
      <c r="WSN1062" s="103"/>
      <c r="WSZ1062" s="104"/>
      <c r="WTA1062" s="103"/>
      <c r="WTM1062" s="104"/>
      <c r="WTN1062" s="103"/>
      <c r="WTZ1062" s="104"/>
      <c r="WUA1062" s="103"/>
      <c r="WUM1062" s="104"/>
      <c r="WUN1062" s="103"/>
      <c r="WUZ1062" s="104"/>
      <c r="WVA1062" s="103"/>
      <c r="WVM1062" s="104"/>
      <c r="WVN1062" s="103"/>
      <c r="WVZ1062" s="104"/>
      <c r="WWA1062" s="103"/>
      <c r="WWM1062" s="104"/>
      <c r="WWN1062" s="103"/>
      <c r="WWZ1062" s="104"/>
      <c r="WXA1062" s="103"/>
      <c r="WXM1062" s="104"/>
      <c r="WXN1062" s="103"/>
      <c r="WXZ1062" s="104"/>
      <c r="WYA1062" s="103"/>
      <c r="WYM1062" s="104"/>
      <c r="WYN1062" s="103"/>
      <c r="WYZ1062" s="104"/>
      <c r="WZA1062" s="103"/>
      <c r="WZM1062" s="104"/>
      <c r="WZN1062" s="103"/>
      <c r="WZZ1062" s="104"/>
      <c r="XAA1062" s="103"/>
      <c r="XAM1062" s="104"/>
      <c r="XAN1062" s="103"/>
      <c r="XAZ1062" s="104"/>
      <c r="XBA1062" s="103"/>
      <c r="XBM1062" s="104"/>
      <c r="XBN1062" s="103"/>
      <c r="XBZ1062" s="104"/>
      <c r="XCA1062" s="103"/>
      <c r="XCM1062" s="104"/>
      <c r="XCN1062" s="103"/>
      <c r="XCZ1062" s="104"/>
      <c r="XDA1062" s="103"/>
      <c r="XDM1062" s="104"/>
      <c r="XDN1062" s="103"/>
      <c r="XDZ1062" s="104"/>
      <c r="XEA1062" s="103"/>
      <c r="XEM1062" s="104"/>
      <c r="XEN1062" s="103"/>
      <c r="XEZ1062" s="104"/>
      <c r="XFA1062" s="103"/>
    </row>
    <row r="1063" spans="2:1015 1027:2042 2054:3069 3081:4096 4108:5110 5122:6137 6149:7164 7176:8191 8203:9205 9217:10232 10244:11259 11271:12286 12298:14327 14339:15354 15366:16381">
      <c r="B1063" s="116" t="s">
        <v>30</v>
      </c>
      <c r="C1063" s="112"/>
      <c r="D1063" s="113">
        <f t="shared" si="50"/>
        <v>0</v>
      </c>
      <c r="E1063" s="114"/>
      <c r="F1063" s="114"/>
    </row>
    <row r="1064" spans="2:1015 1027:2042 2054:3069 3081:4096 4108:5110 5122:6137 6149:7164 7176:8191 8203:9205 9217:10232 10244:11259 11271:12286 12298:14327 14339:15354 15366:16381">
      <c r="B1064" s="115" t="s">
        <v>92</v>
      </c>
      <c r="C1064" s="112">
        <v>9704</v>
      </c>
      <c r="D1064" s="113">
        <f t="shared" si="50"/>
        <v>186.93893276825276</v>
      </c>
      <c r="E1064" s="114"/>
      <c r="F1064" s="114"/>
    </row>
    <row r="1065" spans="2:1015 1027:2042 2054:3069 3081:4096 4108:5110 5122:6137 6149:7164 7176:8191 8203:9205 9217:10232 10244:11259 11271:12286 12298:14327 14339:15354 15366:16381">
      <c r="B1065" s="111" t="s">
        <v>93</v>
      </c>
      <c r="C1065" s="112"/>
      <c r="D1065" s="113">
        <f t="shared" si="50"/>
        <v>0</v>
      </c>
      <c r="E1065" s="114"/>
      <c r="F1065" s="114"/>
    </row>
    <row r="1066" spans="2:1015 1027:2042 2054:3069 3081:4096 4108:5110 5122:6137 6149:7164 7176:8191 8203:9205 9217:10232 10244:11259 11271:12286 12298:14327 14339:15354 15366:16381">
      <c r="B1066" s="115" t="s">
        <v>94</v>
      </c>
      <c r="C1066" s="112">
        <v>0</v>
      </c>
      <c r="D1066" s="113">
        <f t="shared" si="50"/>
        <v>0</v>
      </c>
      <c r="E1066" s="114"/>
      <c r="F1066" s="114"/>
    </row>
    <row r="1067" spans="2:1015 1027:2042 2054:3069 3081:4096 4108:5110 5122:6137 6149:7164 7176:8191 8203:9205 9217:10232 10244:11259 11271:12286 12298:14327 14339:15354 15366:16381">
      <c r="B1067" s="115" t="s">
        <v>95</v>
      </c>
      <c r="C1067" s="112">
        <v>2594</v>
      </c>
      <c r="D1067" s="113">
        <f t="shared" si="50"/>
        <v>49.971103833558082</v>
      </c>
      <c r="E1067" s="114"/>
      <c r="F1067" s="114"/>
    </row>
    <row r="1068" spans="2:1015 1027:2042 2054:3069 3081:4096 4108:5110 5122:6137 6149:7164 7176:8191 8203:9205 9217:10232 10244:11259 11271:12286 12298:14327 14339:15354 15366:16381">
      <c r="B1068" s="111" t="s">
        <v>96</v>
      </c>
      <c r="C1068" s="112"/>
      <c r="D1068" s="113">
        <f t="shared" si="50"/>
        <v>0</v>
      </c>
      <c r="E1068" s="114"/>
      <c r="F1068" s="114"/>
    </row>
    <row r="1069" spans="2:1015 1027:2042 2054:3069 3081:4096 4108:5110 5122:6137 6149:7164 7176:8191 8203:9205 9217:10232 10244:11259 11271:12286 12298:14327 14339:15354 15366:16381">
      <c r="B1069" s="115" t="s">
        <v>68</v>
      </c>
      <c r="C1069" s="112">
        <v>210000</v>
      </c>
      <c r="D1069" s="113">
        <f t="shared" si="50"/>
        <v>4045.4633018686186</v>
      </c>
      <c r="E1069" s="114"/>
      <c r="F1069" s="114"/>
    </row>
    <row r="1070" spans="2:1015 1027:2042 2054:3069 3081:4096 4108:5110 5122:6137 6149:7164 7176:8191 8203:9205 9217:10232 10244:11259 11271:12286 12298:14327 14339:15354 15366:16381">
      <c r="B1070" s="115" t="s">
        <v>97</v>
      </c>
      <c r="C1070" s="112">
        <v>0</v>
      </c>
      <c r="D1070" s="113">
        <f t="shared" si="50"/>
        <v>0</v>
      </c>
      <c r="E1070" s="114"/>
      <c r="F1070" s="114"/>
    </row>
    <row r="1071" spans="2:1015 1027:2042 2054:3069 3081:4096 4108:5110 5122:6137 6149:7164 7176:8191 8203:9205 9217:10232 10244:11259 11271:12286 12298:14327 14339:15354 15366:16381">
      <c r="B1071" s="111" t="s">
        <v>32</v>
      </c>
      <c r="C1071" s="113">
        <f>+C1062+C1064+C1066+C1067+C1069+C1061</f>
        <v>252833</v>
      </c>
      <c r="D1071" s="113">
        <f t="shared" si="50"/>
        <v>4870.6029666730883</v>
      </c>
      <c r="E1071" s="114"/>
      <c r="F1071" s="114"/>
    </row>
    <row r="1072" spans="2:1015 1027:2042 2054:3069 3081:4096 4108:5110 5122:6137 6149:7164 7176:8191 8203:9205 9217:10232 10244:11259 11271:12286 12298:14327 14339:15354 15366:16381">
      <c r="B1072" s="111" t="s">
        <v>33</v>
      </c>
      <c r="C1072" s="112">
        <v>10213</v>
      </c>
      <c r="D1072" s="113">
        <f t="shared" si="50"/>
        <v>196.74436524754384</v>
      </c>
      <c r="E1072" s="114"/>
      <c r="F1072" s="114"/>
    </row>
    <row r="1073" spans="2:6">
      <c r="B1073" s="111" t="s">
        <v>98</v>
      </c>
      <c r="C1073" s="113">
        <f>+C1071-C1072</f>
        <v>242620</v>
      </c>
      <c r="D1073" s="113">
        <f t="shared" si="50"/>
        <v>4673.8586014255443</v>
      </c>
      <c r="E1073" s="114"/>
      <c r="F1073" s="114"/>
    </row>
    <row r="1074" spans="2:6">
      <c r="B1074" s="117" t="s">
        <v>35</v>
      </c>
      <c r="C1074" s="112">
        <v>10213</v>
      </c>
      <c r="D1074" s="113">
        <f t="shared" si="50"/>
        <v>196.74436524754384</v>
      </c>
      <c r="E1074" s="114"/>
      <c r="F1074" s="118"/>
    </row>
    <row r="1075" spans="2:6">
      <c r="B1075" s="117" t="s">
        <v>36</v>
      </c>
      <c r="C1075" s="112">
        <v>4000</v>
      </c>
      <c r="D1075" s="113">
        <f t="shared" si="50"/>
        <v>77.056443845116547</v>
      </c>
      <c r="E1075" s="114"/>
      <c r="F1075" s="118"/>
    </row>
    <row r="1076" spans="2:6">
      <c r="B1076" s="119" t="s">
        <v>37</v>
      </c>
      <c r="C1076" s="120">
        <f>+C1073+C1074+C1075</f>
        <v>256833</v>
      </c>
      <c r="D1076" s="120">
        <f>+D1073+D1074+D1075</f>
        <v>4947.6594105182048</v>
      </c>
      <c r="E1076" s="121"/>
      <c r="F1076" s="122"/>
    </row>
    <row r="1077" spans="2:6">
      <c r="B1077" s="111" t="s">
        <v>99</v>
      </c>
      <c r="C1077" s="112">
        <v>2528</v>
      </c>
      <c r="D1077" s="113">
        <f t="shared" si="50"/>
        <v>48.699672510113658</v>
      </c>
      <c r="E1077" s="121"/>
      <c r="F1077" s="122"/>
    </row>
    <row r="1078" spans="2:6">
      <c r="B1078" s="142" t="s">
        <v>100</v>
      </c>
      <c r="C1078" s="120">
        <f>C1076+C1077</f>
        <v>259361</v>
      </c>
      <c r="D1078" s="120">
        <f>D1076+D1077</f>
        <v>4996.3590830283183</v>
      </c>
      <c r="E1078" s="121"/>
      <c r="F1078" s="122"/>
    </row>
    <row r="1079" spans="2:6">
      <c r="B1079" s="117" t="s">
        <v>38</v>
      </c>
      <c r="C1079" s="112">
        <v>4652</v>
      </c>
      <c r="D1079" s="113">
        <f t="shared" si="50"/>
        <v>89.616644191870549</v>
      </c>
      <c r="E1079" s="121"/>
      <c r="F1079" s="122"/>
    </row>
    <row r="1080" spans="2:6">
      <c r="B1080" s="117" t="s">
        <v>39</v>
      </c>
      <c r="C1080" s="112">
        <v>16581</v>
      </c>
      <c r="D1080" s="113">
        <f t="shared" si="50"/>
        <v>319.41822384896938</v>
      </c>
      <c r="E1080" s="121"/>
      <c r="F1080" s="122"/>
    </row>
    <row r="1081" spans="2:6">
      <c r="B1081" s="123" t="s">
        <v>40</v>
      </c>
      <c r="C1081" s="124">
        <f>C1076+C1079+C1080</f>
        <v>278066</v>
      </c>
      <c r="D1081" s="124">
        <f>D1076+D1079+D1080</f>
        <v>5356.6942785590445</v>
      </c>
      <c r="E1081" s="125">
        <f>C1081/C1086</f>
        <v>2.9580230628483895</v>
      </c>
      <c r="F1081" s="125">
        <f>D1081/D1086</f>
        <v>2.8545976754650368</v>
      </c>
    </row>
    <row r="1082" spans="2:6">
      <c r="B1082" s="117" t="s">
        <v>164</v>
      </c>
      <c r="C1082" s="113">
        <f>Model!AE119</f>
        <v>25830</v>
      </c>
      <c r="D1082" s="113">
        <f t="shared" si="50"/>
        <v>497.59198612984011</v>
      </c>
      <c r="E1082" s="126"/>
      <c r="F1082" s="126"/>
    </row>
    <row r="1083" spans="2:6">
      <c r="B1083" s="123" t="s">
        <v>19</v>
      </c>
      <c r="C1083" s="124">
        <f>C1081-C1082</f>
        <v>252236</v>
      </c>
      <c r="D1083" s="124">
        <f>D1081-D1082</f>
        <v>4859.1022924292047</v>
      </c>
      <c r="E1083" s="125">
        <f>C1083/C1086</f>
        <v>2.6832475213820688</v>
      </c>
      <c r="F1083" s="125">
        <f>D1083/D1086</f>
        <v>2.5894294853329751</v>
      </c>
    </row>
    <row r="1084" spans="2:6">
      <c r="B1084" s="119" t="s">
        <v>20</v>
      </c>
      <c r="C1084" s="141">
        <f>Model!AE126</f>
        <v>127145</v>
      </c>
      <c r="D1084" s="127"/>
      <c r="E1084" s="128"/>
      <c r="F1084" s="117"/>
    </row>
    <row r="1085" spans="2:6">
      <c r="B1085" s="119" t="s">
        <v>21</v>
      </c>
      <c r="C1085" s="129">
        <f>C1083+C1084</f>
        <v>379381</v>
      </c>
      <c r="D1085" s="129"/>
      <c r="E1085" s="128"/>
      <c r="F1085" s="117"/>
    </row>
    <row r="1086" spans="2:6">
      <c r="B1086" s="117" t="s">
        <v>22</v>
      </c>
      <c r="C1086" s="130">
        <f>Model!AE84</f>
        <v>94004</v>
      </c>
      <c r="D1086" s="130">
        <f>C1086*N1056</f>
        <v>1876.5146222177864</v>
      </c>
      <c r="E1086" s="117"/>
      <c r="F1086" s="117"/>
    </row>
    <row r="1087" spans="2:6">
      <c r="B1087" s="131" t="s">
        <v>23</v>
      </c>
      <c r="C1087" s="159">
        <f>C1081-Model!AE123</f>
        <v>0</v>
      </c>
    </row>
    <row r="1088" spans="2:6">
      <c r="B1088" s="131"/>
      <c r="C1088" s="159"/>
    </row>
    <row r="1089" spans="2:13">
      <c r="B1089" s="343" t="s">
        <v>181</v>
      </c>
      <c r="C1089" s="343"/>
      <c r="D1089" s="343"/>
    </row>
    <row r="1090" spans="2:13">
      <c r="B1090" s="344"/>
      <c r="C1090" s="133" t="s">
        <v>102</v>
      </c>
      <c r="D1090" s="144" t="s">
        <v>103</v>
      </c>
    </row>
    <row r="1091" spans="2:13">
      <c r="B1091" s="134" t="str">
        <f>+B1082</f>
        <v>Cash and Short-Term Investments</v>
      </c>
      <c r="C1091" s="136">
        <f>+C1082</f>
        <v>25830</v>
      </c>
      <c r="D1091" s="136">
        <f>+C1091*$N$1055</f>
        <v>497.59198612984011</v>
      </c>
    </row>
    <row r="1092" spans="2:13">
      <c r="B1092" s="134" t="s">
        <v>117</v>
      </c>
      <c r="C1092" s="136">
        <v>0</v>
      </c>
      <c r="D1092" s="136">
        <f>+C1092*$N$1055</f>
        <v>0</v>
      </c>
    </row>
    <row r="1093" spans="2:13">
      <c r="B1093" s="137" t="s">
        <v>44</v>
      </c>
      <c r="C1093" s="138">
        <f>+SUM(C1091:C1092)</f>
        <v>25830</v>
      </c>
      <c r="D1093" s="138">
        <f>+SUM(D1091:D1092)</f>
        <v>497.59198612984011</v>
      </c>
    </row>
    <row r="1095" spans="2:13">
      <c r="B1095" s="343" t="s">
        <v>79</v>
      </c>
      <c r="C1095" s="343" t="s">
        <v>104</v>
      </c>
      <c r="D1095" s="343"/>
      <c r="E1095" s="132" t="s">
        <v>118</v>
      </c>
      <c r="F1095" s="132"/>
      <c r="G1095" s="343" t="s">
        <v>119</v>
      </c>
      <c r="H1095" s="343"/>
    </row>
    <row r="1096" spans="2:13">
      <c r="B1096" s="344"/>
      <c r="C1096" s="133" t="s">
        <v>102</v>
      </c>
      <c r="D1096" s="144" t="s">
        <v>103</v>
      </c>
      <c r="E1096" s="144" t="s">
        <v>120</v>
      </c>
      <c r="F1096" s="144" t="s">
        <v>103</v>
      </c>
      <c r="G1096" s="144" t="s">
        <v>120</v>
      </c>
      <c r="H1096" s="144" t="s">
        <v>103</v>
      </c>
    </row>
    <row r="1097" spans="2:13">
      <c r="B1097" s="134">
        <v>2021</v>
      </c>
      <c r="C1097" s="135">
        <v>0</v>
      </c>
      <c r="D1097" s="136">
        <f t="shared" ref="D1097:F1103" si="51">+C1097*$N$1055</f>
        <v>0</v>
      </c>
      <c r="E1097" s="135">
        <v>0</v>
      </c>
      <c r="F1097" s="136">
        <f t="shared" si="51"/>
        <v>0</v>
      </c>
      <c r="G1097" s="136">
        <f>+C1097+E1097</f>
        <v>0</v>
      </c>
      <c r="H1097" s="136">
        <f>+D1097+F1097</f>
        <v>0</v>
      </c>
    </row>
    <row r="1098" spans="2:13">
      <c r="B1098" s="134">
        <v>2022</v>
      </c>
      <c r="C1098" s="135">
        <v>7247</v>
      </c>
      <c r="D1098" s="136">
        <f t="shared" si="51"/>
        <v>139.6070121363899</v>
      </c>
      <c r="E1098" s="135">
        <v>1344</v>
      </c>
      <c r="F1098" s="136">
        <f t="shared" si="51"/>
        <v>25.89096513195916</v>
      </c>
      <c r="G1098" s="136">
        <f t="shared" ref="G1098:G1103" si="52">+C1098+E1098</f>
        <v>8591</v>
      </c>
      <c r="H1098" s="136">
        <f t="shared" ref="H1098:H1102" si="53">+D1098+F1098</f>
        <v>165.49797726834905</v>
      </c>
    </row>
    <row r="1099" spans="2:13" ht="27" customHeight="1">
      <c r="B1099" s="134">
        <v>2023</v>
      </c>
      <c r="C1099" s="135">
        <v>29993</v>
      </c>
      <c r="D1099" s="136">
        <f t="shared" si="51"/>
        <v>577.78848006164515</v>
      </c>
      <c r="E1099" s="135">
        <v>2024</v>
      </c>
      <c r="F1099" s="136">
        <f t="shared" si="51"/>
        <v>38.990560585628977</v>
      </c>
      <c r="G1099" s="136">
        <f t="shared" si="52"/>
        <v>32017</v>
      </c>
      <c r="H1099" s="136">
        <f t="shared" si="53"/>
        <v>616.77904064727409</v>
      </c>
    </row>
    <row r="1100" spans="2:13">
      <c r="B1100" s="134">
        <v>2024</v>
      </c>
      <c r="C1100" s="135">
        <v>11830</v>
      </c>
      <c r="D1100" s="136">
        <f t="shared" si="51"/>
        <v>227.89443267193218</v>
      </c>
      <c r="E1100" s="135">
        <v>2024</v>
      </c>
      <c r="F1100" s="136">
        <f t="shared" si="51"/>
        <v>38.990560585628977</v>
      </c>
      <c r="G1100" s="136">
        <f t="shared" si="52"/>
        <v>13854</v>
      </c>
      <c r="H1100" s="136">
        <f t="shared" si="53"/>
        <v>266.88499325756118</v>
      </c>
    </row>
    <row r="1101" spans="2:13">
      <c r="B1101" s="134">
        <v>2025</v>
      </c>
      <c r="C1101" s="135">
        <v>22020</v>
      </c>
      <c r="D1101" s="136">
        <f t="shared" si="51"/>
        <v>424.19572336736661</v>
      </c>
      <c r="E1101" s="135">
        <v>727</v>
      </c>
      <c r="F1101" s="136">
        <f t="shared" si="51"/>
        <v>14.005008668849932</v>
      </c>
      <c r="G1101" s="136">
        <f t="shared" si="52"/>
        <v>22747</v>
      </c>
      <c r="H1101" s="136">
        <f t="shared" si="53"/>
        <v>438.20073203621655</v>
      </c>
    </row>
    <row r="1102" spans="2:13">
      <c r="B1102" s="134">
        <v>2026</v>
      </c>
      <c r="C1102" s="135">
        <v>14205</v>
      </c>
      <c r="D1102" s="136">
        <f t="shared" si="51"/>
        <v>273.64669620497017</v>
      </c>
      <c r="E1102" s="135">
        <v>727</v>
      </c>
      <c r="F1102" s="136">
        <f t="shared" si="51"/>
        <v>14.005008668849932</v>
      </c>
      <c r="G1102" s="136">
        <f t="shared" si="52"/>
        <v>14932</v>
      </c>
      <c r="H1102" s="136">
        <f t="shared" si="53"/>
        <v>287.65170487382011</v>
      </c>
    </row>
    <row r="1103" spans="2:13">
      <c r="B1103" s="134" t="s">
        <v>171</v>
      </c>
      <c r="C1103" s="135">
        <v>133170</v>
      </c>
      <c r="D1103" s="136">
        <f t="shared" si="51"/>
        <v>2565.4016567135427</v>
      </c>
      <c r="E1103" s="135">
        <v>34050</v>
      </c>
      <c r="F1103" s="136">
        <f t="shared" si="51"/>
        <v>655.94297823155466</v>
      </c>
      <c r="G1103" s="136">
        <f t="shared" si="52"/>
        <v>167220</v>
      </c>
      <c r="H1103" s="136">
        <f t="shared" ref="H1103" si="54">+D1103+F1103</f>
        <v>3221.3446349450974</v>
      </c>
    </row>
    <row r="1104" spans="2:13">
      <c r="B1104" s="137" t="s">
        <v>44</v>
      </c>
      <c r="C1104" s="138">
        <f t="shared" ref="C1104:D1104" si="55">+SUM(C1097:C1103)</f>
        <v>218465</v>
      </c>
      <c r="D1104" s="138">
        <f t="shared" si="55"/>
        <v>4208.5340011558465</v>
      </c>
      <c r="E1104" s="138">
        <f>+SUM(E1097:E1103)</f>
        <v>40896</v>
      </c>
      <c r="F1104" s="138">
        <f t="shared" ref="F1104:H1104" si="56">+SUM(F1097:F1103)</f>
        <v>787.82508187247163</v>
      </c>
      <c r="G1104" s="138">
        <f t="shared" si="56"/>
        <v>259361</v>
      </c>
      <c r="H1104" s="138">
        <f t="shared" si="56"/>
        <v>4996.3590830283183</v>
      </c>
      <c r="M1104" s="139"/>
    </row>
    <row r="1105" spans="1:14">
      <c r="B1105" s="131" t="s">
        <v>23</v>
      </c>
      <c r="C1105" s="140">
        <f>+G1104-C1078</f>
        <v>0</v>
      </c>
      <c r="E1105" s="131"/>
      <c r="H1105" s="131"/>
      <c r="I1105" s="131"/>
      <c r="J1105" s="131"/>
      <c r="K1105" s="131"/>
      <c r="L1105" s="131"/>
    </row>
    <row r="1107" spans="1:14">
      <c r="A1107" s="103" t="s">
        <v>182</v>
      </c>
      <c r="M1107" s="104" t="s">
        <v>183</v>
      </c>
      <c r="N1107" s="106">
        <f>1/Model!AD202</f>
        <v>1.9619383951343928E-2</v>
      </c>
    </row>
    <row r="1108" spans="1:14">
      <c r="M1108" s="105" t="s">
        <v>184</v>
      </c>
      <c r="N1108" s="106">
        <f>1/AVERAGE(Model!AA201:AD201)</f>
        <v>2.0292207792207792E-2</v>
      </c>
    </row>
    <row r="1109" spans="1:14">
      <c r="M1109" s="105"/>
      <c r="N1109" s="106"/>
    </row>
    <row r="1110" spans="1:14">
      <c r="B1110" s="107" t="s">
        <v>162</v>
      </c>
      <c r="C1110" s="106"/>
    </row>
    <row r="1111" spans="1:14" ht="26.25">
      <c r="B1111" s="108" t="s">
        <v>185</v>
      </c>
      <c r="C1111" s="109" t="s">
        <v>85</v>
      </c>
      <c r="D1111" s="109" t="s">
        <v>88</v>
      </c>
      <c r="E1111" s="110" t="s">
        <v>89</v>
      </c>
      <c r="F1111" s="110" t="s">
        <v>7</v>
      </c>
    </row>
    <row r="1112" spans="1:14">
      <c r="B1112" s="111" t="s">
        <v>24</v>
      </c>
      <c r="C1112" s="112"/>
      <c r="D1112" s="113"/>
      <c r="E1112" s="114"/>
      <c r="F1112" s="114"/>
    </row>
    <row r="1113" spans="1:14">
      <c r="B1113" s="116" t="s">
        <v>90</v>
      </c>
      <c r="C1113" s="112">
        <v>29971</v>
      </c>
      <c r="D1113" s="113">
        <f>C1113*$N$1107</f>
        <v>588.0125564057289</v>
      </c>
      <c r="E1113" s="114"/>
      <c r="F1113" s="114"/>
    </row>
    <row r="1114" spans="1:14">
      <c r="B1114" s="115" t="s">
        <v>91</v>
      </c>
      <c r="C1114" s="112">
        <v>0</v>
      </c>
      <c r="D1114" s="113">
        <f t="shared" ref="D1114:D1127" si="57">C1114*$N$1107</f>
        <v>0</v>
      </c>
      <c r="E1114" s="114"/>
      <c r="F1114" s="114"/>
    </row>
    <row r="1115" spans="1:14">
      <c r="B1115" s="116" t="s">
        <v>30</v>
      </c>
      <c r="C1115" s="112"/>
      <c r="D1115" s="113">
        <f t="shared" si="57"/>
        <v>0</v>
      </c>
      <c r="E1115" s="114"/>
      <c r="F1115" s="114"/>
    </row>
    <row r="1116" spans="1:14">
      <c r="B1116" s="115" t="s">
        <v>92</v>
      </c>
      <c r="C1116" s="112">
        <v>10468</v>
      </c>
      <c r="D1116" s="113">
        <f t="shared" si="57"/>
        <v>205.37571120266824</v>
      </c>
      <c r="E1116" s="114"/>
      <c r="F1116" s="114"/>
    </row>
    <row r="1117" spans="1:14">
      <c r="B1117" s="111" t="s">
        <v>93</v>
      </c>
      <c r="C1117" s="112"/>
      <c r="D1117" s="113">
        <f t="shared" si="57"/>
        <v>0</v>
      </c>
      <c r="E1117" s="114"/>
      <c r="F1117" s="114"/>
    </row>
    <row r="1118" spans="1:14">
      <c r="B1118" s="115" t="s">
        <v>94</v>
      </c>
      <c r="C1118" s="112">
        <v>0</v>
      </c>
      <c r="D1118" s="113">
        <f t="shared" si="57"/>
        <v>0</v>
      </c>
      <c r="E1118" s="114"/>
      <c r="F1118" s="114"/>
    </row>
    <row r="1119" spans="1:14">
      <c r="B1119" s="115" t="s">
        <v>95</v>
      </c>
      <c r="C1119" s="112">
        <v>2594</v>
      </c>
      <c r="D1119" s="113">
        <f t="shared" si="57"/>
        <v>50.892681969786146</v>
      </c>
      <c r="E1119" s="114"/>
      <c r="F1119" s="114"/>
    </row>
    <row r="1120" spans="1:14">
      <c r="B1120" s="111" t="s">
        <v>96</v>
      </c>
      <c r="C1120" s="112"/>
      <c r="D1120" s="113">
        <f t="shared" si="57"/>
        <v>0</v>
      </c>
      <c r="E1120" s="114"/>
      <c r="F1120" s="114"/>
    </row>
    <row r="1121" spans="2:6">
      <c r="B1121" s="115" t="s">
        <v>68</v>
      </c>
      <c r="C1121" s="112">
        <v>209524</v>
      </c>
      <c r="D1121" s="113">
        <f t="shared" si="57"/>
        <v>4110.7318030213855</v>
      </c>
      <c r="E1121" s="114"/>
      <c r="F1121" s="114"/>
    </row>
    <row r="1122" spans="2:6">
      <c r="B1122" s="115" t="s">
        <v>97</v>
      </c>
      <c r="C1122" s="112">
        <v>0</v>
      </c>
      <c r="D1122" s="113">
        <f t="shared" si="57"/>
        <v>0</v>
      </c>
      <c r="E1122" s="114"/>
      <c r="F1122" s="114"/>
    </row>
    <row r="1123" spans="2:6">
      <c r="B1123" s="111" t="s">
        <v>32</v>
      </c>
      <c r="C1123" s="113">
        <f>+C1114+C1116+C1118+C1119+C1121+C1113</f>
        <v>252557</v>
      </c>
      <c r="D1123" s="113">
        <f t="shared" si="57"/>
        <v>4955.0127525995686</v>
      </c>
      <c r="E1123" s="114"/>
      <c r="F1123" s="114"/>
    </row>
    <row r="1124" spans="2:6">
      <c r="B1124" s="111" t="s">
        <v>33</v>
      </c>
      <c r="C1124" s="112">
        <v>11482</v>
      </c>
      <c r="D1124" s="113">
        <f t="shared" si="57"/>
        <v>225.26976652933098</v>
      </c>
      <c r="E1124" s="114"/>
      <c r="F1124" s="114"/>
    </row>
    <row r="1125" spans="2:6">
      <c r="B1125" s="111" t="s">
        <v>98</v>
      </c>
      <c r="C1125" s="113">
        <f>+C1123-C1124</f>
        <v>241075</v>
      </c>
      <c r="D1125" s="113">
        <f t="shared" si="57"/>
        <v>4729.7429860702377</v>
      </c>
      <c r="E1125" s="114"/>
      <c r="F1125" s="114"/>
    </row>
    <row r="1126" spans="2:6">
      <c r="B1126" s="117" t="s">
        <v>35</v>
      </c>
      <c r="C1126" s="112">
        <v>11482</v>
      </c>
      <c r="D1126" s="113">
        <f t="shared" si="57"/>
        <v>225.26976652933098</v>
      </c>
      <c r="E1126" s="114"/>
      <c r="F1126" s="118"/>
    </row>
    <row r="1127" spans="2:6">
      <c r="B1127" s="117" t="s">
        <v>36</v>
      </c>
      <c r="C1127" s="112">
        <v>0</v>
      </c>
      <c r="D1127" s="113">
        <f t="shared" si="57"/>
        <v>0</v>
      </c>
      <c r="E1127" s="114"/>
      <c r="F1127" s="118"/>
    </row>
    <row r="1128" spans="2:6">
      <c r="B1128" s="119" t="s">
        <v>37</v>
      </c>
      <c r="C1128" s="120">
        <f>+C1125+C1126+C1127</f>
        <v>252557</v>
      </c>
      <c r="D1128" s="120">
        <f>+D1125+D1126+D1127</f>
        <v>4955.0127525995686</v>
      </c>
      <c r="E1128" s="121"/>
      <c r="F1128" s="122"/>
    </row>
    <row r="1129" spans="2:6">
      <c r="B1129" s="111" t="s">
        <v>99</v>
      </c>
      <c r="C1129" s="112">
        <v>2857</v>
      </c>
      <c r="D1129" s="113">
        <f>C1129*$N$1107</f>
        <v>56.052579948989603</v>
      </c>
      <c r="E1129" s="121"/>
      <c r="F1129" s="122"/>
    </row>
    <row r="1130" spans="2:6">
      <c r="B1130" s="142" t="s">
        <v>100</v>
      </c>
      <c r="C1130" s="120">
        <f>C1128+C1129</f>
        <v>255414</v>
      </c>
      <c r="D1130" s="120">
        <f>D1128+D1129</f>
        <v>5011.0653325485582</v>
      </c>
      <c r="E1130" s="121"/>
      <c r="F1130" s="122"/>
    </row>
    <row r="1131" spans="2:6">
      <c r="B1131" s="117" t="s">
        <v>38</v>
      </c>
      <c r="C1131" s="112">
        <v>4555</v>
      </c>
      <c r="D1131" s="113">
        <f>C1131*$N$1107</f>
        <v>89.366293898371595</v>
      </c>
      <c r="E1131" s="121"/>
      <c r="F1131" s="122"/>
    </row>
    <row r="1132" spans="2:6">
      <c r="B1132" s="117" t="s">
        <v>39</v>
      </c>
      <c r="C1132" s="112">
        <v>17131</v>
      </c>
      <c r="D1132" s="113">
        <f>C1132*$N$1107</f>
        <v>336.09966647047281</v>
      </c>
      <c r="E1132" s="121"/>
      <c r="F1132" s="122"/>
    </row>
    <row r="1133" spans="2:6">
      <c r="B1133" s="123" t="s">
        <v>40</v>
      </c>
      <c r="C1133" s="124">
        <f>C1128+C1131+C1132</f>
        <v>274243</v>
      </c>
      <c r="D1133" s="124">
        <f>D1128+D1131+D1132</f>
        <v>5380.4787129684128</v>
      </c>
      <c r="E1133" s="125">
        <f>C1133/C1138</f>
        <v>2.8516777755825684</v>
      </c>
      <c r="F1133" s="125">
        <f>D1133/D1138</f>
        <v>2.7571253831804783</v>
      </c>
    </row>
    <row r="1134" spans="2:6">
      <c r="B1134" s="117" t="s">
        <v>164</v>
      </c>
      <c r="C1134" s="113">
        <f>Model!AD119</f>
        <v>23907</v>
      </c>
      <c r="D1134" s="113">
        <f>C1134*$N$1107</f>
        <v>469.04061212477927</v>
      </c>
      <c r="E1134" s="126"/>
      <c r="F1134" s="126"/>
    </row>
    <row r="1135" spans="2:6" ht="26.25" customHeight="1">
      <c r="B1135" s="123" t="s">
        <v>19</v>
      </c>
      <c r="C1135" s="124">
        <f>C1133-C1134</f>
        <v>250336</v>
      </c>
      <c r="D1135" s="124">
        <f>D1133-D1134</f>
        <v>4911.4381008436339</v>
      </c>
      <c r="E1135" s="125">
        <f>C1135/C1138</f>
        <v>2.6030841539373393</v>
      </c>
      <c r="F1135" s="125">
        <f>D1135/D1138</f>
        <v>2.5167743203066921</v>
      </c>
    </row>
    <row r="1136" spans="2:6">
      <c r="B1136" s="119" t="s">
        <v>20</v>
      </c>
      <c r="C1136" s="141">
        <f>Model!AD126</f>
        <v>127465</v>
      </c>
      <c r="D1136" s="127"/>
      <c r="E1136" s="128"/>
      <c r="F1136" s="117"/>
    </row>
    <row r="1137" spans="2:8">
      <c r="B1137" s="119" t="s">
        <v>21</v>
      </c>
      <c r="C1137" s="129">
        <f>C1135+C1136</f>
        <v>377801</v>
      </c>
      <c r="D1137" s="129"/>
      <c r="E1137" s="128"/>
      <c r="F1137" s="117"/>
    </row>
    <row r="1138" spans="2:8">
      <c r="B1138" s="117" t="s">
        <v>22</v>
      </c>
      <c r="C1138" s="130">
        <f>Model!AD84</f>
        <v>96169</v>
      </c>
      <c r="D1138" s="130">
        <f>C1138*N1108</f>
        <v>1951.481331168831</v>
      </c>
      <c r="E1138" s="117"/>
      <c r="F1138" s="117"/>
    </row>
    <row r="1139" spans="2:8">
      <c r="B1139" s="131" t="s">
        <v>23</v>
      </c>
      <c r="C1139" s="159">
        <f>C1133-Model!AD123</f>
        <v>0</v>
      </c>
    </row>
    <row r="1140" spans="2:8">
      <c r="B1140" s="131"/>
      <c r="C1140" s="159"/>
    </row>
    <row r="1141" spans="2:8">
      <c r="B1141" s="343" t="s">
        <v>186</v>
      </c>
      <c r="C1141" s="343"/>
      <c r="D1141" s="343"/>
    </row>
    <row r="1142" spans="2:8">
      <c r="B1142" s="344"/>
      <c r="C1142" s="133" t="s">
        <v>102</v>
      </c>
      <c r="D1142" s="144" t="s">
        <v>103</v>
      </c>
    </row>
    <row r="1143" spans="2:8">
      <c r="B1143" s="134" t="str">
        <f>+B1134</f>
        <v>Cash and Short-Term Investments</v>
      </c>
      <c r="C1143" s="136">
        <f>+C1134</f>
        <v>23907</v>
      </c>
      <c r="D1143" s="136">
        <f>+C1143*$N$1107</f>
        <v>469.04061212477927</v>
      </c>
    </row>
    <row r="1144" spans="2:8">
      <c r="B1144" s="134" t="s">
        <v>117</v>
      </c>
      <c r="C1144" s="161">
        <v>0</v>
      </c>
      <c r="D1144" s="136">
        <f>+C1144*$N$1107</f>
        <v>0</v>
      </c>
    </row>
    <row r="1145" spans="2:8">
      <c r="B1145" s="137" t="s">
        <v>44</v>
      </c>
      <c r="C1145" s="138">
        <f>+SUM(C1143:C1144)</f>
        <v>23907</v>
      </c>
      <c r="D1145" s="138">
        <f>+SUM(D1143:D1144)</f>
        <v>469.04061212477927</v>
      </c>
    </row>
    <row r="1147" spans="2:8">
      <c r="B1147" s="343" t="s">
        <v>79</v>
      </c>
      <c r="C1147" s="343" t="s">
        <v>104</v>
      </c>
      <c r="D1147" s="343"/>
      <c r="E1147" s="132" t="s">
        <v>118</v>
      </c>
      <c r="F1147" s="132"/>
      <c r="G1147" s="343" t="s">
        <v>119</v>
      </c>
      <c r="H1147" s="343"/>
    </row>
    <row r="1148" spans="2:8">
      <c r="B1148" s="344"/>
      <c r="C1148" s="133" t="s">
        <v>102</v>
      </c>
      <c r="D1148" s="144" t="s">
        <v>103</v>
      </c>
      <c r="E1148" s="144" t="s">
        <v>120</v>
      </c>
      <c r="F1148" s="144" t="s">
        <v>103</v>
      </c>
      <c r="G1148" s="144" t="s">
        <v>120</v>
      </c>
      <c r="H1148" s="144" t="s">
        <v>103</v>
      </c>
    </row>
    <row r="1149" spans="2:8">
      <c r="B1149" s="134">
        <v>2021</v>
      </c>
      <c r="C1149" s="135">
        <v>0</v>
      </c>
      <c r="D1149" s="136">
        <f>+C1149*$N$1107</f>
        <v>0</v>
      </c>
      <c r="E1149" s="135">
        <v>0</v>
      </c>
      <c r="F1149" s="136">
        <f>+E1149*$N$1107</f>
        <v>0</v>
      </c>
      <c r="G1149" s="136">
        <f>+C1149+E1149</f>
        <v>0</v>
      </c>
      <c r="H1149" s="136">
        <f>+D1149+F1149</f>
        <v>0</v>
      </c>
    </row>
    <row r="1150" spans="2:8" ht="27" customHeight="1">
      <c r="B1150" s="134">
        <v>2022</v>
      </c>
      <c r="C1150" s="135">
        <v>9592</v>
      </c>
      <c r="D1150" s="136">
        <f t="shared" ref="D1150:D1154" si="58">+C1150*$N$1107</f>
        <v>188.18913086129095</v>
      </c>
      <c r="E1150" s="135">
        <v>2262</v>
      </c>
      <c r="F1150" s="136">
        <f t="shared" ref="F1150:F1154" si="59">+E1150*$N$1107</f>
        <v>44.379046497939967</v>
      </c>
      <c r="G1150" s="136">
        <f>+C1150+E1150</f>
        <v>11854</v>
      </c>
      <c r="H1150" s="136">
        <f t="shared" ref="H1150:H1154" si="60">+D1150+F1150</f>
        <v>232.5681773592309</v>
      </c>
    </row>
    <row r="1151" spans="2:8">
      <c r="B1151" s="134">
        <v>2023</v>
      </c>
      <c r="C1151" s="135">
        <v>25943</v>
      </c>
      <c r="D1151" s="136">
        <f t="shared" si="58"/>
        <v>508.9856778497155</v>
      </c>
      <c r="E1151" s="135">
        <v>1988</v>
      </c>
      <c r="F1151" s="136">
        <f t="shared" si="59"/>
        <v>39.003335295271725</v>
      </c>
      <c r="G1151" s="136">
        <f>+C1151+E1151</f>
        <v>27931</v>
      </c>
      <c r="H1151" s="136">
        <f t="shared" si="60"/>
        <v>547.98901314498721</v>
      </c>
    </row>
    <row r="1152" spans="2:8">
      <c r="B1152" s="134">
        <v>2024</v>
      </c>
      <c r="C1152" s="135">
        <v>14280</v>
      </c>
      <c r="D1152" s="136">
        <f t="shared" si="58"/>
        <v>280.16480282519132</v>
      </c>
      <c r="E1152" s="135">
        <v>1988</v>
      </c>
      <c r="F1152" s="136">
        <f t="shared" si="59"/>
        <v>39.003335295271725</v>
      </c>
      <c r="G1152" s="136">
        <f>+C1152+E1152</f>
        <v>16268</v>
      </c>
      <c r="H1152" s="136">
        <f t="shared" si="60"/>
        <v>319.16813812046303</v>
      </c>
    </row>
    <row r="1153" spans="1:14">
      <c r="B1153" s="134">
        <v>2025</v>
      </c>
      <c r="C1153" s="135">
        <v>21970</v>
      </c>
      <c r="D1153" s="136">
        <f t="shared" si="58"/>
        <v>431.03786541102608</v>
      </c>
      <c r="E1153" s="135">
        <v>714</v>
      </c>
      <c r="F1153" s="136">
        <f t="shared" si="59"/>
        <v>14.008240141259565</v>
      </c>
      <c r="G1153" s="136">
        <f>+C1153+E1153</f>
        <v>22684</v>
      </c>
      <c r="H1153" s="136">
        <f t="shared" si="60"/>
        <v>445.04610555228567</v>
      </c>
    </row>
    <row r="1154" spans="1:14">
      <c r="B1154" s="134" t="s">
        <v>187</v>
      </c>
      <c r="C1154" s="135">
        <f>14155+128370</f>
        <v>142525</v>
      </c>
      <c r="D1154" s="136">
        <f t="shared" si="58"/>
        <v>2796.2526976652935</v>
      </c>
      <c r="E1154" s="135">
        <f>713+33439</f>
        <v>34152</v>
      </c>
      <c r="F1154" s="136">
        <f t="shared" si="59"/>
        <v>670.04120070629779</v>
      </c>
      <c r="G1154" s="136">
        <f>+C1154+E1154</f>
        <v>176677</v>
      </c>
      <c r="H1154" s="136">
        <f t="shared" si="60"/>
        <v>3466.2938983715912</v>
      </c>
    </row>
    <row r="1155" spans="1:14">
      <c r="B1155" s="137" t="s">
        <v>44</v>
      </c>
      <c r="C1155" s="138">
        <f>+SUM(C1149:C1154)</f>
        <v>214310</v>
      </c>
      <c r="D1155" s="138">
        <f t="shared" ref="D1155:H1155" si="61">+SUM(D1149:D1154)</f>
        <v>4204.6301746125173</v>
      </c>
      <c r="E1155" s="138">
        <f t="shared" si="61"/>
        <v>41104</v>
      </c>
      <c r="F1155" s="138">
        <f t="shared" si="61"/>
        <v>806.43515793604081</v>
      </c>
      <c r="G1155" s="138">
        <f t="shared" si="61"/>
        <v>255414</v>
      </c>
      <c r="H1155" s="138">
        <f t="shared" si="61"/>
        <v>5011.0653325485582</v>
      </c>
      <c r="M1155" s="139"/>
    </row>
    <row r="1156" spans="1:14">
      <c r="B1156" s="131" t="s">
        <v>23</v>
      </c>
      <c r="C1156" s="140">
        <f>+G1155-C1130</f>
        <v>0</v>
      </c>
      <c r="E1156" s="131"/>
      <c r="H1156" s="131"/>
      <c r="I1156" s="131"/>
      <c r="J1156" s="131"/>
      <c r="K1156" s="131"/>
      <c r="L1156" s="131"/>
    </row>
    <row r="1162" spans="1:14">
      <c r="A1162" s="103" t="s">
        <v>188</v>
      </c>
      <c r="M1162" s="104" t="s">
        <v>189</v>
      </c>
      <c r="N1162" s="106">
        <f>1/Model!AC202</f>
        <v>1.9646365422396856E-2</v>
      </c>
    </row>
    <row r="1163" spans="1:14">
      <c r="M1163" s="105" t="s">
        <v>190</v>
      </c>
      <c r="N1163" s="106">
        <f>1/AVERAGE(Model!Z201:AC201)</f>
        <v>2.063511443030748E-2</v>
      </c>
    </row>
    <row r="1164" spans="1:14">
      <c r="M1164" s="105"/>
      <c r="N1164" s="103"/>
    </row>
    <row r="1165" spans="1:14">
      <c r="B1165" s="107" t="s">
        <v>162</v>
      </c>
      <c r="C1165" s="106"/>
      <c r="N1165" s="103"/>
    </row>
    <row r="1166" spans="1:14" ht="26.25">
      <c r="B1166" s="108" t="s">
        <v>191</v>
      </c>
      <c r="C1166" s="109" t="s">
        <v>85</v>
      </c>
      <c r="D1166" s="109" t="s">
        <v>88</v>
      </c>
      <c r="E1166" s="110" t="s">
        <v>89</v>
      </c>
      <c r="F1166" s="110" t="s">
        <v>7</v>
      </c>
      <c r="N1166" s="103"/>
    </row>
    <row r="1167" spans="1:14">
      <c r="B1167" s="111" t="s">
        <v>24</v>
      </c>
      <c r="C1167" s="112"/>
      <c r="D1167" s="113"/>
      <c r="E1167" s="114"/>
      <c r="F1167" s="114"/>
      <c r="N1167" s="103"/>
    </row>
    <row r="1168" spans="1:14">
      <c r="B1168" s="116" t="s">
        <v>90</v>
      </c>
      <c r="C1168" s="112">
        <v>29906</v>
      </c>
      <c r="D1168" s="113">
        <f>C1168*$N$1162</f>
        <v>587.54420432220036</v>
      </c>
      <c r="E1168" s="114"/>
      <c r="F1168" s="114"/>
      <c r="N1168" s="103"/>
    </row>
    <row r="1169" spans="2:14">
      <c r="B1169" s="115" t="s">
        <v>91</v>
      </c>
      <c r="C1169" s="112">
        <v>0</v>
      </c>
      <c r="D1169" s="113">
        <f>C1169*$N$1162</f>
        <v>0</v>
      </c>
      <c r="E1169" s="114"/>
      <c r="F1169" s="114"/>
      <c r="N1169" s="103"/>
    </row>
    <row r="1170" spans="2:14">
      <c r="B1170" s="116" t="s">
        <v>30</v>
      </c>
      <c r="C1170" s="112"/>
      <c r="D1170" s="113"/>
      <c r="E1170" s="114"/>
      <c r="F1170" s="114"/>
      <c r="N1170" s="103"/>
    </row>
    <row r="1171" spans="2:14">
      <c r="B1171" s="115" t="s">
        <v>92</v>
      </c>
      <c r="C1171" s="112">
        <v>11013</v>
      </c>
      <c r="D1171" s="113">
        <f>C1171*$N$1162</f>
        <v>216.36542239685659</v>
      </c>
      <c r="E1171" s="114"/>
      <c r="F1171" s="114"/>
      <c r="N1171" s="103"/>
    </row>
    <row r="1172" spans="2:14">
      <c r="B1172" s="111" t="s">
        <v>93</v>
      </c>
      <c r="C1172" s="112"/>
      <c r="D1172" s="113"/>
      <c r="E1172" s="114"/>
      <c r="F1172" s="114"/>
      <c r="N1172" s="103"/>
    </row>
    <row r="1173" spans="2:14">
      <c r="B1173" s="115" t="s">
        <v>94</v>
      </c>
      <c r="C1173" s="112">
        <v>3813</v>
      </c>
      <c r="D1173" s="113">
        <f>C1173*$N$1162</f>
        <v>74.911591355599214</v>
      </c>
      <c r="E1173" s="114"/>
      <c r="F1173" s="114"/>
      <c r="N1173" s="103"/>
    </row>
    <row r="1174" spans="2:14">
      <c r="B1174" s="115" t="s">
        <v>95</v>
      </c>
      <c r="C1174" s="112">
        <v>2593</v>
      </c>
      <c r="D1174" s="113">
        <f>C1174*$N$1162</f>
        <v>50.943025540275045</v>
      </c>
      <c r="E1174" s="114"/>
      <c r="F1174" s="114"/>
      <c r="N1174" s="103"/>
    </row>
    <row r="1175" spans="2:14">
      <c r="B1175" s="111" t="s">
        <v>96</v>
      </c>
      <c r="C1175" s="112"/>
      <c r="D1175" s="113"/>
      <c r="E1175" s="114"/>
      <c r="F1175" s="114"/>
      <c r="N1175" s="103"/>
    </row>
    <row r="1176" spans="2:14">
      <c r="B1176" s="115" t="s">
        <v>68</v>
      </c>
      <c r="C1176" s="112">
        <v>198634</v>
      </c>
      <c r="D1176" s="113">
        <f t="shared" ref="D1176:D1184" si="62">C1176*$N$1162</f>
        <v>3902.436149312377</v>
      </c>
      <c r="E1176" s="114"/>
      <c r="F1176" s="114"/>
      <c r="N1176" s="103"/>
    </row>
    <row r="1177" spans="2:14">
      <c r="B1177" s="115" t="s">
        <v>97</v>
      </c>
      <c r="C1177" s="112">
        <v>0</v>
      </c>
      <c r="D1177" s="113">
        <f t="shared" si="62"/>
        <v>0</v>
      </c>
      <c r="E1177" s="114"/>
      <c r="F1177" s="114"/>
      <c r="N1177" s="103"/>
    </row>
    <row r="1178" spans="2:14">
      <c r="B1178" s="111" t="s">
        <v>32</v>
      </c>
      <c r="C1178" s="113">
        <f>+C1169+C1171+C1173+C1174+C1176+C1168</f>
        <v>245959</v>
      </c>
      <c r="D1178" s="113">
        <f t="shared" si="62"/>
        <v>4832.2003929273087</v>
      </c>
      <c r="E1178" s="114"/>
      <c r="F1178" s="114"/>
      <c r="N1178" s="103"/>
    </row>
    <row r="1179" spans="2:14">
      <c r="B1179" s="111" t="s">
        <v>33</v>
      </c>
      <c r="C1179" s="112">
        <v>10494</v>
      </c>
      <c r="D1179" s="113">
        <f t="shared" si="62"/>
        <v>206.16895874263261</v>
      </c>
      <c r="E1179" s="114"/>
      <c r="F1179" s="114"/>
      <c r="N1179" s="103"/>
    </row>
    <row r="1180" spans="2:14">
      <c r="B1180" s="111" t="s">
        <v>98</v>
      </c>
      <c r="C1180" s="113">
        <f>+C1178-C1179</f>
        <v>235465</v>
      </c>
      <c r="D1180" s="113">
        <f t="shared" si="62"/>
        <v>4626.0314341846761</v>
      </c>
      <c r="E1180" s="114"/>
      <c r="F1180" s="114"/>
      <c r="N1180" s="103"/>
    </row>
    <row r="1181" spans="2:14">
      <c r="B1181" s="117" t="s">
        <v>35</v>
      </c>
      <c r="C1181" s="112">
        <v>10494</v>
      </c>
      <c r="D1181" s="113">
        <f t="shared" si="62"/>
        <v>206.16895874263261</v>
      </c>
      <c r="E1181" s="114"/>
      <c r="F1181" s="118"/>
      <c r="N1181" s="103"/>
    </row>
    <row r="1182" spans="2:14">
      <c r="B1182" s="117" t="s">
        <v>36</v>
      </c>
      <c r="C1182" s="112">
        <v>0</v>
      </c>
      <c r="D1182" s="113">
        <f t="shared" si="62"/>
        <v>0</v>
      </c>
      <c r="E1182" s="114"/>
      <c r="F1182" s="118"/>
    </row>
    <row r="1183" spans="2:14">
      <c r="B1183" s="119" t="s">
        <v>37</v>
      </c>
      <c r="C1183" s="120">
        <f>+C1180+C1181+C1182</f>
        <v>245959</v>
      </c>
      <c r="D1183" s="113">
        <f t="shared" si="62"/>
        <v>4832.2003929273087</v>
      </c>
      <c r="E1183" s="121"/>
      <c r="F1183" s="122"/>
    </row>
    <row r="1184" spans="2:14">
      <c r="B1184" s="111" t="s">
        <v>99</v>
      </c>
      <c r="C1184" s="112">
        <v>1628</v>
      </c>
      <c r="D1184" s="113">
        <f t="shared" si="62"/>
        <v>31.984282907662081</v>
      </c>
      <c r="E1184" s="121"/>
      <c r="F1184" s="122"/>
    </row>
    <row r="1185" spans="2:6">
      <c r="B1185" s="142" t="s">
        <v>100</v>
      </c>
      <c r="C1185" s="120">
        <f>C1183+C1184</f>
        <v>247587</v>
      </c>
      <c r="D1185" s="120">
        <f>D1183+D1184</f>
        <v>4864.1846758349711</v>
      </c>
      <c r="E1185" s="121"/>
      <c r="F1185" s="122"/>
    </row>
    <row r="1186" spans="2:6" ht="26.25" customHeight="1">
      <c r="B1186" s="117" t="s">
        <v>38</v>
      </c>
      <c r="C1186" s="112">
        <v>4462</v>
      </c>
      <c r="D1186" s="113">
        <f>C1186*$N$1162</f>
        <v>87.662082514734777</v>
      </c>
      <c r="E1186" s="121"/>
      <c r="F1186" s="122"/>
    </row>
    <row r="1187" spans="2:6">
      <c r="B1187" s="117" t="s">
        <v>39</v>
      </c>
      <c r="C1187" s="112">
        <v>17231</v>
      </c>
      <c r="D1187" s="113">
        <f>C1187*$N$1162</f>
        <v>338.52652259332024</v>
      </c>
      <c r="E1187" s="121"/>
      <c r="F1187" s="122"/>
    </row>
    <row r="1188" spans="2:6">
      <c r="B1188" s="123" t="s">
        <v>40</v>
      </c>
      <c r="C1188" s="124">
        <f>C1183+C1186+C1187</f>
        <v>267652</v>
      </c>
      <c r="D1188" s="124">
        <f>D1183+D1186+D1187</f>
        <v>5258.3889980353633</v>
      </c>
      <c r="E1188" s="125">
        <f>C1188/C1193</f>
        <v>2.9567945559593904</v>
      </c>
      <c r="F1188" s="125">
        <f>D1188/D1193</f>
        <v>2.8151172372474331</v>
      </c>
    </row>
    <row r="1189" spans="2:6">
      <c r="B1189" s="117" t="s">
        <v>164</v>
      </c>
      <c r="C1189" s="113">
        <f>Model!AC119</f>
        <v>18088</v>
      </c>
      <c r="D1189" s="113">
        <f>C1189*$N$1162</f>
        <v>355.3634577603143</v>
      </c>
      <c r="E1189" s="126"/>
      <c r="F1189" s="126"/>
    </row>
    <row r="1190" spans="2:6">
      <c r="B1190" s="123" t="s">
        <v>19</v>
      </c>
      <c r="C1190" s="124">
        <f>C1188-C1189</f>
        <v>249564</v>
      </c>
      <c r="D1190" s="124">
        <f>D1188-D1189</f>
        <v>4903.025540275049</v>
      </c>
      <c r="E1190" s="125">
        <f>C1190/C1193</f>
        <v>2.7569735199566949</v>
      </c>
      <c r="F1190" s="125">
        <f>D1190/D1193</f>
        <v>2.6248707956466548</v>
      </c>
    </row>
    <row r="1191" spans="2:6">
      <c r="B1191" s="119" t="s">
        <v>20</v>
      </c>
      <c r="C1191" s="141">
        <f>Model!AC126</f>
        <v>117225</v>
      </c>
      <c r="D1191" s="127"/>
      <c r="E1191" s="128"/>
      <c r="F1191" s="117"/>
    </row>
    <row r="1192" spans="2:6">
      <c r="B1192" s="119" t="s">
        <v>21</v>
      </c>
      <c r="C1192" s="129">
        <f>C1190+C1191</f>
        <v>366789</v>
      </c>
      <c r="D1192" s="129"/>
      <c r="E1192" s="128"/>
      <c r="F1192" s="117"/>
    </row>
    <row r="1193" spans="2:6">
      <c r="B1193" s="117" t="s">
        <v>22</v>
      </c>
      <c r="C1193" s="130">
        <f>Model!AC84</f>
        <v>90521</v>
      </c>
      <c r="D1193" s="130">
        <f>C1193*N1163</f>
        <v>1867.9111933458635</v>
      </c>
      <c r="E1193" s="117"/>
      <c r="F1193" s="117"/>
    </row>
    <row r="1194" spans="2:6">
      <c r="B1194" s="131" t="s">
        <v>23</v>
      </c>
      <c r="C1194" s="159">
        <f>C1188-Model!AC123</f>
        <v>0</v>
      </c>
    </row>
    <row r="1195" spans="2:6">
      <c r="B1195" s="131"/>
      <c r="C1195" s="159"/>
    </row>
    <row r="1196" spans="2:6">
      <c r="B1196" s="343" t="s">
        <v>192</v>
      </c>
      <c r="C1196" s="343"/>
      <c r="D1196" s="343"/>
    </row>
    <row r="1197" spans="2:6">
      <c r="B1197" s="344"/>
      <c r="C1197" s="133" t="s">
        <v>102</v>
      </c>
      <c r="D1197" s="144" t="s">
        <v>103</v>
      </c>
    </row>
    <row r="1198" spans="2:6">
      <c r="B1198" s="134" t="str">
        <f>+B1189</f>
        <v>Cash and Short-Term Investments</v>
      </c>
      <c r="C1198" s="136">
        <f>+C1189</f>
        <v>18088</v>
      </c>
      <c r="D1198" s="136">
        <f>+C1198*$N$1162</f>
        <v>355.3634577603143</v>
      </c>
    </row>
    <row r="1199" spans="2:6">
      <c r="B1199" s="134" t="s">
        <v>117</v>
      </c>
      <c r="C1199" s="161">
        <v>1000</v>
      </c>
      <c r="D1199" s="136">
        <f>+C1199*$N$1162</f>
        <v>19.646365422396855</v>
      </c>
    </row>
    <row r="1200" spans="2:6">
      <c r="B1200" s="137" t="s">
        <v>44</v>
      </c>
      <c r="C1200" s="138">
        <f>+SUM(C1198:C1199)</f>
        <v>19088</v>
      </c>
      <c r="D1200" s="138">
        <f>+SUM(D1198:D1199)</f>
        <v>375.00982318271116</v>
      </c>
    </row>
    <row r="1201" spans="1:14" ht="27" customHeight="1"/>
    <row r="1202" spans="1:14">
      <c r="B1202" s="343" t="s">
        <v>79</v>
      </c>
      <c r="C1202" s="343" t="s">
        <v>104</v>
      </c>
      <c r="D1202" s="343"/>
      <c r="E1202" s="132" t="s">
        <v>118</v>
      </c>
      <c r="F1202" s="132"/>
      <c r="G1202" s="343" t="s">
        <v>119</v>
      </c>
      <c r="H1202" s="343"/>
    </row>
    <row r="1203" spans="1:14">
      <c r="B1203" s="344"/>
      <c r="C1203" s="133" t="s">
        <v>102</v>
      </c>
      <c r="D1203" s="144" t="s">
        <v>103</v>
      </c>
      <c r="E1203" s="144" t="s">
        <v>120</v>
      </c>
      <c r="F1203" s="144" t="s">
        <v>103</v>
      </c>
      <c r="G1203" s="144" t="s">
        <v>120</v>
      </c>
      <c r="H1203" s="144" t="s">
        <v>103</v>
      </c>
    </row>
    <row r="1204" spans="1:14">
      <c r="B1204" s="134">
        <v>2021</v>
      </c>
      <c r="C1204" s="135">
        <v>1397</v>
      </c>
      <c r="D1204" s="136">
        <f t="shared" ref="D1204:D1209" si="63">+C1204*$N$1162</f>
        <v>27.445972495088409</v>
      </c>
      <c r="E1204" s="135">
        <v>570</v>
      </c>
      <c r="F1204" s="136">
        <f t="shared" ref="F1204:F1209" si="64">+E1204*$N$1162</f>
        <v>11.198428290766207</v>
      </c>
      <c r="G1204" s="136">
        <f>+C1204+E1204</f>
        <v>1967</v>
      </c>
      <c r="H1204" s="136">
        <f>+D1204+F1204</f>
        <v>38.644400785854614</v>
      </c>
    </row>
    <row r="1205" spans="1:14">
      <c r="B1205" s="134">
        <v>2022</v>
      </c>
      <c r="C1205" s="135">
        <v>13270</v>
      </c>
      <c r="D1205" s="136">
        <f t="shared" si="63"/>
        <v>260.70726915520629</v>
      </c>
      <c r="E1205" s="135">
        <v>2258</v>
      </c>
      <c r="F1205" s="136">
        <f t="shared" si="64"/>
        <v>44.3614931237721</v>
      </c>
      <c r="G1205" s="136">
        <f>+C1205+E1205</f>
        <v>15528</v>
      </c>
      <c r="H1205" s="136">
        <f t="shared" ref="H1205:H1209" si="65">+D1205+F1205</f>
        <v>305.0687622789784</v>
      </c>
    </row>
    <row r="1206" spans="1:14">
      <c r="B1206" s="134">
        <v>2023</v>
      </c>
      <c r="C1206" s="135">
        <v>25808</v>
      </c>
      <c r="D1206" s="136">
        <f t="shared" si="63"/>
        <v>507.03339882121804</v>
      </c>
      <c r="E1206" s="135">
        <v>1984</v>
      </c>
      <c r="F1206" s="136">
        <f t="shared" si="64"/>
        <v>38.978388998035363</v>
      </c>
      <c r="G1206" s="136">
        <f>+C1206+E1206</f>
        <v>27792</v>
      </c>
      <c r="H1206" s="136">
        <f t="shared" si="65"/>
        <v>546.01178781925341</v>
      </c>
    </row>
    <row r="1207" spans="1:14">
      <c r="B1207" s="134">
        <v>2024</v>
      </c>
      <c r="C1207" s="135">
        <v>14145</v>
      </c>
      <c r="D1207" s="136">
        <f t="shared" si="63"/>
        <v>277.8978388998035</v>
      </c>
      <c r="E1207" s="135">
        <v>1984</v>
      </c>
      <c r="F1207" s="136">
        <f t="shared" si="64"/>
        <v>38.978388998035363</v>
      </c>
      <c r="G1207" s="136">
        <f>+C1207+E1207</f>
        <v>16129</v>
      </c>
      <c r="H1207" s="136">
        <f t="shared" si="65"/>
        <v>316.87622789783887</v>
      </c>
    </row>
    <row r="1208" spans="1:14">
      <c r="B1208" s="134">
        <v>2025</v>
      </c>
      <c r="C1208" s="135">
        <v>21835</v>
      </c>
      <c r="D1208" s="136">
        <f t="shared" si="63"/>
        <v>428.97838899803537</v>
      </c>
      <c r="E1208" s="135">
        <v>712</v>
      </c>
      <c r="F1208" s="136">
        <f t="shared" si="64"/>
        <v>13.988212180746562</v>
      </c>
      <c r="G1208" s="136">
        <f>+C1208+E1208</f>
        <v>22547</v>
      </c>
      <c r="H1208" s="136">
        <f t="shared" si="65"/>
        <v>442.96660117878196</v>
      </c>
    </row>
    <row r="1209" spans="1:14">
      <c r="B1209" s="134" t="s">
        <v>187</v>
      </c>
      <c r="C1209" s="135">
        <v>129535</v>
      </c>
      <c r="D1209" s="136">
        <f t="shared" si="63"/>
        <v>2544.8919449901769</v>
      </c>
      <c r="E1209" s="135">
        <v>34089</v>
      </c>
      <c r="F1209" s="136">
        <f t="shared" si="64"/>
        <v>669.72495088408641</v>
      </c>
      <c r="G1209" s="136">
        <f>+C1209+E1209</f>
        <v>163624</v>
      </c>
      <c r="H1209" s="136">
        <f t="shared" si="65"/>
        <v>3214.6168958742633</v>
      </c>
    </row>
    <row r="1210" spans="1:14">
      <c r="B1210" s="137" t="s">
        <v>44</v>
      </c>
      <c r="C1210" s="138">
        <f>+SUM(C1204:C1209)</f>
        <v>205990</v>
      </c>
      <c r="D1210" s="138">
        <f t="shared" ref="D1210:F1210" si="66">+SUM(D1204:D1209)</f>
        <v>4046.9548133595285</v>
      </c>
      <c r="E1210" s="138">
        <f t="shared" si="66"/>
        <v>41597</v>
      </c>
      <c r="F1210" s="138">
        <f t="shared" si="66"/>
        <v>817.22986247544202</v>
      </c>
      <c r="G1210" s="138">
        <f>+SUM(G1204:G1209)</f>
        <v>247587</v>
      </c>
      <c r="H1210" s="138">
        <f t="shared" ref="H1210" si="67">+SUM(H1204:H1209)</f>
        <v>4864.1846758349702</v>
      </c>
      <c r="M1210" s="139"/>
    </row>
    <row r="1211" spans="1:14">
      <c r="B1211" s="131" t="s">
        <v>23</v>
      </c>
      <c r="C1211" s="140">
        <f>+G1210-C1185</f>
        <v>0</v>
      </c>
      <c r="E1211" s="131"/>
      <c r="H1211" s="131"/>
      <c r="I1211" s="131"/>
      <c r="J1211" s="131"/>
      <c r="K1211" s="131"/>
      <c r="L1211" s="131"/>
    </row>
    <row r="1212" spans="1:14">
      <c r="B1212" s="131"/>
      <c r="C1212" s="140"/>
      <c r="E1212" s="131"/>
      <c r="H1212" s="131"/>
      <c r="I1212" s="131"/>
      <c r="J1212" s="131"/>
      <c r="K1212" s="131"/>
      <c r="L1212" s="131"/>
    </row>
    <row r="1213" spans="1:14">
      <c r="B1213" s="131"/>
      <c r="C1213" s="140"/>
      <c r="E1213" s="131"/>
      <c r="H1213" s="131"/>
      <c r="I1213" s="131"/>
      <c r="J1213" s="131"/>
      <c r="K1213" s="131"/>
      <c r="L1213" s="131"/>
    </row>
    <row r="1214" spans="1:14">
      <c r="A1214" s="103" t="s">
        <v>193</v>
      </c>
      <c r="M1214" s="104" t="s">
        <v>194</v>
      </c>
      <c r="N1214" s="106">
        <f>1/Model!AB202</f>
        <v>2.0487604998975621E-2</v>
      </c>
    </row>
    <row r="1215" spans="1:14">
      <c r="M1215" s="105" t="s">
        <v>195</v>
      </c>
      <c r="N1215" s="106">
        <f>1/AVERAGE(Model!Y201:AB201)</f>
        <v>2.0643101419557271E-2</v>
      </c>
    </row>
    <row r="1216" spans="1:14">
      <c r="M1216" s="105"/>
      <c r="N1216" s="103"/>
    </row>
    <row r="1217" spans="2:14">
      <c r="B1217" s="107" t="s">
        <v>162</v>
      </c>
      <c r="C1217" s="106"/>
      <c r="N1217" s="103"/>
    </row>
    <row r="1218" spans="2:14" ht="26.25">
      <c r="B1218" s="108" t="s">
        <v>196</v>
      </c>
      <c r="C1218" s="109" t="s">
        <v>85</v>
      </c>
      <c r="D1218" s="109" t="s">
        <v>88</v>
      </c>
      <c r="E1218" s="110" t="s">
        <v>89</v>
      </c>
      <c r="F1218" s="110" t="s">
        <v>7</v>
      </c>
      <c r="N1218" s="103"/>
    </row>
    <row r="1219" spans="2:14">
      <c r="B1219" s="111" t="s">
        <v>24</v>
      </c>
      <c r="C1219" s="112"/>
      <c r="D1219" s="113"/>
      <c r="E1219" s="114"/>
      <c r="F1219" s="114"/>
      <c r="N1219" s="103"/>
    </row>
    <row r="1220" spans="2:14">
      <c r="B1220" s="116" t="s">
        <v>90</v>
      </c>
      <c r="C1220" s="112">
        <v>28602</v>
      </c>
      <c r="D1220" s="113">
        <f>C1220*$N$1214</f>
        <v>585.98647818070071</v>
      </c>
      <c r="E1220" s="114"/>
      <c r="F1220" s="114"/>
      <c r="N1220" s="103"/>
    </row>
    <row r="1221" spans="2:14">
      <c r="B1221" s="115" t="s">
        <v>91</v>
      </c>
      <c r="C1221" s="112">
        <v>0</v>
      </c>
      <c r="D1221" s="113">
        <f>C1221*$N$1214</f>
        <v>0</v>
      </c>
      <c r="E1221" s="114"/>
      <c r="F1221" s="114"/>
      <c r="N1221" s="103"/>
    </row>
    <row r="1222" spans="2:14">
      <c r="B1222" s="116" t="s">
        <v>30</v>
      </c>
      <c r="C1222" s="112"/>
      <c r="D1222" s="113"/>
      <c r="E1222" s="114"/>
      <c r="F1222" s="114"/>
      <c r="N1222" s="103"/>
    </row>
    <row r="1223" spans="2:14">
      <c r="B1223" s="115" t="s">
        <v>92</v>
      </c>
      <c r="C1223" s="112">
        <v>11438</v>
      </c>
      <c r="D1223" s="113">
        <f>C1223*$N$1214</f>
        <v>234.33722597828316</v>
      </c>
      <c r="E1223" s="114"/>
      <c r="F1223" s="114"/>
      <c r="N1223" s="103"/>
    </row>
    <row r="1224" spans="2:14">
      <c r="B1224" s="111" t="s">
        <v>93</v>
      </c>
      <c r="C1224" s="112"/>
      <c r="D1224" s="113"/>
      <c r="E1224" s="114"/>
      <c r="F1224" s="114"/>
      <c r="N1224" s="103"/>
    </row>
    <row r="1225" spans="2:14">
      <c r="B1225" s="115" t="s">
        <v>94</v>
      </c>
      <c r="C1225" s="112">
        <v>3855</v>
      </c>
      <c r="D1225" s="113">
        <f>C1225*$N$1214</f>
        <v>78.979717271051015</v>
      </c>
      <c r="E1225" s="114"/>
      <c r="F1225" s="114"/>
      <c r="N1225" s="103"/>
    </row>
    <row r="1226" spans="2:14">
      <c r="B1226" s="115" t="s">
        <v>95</v>
      </c>
      <c r="C1226" s="112">
        <v>2592</v>
      </c>
      <c r="D1226" s="113">
        <f>C1226*$N$1214</f>
        <v>53.10387215734481</v>
      </c>
      <c r="E1226" s="114"/>
      <c r="F1226" s="114"/>
      <c r="N1226" s="103"/>
    </row>
    <row r="1227" spans="2:14">
      <c r="B1227" s="111" t="s">
        <v>96</v>
      </c>
      <c r="C1227" s="112"/>
      <c r="D1227" s="113"/>
      <c r="E1227" s="114"/>
      <c r="F1227" s="114"/>
      <c r="N1227" s="103"/>
    </row>
    <row r="1228" spans="2:14">
      <c r="B1228" s="115" t="s">
        <v>68</v>
      </c>
      <c r="C1228" s="112">
        <v>189296</v>
      </c>
      <c r="D1228" s="113">
        <f>C1228*$N$1214</f>
        <v>3878.2216758860891</v>
      </c>
      <c r="E1228" s="114"/>
      <c r="F1228" s="114"/>
      <c r="N1228" s="103"/>
    </row>
    <row r="1229" spans="2:14">
      <c r="B1229" s="115" t="s">
        <v>97</v>
      </c>
      <c r="C1229" s="112">
        <v>0</v>
      </c>
      <c r="D1229" s="113">
        <f>C1229*$N$1214</f>
        <v>0</v>
      </c>
      <c r="E1229" s="114"/>
      <c r="F1229" s="114"/>
      <c r="N1229" s="103"/>
    </row>
    <row r="1230" spans="2:14">
      <c r="B1230" s="111" t="s">
        <v>32</v>
      </c>
      <c r="C1230" s="113">
        <f>+C1221+C1223+C1225+C1226+C1228+C1220</f>
        <v>235783</v>
      </c>
      <c r="D1230" s="113">
        <f>C1230*$N$1214</f>
        <v>4830.6289694734687</v>
      </c>
      <c r="E1230" s="114"/>
      <c r="F1230" s="114"/>
      <c r="N1230" s="103"/>
    </row>
    <row r="1231" spans="2:14">
      <c r="B1231" s="111" t="s">
        <v>33</v>
      </c>
      <c r="C1231" s="112">
        <v>7328</v>
      </c>
      <c r="D1231" s="113">
        <f>C1231*$N$1214</f>
        <v>150.13316943249336</v>
      </c>
      <c r="E1231" s="114"/>
      <c r="F1231" s="114"/>
      <c r="N1231" s="103"/>
    </row>
    <row r="1232" spans="2:14">
      <c r="B1232" s="111" t="s">
        <v>98</v>
      </c>
      <c r="C1232" s="113">
        <f>+C1230-C1231</f>
        <v>228455</v>
      </c>
      <c r="D1232" s="113">
        <f t="shared" ref="D1232:D1235" si="68">C1232*$N$1214</f>
        <v>4680.4958000409752</v>
      </c>
      <c r="E1232" s="114"/>
      <c r="F1232" s="114"/>
      <c r="N1232" s="103"/>
    </row>
    <row r="1233" spans="2:14">
      <c r="B1233" s="117" t="s">
        <v>35</v>
      </c>
      <c r="C1233" s="112">
        <v>7328</v>
      </c>
      <c r="D1233" s="113">
        <f t="shared" si="68"/>
        <v>150.13316943249336</v>
      </c>
      <c r="E1233" s="114"/>
      <c r="F1233" s="118"/>
      <c r="N1233" s="103"/>
    </row>
    <row r="1234" spans="2:14">
      <c r="B1234" s="117" t="s">
        <v>36</v>
      </c>
      <c r="C1234" s="112">
        <v>0</v>
      </c>
      <c r="D1234" s="113">
        <f t="shared" si="68"/>
        <v>0</v>
      </c>
      <c r="E1234" s="114"/>
      <c r="F1234" s="118"/>
    </row>
    <row r="1235" spans="2:14">
      <c r="B1235" s="119" t="s">
        <v>37</v>
      </c>
      <c r="C1235" s="120">
        <f>+C1232+C1233+C1234</f>
        <v>235783</v>
      </c>
      <c r="D1235" s="113">
        <f t="shared" si="68"/>
        <v>4830.6289694734687</v>
      </c>
      <c r="E1235" s="121"/>
      <c r="F1235" s="122"/>
    </row>
    <row r="1236" spans="2:14">
      <c r="B1236" s="111" t="s">
        <v>99</v>
      </c>
      <c r="C1236" s="112">
        <v>1379</v>
      </c>
      <c r="D1236" s="113">
        <f>C1236*$N$1214</f>
        <v>28.252407293587382</v>
      </c>
      <c r="E1236" s="121"/>
      <c r="F1236" s="122"/>
    </row>
    <row r="1237" spans="2:14" ht="26.25" customHeight="1">
      <c r="B1237" s="142" t="s">
        <v>100</v>
      </c>
      <c r="C1237" s="120">
        <f>C1235+C1236</f>
        <v>237162</v>
      </c>
      <c r="D1237" s="120">
        <f>D1235+D1236</f>
        <v>4858.8813767670563</v>
      </c>
      <c r="E1237" s="121"/>
      <c r="F1237" s="122"/>
    </row>
    <row r="1238" spans="2:14">
      <c r="B1238" s="117" t="s">
        <v>38</v>
      </c>
      <c r="C1238" s="112">
        <v>4272</v>
      </c>
      <c r="D1238" s="113">
        <f>C1238*$N$1214</f>
        <v>87.523048555623845</v>
      </c>
      <c r="E1238" s="121"/>
      <c r="F1238" s="122"/>
    </row>
    <row r="1239" spans="2:14">
      <c r="B1239" s="117" t="s">
        <v>39</v>
      </c>
      <c r="C1239" s="112">
        <v>16953</v>
      </c>
      <c r="D1239" s="113">
        <f>C1239*$N$1214</f>
        <v>347.32636754763371</v>
      </c>
      <c r="E1239" s="121"/>
      <c r="F1239" s="122"/>
    </row>
    <row r="1240" spans="2:14">
      <c r="B1240" s="123" t="s">
        <v>40</v>
      </c>
      <c r="C1240" s="124">
        <f>C1235+C1238+C1239</f>
        <v>257008</v>
      </c>
      <c r="D1240" s="124">
        <f>D1235+D1238+D1239</f>
        <v>5265.4783855767264</v>
      </c>
      <c r="E1240" s="125">
        <f>C1240/C1245</f>
        <v>2.9077579282021113</v>
      </c>
      <c r="F1240" s="125">
        <f>D1240/D1245</f>
        <v>2.8858549233888429</v>
      </c>
    </row>
    <row r="1241" spans="2:14">
      <c r="B1241" s="117" t="s">
        <v>164</v>
      </c>
      <c r="C1241" s="113">
        <f>Model!AB119</f>
        <v>23170</v>
      </c>
      <c r="D1241" s="113">
        <f>C1241*$N$1214</f>
        <v>474.69780782626515</v>
      </c>
      <c r="E1241" s="126"/>
      <c r="F1241" s="126"/>
    </row>
    <row r="1242" spans="2:14">
      <c r="B1242" s="123" t="s">
        <v>19</v>
      </c>
      <c r="C1242" s="124">
        <f>C1240-C1241</f>
        <v>233838</v>
      </c>
      <c r="D1242" s="124">
        <f>D1240-D1241</f>
        <v>4790.7805777504609</v>
      </c>
      <c r="E1242" s="125">
        <f>C1242/C1245</f>
        <v>2.6456153054182177</v>
      </c>
      <c r="F1242" s="125">
        <f>D1242/D1245</f>
        <v>2.6256869185994218</v>
      </c>
    </row>
    <row r="1243" spans="2:14">
      <c r="B1243" s="119" t="s">
        <v>20</v>
      </c>
      <c r="C1243" s="141">
        <f>Model!AB126</f>
        <v>120703</v>
      </c>
      <c r="D1243" s="127"/>
      <c r="E1243" s="128"/>
      <c r="F1243" s="117"/>
    </row>
    <row r="1244" spans="2:14">
      <c r="B1244" s="119" t="s">
        <v>21</v>
      </c>
      <c r="C1244" s="129">
        <f>C1242+C1243</f>
        <v>354541</v>
      </c>
      <c r="D1244" s="129"/>
      <c r="E1244" s="128"/>
      <c r="F1244" s="117"/>
    </row>
    <row r="1245" spans="2:14">
      <c r="B1245" s="117" t="s">
        <v>22</v>
      </c>
      <c r="C1245" s="130">
        <f>Model!AB84</f>
        <v>88387</v>
      </c>
      <c r="D1245" s="130">
        <f>C1245*N1215</f>
        <v>1824.5818051704086</v>
      </c>
      <c r="E1245" s="117"/>
      <c r="F1245" s="117"/>
    </row>
    <row r="1246" spans="2:14">
      <c r="B1246" s="131" t="s">
        <v>23</v>
      </c>
      <c r="C1246" s="159">
        <f>C1240-Model!AB123</f>
        <v>0</v>
      </c>
    </row>
    <row r="1247" spans="2:14">
      <c r="B1247" s="131"/>
      <c r="C1247" s="159"/>
    </row>
    <row r="1248" spans="2:14">
      <c r="B1248" s="343" t="s">
        <v>197</v>
      </c>
      <c r="C1248" s="343"/>
      <c r="D1248" s="343"/>
    </row>
    <row r="1249" spans="2:13">
      <c r="B1249" s="344"/>
      <c r="C1249" s="133" t="s">
        <v>102</v>
      </c>
      <c r="D1249" s="144" t="s">
        <v>103</v>
      </c>
    </row>
    <row r="1250" spans="2:13">
      <c r="B1250" s="134" t="str">
        <f>+B1241</f>
        <v>Cash and Short-Term Investments</v>
      </c>
      <c r="C1250" s="136">
        <f>+C1241</f>
        <v>23170</v>
      </c>
      <c r="D1250" s="136">
        <f>+C1250*$N$1214</f>
        <v>474.69780782626515</v>
      </c>
    </row>
    <row r="1251" spans="2:13">
      <c r="B1251" s="134" t="s">
        <v>117</v>
      </c>
      <c r="C1251" s="161">
        <v>10000</v>
      </c>
      <c r="D1251" s="136">
        <f>+C1251*$N$1214</f>
        <v>204.87604998975621</v>
      </c>
    </row>
    <row r="1252" spans="2:13" ht="27" customHeight="1">
      <c r="B1252" s="137" t="s">
        <v>44</v>
      </c>
      <c r="C1252" s="138">
        <f>+SUM(C1250:C1251)</f>
        <v>33170</v>
      </c>
      <c r="D1252" s="138">
        <f>+SUM(D1250:D1251)</f>
        <v>679.57385781602136</v>
      </c>
    </row>
    <row r="1254" spans="2:13">
      <c r="B1254" s="343" t="s">
        <v>79</v>
      </c>
      <c r="C1254" s="343" t="s">
        <v>104</v>
      </c>
      <c r="D1254" s="343"/>
      <c r="E1254" s="132" t="s">
        <v>118</v>
      </c>
      <c r="F1254" s="132"/>
      <c r="G1254" s="343" t="s">
        <v>119</v>
      </c>
      <c r="H1254" s="343"/>
    </row>
    <row r="1255" spans="2:13">
      <c r="B1255" s="344"/>
      <c r="C1255" s="133" t="s">
        <v>102</v>
      </c>
      <c r="D1255" s="144" t="s">
        <v>103</v>
      </c>
      <c r="E1255" s="144" t="s">
        <v>120</v>
      </c>
      <c r="F1255" s="144" t="s">
        <v>103</v>
      </c>
      <c r="G1255" s="144" t="s">
        <v>120</v>
      </c>
      <c r="H1255" s="144" t="s">
        <v>103</v>
      </c>
    </row>
    <row r="1256" spans="2:13">
      <c r="B1256" s="134">
        <v>2021</v>
      </c>
      <c r="C1256" s="135">
        <v>1849</v>
      </c>
      <c r="D1256" s="136">
        <f>+C1256*$N$1214</f>
        <v>37.881581643105925</v>
      </c>
      <c r="E1256" s="135">
        <v>1446</v>
      </c>
      <c r="F1256" s="136">
        <f>+E1256*$N$1214</f>
        <v>29.625076828518747</v>
      </c>
      <c r="G1256" s="136">
        <f>+C1256+E1256</f>
        <v>3295</v>
      </c>
      <c r="H1256" s="136">
        <f>+D1256+F1256</f>
        <v>67.506658471624675</v>
      </c>
    </row>
    <row r="1257" spans="2:13">
      <c r="B1257" s="134">
        <v>2022</v>
      </c>
      <c r="C1257" s="135">
        <v>13200</v>
      </c>
      <c r="D1257" s="136">
        <f t="shared" ref="D1257:D1261" si="69">+C1257*$N$1214</f>
        <v>270.43638598647817</v>
      </c>
      <c r="E1257" s="135">
        <v>2162</v>
      </c>
      <c r="F1257" s="136">
        <f t="shared" ref="F1257:F1261" si="70">+E1257*$N$1214</f>
        <v>44.294202007785294</v>
      </c>
      <c r="G1257" s="136">
        <f>+C1257+E1257</f>
        <v>15362</v>
      </c>
      <c r="H1257" s="136">
        <f t="shared" ref="H1257:H1261" si="71">+D1257+F1257</f>
        <v>314.73058799426349</v>
      </c>
    </row>
    <row r="1258" spans="2:13">
      <c r="B1258" s="134">
        <v>2023</v>
      </c>
      <c r="C1258" s="135">
        <v>25708</v>
      </c>
      <c r="D1258" s="136">
        <f t="shared" si="69"/>
        <v>526.69534931366525</v>
      </c>
      <c r="E1258" s="135">
        <v>1899</v>
      </c>
      <c r="F1258" s="136">
        <f t="shared" si="70"/>
        <v>38.905961893054702</v>
      </c>
      <c r="G1258" s="136">
        <f>+C1258+E1258</f>
        <v>27607</v>
      </c>
      <c r="H1258" s="136">
        <f t="shared" si="71"/>
        <v>565.60131120671997</v>
      </c>
    </row>
    <row r="1259" spans="2:13">
      <c r="B1259" s="134">
        <v>2024</v>
      </c>
      <c r="C1259" s="135">
        <v>14045</v>
      </c>
      <c r="D1259" s="136">
        <f t="shared" si="69"/>
        <v>287.74841221061257</v>
      </c>
      <c r="E1259" s="135">
        <v>1899</v>
      </c>
      <c r="F1259" s="136">
        <f t="shared" si="70"/>
        <v>38.905961893054702</v>
      </c>
      <c r="G1259" s="136">
        <f>+C1259+E1259</f>
        <v>15944</v>
      </c>
      <c r="H1259" s="136">
        <f t="shared" si="71"/>
        <v>326.65437410366729</v>
      </c>
    </row>
    <row r="1260" spans="2:13">
      <c r="B1260" s="134">
        <v>2025</v>
      </c>
      <c r="C1260" s="135">
        <v>21735</v>
      </c>
      <c r="D1260" s="136">
        <f t="shared" si="69"/>
        <v>445.29809465273513</v>
      </c>
      <c r="E1260" s="135">
        <v>682</v>
      </c>
      <c r="F1260" s="136">
        <f t="shared" si="70"/>
        <v>13.972546609301373</v>
      </c>
      <c r="G1260" s="136">
        <f>+C1260+E1260</f>
        <v>22417</v>
      </c>
      <c r="H1260" s="136">
        <f t="shared" si="71"/>
        <v>459.27064126203652</v>
      </c>
    </row>
    <row r="1261" spans="2:13">
      <c r="B1261" s="134" t="s">
        <v>187</v>
      </c>
      <c r="C1261" s="135">
        <v>119905</v>
      </c>
      <c r="D1261" s="136">
        <f t="shared" si="69"/>
        <v>2456.5662774021716</v>
      </c>
      <c r="E1261" s="135">
        <v>32632</v>
      </c>
      <c r="F1261" s="136">
        <f t="shared" si="70"/>
        <v>668.55152632657246</v>
      </c>
      <c r="G1261" s="136">
        <f>+C1261+E1261</f>
        <v>152537</v>
      </c>
      <c r="H1261" s="136">
        <f t="shared" si="71"/>
        <v>3125.1178037287441</v>
      </c>
    </row>
    <row r="1262" spans="2:13">
      <c r="B1262" s="137" t="s">
        <v>44</v>
      </c>
      <c r="C1262" s="138">
        <f>+SUM(C1256:C1261)</f>
        <v>196442</v>
      </c>
      <c r="D1262" s="138">
        <f t="shared" ref="D1262:F1262" si="72">+SUM(D1256:D1261)</f>
        <v>4024.6261012087684</v>
      </c>
      <c r="E1262" s="138">
        <f t="shared" si="72"/>
        <v>40720</v>
      </c>
      <c r="F1262" s="138">
        <f t="shared" si="72"/>
        <v>834.25527555828728</v>
      </c>
      <c r="G1262" s="138">
        <f>+SUM(G1256:G1261)</f>
        <v>237162</v>
      </c>
      <c r="H1262" s="138">
        <f t="shared" ref="H1262" si="73">+SUM(H1256:H1261)</f>
        <v>4858.8813767670563</v>
      </c>
      <c r="M1262" s="139"/>
    </row>
    <row r="1263" spans="2:13">
      <c r="B1263" s="131" t="s">
        <v>23</v>
      </c>
      <c r="C1263" s="140">
        <f>+G1262-C1237</f>
        <v>0</v>
      </c>
      <c r="E1263" s="131"/>
      <c r="H1263" s="131"/>
      <c r="I1263" s="131"/>
      <c r="J1263" s="131"/>
      <c r="K1263" s="131"/>
      <c r="L1263" s="131"/>
    </row>
    <row r="1266" spans="1:14">
      <c r="A1266" s="103" t="s">
        <v>198</v>
      </c>
      <c r="M1266" s="104" t="s">
        <v>199</v>
      </c>
      <c r="N1266" s="106">
        <f>1/Model!AA202</f>
        <v>2.0601565718994644E-2</v>
      </c>
    </row>
    <row r="1267" spans="1:14">
      <c r="M1267" s="105" t="s">
        <v>200</v>
      </c>
      <c r="N1267" s="106">
        <f>1/AVERAGE(Model!X201:AA201)</f>
        <v>2.0408163265306121E-2</v>
      </c>
    </row>
    <row r="1268" spans="1:14">
      <c r="M1268" s="105"/>
      <c r="N1268" s="106"/>
    </row>
    <row r="1269" spans="1:14">
      <c r="B1269" s="107" t="s">
        <v>162</v>
      </c>
      <c r="C1269" s="106"/>
    </row>
    <row r="1270" spans="1:14" ht="26.25">
      <c r="B1270" s="108" t="s">
        <v>201</v>
      </c>
      <c r="C1270" s="109" t="s">
        <v>85</v>
      </c>
      <c r="D1270" s="109" t="s">
        <v>88</v>
      </c>
      <c r="E1270" s="110" t="s">
        <v>89</v>
      </c>
      <c r="F1270" s="110" t="s">
        <v>7</v>
      </c>
    </row>
    <row r="1271" spans="1:14">
      <c r="B1271" s="111" t="s">
        <v>24</v>
      </c>
      <c r="C1271" s="112"/>
      <c r="D1271" s="113"/>
      <c r="E1271" s="114"/>
      <c r="F1271" s="114"/>
    </row>
    <row r="1272" spans="1:14">
      <c r="B1272" s="116" t="s">
        <v>90</v>
      </c>
      <c r="C1272" s="112">
        <v>28499</v>
      </c>
      <c r="D1272" s="113">
        <f>C1272*$N$1266</f>
        <v>587.12402142562837</v>
      </c>
      <c r="E1272" s="114"/>
      <c r="F1272" s="114"/>
    </row>
    <row r="1273" spans="1:14">
      <c r="B1273" s="115" t="s">
        <v>91</v>
      </c>
      <c r="C1273" s="112">
        <v>0</v>
      </c>
      <c r="D1273" s="113">
        <f>C1273*$N$1266</f>
        <v>0</v>
      </c>
      <c r="E1273" s="114"/>
      <c r="F1273" s="114"/>
    </row>
    <row r="1274" spans="1:14">
      <c r="B1274" s="116" t="s">
        <v>30</v>
      </c>
      <c r="C1274" s="112"/>
      <c r="D1274" s="113"/>
      <c r="E1274" s="114"/>
      <c r="F1274" s="114"/>
    </row>
    <row r="1275" spans="1:14">
      <c r="B1275" s="115" t="s">
        <v>92</v>
      </c>
      <c r="C1275" s="112">
        <v>11939</v>
      </c>
      <c r="D1275" s="113">
        <f>C1275*$N$1266</f>
        <v>245.96209311907705</v>
      </c>
      <c r="E1275" s="114"/>
      <c r="F1275" s="114"/>
    </row>
    <row r="1276" spans="1:14">
      <c r="B1276" s="111" t="s">
        <v>93</v>
      </c>
      <c r="C1276" s="112"/>
      <c r="D1276" s="113"/>
      <c r="E1276" s="114"/>
      <c r="F1276" s="114"/>
    </row>
    <row r="1277" spans="1:14">
      <c r="B1277" s="115" t="s">
        <v>94</v>
      </c>
      <c r="C1277" s="112">
        <v>3854</v>
      </c>
      <c r="D1277" s="113">
        <f t="shared" ref="D1277:D1278" si="74">C1277*$N$1266</f>
        <v>79.39843428100535</v>
      </c>
      <c r="E1277" s="114"/>
      <c r="F1277" s="114"/>
    </row>
    <row r="1278" spans="1:14">
      <c r="B1278" s="115" t="s">
        <v>95</v>
      </c>
      <c r="C1278" s="112">
        <v>2592</v>
      </c>
      <c r="D1278" s="113">
        <f t="shared" si="74"/>
        <v>53.399258343634116</v>
      </c>
      <c r="E1278" s="114"/>
      <c r="F1278" s="114"/>
    </row>
    <row r="1279" spans="1:14">
      <c r="B1279" s="111" t="s">
        <v>96</v>
      </c>
      <c r="C1279" s="112"/>
      <c r="D1279" s="113"/>
      <c r="E1279" s="114"/>
      <c r="F1279" s="114"/>
    </row>
    <row r="1280" spans="1:14">
      <c r="B1280" s="115" t="s">
        <v>68</v>
      </c>
      <c r="C1280" s="112">
        <v>174645</v>
      </c>
      <c r="D1280" s="113">
        <f t="shared" ref="D1280:D1286" si="75">C1280*$N$1266</f>
        <v>3597.9604449938197</v>
      </c>
      <c r="E1280" s="114"/>
      <c r="F1280" s="114"/>
    </row>
    <row r="1281" spans="2:6">
      <c r="B1281" s="115" t="s">
        <v>97</v>
      </c>
      <c r="C1281" s="112">
        <v>0</v>
      </c>
      <c r="D1281" s="113">
        <f t="shared" si="75"/>
        <v>0</v>
      </c>
      <c r="E1281" s="114"/>
      <c r="F1281" s="114"/>
    </row>
    <row r="1282" spans="2:6">
      <c r="B1282" s="111" t="s">
        <v>32</v>
      </c>
      <c r="C1282" s="113">
        <f>+C1273+C1275+C1277+C1278+C1280+C1272</f>
        <v>221529</v>
      </c>
      <c r="D1282" s="113">
        <f t="shared" si="75"/>
        <v>4563.8442521631641</v>
      </c>
      <c r="E1282" s="114"/>
      <c r="F1282" s="114"/>
    </row>
    <row r="1283" spans="2:6">
      <c r="B1283" s="111" t="s">
        <v>33</v>
      </c>
      <c r="C1283" s="112">
        <v>5317</v>
      </c>
      <c r="D1283" s="113">
        <f t="shared" si="75"/>
        <v>109.53852492789453</v>
      </c>
      <c r="E1283" s="114"/>
      <c r="F1283" s="114"/>
    </row>
    <row r="1284" spans="2:6">
      <c r="B1284" s="111" t="s">
        <v>98</v>
      </c>
      <c r="C1284" s="113">
        <f>+C1282-C1283</f>
        <v>216212</v>
      </c>
      <c r="D1284" s="113">
        <f t="shared" si="75"/>
        <v>4454.3057272352698</v>
      </c>
      <c r="E1284" s="114"/>
      <c r="F1284" s="114"/>
    </row>
    <row r="1285" spans="2:6">
      <c r="B1285" s="117" t="s">
        <v>35</v>
      </c>
      <c r="C1285" s="112">
        <v>5317</v>
      </c>
      <c r="D1285" s="113">
        <f t="shared" si="75"/>
        <v>109.53852492789453</v>
      </c>
      <c r="E1285" s="114"/>
      <c r="F1285" s="118"/>
    </row>
    <row r="1286" spans="2:6">
      <c r="B1286" s="117" t="s">
        <v>36</v>
      </c>
      <c r="C1286" s="112">
        <v>0</v>
      </c>
      <c r="D1286" s="113">
        <f t="shared" si="75"/>
        <v>0</v>
      </c>
      <c r="E1286" s="114"/>
      <c r="F1286" s="118"/>
    </row>
    <row r="1287" spans="2:6">
      <c r="B1287" s="119" t="s">
        <v>37</v>
      </c>
      <c r="C1287" s="120">
        <f>+C1284+C1285+C1286</f>
        <v>221529</v>
      </c>
      <c r="D1287" s="120">
        <f>+D1284+D1285+D1286</f>
        <v>4563.8442521631641</v>
      </c>
      <c r="E1287" s="121"/>
      <c r="F1287" s="122"/>
    </row>
    <row r="1288" spans="2:6" ht="26.25" customHeight="1">
      <c r="B1288" s="111" t="s">
        <v>99</v>
      </c>
      <c r="C1288" s="112">
        <v>1317</v>
      </c>
      <c r="D1288" s="113">
        <f>C1288*$N$1266</f>
        <v>27.132262051915944</v>
      </c>
      <c r="E1288" s="121"/>
      <c r="F1288" s="122"/>
    </row>
    <row r="1289" spans="2:6">
      <c r="B1289" s="142" t="s">
        <v>100</v>
      </c>
      <c r="C1289" s="120">
        <f>C1287+C1288</f>
        <v>222846</v>
      </c>
      <c r="D1289" s="120">
        <f>D1287+D1288</f>
        <v>4590.97651421508</v>
      </c>
      <c r="E1289" s="121"/>
      <c r="F1289" s="122"/>
    </row>
    <row r="1290" spans="2:6">
      <c r="B1290" s="117" t="s">
        <v>38</v>
      </c>
      <c r="C1290" s="112">
        <v>4220</v>
      </c>
      <c r="D1290" s="113">
        <f>C1290*$N$1266</f>
        <v>86.938607334157396</v>
      </c>
      <c r="E1290" s="121"/>
      <c r="F1290" s="122"/>
    </row>
    <row r="1291" spans="2:6">
      <c r="B1291" s="117" t="s">
        <v>39</v>
      </c>
      <c r="C1291" s="112">
        <v>16248</v>
      </c>
      <c r="D1291" s="113">
        <f>C1291*$N$1266</f>
        <v>334.73423980222498</v>
      </c>
      <c r="E1291" s="121"/>
      <c r="F1291" s="122"/>
    </row>
    <row r="1292" spans="2:6">
      <c r="B1292" s="123" t="s">
        <v>40</v>
      </c>
      <c r="C1292" s="124">
        <f>C1287+C1290+C1291</f>
        <v>241997</v>
      </c>
      <c r="D1292" s="124">
        <f>D1287+D1290+D1291</f>
        <v>4985.5170992995463</v>
      </c>
      <c r="E1292" s="125">
        <f>C1292/C1297</f>
        <v>2.7953264334888877</v>
      </c>
      <c r="F1292" s="125">
        <f>D1292/D1297</f>
        <v>2.8218169600526473</v>
      </c>
    </row>
    <row r="1293" spans="2:6">
      <c r="B1293" s="117" t="s">
        <v>164</v>
      </c>
      <c r="C1293" s="113">
        <f>Model!AA119</f>
        <v>31481</v>
      </c>
      <c r="D1293" s="113">
        <f>C1293*$N$1266</f>
        <v>648.55789039967033</v>
      </c>
      <c r="E1293" s="126"/>
      <c r="F1293" s="126"/>
    </row>
    <row r="1294" spans="2:6">
      <c r="B1294" s="123" t="s">
        <v>19</v>
      </c>
      <c r="C1294" s="124">
        <f>C1292-C1293</f>
        <v>210516</v>
      </c>
      <c r="D1294" s="124">
        <f>D1292-D1293</f>
        <v>4336.9592088998761</v>
      </c>
      <c r="E1294" s="125">
        <f>C1294/C1297</f>
        <v>2.4316869195582869</v>
      </c>
      <c r="F1294" s="125">
        <f>D1294/D1297</f>
        <v>2.4547313361836847</v>
      </c>
    </row>
    <row r="1295" spans="2:6">
      <c r="B1295" s="119" t="s">
        <v>20</v>
      </c>
      <c r="C1295" s="141">
        <f>Model!AA126</f>
        <v>113667</v>
      </c>
      <c r="D1295" s="127"/>
      <c r="E1295" s="128"/>
      <c r="F1295" s="117"/>
    </row>
    <row r="1296" spans="2:6">
      <c r="B1296" s="119" t="s">
        <v>21</v>
      </c>
      <c r="C1296" s="129">
        <f>C1294+C1295</f>
        <v>324183</v>
      </c>
      <c r="D1296" s="129"/>
      <c r="E1296" s="128"/>
      <c r="F1296" s="117"/>
    </row>
    <row r="1297" spans="2:8">
      <c r="B1297" s="117" t="s">
        <v>22</v>
      </c>
      <c r="C1297" s="130">
        <f>Model!AA84</f>
        <v>86572</v>
      </c>
      <c r="D1297" s="130">
        <f>C1297*N1267</f>
        <v>1766.7755102040815</v>
      </c>
      <c r="E1297" s="117"/>
      <c r="F1297" s="117"/>
    </row>
    <row r="1298" spans="2:8">
      <c r="B1298" s="131" t="s">
        <v>23</v>
      </c>
      <c r="C1298" s="159">
        <f>C1292-Model!AA123</f>
        <v>0</v>
      </c>
    </row>
    <row r="1299" spans="2:8">
      <c r="B1299" s="131"/>
      <c r="C1299" s="159"/>
    </row>
    <row r="1300" spans="2:8">
      <c r="B1300" s="343" t="s">
        <v>202</v>
      </c>
      <c r="C1300" s="343"/>
      <c r="D1300" s="343"/>
    </row>
    <row r="1301" spans="2:8">
      <c r="B1301" s="344"/>
      <c r="C1301" s="133" t="s">
        <v>102</v>
      </c>
      <c r="D1301" s="144" t="s">
        <v>103</v>
      </c>
    </row>
    <row r="1302" spans="2:8">
      <c r="B1302" s="134" t="str">
        <f>+B1293</f>
        <v>Cash and Short-Term Investments</v>
      </c>
      <c r="C1302" s="136">
        <f>+C1293</f>
        <v>31481</v>
      </c>
      <c r="D1302" s="136">
        <f>+C1302*$N$1266</f>
        <v>648.55789039967033</v>
      </c>
    </row>
    <row r="1303" spans="2:8" ht="27" customHeight="1">
      <c r="B1303" s="134" t="s">
        <v>117</v>
      </c>
      <c r="C1303" s="161">
        <v>0</v>
      </c>
      <c r="D1303" s="136">
        <f>+C1303*$N$1266</f>
        <v>0</v>
      </c>
    </row>
    <row r="1304" spans="2:8">
      <c r="B1304" s="137" t="s">
        <v>44</v>
      </c>
      <c r="C1304" s="138">
        <f>+SUM(C1302:C1303)</f>
        <v>31481</v>
      </c>
      <c r="D1304" s="138">
        <f>+SUM(D1302:D1303)</f>
        <v>648.55789039967033</v>
      </c>
    </row>
    <row r="1306" spans="2:8">
      <c r="B1306" s="343" t="s">
        <v>79</v>
      </c>
      <c r="C1306" s="343" t="s">
        <v>104</v>
      </c>
      <c r="D1306" s="343"/>
      <c r="E1306" s="132" t="s">
        <v>118</v>
      </c>
      <c r="F1306" s="132"/>
      <c r="G1306" s="343" t="s">
        <v>119</v>
      </c>
      <c r="H1306" s="343"/>
    </row>
    <row r="1307" spans="2:8">
      <c r="B1307" s="344"/>
      <c r="C1307" s="133" t="s">
        <v>102</v>
      </c>
      <c r="D1307" s="144" t="s">
        <v>103</v>
      </c>
      <c r="E1307" s="144" t="s">
        <v>120</v>
      </c>
      <c r="F1307" s="144" t="s">
        <v>103</v>
      </c>
      <c r="G1307" s="144" t="s">
        <v>120</v>
      </c>
      <c r="H1307" s="144" t="s">
        <v>103</v>
      </c>
    </row>
    <row r="1308" spans="2:8">
      <c r="B1308" s="134">
        <v>2021</v>
      </c>
      <c r="C1308" s="135">
        <v>2124</v>
      </c>
      <c r="D1308" s="136">
        <f>+C1308*$N$1266</f>
        <v>43.757725587144627</v>
      </c>
      <c r="E1308" s="135">
        <v>1985</v>
      </c>
      <c r="F1308" s="136">
        <f>+E1308*$N$1266</f>
        <v>40.894107952204365</v>
      </c>
      <c r="G1308" s="136">
        <f>+C1308+E1308</f>
        <v>4109</v>
      </c>
      <c r="H1308" s="136">
        <f>+D1308+F1308</f>
        <v>84.651833539348985</v>
      </c>
    </row>
    <row r="1309" spans="2:8">
      <c r="B1309" s="134">
        <v>2022</v>
      </c>
      <c r="C1309" s="135">
        <v>13120</v>
      </c>
      <c r="D1309" s="136">
        <f t="shared" ref="D1309:D1313" si="76">+C1309*$N$1266</f>
        <v>270.2925422332097</v>
      </c>
      <c r="E1309" s="135">
        <v>2154</v>
      </c>
      <c r="F1309" s="136">
        <f t="shared" ref="F1309:F1313" si="77">+E1309*$N$1266</f>
        <v>44.375772558714466</v>
      </c>
      <c r="G1309" s="136">
        <f>+C1309+E1309</f>
        <v>15274</v>
      </c>
      <c r="H1309" s="136">
        <f t="shared" ref="H1309:H1313" si="78">+D1309+F1309</f>
        <v>314.66831479192416</v>
      </c>
    </row>
    <row r="1310" spans="2:8">
      <c r="B1310" s="134">
        <v>2023</v>
      </c>
      <c r="C1310" s="135">
        <v>25558</v>
      </c>
      <c r="D1310" s="136">
        <f t="shared" si="76"/>
        <v>526.53481664606511</v>
      </c>
      <c r="E1310" s="135">
        <v>1893</v>
      </c>
      <c r="F1310" s="136">
        <f t="shared" si="77"/>
        <v>38.998763906056858</v>
      </c>
      <c r="G1310" s="136">
        <f>+C1310+E1310</f>
        <v>27451</v>
      </c>
      <c r="H1310" s="136">
        <f t="shared" si="78"/>
        <v>565.53358055212198</v>
      </c>
    </row>
    <row r="1311" spans="2:8">
      <c r="B1311" s="134">
        <v>2024</v>
      </c>
      <c r="C1311" s="135">
        <v>13895</v>
      </c>
      <c r="D1311" s="136">
        <f t="shared" si="76"/>
        <v>286.25875566543056</v>
      </c>
      <c r="E1311" s="135">
        <v>1893</v>
      </c>
      <c r="F1311" s="136">
        <f t="shared" si="77"/>
        <v>38.998763906056858</v>
      </c>
      <c r="G1311" s="136">
        <f>+C1311+E1311</f>
        <v>15788</v>
      </c>
      <c r="H1311" s="136">
        <f t="shared" si="78"/>
        <v>325.25751957148742</v>
      </c>
    </row>
    <row r="1312" spans="2:8">
      <c r="B1312" s="134">
        <v>2025</v>
      </c>
      <c r="C1312" s="135">
        <v>21585</v>
      </c>
      <c r="D1312" s="136">
        <f t="shared" si="76"/>
        <v>444.68479604449936</v>
      </c>
      <c r="E1312" s="135">
        <v>680</v>
      </c>
      <c r="F1312" s="136">
        <f t="shared" si="77"/>
        <v>14.009064688916357</v>
      </c>
      <c r="G1312" s="136">
        <f>+C1312+E1312</f>
        <v>22265</v>
      </c>
      <c r="H1312" s="136">
        <f t="shared" si="78"/>
        <v>458.6938607334157</v>
      </c>
    </row>
    <row r="1313" spans="1:14">
      <c r="B1313" s="134" t="s">
        <v>187</v>
      </c>
      <c r="C1313" s="135">
        <v>105435</v>
      </c>
      <c r="D1313" s="136">
        <f t="shared" si="76"/>
        <v>2172.1260815822002</v>
      </c>
      <c r="E1313" s="135">
        <v>32524</v>
      </c>
      <c r="F1313" s="136">
        <f t="shared" si="77"/>
        <v>670.04532344458175</v>
      </c>
      <c r="G1313" s="136">
        <f>+C1313+E1313</f>
        <v>137959</v>
      </c>
      <c r="H1313" s="136">
        <f t="shared" si="78"/>
        <v>2842.1714050267819</v>
      </c>
    </row>
    <row r="1314" spans="1:14">
      <c r="B1314" s="137" t="s">
        <v>44</v>
      </c>
      <c r="C1314" s="138">
        <f>+SUM(C1308:C1313)</f>
        <v>181717</v>
      </c>
      <c r="D1314" s="138">
        <f t="shared" ref="D1314:H1314" si="79">+SUM(D1308:D1313)</f>
        <v>3743.6547177585494</v>
      </c>
      <c r="E1314" s="138">
        <f t="shared" si="79"/>
        <v>41129</v>
      </c>
      <c r="F1314" s="138">
        <f t="shared" si="79"/>
        <v>847.32179645653071</v>
      </c>
      <c r="G1314" s="138">
        <f>+SUM(G1308:G1313)</f>
        <v>222846</v>
      </c>
      <c r="H1314" s="138">
        <f t="shared" si="79"/>
        <v>4590.97651421508</v>
      </c>
      <c r="M1314" s="139"/>
    </row>
    <row r="1315" spans="1:14">
      <c r="B1315" s="131" t="s">
        <v>23</v>
      </c>
      <c r="C1315" s="140">
        <f>+G1314-C1289</f>
        <v>0</v>
      </c>
      <c r="E1315" s="131"/>
      <c r="H1315" s="131"/>
      <c r="I1315" s="131"/>
      <c r="J1315" s="131"/>
      <c r="K1315" s="131"/>
      <c r="L1315" s="131"/>
    </row>
    <row r="1316" spans="1:14">
      <c r="B1316" s="131"/>
      <c r="C1316" s="140"/>
      <c r="E1316" s="131"/>
      <c r="H1316" s="131"/>
      <c r="I1316" s="131"/>
      <c r="J1316" s="131"/>
      <c r="K1316" s="131"/>
      <c r="L1316" s="131"/>
    </row>
    <row r="1317" spans="1:14">
      <c r="A1317" s="103" t="s">
        <v>203</v>
      </c>
      <c r="M1317" s="104" t="s">
        <v>204</v>
      </c>
      <c r="N1317" s="106">
        <f>1/Model!Z202</f>
        <v>2.0824656393169511E-2</v>
      </c>
    </row>
    <row r="1318" spans="1:14">
      <c r="M1318" s="105" t="s">
        <v>205</v>
      </c>
      <c r="N1318" s="106">
        <f>1/AVERAGE(Model!W201:Z201)</f>
        <v>2.0149103364900261E-2</v>
      </c>
    </row>
    <row r="1319" spans="1:14">
      <c r="M1319" s="105"/>
      <c r="N1319" s="106"/>
    </row>
    <row r="1320" spans="1:14">
      <c r="B1320" s="107" t="s">
        <v>162</v>
      </c>
      <c r="C1320" s="106"/>
    </row>
    <row r="1321" spans="1:14" ht="26.25">
      <c r="B1321" s="108" t="s">
        <v>206</v>
      </c>
      <c r="C1321" s="109" t="s">
        <v>85</v>
      </c>
      <c r="D1321" s="109" t="s">
        <v>88</v>
      </c>
      <c r="E1321" s="110" t="s">
        <v>89</v>
      </c>
      <c r="F1321" s="110" t="s">
        <v>7</v>
      </c>
    </row>
    <row r="1322" spans="1:14">
      <c r="B1322" s="111" t="s">
        <v>24</v>
      </c>
      <c r="C1322" s="112"/>
      <c r="D1322" s="113"/>
      <c r="E1322" s="114"/>
      <c r="F1322" s="114"/>
    </row>
    <row r="1323" spans="1:14">
      <c r="B1323" s="116" t="s">
        <v>90</v>
      </c>
      <c r="C1323" s="112">
        <v>28179</v>
      </c>
      <c r="D1323" s="113">
        <f>C1323*$N$1317</f>
        <v>586.81799250312361</v>
      </c>
      <c r="E1323" s="114"/>
      <c r="F1323" s="114"/>
    </row>
    <row r="1324" spans="1:14">
      <c r="B1324" s="115" t="s">
        <v>91</v>
      </c>
      <c r="C1324" s="112">
        <v>0</v>
      </c>
      <c r="D1324" s="113">
        <f>C1324*$N$1368</f>
        <v>0</v>
      </c>
      <c r="E1324" s="114"/>
      <c r="F1324" s="114"/>
    </row>
    <row r="1325" spans="1:14">
      <c r="B1325" s="116" t="s">
        <v>30</v>
      </c>
      <c r="C1325" s="112"/>
      <c r="D1325" s="113"/>
      <c r="E1325" s="114"/>
      <c r="F1325" s="114"/>
    </row>
    <row r="1326" spans="1:14">
      <c r="B1326" s="115" t="s">
        <v>92</v>
      </c>
      <c r="C1326" s="112">
        <v>12693</v>
      </c>
      <c r="D1326" s="113">
        <f>C1326*$N$1317</f>
        <v>264.3273635985006</v>
      </c>
      <c r="E1326" s="114"/>
      <c r="F1326" s="114"/>
    </row>
    <row r="1327" spans="1:14">
      <c r="B1327" s="111" t="s">
        <v>93</v>
      </c>
      <c r="C1327" s="112"/>
      <c r="D1327" s="113"/>
      <c r="E1327" s="114"/>
      <c r="F1327" s="114"/>
    </row>
    <row r="1328" spans="1:14">
      <c r="B1328" s="115" t="s">
        <v>94</v>
      </c>
      <c r="C1328" s="112">
        <v>3854</v>
      </c>
      <c r="D1328" s="113">
        <f>C1328*$N$1317</f>
        <v>80.258225739275289</v>
      </c>
      <c r="E1328" s="114"/>
      <c r="F1328" s="114"/>
    </row>
    <row r="1329" spans="2:6">
      <c r="B1329" s="115" t="s">
        <v>95</v>
      </c>
      <c r="C1329" s="112">
        <v>14989</v>
      </c>
      <c r="D1329" s="113">
        <f>C1329*$N$1317</f>
        <v>312.14077467721779</v>
      </c>
      <c r="E1329" s="114"/>
      <c r="F1329" s="114"/>
    </row>
    <row r="1330" spans="2:6">
      <c r="B1330" s="111" t="s">
        <v>96</v>
      </c>
      <c r="C1330" s="112"/>
      <c r="D1330" s="113"/>
      <c r="E1330" s="114"/>
      <c r="F1330" s="114"/>
    </row>
    <row r="1331" spans="2:6">
      <c r="B1331" s="115" t="s">
        <v>68</v>
      </c>
      <c r="C1331" s="112">
        <v>163050</v>
      </c>
      <c r="D1331" s="113">
        <f t="shared" ref="D1331:D1337" si="80">C1331*$N$1317</f>
        <v>3395.4602249062887</v>
      </c>
      <c r="E1331" s="114"/>
      <c r="F1331" s="114"/>
    </row>
    <row r="1332" spans="2:6">
      <c r="B1332" s="115" t="s">
        <v>97</v>
      </c>
      <c r="C1332" s="112">
        <v>0</v>
      </c>
      <c r="D1332" s="113">
        <f t="shared" si="80"/>
        <v>0</v>
      </c>
      <c r="E1332" s="114"/>
      <c r="F1332" s="114"/>
    </row>
    <row r="1333" spans="2:6" ht="26.25" customHeight="1">
      <c r="B1333" s="111" t="s">
        <v>32</v>
      </c>
      <c r="C1333" s="113">
        <f>+C1324+C1326+C1328+C1329+C1331+C1323</f>
        <v>222765</v>
      </c>
      <c r="D1333" s="113">
        <f t="shared" si="80"/>
        <v>4639.0045814244058</v>
      </c>
      <c r="E1333" s="114"/>
      <c r="F1333" s="114"/>
    </row>
    <row r="1334" spans="2:6">
      <c r="B1334" s="111" t="s">
        <v>33</v>
      </c>
      <c r="C1334" s="112">
        <v>17570</v>
      </c>
      <c r="D1334" s="113">
        <f t="shared" si="80"/>
        <v>365.88921282798833</v>
      </c>
      <c r="E1334" s="114"/>
      <c r="F1334" s="114"/>
    </row>
    <row r="1335" spans="2:6">
      <c r="B1335" s="111" t="s">
        <v>98</v>
      </c>
      <c r="C1335" s="113">
        <f>+C1333-C1334</f>
        <v>205195</v>
      </c>
      <c r="D1335" s="113">
        <f t="shared" si="80"/>
        <v>4273.1153685964182</v>
      </c>
      <c r="E1335" s="114"/>
      <c r="F1335" s="114"/>
    </row>
    <row r="1336" spans="2:6">
      <c r="B1336" s="117" t="s">
        <v>35</v>
      </c>
      <c r="C1336" s="112">
        <v>17570</v>
      </c>
      <c r="D1336" s="113">
        <f t="shared" si="80"/>
        <v>365.88921282798833</v>
      </c>
      <c r="E1336" s="114"/>
      <c r="F1336" s="118"/>
    </row>
    <row r="1337" spans="2:6">
      <c r="B1337" s="117" t="s">
        <v>36</v>
      </c>
      <c r="C1337" s="112">
        <v>0</v>
      </c>
      <c r="D1337" s="113">
        <f t="shared" si="80"/>
        <v>0</v>
      </c>
      <c r="E1337" s="114"/>
      <c r="F1337" s="118"/>
    </row>
    <row r="1338" spans="2:6">
      <c r="B1338" s="119" t="s">
        <v>37</v>
      </c>
      <c r="C1338" s="120">
        <f>+C1335+C1336+C1337</f>
        <v>222765</v>
      </c>
      <c r="D1338" s="120">
        <f>+D1335+D1336+D1337</f>
        <v>4639.0045814244068</v>
      </c>
      <c r="E1338" s="121"/>
      <c r="F1338" s="122"/>
    </row>
    <row r="1339" spans="2:6">
      <c r="B1339" s="111" t="s">
        <v>99</v>
      </c>
      <c r="C1339" s="112">
        <v>1262</v>
      </c>
      <c r="D1339" s="113">
        <f>C1339*$N$1317</f>
        <v>26.280716368179924</v>
      </c>
      <c r="E1339" s="121"/>
      <c r="F1339" s="122"/>
    </row>
    <row r="1340" spans="2:6">
      <c r="B1340" s="142" t="s">
        <v>100</v>
      </c>
      <c r="C1340" s="120">
        <f>C1338+C1339</f>
        <v>224027</v>
      </c>
      <c r="D1340" s="120">
        <f>D1338+D1339</f>
        <v>4665.2852977925868</v>
      </c>
      <c r="E1340" s="121"/>
      <c r="F1340" s="122"/>
    </row>
    <row r="1341" spans="2:6">
      <c r="B1341" s="117" t="s">
        <v>38</v>
      </c>
      <c r="C1341" s="112">
        <v>4043</v>
      </c>
      <c r="D1341" s="113">
        <f>C1341*$N$1317</f>
        <v>84.194085797584336</v>
      </c>
      <c r="E1341" s="121"/>
      <c r="F1341" s="122"/>
    </row>
    <row r="1342" spans="2:6">
      <c r="B1342" s="117" t="s">
        <v>39</v>
      </c>
      <c r="C1342" s="112">
        <v>15982</v>
      </c>
      <c r="D1342" s="113">
        <f>C1342*$N$1317</f>
        <v>332.81965847563515</v>
      </c>
      <c r="E1342" s="121"/>
      <c r="F1342" s="122"/>
    </row>
    <row r="1343" spans="2:6">
      <c r="B1343" s="123" t="s">
        <v>40</v>
      </c>
      <c r="C1343" s="124">
        <f>C1338+C1341+C1342</f>
        <v>242790</v>
      </c>
      <c r="D1343" s="124">
        <f>D1338+D1341+D1342</f>
        <v>5056.0183256976261</v>
      </c>
      <c r="E1343" s="125">
        <f>C1343/C1348</f>
        <v>2.8639677259537124</v>
      </c>
      <c r="F1343" s="125">
        <f>D1343/D1348</f>
        <v>2.9599899674944345</v>
      </c>
    </row>
    <row r="1344" spans="2:6">
      <c r="B1344" s="117" t="s">
        <v>164</v>
      </c>
      <c r="C1344" s="113">
        <f>Model!Z119</f>
        <v>40237</v>
      </c>
      <c r="D1344" s="113">
        <f>C1344*$N$1317</f>
        <v>837.92169929196166</v>
      </c>
      <c r="E1344" s="126"/>
      <c r="F1344" s="126"/>
    </row>
    <row r="1345" spans="2:8">
      <c r="B1345" s="123" t="s">
        <v>19</v>
      </c>
      <c r="C1345" s="124">
        <f>C1343-C1344</f>
        <v>202553</v>
      </c>
      <c r="D1345" s="124">
        <f>D1343-D1344</f>
        <v>4218.0966264056642</v>
      </c>
      <c r="E1345" s="125">
        <f>C1345/C1348</f>
        <v>2.3893292754854083</v>
      </c>
      <c r="F1345" s="125">
        <f>D1345/D1348</f>
        <v>2.4694379829725284</v>
      </c>
    </row>
    <row r="1346" spans="2:8">
      <c r="B1346" s="119" t="s">
        <v>20</v>
      </c>
      <c r="C1346" s="141">
        <f>Model!Z126</f>
        <v>119665</v>
      </c>
      <c r="D1346" s="127"/>
      <c r="E1346" s="128"/>
      <c r="F1346" s="117"/>
    </row>
    <row r="1347" spans="2:8">
      <c r="B1347" s="119" t="s">
        <v>21</v>
      </c>
      <c r="C1347" s="129">
        <f>C1345+C1346</f>
        <v>322218</v>
      </c>
      <c r="D1347" s="129"/>
      <c r="E1347" s="128"/>
      <c r="F1347" s="117"/>
    </row>
    <row r="1348" spans="2:8">
      <c r="B1348" s="117" t="s">
        <v>22</v>
      </c>
      <c r="C1348" s="130">
        <f>Model!Z84</f>
        <v>84774</v>
      </c>
      <c r="D1348" s="130">
        <f>C1348*N1318</f>
        <v>1708.1200886560548</v>
      </c>
      <c r="E1348" s="117"/>
      <c r="F1348" s="117"/>
    </row>
    <row r="1349" spans="2:8">
      <c r="B1349" s="131" t="s">
        <v>23</v>
      </c>
      <c r="C1349" s="159">
        <f>C1343-Model!Z123</f>
        <v>0</v>
      </c>
    </row>
    <row r="1350" spans="2:8">
      <c r="B1350" s="131"/>
      <c r="C1350" s="159"/>
    </row>
    <row r="1351" spans="2:8">
      <c r="B1351" s="343" t="s">
        <v>207</v>
      </c>
      <c r="C1351" s="343"/>
      <c r="D1351" s="343"/>
    </row>
    <row r="1352" spans="2:8">
      <c r="B1352" s="344"/>
      <c r="C1352" s="133" t="s">
        <v>102</v>
      </c>
      <c r="D1352" s="144" t="s">
        <v>103</v>
      </c>
    </row>
    <row r="1353" spans="2:8">
      <c r="B1353" s="134" t="str">
        <f>+B1344</f>
        <v>Cash and Short-Term Investments</v>
      </c>
      <c r="C1353" s="136">
        <f>+C1344</f>
        <v>40237</v>
      </c>
      <c r="D1353" s="136">
        <f>+C1353*$N$1317</f>
        <v>837.92169929196166</v>
      </c>
    </row>
    <row r="1354" spans="2:8">
      <c r="B1354" s="134" t="s">
        <v>117</v>
      </c>
      <c r="C1354" s="161">
        <v>0</v>
      </c>
      <c r="D1354" s="136">
        <f>+C1354*$N$1317</f>
        <v>0</v>
      </c>
    </row>
    <row r="1355" spans="2:8">
      <c r="B1355" s="137" t="s">
        <v>44</v>
      </c>
      <c r="C1355" s="138">
        <f>+SUM(C1353:C1354)</f>
        <v>40237</v>
      </c>
      <c r="D1355" s="138">
        <f>+SUM(D1353:D1354)</f>
        <v>837.92169929196166</v>
      </c>
    </row>
    <row r="1357" spans="2:8">
      <c r="B1357" s="343" t="s">
        <v>79</v>
      </c>
      <c r="C1357" s="343" t="s">
        <v>104</v>
      </c>
      <c r="D1357" s="343"/>
      <c r="E1357" s="132" t="s">
        <v>118</v>
      </c>
      <c r="F1357" s="132"/>
      <c r="G1357" s="343" t="s">
        <v>119</v>
      </c>
      <c r="H1357" s="343"/>
    </row>
    <row r="1358" spans="2:8">
      <c r="B1358" s="344"/>
      <c r="C1358" s="133" t="s">
        <v>102</v>
      </c>
      <c r="D1358" s="144" t="s">
        <v>103</v>
      </c>
      <c r="E1358" s="144" t="s">
        <v>120</v>
      </c>
      <c r="F1358" s="144" t="s">
        <v>103</v>
      </c>
      <c r="G1358" s="144" t="s">
        <v>120</v>
      </c>
      <c r="H1358" s="144" t="s">
        <v>103</v>
      </c>
    </row>
    <row r="1359" spans="2:8">
      <c r="B1359" s="134">
        <v>2021</v>
      </c>
      <c r="C1359" s="135">
        <v>14859</v>
      </c>
      <c r="D1359" s="136">
        <f t="shared" ref="D1359:D1364" si="81">+C1359*$N$1317</f>
        <v>309.43356934610574</v>
      </c>
      <c r="E1359" s="135">
        <v>2852</v>
      </c>
      <c r="F1359" s="136">
        <f t="shared" ref="F1359:F1364" si="82">+E1359*$N$1317</f>
        <v>59.391920033319444</v>
      </c>
      <c r="G1359" s="136">
        <f>+C1359+E1359</f>
        <v>17711</v>
      </c>
      <c r="H1359" s="136">
        <f>+D1359+F1359</f>
        <v>368.82548937942516</v>
      </c>
    </row>
    <row r="1360" spans="2:8">
      <c r="B1360" s="134">
        <v>2022</v>
      </c>
      <c r="C1360" s="135">
        <v>13000</v>
      </c>
      <c r="D1360" s="136">
        <f t="shared" si="81"/>
        <v>270.72053311120362</v>
      </c>
      <c r="E1360" s="135">
        <v>2131</v>
      </c>
      <c r="F1360" s="136">
        <f t="shared" si="82"/>
        <v>44.377342773844227</v>
      </c>
      <c r="G1360" s="136">
        <f>+C1360+E1360</f>
        <v>15131</v>
      </c>
      <c r="H1360" s="136">
        <f t="shared" ref="H1360:H1364" si="83">+D1360+F1360</f>
        <v>315.09787588504787</v>
      </c>
    </row>
    <row r="1361" spans="1:14">
      <c r="B1361" s="134">
        <v>2023</v>
      </c>
      <c r="C1361" s="135">
        <v>25438</v>
      </c>
      <c r="D1361" s="136">
        <f t="shared" si="81"/>
        <v>529.73760932944606</v>
      </c>
      <c r="E1361" s="135">
        <v>1873</v>
      </c>
      <c r="F1361" s="136">
        <f t="shared" si="82"/>
        <v>39.004581424406496</v>
      </c>
      <c r="G1361" s="136">
        <f>+C1361+E1361</f>
        <v>27311</v>
      </c>
      <c r="H1361" s="136">
        <f t="shared" si="83"/>
        <v>568.74219075385258</v>
      </c>
    </row>
    <row r="1362" spans="1:14">
      <c r="B1362" s="134">
        <v>2024</v>
      </c>
      <c r="C1362" s="135">
        <v>13775</v>
      </c>
      <c r="D1362" s="136">
        <f t="shared" si="81"/>
        <v>286.85964181591004</v>
      </c>
      <c r="E1362" s="135">
        <v>1873</v>
      </c>
      <c r="F1362" s="136">
        <f t="shared" si="82"/>
        <v>39.004581424406496</v>
      </c>
      <c r="G1362" s="136">
        <f>+C1362+E1362</f>
        <v>15648</v>
      </c>
      <c r="H1362" s="136">
        <f t="shared" si="83"/>
        <v>325.86422324031651</v>
      </c>
    </row>
    <row r="1363" spans="1:14">
      <c r="B1363" s="134">
        <v>2025</v>
      </c>
      <c r="C1363" s="135">
        <v>21465</v>
      </c>
      <c r="D1363" s="136">
        <f t="shared" si="81"/>
        <v>447.00124947938355</v>
      </c>
      <c r="E1363" s="135">
        <v>672</v>
      </c>
      <c r="F1363" s="136">
        <f t="shared" si="82"/>
        <v>13.994169096209912</v>
      </c>
      <c r="G1363" s="136">
        <f>+C1363+E1363</f>
        <v>22137</v>
      </c>
      <c r="H1363" s="136">
        <f t="shared" si="83"/>
        <v>460.99541857559348</v>
      </c>
    </row>
    <row r="1364" spans="1:14">
      <c r="B1364" s="134" t="s">
        <v>187</v>
      </c>
      <c r="C1364" s="135">
        <v>93915</v>
      </c>
      <c r="D1364" s="136">
        <f t="shared" si="81"/>
        <v>1955.7476051645147</v>
      </c>
      <c r="E1364" s="135">
        <v>32174</v>
      </c>
      <c r="F1364" s="136">
        <f t="shared" si="82"/>
        <v>670.0124947938358</v>
      </c>
      <c r="G1364" s="136">
        <f>+C1364+E1364</f>
        <v>126089</v>
      </c>
      <c r="H1364" s="136">
        <f t="shared" si="83"/>
        <v>2625.7600999583506</v>
      </c>
    </row>
    <row r="1365" spans="1:14">
      <c r="B1365" s="137" t="s">
        <v>44</v>
      </c>
      <c r="C1365" s="138">
        <f>+SUM(C1359:C1364)</f>
        <v>182452</v>
      </c>
      <c r="D1365" s="138">
        <f t="shared" ref="D1365:H1365" si="84">+SUM(D1359:D1364)</f>
        <v>3799.5002082465635</v>
      </c>
      <c r="E1365" s="138">
        <f t="shared" si="84"/>
        <v>41575</v>
      </c>
      <c r="F1365" s="138">
        <f t="shared" si="84"/>
        <v>865.78508954602239</v>
      </c>
      <c r="G1365" s="138">
        <f t="shared" si="84"/>
        <v>224027</v>
      </c>
      <c r="H1365" s="138">
        <f t="shared" si="84"/>
        <v>4665.2852977925859</v>
      </c>
      <c r="M1365" s="139"/>
    </row>
    <row r="1366" spans="1:14">
      <c r="B1366" s="131" t="s">
        <v>23</v>
      </c>
      <c r="C1366" s="140">
        <f>+G1365-C1340</f>
        <v>0</v>
      </c>
      <c r="E1366" s="131"/>
      <c r="H1366" s="131"/>
      <c r="I1366" s="131"/>
      <c r="J1366" s="131"/>
      <c r="K1366" s="131"/>
      <c r="L1366" s="131"/>
    </row>
    <row r="1367" spans="1:14">
      <c r="B1367" s="131"/>
      <c r="C1367" s="140"/>
      <c r="E1367" s="131"/>
      <c r="H1367" s="131"/>
      <c r="I1367" s="131"/>
      <c r="J1367" s="131"/>
      <c r="K1367" s="131"/>
      <c r="L1367" s="131"/>
    </row>
    <row r="1368" spans="1:14">
      <c r="A1368" s="103" t="s">
        <v>208</v>
      </c>
      <c r="M1368" s="104" t="s">
        <v>209</v>
      </c>
      <c r="N1368" s="106">
        <f>1/Model!Y202</f>
        <v>2.0652622883106153E-2</v>
      </c>
    </row>
    <row r="1369" spans="1:14">
      <c r="M1369" s="105" t="s">
        <v>210</v>
      </c>
      <c r="N1369" s="106">
        <f>1/AVERAGE(Model!V201:Y201)</f>
        <v>1.981649921724828E-2</v>
      </c>
    </row>
    <row r="1370" spans="1:14">
      <c r="M1370" s="105"/>
      <c r="N1370" s="106"/>
    </row>
    <row r="1371" spans="1:14">
      <c r="B1371" s="107" t="s">
        <v>162</v>
      </c>
      <c r="C1371" s="106"/>
    </row>
    <row r="1372" spans="1:14" ht="26.25">
      <c r="B1372" s="108" t="s">
        <v>211</v>
      </c>
      <c r="C1372" s="109" t="s">
        <v>85</v>
      </c>
      <c r="D1372" s="109" t="s">
        <v>88</v>
      </c>
      <c r="E1372" s="110" t="s">
        <v>89</v>
      </c>
      <c r="F1372" s="110" t="s">
        <v>7</v>
      </c>
    </row>
    <row r="1373" spans="1:14">
      <c r="B1373" s="111" t="s">
        <v>24</v>
      </c>
      <c r="C1373" s="112"/>
      <c r="D1373" s="113"/>
      <c r="E1373" s="114"/>
      <c r="F1373" s="114"/>
    </row>
    <row r="1374" spans="1:14">
      <c r="B1374" s="116" t="s">
        <v>90</v>
      </c>
      <c r="C1374" s="112">
        <v>28425</v>
      </c>
      <c r="D1374" s="113">
        <f>C1374*$N$1368</f>
        <v>587.05080545229237</v>
      </c>
      <c r="E1374" s="114"/>
      <c r="F1374" s="114"/>
    </row>
    <row r="1375" spans="1:14">
      <c r="B1375" s="115" t="s">
        <v>91</v>
      </c>
      <c r="C1375" s="112">
        <v>0</v>
      </c>
      <c r="D1375" s="113">
        <f>C1375*$N$1368</f>
        <v>0</v>
      </c>
      <c r="E1375" s="114"/>
      <c r="F1375" s="114"/>
    </row>
    <row r="1376" spans="1:14">
      <c r="B1376" s="116" t="s">
        <v>30</v>
      </c>
      <c r="C1376" s="112"/>
      <c r="D1376" s="113"/>
      <c r="E1376" s="114"/>
      <c r="F1376" s="114"/>
    </row>
    <row r="1377" spans="2:6">
      <c r="B1377" s="115" t="s">
        <v>92</v>
      </c>
      <c r="C1377" s="112">
        <v>6436</v>
      </c>
      <c r="D1377" s="113">
        <f>C1377*$N$1368</f>
        <v>132.92028087567121</v>
      </c>
      <c r="E1377" s="114"/>
      <c r="F1377" s="114"/>
    </row>
    <row r="1378" spans="2:6">
      <c r="B1378" s="111" t="s">
        <v>93</v>
      </c>
      <c r="C1378" s="112"/>
      <c r="D1378" s="113"/>
      <c r="E1378" s="114"/>
      <c r="F1378" s="114"/>
    </row>
    <row r="1379" spans="2:6">
      <c r="B1379" s="115" t="s">
        <v>94</v>
      </c>
      <c r="C1379" s="112">
        <v>6110</v>
      </c>
      <c r="D1379" s="113">
        <f t="shared" ref="D1379:D1380" si="85">C1379*$N$1368</f>
        <v>126.1875258157786</v>
      </c>
      <c r="E1379" s="114"/>
      <c r="F1379" s="114"/>
    </row>
    <row r="1380" spans="2:6">
      <c r="B1380" s="115" t="s">
        <v>95</v>
      </c>
      <c r="C1380" s="112">
        <v>14983</v>
      </c>
      <c r="D1380" s="113">
        <f t="shared" si="85"/>
        <v>309.43824865757949</v>
      </c>
      <c r="E1380" s="114"/>
      <c r="F1380" s="114"/>
    </row>
    <row r="1381" spans="2:6">
      <c r="B1381" s="111" t="s">
        <v>96</v>
      </c>
      <c r="C1381" s="112"/>
      <c r="D1381" s="113"/>
      <c r="E1381" s="114"/>
      <c r="F1381" s="114"/>
    </row>
    <row r="1382" spans="2:6">
      <c r="B1382" s="115" t="s">
        <v>68</v>
      </c>
      <c r="C1382" s="112">
        <v>166868</v>
      </c>
      <c r="D1382" s="113">
        <f t="shared" ref="D1382:D1387" si="86">C1382*$N$1368</f>
        <v>3446.2618752581575</v>
      </c>
      <c r="E1382" s="114"/>
      <c r="F1382" s="114"/>
    </row>
    <row r="1383" spans="2:6">
      <c r="B1383" s="115" t="s">
        <v>97</v>
      </c>
      <c r="C1383" s="112">
        <v>0</v>
      </c>
      <c r="D1383" s="113">
        <f t="shared" si="86"/>
        <v>0</v>
      </c>
      <c r="E1383" s="114"/>
      <c r="F1383" s="114"/>
    </row>
    <row r="1384" spans="2:6">
      <c r="B1384" s="111" t="s">
        <v>32</v>
      </c>
      <c r="C1384" s="113">
        <f>+C1375+C1377+C1379+C1380+C1382+C1374</f>
        <v>222822</v>
      </c>
      <c r="D1384" s="113">
        <f t="shared" si="86"/>
        <v>4601.8587360594793</v>
      </c>
      <c r="E1384" s="114"/>
      <c r="F1384" s="114"/>
    </row>
    <row r="1385" spans="2:6">
      <c r="B1385" s="111" t="s">
        <v>33</v>
      </c>
      <c r="C1385" s="112">
        <v>25335</v>
      </c>
      <c r="D1385" s="113">
        <f t="shared" si="86"/>
        <v>523.2342007434944</v>
      </c>
      <c r="E1385" s="114"/>
      <c r="F1385" s="114"/>
    </row>
    <row r="1386" spans="2:6">
      <c r="B1386" s="111" t="s">
        <v>98</v>
      </c>
      <c r="C1386" s="113">
        <f>+C1384-C1385</f>
        <v>197487</v>
      </c>
      <c r="D1386" s="113">
        <f t="shared" si="86"/>
        <v>4078.6245353159848</v>
      </c>
      <c r="E1386" s="114"/>
      <c r="F1386" s="114"/>
    </row>
    <row r="1387" spans="2:6">
      <c r="B1387" s="117" t="s">
        <v>35</v>
      </c>
      <c r="C1387" s="112">
        <v>25335</v>
      </c>
      <c r="D1387" s="113">
        <f t="shared" si="86"/>
        <v>523.2342007434944</v>
      </c>
      <c r="E1387" s="114"/>
      <c r="F1387" s="118"/>
    </row>
    <row r="1388" spans="2:6">
      <c r="B1388" s="117" t="s">
        <v>36</v>
      </c>
      <c r="C1388" s="112">
        <v>0</v>
      </c>
      <c r="D1388" s="113">
        <f>C1388*$N$1368</f>
        <v>0</v>
      </c>
      <c r="E1388" s="114"/>
      <c r="F1388" s="118"/>
    </row>
    <row r="1389" spans="2:6">
      <c r="B1389" s="119" t="s">
        <v>37</v>
      </c>
      <c r="C1389" s="120">
        <f>+C1386+C1387+C1388</f>
        <v>222822</v>
      </c>
      <c r="D1389" s="120">
        <f>+D1386+D1387+D1388</f>
        <v>4601.8587360594793</v>
      </c>
      <c r="E1389" s="121"/>
      <c r="F1389" s="122"/>
    </row>
    <row r="1390" spans="2:6">
      <c r="B1390" s="111" t="s">
        <v>99</v>
      </c>
      <c r="C1390" s="112">
        <v>1188</v>
      </c>
      <c r="D1390" s="113">
        <f>C1390*$N$1368</f>
        <v>24.535315985130111</v>
      </c>
      <c r="E1390" s="121"/>
      <c r="F1390" s="122"/>
    </row>
    <row r="1391" spans="2:6">
      <c r="B1391" s="142" t="s">
        <v>100</v>
      </c>
      <c r="C1391" s="120">
        <f>C1389+C1390</f>
        <v>224010</v>
      </c>
      <c r="D1391" s="120">
        <f>D1389+D1390</f>
        <v>4626.3940520446095</v>
      </c>
      <c r="E1391" s="121"/>
      <c r="F1391" s="122"/>
    </row>
    <row r="1392" spans="2:6">
      <c r="B1392" s="117" t="s">
        <v>38</v>
      </c>
      <c r="C1392" s="112">
        <v>3867</v>
      </c>
      <c r="D1392" s="113">
        <f t="shared" ref="D1392:D1393" si="87">C1392*$N$1368</f>
        <v>79.863692688971497</v>
      </c>
      <c r="E1392" s="121"/>
      <c r="F1392" s="122"/>
    </row>
    <row r="1393" spans="2:8">
      <c r="B1393" s="117" t="s">
        <v>39</v>
      </c>
      <c r="C1393" s="112">
        <v>14224</v>
      </c>
      <c r="D1393" s="113">
        <f t="shared" si="87"/>
        <v>293.76290788930191</v>
      </c>
      <c r="E1393" s="121"/>
      <c r="F1393" s="122"/>
    </row>
    <row r="1394" spans="2:8">
      <c r="B1394" s="123" t="s">
        <v>40</v>
      </c>
      <c r="C1394" s="124">
        <f>C1389+C1392+C1393</f>
        <v>240913</v>
      </c>
      <c r="D1394" s="124">
        <f>D1389+D1392+D1393</f>
        <v>4975.485336637752</v>
      </c>
      <c r="E1394" s="125">
        <f>C1394/C1399</f>
        <v>2.7874738218380828</v>
      </c>
      <c r="F1394" s="125">
        <f>D1394/D1399</f>
        <v>2.9050865648784625</v>
      </c>
    </row>
    <row r="1395" spans="2:8">
      <c r="B1395" s="117" t="s">
        <v>164</v>
      </c>
      <c r="C1395" s="113">
        <f>Model!Y119</f>
        <v>33671</v>
      </c>
      <c r="D1395" s="113">
        <f>C1395*$N$1368</f>
        <v>695.39446509706727</v>
      </c>
      <c r="E1395" s="126"/>
      <c r="F1395" s="126"/>
    </row>
    <row r="1396" spans="2:8">
      <c r="B1396" s="123" t="s">
        <v>19</v>
      </c>
      <c r="C1396" s="124">
        <f>C1394-C1395</f>
        <v>207242</v>
      </c>
      <c r="D1396" s="124">
        <f>D1394-D1395</f>
        <v>4280.0908715406849</v>
      </c>
      <c r="E1396" s="125">
        <f>C1396/C1399</f>
        <v>2.3978849202216899</v>
      </c>
      <c r="F1396" s="125">
        <f>D1396/D1399</f>
        <v>2.4990596185284413</v>
      </c>
    </row>
    <row r="1397" spans="2:8">
      <c r="B1397" s="119" t="s">
        <v>20</v>
      </c>
      <c r="C1397" s="141">
        <f>Model!Y126</f>
        <v>118651</v>
      </c>
      <c r="D1397" s="127"/>
      <c r="E1397" s="128"/>
      <c r="F1397" s="117"/>
    </row>
    <row r="1398" spans="2:8">
      <c r="B1398" s="119" t="s">
        <v>21</v>
      </c>
      <c r="C1398" s="129">
        <f>C1396+C1397</f>
        <v>325893</v>
      </c>
      <c r="D1398" s="129"/>
      <c r="E1398" s="128"/>
      <c r="F1398" s="117"/>
    </row>
    <row r="1399" spans="2:8">
      <c r="B1399" s="117" t="s">
        <v>22</v>
      </c>
      <c r="C1399" s="130">
        <f>Model!Y84</f>
        <v>86427</v>
      </c>
      <c r="D1399" s="130">
        <f>C1399*N1369</f>
        <v>1712.6805778491171</v>
      </c>
      <c r="E1399" s="117"/>
      <c r="F1399" s="117"/>
    </row>
    <row r="1400" spans="2:8">
      <c r="B1400" s="131" t="s">
        <v>23</v>
      </c>
      <c r="C1400" s="159">
        <f>C1394-Model!Y123</f>
        <v>0</v>
      </c>
    </row>
    <row r="1401" spans="2:8">
      <c r="B1401" s="131"/>
      <c r="C1401" s="159"/>
    </row>
    <row r="1402" spans="2:8">
      <c r="B1402" s="343" t="s">
        <v>212</v>
      </c>
      <c r="C1402" s="343"/>
      <c r="D1402" s="343"/>
    </row>
    <row r="1403" spans="2:8">
      <c r="B1403" s="344"/>
      <c r="C1403" s="133" t="s">
        <v>102</v>
      </c>
      <c r="D1403" s="144" t="s">
        <v>103</v>
      </c>
    </row>
    <row r="1404" spans="2:8">
      <c r="B1404" s="134" t="str">
        <f>+B1395</f>
        <v>Cash and Short-Term Investments</v>
      </c>
      <c r="C1404" s="136">
        <f>+C1395</f>
        <v>33671</v>
      </c>
      <c r="D1404" s="136">
        <f>+C1404*$N$1368</f>
        <v>695.39446509706727</v>
      </c>
    </row>
    <row r="1405" spans="2:8">
      <c r="B1405" s="134" t="s">
        <v>117</v>
      </c>
      <c r="C1405" s="135">
        <v>14000</v>
      </c>
      <c r="D1405" s="136">
        <f>+C1405*$N$1368</f>
        <v>289.13672036348612</v>
      </c>
    </row>
    <row r="1406" spans="2:8">
      <c r="B1406" s="137" t="s">
        <v>44</v>
      </c>
      <c r="C1406" s="138">
        <f>+SUM(C1404:C1405)</f>
        <v>47671</v>
      </c>
      <c r="D1406" s="138">
        <f>+SUM(D1404:D1405)</f>
        <v>984.53118546055339</v>
      </c>
    </row>
    <row r="1408" spans="2:8">
      <c r="B1408" s="343" t="s">
        <v>79</v>
      </c>
      <c r="C1408" s="343" t="s">
        <v>104</v>
      </c>
      <c r="D1408" s="343"/>
      <c r="E1408" s="132" t="s">
        <v>118</v>
      </c>
      <c r="F1408" s="132"/>
      <c r="G1408" s="343" t="s">
        <v>119</v>
      </c>
      <c r="H1408" s="343"/>
    </row>
    <row r="1409" spans="1:14">
      <c r="B1409" s="344"/>
      <c r="C1409" s="133" t="s">
        <v>102</v>
      </c>
      <c r="D1409" s="144" t="s">
        <v>103</v>
      </c>
      <c r="E1409" s="144" t="s">
        <v>120</v>
      </c>
      <c r="F1409" s="144" t="s">
        <v>103</v>
      </c>
      <c r="G1409" s="144" t="s">
        <v>120</v>
      </c>
      <c r="H1409" s="144" t="s">
        <v>103</v>
      </c>
    </row>
    <row r="1410" spans="1:14">
      <c r="B1410" s="134">
        <v>2020</v>
      </c>
      <c r="C1410" s="135">
        <v>4171</v>
      </c>
      <c r="D1410" s="136">
        <f>+C1410*$N$1368</f>
        <v>86.142090045435765</v>
      </c>
      <c r="E1410" s="135">
        <v>372</v>
      </c>
      <c r="F1410" s="136">
        <f t="shared" ref="F1410:F1415" si="88">+E1410*$N$1368</f>
        <v>7.6827757125154887</v>
      </c>
      <c r="G1410" s="136">
        <f>+C1410+E1410</f>
        <v>4543</v>
      </c>
      <c r="H1410" s="136">
        <f>+D1410+F1410</f>
        <v>93.824865757951258</v>
      </c>
    </row>
    <row r="1411" spans="1:14">
      <c r="B1411" s="134">
        <v>2021</v>
      </c>
      <c r="C1411" s="135">
        <v>20453</v>
      </c>
      <c r="D1411" s="136">
        <f t="shared" ref="D1411:D1415" si="89">+C1411*$N$1368</f>
        <v>422.40809582817013</v>
      </c>
      <c r="E1411" s="135">
        <v>2198</v>
      </c>
      <c r="F1411" s="136">
        <f t="shared" si="88"/>
        <v>45.394465097067325</v>
      </c>
      <c r="G1411" s="136">
        <f>+C1411+E1411</f>
        <v>22651</v>
      </c>
      <c r="H1411" s="136">
        <f t="shared" ref="H1411:H1415" si="90">+D1411+F1411</f>
        <v>467.80256092523746</v>
      </c>
    </row>
    <row r="1412" spans="1:14">
      <c r="B1412" s="134">
        <v>2022</v>
      </c>
      <c r="C1412" s="135">
        <v>16137</v>
      </c>
      <c r="D1412" s="136">
        <f t="shared" si="89"/>
        <v>333.27137546468401</v>
      </c>
      <c r="E1412" s="135">
        <v>1471</v>
      </c>
      <c r="F1412" s="136">
        <f t="shared" si="88"/>
        <v>30.380008261049152</v>
      </c>
      <c r="G1412" s="136">
        <f>+C1412+E1412</f>
        <v>17608</v>
      </c>
      <c r="H1412" s="136">
        <f t="shared" si="90"/>
        <v>363.65138372573318</v>
      </c>
    </row>
    <row r="1413" spans="1:14">
      <c r="B1413" s="134">
        <v>2023</v>
      </c>
      <c r="C1413" s="135">
        <v>25368</v>
      </c>
      <c r="D1413" s="136">
        <f t="shared" si="89"/>
        <v>523.91573729863694</v>
      </c>
      <c r="E1413" s="135">
        <v>1211</v>
      </c>
      <c r="F1413" s="136">
        <f t="shared" si="88"/>
        <v>25.010326311441553</v>
      </c>
      <c r="G1413" s="136">
        <f>+C1413+E1413</f>
        <v>26579</v>
      </c>
      <c r="H1413" s="136">
        <f t="shared" si="90"/>
        <v>548.92606361007847</v>
      </c>
    </row>
    <row r="1414" spans="1:14">
      <c r="B1414" s="134">
        <v>2024</v>
      </c>
      <c r="C1414" s="135">
        <v>13705</v>
      </c>
      <c r="D1414" s="136">
        <f t="shared" si="89"/>
        <v>283.04419661296981</v>
      </c>
      <c r="E1414" s="135">
        <v>1211</v>
      </c>
      <c r="F1414" s="136">
        <f t="shared" si="88"/>
        <v>25.010326311441553</v>
      </c>
      <c r="G1414" s="136">
        <f>+C1414+E1414</f>
        <v>14916</v>
      </c>
      <c r="H1414" s="136">
        <f t="shared" si="90"/>
        <v>308.05452292441134</v>
      </c>
    </row>
    <row r="1415" spans="1:14">
      <c r="B1415" s="134" t="s">
        <v>213</v>
      </c>
      <c r="C1415" s="135">
        <v>108660</v>
      </c>
      <c r="D1415" s="136">
        <f t="shared" si="89"/>
        <v>2244.1140024783144</v>
      </c>
      <c r="E1415" s="135">
        <v>29053</v>
      </c>
      <c r="F1415" s="136">
        <f t="shared" si="88"/>
        <v>600.02065262288306</v>
      </c>
      <c r="G1415" s="136">
        <f>+C1415+E1415</f>
        <v>137713</v>
      </c>
      <c r="H1415" s="136">
        <f t="shared" si="90"/>
        <v>2844.1346551011975</v>
      </c>
    </row>
    <row r="1416" spans="1:14">
      <c r="B1416" s="137" t="s">
        <v>44</v>
      </c>
      <c r="C1416" s="138">
        <f>+SUM(C1410:C1415)</f>
        <v>188494</v>
      </c>
      <c r="D1416" s="138">
        <f t="shared" ref="D1416:H1416" si="91">+SUM(D1410:D1415)</f>
        <v>3892.895497728211</v>
      </c>
      <c r="E1416" s="138">
        <f t="shared" si="91"/>
        <v>35516</v>
      </c>
      <c r="F1416" s="138">
        <f t="shared" si="91"/>
        <v>733.4985543163981</v>
      </c>
      <c r="G1416" s="138">
        <f t="shared" si="91"/>
        <v>224010</v>
      </c>
      <c r="H1416" s="138">
        <f t="shared" si="91"/>
        <v>4626.3940520446085</v>
      </c>
      <c r="M1416" s="139"/>
    </row>
    <row r="1417" spans="1:14">
      <c r="B1417" s="131" t="s">
        <v>23</v>
      </c>
      <c r="C1417" s="140">
        <f>+G1416-C1391</f>
        <v>0</v>
      </c>
      <c r="E1417" s="131"/>
      <c r="H1417" s="131"/>
      <c r="I1417" s="131"/>
      <c r="J1417" s="131"/>
      <c r="K1417" s="131"/>
      <c r="L1417" s="131"/>
    </row>
    <row r="1418" spans="1:14">
      <c r="B1418" s="131"/>
      <c r="C1418" s="140"/>
      <c r="E1418" s="131"/>
      <c r="H1418" s="131"/>
      <c r="I1418" s="131"/>
      <c r="J1418" s="131"/>
      <c r="K1418" s="131"/>
      <c r="L1418" s="131"/>
    </row>
    <row r="1419" spans="1:14">
      <c r="A1419" s="103" t="s">
        <v>214</v>
      </c>
      <c r="M1419" s="104" t="s">
        <v>215</v>
      </c>
      <c r="N1419" s="106">
        <f>1/49.79</f>
        <v>2.0084354288009639E-2</v>
      </c>
    </row>
    <row r="1420" spans="1:14">
      <c r="M1420" s="105" t="s">
        <v>216</v>
      </c>
      <c r="N1420" s="106">
        <f>1/AVERAGE(Model!U201:X201)</f>
        <v>1.962304137518274E-2</v>
      </c>
    </row>
    <row r="1421" spans="1:14">
      <c r="M1421" s="105"/>
      <c r="N1421" s="106"/>
    </row>
    <row r="1422" spans="1:14">
      <c r="B1422" s="107" t="s">
        <v>162</v>
      </c>
      <c r="C1422" s="106"/>
    </row>
    <row r="1423" spans="1:14" ht="26.25">
      <c r="B1423" s="108" t="s">
        <v>217</v>
      </c>
      <c r="C1423" s="109" t="s">
        <v>85</v>
      </c>
      <c r="D1423" s="109" t="s">
        <v>88</v>
      </c>
      <c r="E1423" s="110" t="s">
        <v>89</v>
      </c>
      <c r="F1423" s="110" t="s">
        <v>7</v>
      </c>
    </row>
    <row r="1424" spans="1:14">
      <c r="B1424" s="111" t="s">
        <v>24</v>
      </c>
      <c r="C1424" s="112"/>
      <c r="D1424" s="113"/>
      <c r="E1424" s="114"/>
      <c r="F1424" s="114"/>
    </row>
    <row r="1425" spans="2:6">
      <c r="B1425" s="116" t="s">
        <v>90</v>
      </c>
      <c r="C1425" s="112">
        <v>29379</v>
      </c>
      <c r="D1425" s="113"/>
      <c r="E1425" s="114"/>
      <c r="F1425" s="114"/>
    </row>
    <row r="1426" spans="2:6">
      <c r="B1426" s="115" t="s">
        <v>91</v>
      </c>
      <c r="C1426" s="112">
        <v>0</v>
      </c>
      <c r="D1426" s="113">
        <f>C1426*$N$1419</f>
        <v>0</v>
      </c>
      <c r="E1426" s="114"/>
      <c r="F1426" s="114"/>
    </row>
    <row r="1427" spans="2:6">
      <c r="B1427" s="116" t="s">
        <v>30</v>
      </c>
      <c r="C1427" s="112"/>
      <c r="D1427" s="113"/>
      <c r="E1427" s="114"/>
      <c r="F1427" s="114"/>
    </row>
    <row r="1428" spans="2:6">
      <c r="B1428" s="115" t="s">
        <v>92</v>
      </c>
      <c r="C1428" s="112">
        <v>14454</v>
      </c>
      <c r="D1428" s="113">
        <f>C1428*$N$1419</f>
        <v>290.2992568788913</v>
      </c>
      <c r="E1428" s="114"/>
      <c r="F1428" s="114"/>
    </row>
    <row r="1429" spans="2:6">
      <c r="B1429" s="111" t="s">
        <v>93</v>
      </c>
      <c r="C1429" s="112"/>
      <c r="D1429" s="113"/>
      <c r="E1429" s="114"/>
      <c r="F1429" s="114"/>
    </row>
    <row r="1430" spans="2:6">
      <c r="B1430" s="115" t="s">
        <v>94</v>
      </c>
      <c r="C1430" s="112">
        <v>6152</v>
      </c>
      <c r="D1430" s="113">
        <f t="shared" ref="D1430:D1431" si="92">C1430*$N$1419</f>
        <v>123.5589475798353</v>
      </c>
      <c r="E1430" s="114"/>
      <c r="F1430" s="114"/>
    </row>
    <row r="1431" spans="2:6">
      <c r="B1431" s="115" t="s">
        <v>95</v>
      </c>
      <c r="C1431" s="112">
        <v>14977</v>
      </c>
      <c r="D1431" s="113">
        <f t="shared" si="92"/>
        <v>300.80337417152037</v>
      </c>
      <c r="E1431" s="114"/>
      <c r="F1431" s="114"/>
    </row>
    <row r="1432" spans="2:6">
      <c r="B1432" s="111" t="s">
        <v>96</v>
      </c>
      <c r="C1432" s="112"/>
      <c r="D1432" s="113"/>
      <c r="E1432" s="114"/>
      <c r="F1432" s="114"/>
    </row>
    <row r="1433" spans="2:6">
      <c r="B1433" s="115" t="s">
        <v>68</v>
      </c>
      <c r="C1433" s="112">
        <v>170338</v>
      </c>
      <c r="D1433" s="113">
        <f t="shared" ref="D1433:D1434" si="93">C1433*$N$1419</f>
        <v>3421.1287407109858</v>
      </c>
      <c r="E1433" s="114"/>
      <c r="F1433" s="114"/>
    </row>
    <row r="1434" spans="2:6">
      <c r="B1434" s="115" t="s">
        <v>97</v>
      </c>
      <c r="C1434" s="112">
        <v>0</v>
      </c>
      <c r="D1434" s="113">
        <f t="shared" si="93"/>
        <v>0</v>
      </c>
      <c r="E1434" s="114"/>
      <c r="F1434" s="114"/>
    </row>
    <row r="1435" spans="2:6">
      <c r="B1435" s="111" t="s">
        <v>32</v>
      </c>
      <c r="C1435" s="113">
        <f>+C1426+C1428+C1430+C1431+C1433+C1425</f>
        <v>235300</v>
      </c>
      <c r="D1435" s="113">
        <f>+D1426+D1428+D1430+D1431+D1433+D1425</f>
        <v>4135.790319341233</v>
      </c>
      <c r="E1435" s="114"/>
      <c r="F1435" s="114"/>
    </row>
    <row r="1436" spans="2:6">
      <c r="B1436" s="111" t="s">
        <v>33</v>
      </c>
      <c r="C1436" s="112">
        <v>35571</v>
      </c>
      <c r="D1436" s="113">
        <f>C1436*$N$1419</f>
        <v>714.42056637879091</v>
      </c>
      <c r="E1436" s="114"/>
      <c r="F1436" s="114"/>
    </row>
    <row r="1437" spans="2:6">
      <c r="B1437" s="111" t="s">
        <v>98</v>
      </c>
      <c r="C1437" s="113">
        <f>+C1435-C1436</f>
        <v>199729</v>
      </c>
      <c r="D1437" s="113">
        <f>+D1435-D1436</f>
        <v>3421.3697529624424</v>
      </c>
      <c r="E1437" s="114"/>
      <c r="F1437" s="114"/>
    </row>
    <row r="1438" spans="2:6">
      <c r="B1438" s="117" t="s">
        <v>35</v>
      </c>
      <c r="C1438" s="112">
        <v>35571</v>
      </c>
      <c r="D1438" s="113">
        <f>C1438*$N$1419</f>
        <v>714.42056637879091</v>
      </c>
      <c r="E1438" s="114"/>
      <c r="F1438" s="118"/>
    </row>
    <row r="1439" spans="2:6">
      <c r="B1439" s="117" t="s">
        <v>36</v>
      </c>
      <c r="C1439" s="112">
        <v>0</v>
      </c>
      <c r="D1439" s="113">
        <f>C1439*$N$1419</f>
        <v>0</v>
      </c>
      <c r="E1439" s="114"/>
      <c r="F1439" s="118"/>
    </row>
    <row r="1440" spans="2:6">
      <c r="B1440" s="119" t="s">
        <v>37</v>
      </c>
      <c r="C1440" s="120">
        <f>+C1437+C1438+C1439</f>
        <v>235300</v>
      </c>
      <c r="D1440" s="120">
        <f>+D1437+D1438+D1439</f>
        <v>4135.790319341233</v>
      </c>
      <c r="E1440" s="121"/>
      <c r="F1440" s="122"/>
    </row>
    <row r="1441" spans="2:6">
      <c r="B1441" s="111" t="s">
        <v>99</v>
      </c>
      <c r="C1441" s="112">
        <v>1087</v>
      </c>
      <c r="D1441" s="113">
        <f>C1441*$N$1419</f>
        <v>21.831693111066478</v>
      </c>
      <c r="E1441" s="121"/>
      <c r="F1441" s="122"/>
    </row>
    <row r="1442" spans="2:6">
      <c r="B1442" s="142" t="s">
        <v>100</v>
      </c>
      <c r="C1442" s="120">
        <f>C1440+C1441</f>
        <v>236387</v>
      </c>
      <c r="D1442" s="120">
        <f>D1440+D1441</f>
        <v>4157.6220124522997</v>
      </c>
      <c r="E1442" s="121"/>
      <c r="F1442" s="122"/>
    </row>
    <row r="1443" spans="2:6">
      <c r="B1443" s="117" t="s">
        <v>38</v>
      </c>
      <c r="C1443" s="112">
        <v>3570</v>
      </c>
      <c r="D1443" s="113">
        <f>C1443*$N$1419</f>
        <v>71.701144808194414</v>
      </c>
      <c r="E1443" s="121"/>
      <c r="F1443" s="122"/>
    </row>
    <row r="1444" spans="2:6">
      <c r="B1444" s="117" t="s">
        <v>39</v>
      </c>
      <c r="C1444" s="112">
        <v>13036</v>
      </c>
      <c r="D1444" s="113">
        <f>C1444*$N$1419</f>
        <v>261.81964249849364</v>
      </c>
      <c r="E1444" s="121"/>
      <c r="F1444" s="122"/>
    </row>
    <row r="1445" spans="2:6">
      <c r="B1445" s="123" t="s">
        <v>40</v>
      </c>
      <c r="C1445" s="124">
        <f>C1440+C1443+C1444</f>
        <v>251906</v>
      </c>
      <c r="D1445" s="124">
        <f>D1440+D1443+D1444</f>
        <v>4469.3111066479214</v>
      </c>
      <c r="E1445" s="125">
        <f>C1445/C1450</f>
        <v>3.0746866189017319</v>
      </c>
      <c r="F1445" s="125">
        <f>D1445/D1450</f>
        <v>2.7799476211150069</v>
      </c>
    </row>
    <row r="1446" spans="2:6">
      <c r="B1446" s="117" t="s">
        <v>164</v>
      </c>
      <c r="C1446" s="113">
        <f>Model!X119</f>
        <v>45771</v>
      </c>
      <c r="D1446" s="113">
        <f>C1446*$N$1419</f>
        <v>919.28098011648922</v>
      </c>
      <c r="E1446" s="126"/>
      <c r="F1446" s="126"/>
    </row>
    <row r="1447" spans="2:6">
      <c r="B1447" s="123" t="s">
        <v>19</v>
      </c>
      <c r="C1447" s="124">
        <f>C1445-C1446</f>
        <v>206135</v>
      </c>
      <c r="D1447" s="124">
        <f>D1445-D1446</f>
        <v>3550.030126531432</v>
      </c>
      <c r="E1447" s="125">
        <f>C1447/C1450</f>
        <v>2.516019968509319</v>
      </c>
      <c r="F1447" s="125">
        <f>D1447/D1450</f>
        <v>2.2081474235387355</v>
      </c>
    </row>
    <row r="1448" spans="2:6">
      <c r="B1448" s="119" t="s">
        <v>20</v>
      </c>
      <c r="C1448" s="141">
        <f>Model!X126</f>
        <v>119233</v>
      </c>
      <c r="D1448" s="127"/>
      <c r="E1448" s="128"/>
      <c r="F1448" s="117"/>
    </row>
    <row r="1449" spans="2:6">
      <c r="B1449" s="119" t="s">
        <v>21</v>
      </c>
      <c r="C1449" s="129">
        <f>C1447+C1448</f>
        <v>325368</v>
      </c>
      <c r="D1449" s="129"/>
      <c r="E1449" s="128"/>
      <c r="F1449" s="117"/>
    </row>
    <row r="1450" spans="2:6">
      <c r="B1450" s="117" t="s">
        <v>22</v>
      </c>
      <c r="C1450" s="130">
        <f>Model!X84</f>
        <v>81929</v>
      </c>
      <c r="D1450" s="130">
        <f>C1450*N1420</f>
        <v>1607.6961568273466</v>
      </c>
      <c r="E1450" s="117"/>
      <c r="F1450" s="117"/>
    </row>
    <row r="1451" spans="2:6">
      <c r="B1451" s="131" t="s">
        <v>23</v>
      </c>
      <c r="C1451" s="159">
        <f>C1445-Model!X123</f>
        <v>0</v>
      </c>
    </row>
    <row r="1452" spans="2:6">
      <c r="B1452" s="131"/>
      <c r="C1452" s="159"/>
    </row>
    <row r="1453" spans="2:6">
      <c r="B1453" s="343" t="s">
        <v>218</v>
      </c>
      <c r="C1453" s="343"/>
      <c r="D1453" s="343"/>
    </row>
    <row r="1454" spans="2:6">
      <c r="B1454" s="344"/>
      <c r="C1454" s="133" t="s">
        <v>102</v>
      </c>
      <c r="D1454" s="144" t="s">
        <v>103</v>
      </c>
    </row>
    <row r="1455" spans="2:6">
      <c r="B1455" s="134" t="str">
        <f>+B1446</f>
        <v>Cash and Short-Term Investments</v>
      </c>
      <c r="C1455" s="136">
        <f>+C1446</f>
        <v>45771</v>
      </c>
      <c r="D1455" s="136">
        <f>+C1455*$N$1419</f>
        <v>919.28098011648922</v>
      </c>
    </row>
    <row r="1456" spans="2:6">
      <c r="B1456" s="134" t="s">
        <v>117</v>
      </c>
      <c r="C1456" s="135">
        <v>14000</v>
      </c>
      <c r="D1456" s="136">
        <f t="shared" ref="D1456" si="94">+C1456*$N$1419</f>
        <v>281.18096003213498</v>
      </c>
    </row>
    <row r="1457" spans="1:14">
      <c r="B1457" s="137" t="s">
        <v>44</v>
      </c>
      <c r="C1457" s="138">
        <f>+SUM(C1455:C1456)</f>
        <v>59771</v>
      </c>
      <c r="D1457" s="138">
        <f>+SUM(D1455:D1456)</f>
        <v>1200.4619401486243</v>
      </c>
    </row>
    <row r="1459" spans="1:14">
      <c r="B1459" s="343" t="s">
        <v>79</v>
      </c>
      <c r="C1459" s="343" t="s">
        <v>104</v>
      </c>
      <c r="D1459" s="343"/>
      <c r="E1459" s="132" t="s">
        <v>118</v>
      </c>
      <c r="F1459" s="132"/>
      <c r="G1459" s="343" t="s">
        <v>119</v>
      </c>
      <c r="H1459" s="343"/>
    </row>
    <row r="1460" spans="1:14">
      <c r="B1460" s="344"/>
      <c r="C1460" s="133" t="s">
        <v>102</v>
      </c>
      <c r="D1460" s="144" t="s">
        <v>103</v>
      </c>
      <c r="E1460" s="144" t="s">
        <v>120</v>
      </c>
      <c r="F1460" s="144" t="s">
        <v>103</v>
      </c>
      <c r="G1460" s="144" t="s">
        <v>120</v>
      </c>
      <c r="H1460" s="144" t="s">
        <v>103</v>
      </c>
    </row>
    <row r="1461" spans="1:14">
      <c r="B1461" s="134">
        <v>2020</v>
      </c>
      <c r="C1461" s="135">
        <v>7703</v>
      </c>
      <c r="D1461" s="136">
        <f>+C1461*$N$1419</f>
        <v>154.70978108053825</v>
      </c>
      <c r="E1461" s="135">
        <v>8225</v>
      </c>
      <c r="F1461" s="136">
        <f>+E1461*$N$1419</f>
        <v>165.19381401887929</v>
      </c>
      <c r="G1461" s="136">
        <f>+C1461+E1461</f>
        <v>15928</v>
      </c>
      <c r="H1461" s="136">
        <f>+D1461+F1461</f>
        <v>319.90359509941754</v>
      </c>
    </row>
    <row r="1462" spans="1:14">
      <c r="B1462" s="134">
        <v>2021</v>
      </c>
      <c r="C1462" s="135">
        <v>20453</v>
      </c>
      <c r="D1462" s="136">
        <f t="shared" ref="D1462:D1466" si="95">+C1462*$N$1419</f>
        <v>410.78529825266116</v>
      </c>
      <c r="E1462" s="135">
        <v>2260</v>
      </c>
      <c r="F1462" s="136">
        <f t="shared" ref="F1462:F1466" si="96">+E1462*$N$1419</f>
        <v>45.390640690901783</v>
      </c>
      <c r="G1462" s="136">
        <f>+C1462+E1462</f>
        <v>22713</v>
      </c>
      <c r="H1462" s="136">
        <f t="shared" ref="H1462:H1466" si="97">+D1462+F1462</f>
        <v>456.17593894356293</v>
      </c>
    </row>
    <row r="1463" spans="1:14">
      <c r="B1463" s="134">
        <v>2022</v>
      </c>
      <c r="C1463" s="135">
        <v>16137</v>
      </c>
      <c r="D1463" s="136">
        <f t="shared" si="95"/>
        <v>324.10122514561152</v>
      </c>
      <c r="E1463" s="135">
        <v>1512</v>
      </c>
      <c r="F1463" s="136">
        <f t="shared" si="96"/>
        <v>30.367543683470576</v>
      </c>
      <c r="G1463" s="136">
        <f>+C1463+E1463</f>
        <v>17649</v>
      </c>
      <c r="H1463" s="136">
        <f t="shared" si="97"/>
        <v>354.46876882908208</v>
      </c>
    </row>
    <row r="1464" spans="1:14">
      <c r="B1464" s="134">
        <v>2023</v>
      </c>
      <c r="C1464" s="135">
        <v>25368</v>
      </c>
      <c r="D1464" s="136">
        <f t="shared" si="95"/>
        <v>509.49989957822851</v>
      </c>
      <c r="E1464" s="135">
        <v>1245</v>
      </c>
      <c r="F1464" s="136">
        <f t="shared" si="96"/>
        <v>25.005021088572001</v>
      </c>
      <c r="G1464" s="136">
        <f>+C1464+E1464</f>
        <v>26613</v>
      </c>
      <c r="H1464" s="136">
        <f t="shared" si="97"/>
        <v>534.50492066680056</v>
      </c>
    </row>
    <row r="1465" spans="1:14">
      <c r="B1465" s="134">
        <v>2024</v>
      </c>
      <c r="C1465" s="135">
        <v>13705</v>
      </c>
      <c r="D1465" s="136">
        <f t="shared" si="95"/>
        <v>275.25607551717212</v>
      </c>
      <c r="E1465" s="135">
        <v>1245</v>
      </c>
      <c r="F1465" s="136">
        <f t="shared" si="96"/>
        <v>25.005021088572001</v>
      </c>
      <c r="G1465" s="136">
        <f>+C1465+E1465</f>
        <v>14950</v>
      </c>
      <c r="H1465" s="136">
        <f t="shared" si="97"/>
        <v>300.26109660574411</v>
      </c>
    </row>
    <row r="1466" spans="1:14">
      <c r="B1466" s="134" t="s">
        <v>213</v>
      </c>
      <c r="C1466" s="135">
        <v>108660</v>
      </c>
      <c r="D1466" s="136">
        <f t="shared" si="95"/>
        <v>2182.3659369351276</v>
      </c>
      <c r="E1466" s="135">
        <v>29874</v>
      </c>
      <c r="F1466" s="136">
        <f t="shared" si="96"/>
        <v>600</v>
      </c>
      <c r="G1466" s="136">
        <f>+C1466+E1466</f>
        <v>138534</v>
      </c>
      <c r="H1466" s="136">
        <f t="shared" si="97"/>
        <v>2782.3659369351276</v>
      </c>
    </row>
    <row r="1467" spans="1:14">
      <c r="B1467" s="137" t="s">
        <v>44</v>
      </c>
      <c r="C1467" s="138">
        <f t="shared" ref="C1467:H1467" si="98">+SUM(C1461:C1466)</f>
        <v>192026</v>
      </c>
      <c r="D1467" s="138">
        <f t="shared" si="98"/>
        <v>3856.7182165093391</v>
      </c>
      <c r="E1467" s="138">
        <f t="shared" si="98"/>
        <v>44361</v>
      </c>
      <c r="F1467" s="138">
        <f t="shared" si="98"/>
        <v>890.96204057039563</v>
      </c>
      <c r="G1467" s="138">
        <f t="shared" si="98"/>
        <v>236387</v>
      </c>
      <c r="H1467" s="138">
        <f t="shared" si="98"/>
        <v>4747.6802570797354</v>
      </c>
      <c r="M1467" s="139"/>
    </row>
    <row r="1468" spans="1:14">
      <c r="B1468" s="131" t="s">
        <v>23</v>
      </c>
      <c r="C1468" s="140">
        <f>+G1467-C1442</f>
        <v>0</v>
      </c>
      <c r="E1468" s="131"/>
      <c r="H1468" s="131"/>
      <c r="I1468" s="131"/>
      <c r="J1468" s="131"/>
      <c r="K1468" s="131"/>
      <c r="L1468" s="131"/>
    </row>
    <row r="1469" spans="1:14">
      <c r="B1469" s="131"/>
      <c r="C1469" s="140"/>
      <c r="E1469" s="131"/>
      <c r="H1469" s="131"/>
      <c r="I1469" s="131"/>
      <c r="J1469" s="131"/>
      <c r="K1469" s="131"/>
      <c r="L1469" s="131"/>
    </row>
    <row r="1470" spans="1:14">
      <c r="A1470" s="103" t="s">
        <v>219</v>
      </c>
      <c r="M1470" s="104" t="s">
        <v>220</v>
      </c>
      <c r="N1470" s="106">
        <v>1.9673421207948062E-2</v>
      </c>
    </row>
    <row r="1471" spans="1:14">
      <c r="M1471" s="105" t="s">
        <v>221</v>
      </c>
      <c r="N1471" s="106">
        <f>1/AVERAGE(Model!T201:W201)</f>
        <v>1.945336056803813E-2</v>
      </c>
    </row>
    <row r="1472" spans="1:14">
      <c r="M1472" s="105"/>
      <c r="N1472" s="106"/>
    </row>
    <row r="1473" spans="2:10">
      <c r="B1473" s="107" t="s">
        <v>162</v>
      </c>
      <c r="C1473" s="106"/>
      <c r="G1473" s="345" t="s">
        <v>222</v>
      </c>
      <c r="H1473" s="345"/>
      <c r="I1473" s="345"/>
      <c r="J1473" s="345"/>
    </row>
    <row r="1474" spans="2:10" ht="26.25">
      <c r="B1474" s="108" t="s">
        <v>223</v>
      </c>
      <c r="C1474" s="109" t="s">
        <v>85</v>
      </c>
      <c r="D1474" s="109" t="s">
        <v>88</v>
      </c>
      <c r="E1474" s="110" t="s">
        <v>89</v>
      </c>
      <c r="F1474" s="110" t="s">
        <v>7</v>
      </c>
      <c r="G1474" s="147" t="s">
        <v>85</v>
      </c>
      <c r="H1474" s="109" t="s">
        <v>88</v>
      </c>
      <c r="I1474" s="110" t="s">
        <v>89</v>
      </c>
      <c r="J1474" s="110" t="s">
        <v>7</v>
      </c>
    </row>
    <row r="1475" spans="2:10">
      <c r="B1475" s="111" t="s">
        <v>24</v>
      </c>
      <c r="C1475" s="112"/>
      <c r="D1475" s="113"/>
      <c r="E1475" s="114"/>
      <c r="F1475" s="114"/>
      <c r="G1475" s="148"/>
      <c r="H1475" s="113"/>
      <c r="I1475" s="114"/>
      <c r="J1475" s="114"/>
    </row>
    <row r="1476" spans="2:10">
      <c r="B1476" s="115" t="s">
        <v>91</v>
      </c>
      <c r="C1476" s="112">
        <v>0</v>
      </c>
      <c r="D1476" s="113">
        <f>C1476*$N$1470</f>
        <v>0</v>
      </c>
      <c r="E1476" s="114"/>
      <c r="F1476" s="114"/>
      <c r="G1476" s="148">
        <v>0</v>
      </c>
      <c r="H1476" s="113">
        <f>G1476*$N$1470</f>
        <v>0</v>
      </c>
      <c r="I1476" s="114"/>
      <c r="J1476" s="114"/>
    </row>
    <row r="1477" spans="2:10">
      <c r="B1477" s="116" t="s">
        <v>30</v>
      </c>
      <c r="C1477" s="112"/>
      <c r="D1477" s="113"/>
      <c r="E1477" s="114"/>
      <c r="F1477" s="114"/>
      <c r="G1477" s="148"/>
      <c r="H1477" s="113"/>
      <c r="I1477" s="114"/>
      <c r="J1477" s="114"/>
    </row>
    <row r="1478" spans="2:10">
      <c r="B1478" s="115" t="s">
        <v>92</v>
      </c>
      <c r="C1478" s="112">
        <v>15126</v>
      </c>
      <c r="D1478" s="113">
        <f>C1478*$N$1470</f>
        <v>297.58016919142239</v>
      </c>
      <c r="E1478" s="114"/>
      <c r="F1478" s="114"/>
      <c r="G1478" s="148">
        <v>15126</v>
      </c>
      <c r="H1478" s="113">
        <f>G1478*$N$1470</f>
        <v>297.58016919142239</v>
      </c>
      <c r="I1478" s="114"/>
      <c r="J1478" s="114"/>
    </row>
    <row r="1479" spans="2:10">
      <c r="B1479" s="111" t="s">
        <v>93</v>
      </c>
      <c r="C1479" s="112"/>
      <c r="D1479" s="113"/>
      <c r="E1479" s="114"/>
      <c r="F1479" s="114"/>
      <c r="G1479" s="148"/>
      <c r="H1479" s="113"/>
      <c r="I1479" s="114"/>
      <c r="J1479" s="114"/>
    </row>
    <row r="1480" spans="2:10">
      <c r="B1480" s="115" t="s">
        <v>94</v>
      </c>
      <c r="C1480" s="112">
        <v>6152</v>
      </c>
      <c r="D1480" s="113">
        <f>C1480*$N$1470</f>
        <v>121.03088727129648</v>
      </c>
      <c r="E1480" s="114"/>
      <c r="F1480" s="114"/>
      <c r="G1480" s="148">
        <v>6152</v>
      </c>
      <c r="H1480" s="113">
        <f>G1480*$N$1470</f>
        <v>121.03088727129648</v>
      </c>
      <c r="I1480" s="114"/>
      <c r="J1480" s="114"/>
    </row>
    <row r="1481" spans="2:10">
      <c r="B1481" s="115" t="s">
        <v>95</v>
      </c>
      <c r="C1481" s="112">
        <v>14971</v>
      </c>
      <c r="D1481" s="113">
        <f>C1481*$N$1470</f>
        <v>294.53078890419044</v>
      </c>
      <c r="E1481" s="114"/>
      <c r="F1481" s="114"/>
      <c r="G1481" s="148">
        <v>14971</v>
      </c>
      <c r="H1481" s="113">
        <f>G1481*$N$1470</f>
        <v>294.53078890419044</v>
      </c>
      <c r="I1481" s="114"/>
      <c r="J1481" s="114"/>
    </row>
    <row r="1482" spans="2:10">
      <c r="B1482" s="111" t="s">
        <v>96</v>
      </c>
      <c r="C1482" s="112"/>
      <c r="D1482" s="113"/>
      <c r="E1482" s="114"/>
      <c r="F1482" s="114"/>
      <c r="G1482" s="148"/>
      <c r="H1482" s="113"/>
      <c r="I1482" s="114"/>
      <c r="J1482" s="114"/>
    </row>
    <row r="1483" spans="2:10">
      <c r="B1483" s="115" t="s">
        <v>68</v>
      </c>
      <c r="C1483" s="112">
        <v>165089</v>
      </c>
      <c r="D1483" s="113">
        <f>C1483*$N$1470</f>
        <v>3247.8654337989374</v>
      </c>
      <c r="E1483" s="114"/>
      <c r="F1483" s="114"/>
      <c r="G1483" s="148">
        <v>165089</v>
      </c>
      <c r="H1483" s="113">
        <f>G1483*$N$1470</f>
        <v>3247.8654337989374</v>
      </c>
      <c r="I1483" s="114"/>
      <c r="J1483" s="114"/>
    </row>
    <row r="1484" spans="2:10">
      <c r="B1484" s="115" t="s">
        <v>97</v>
      </c>
      <c r="C1484" s="112">
        <v>0</v>
      </c>
      <c r="D1484" s="113">
        <f>C1484*$N$1470</f>
        <v>0</v>
      </c>
      <c r="E1484" s="114"/>
      <c r="F1484" s="114"/>
      <c r="G1484" s="148">
        <f>H1484/N1471</f>
        <v>20562</v>
      </c>
      <c r="H1484" s="113">
        <f>C1484*N1470+200+200</f>
        <v>400</v>
      </c>
      <c r="I1484" s="114"/>
      <c r="J1484" s="114"/>
    </row>
    <row r="1485" spans="2:10">
      <c r="B1485" s="111" t="s">
        <v>32</v>
      </c>
      <c r="C1485" s="113">
        <f>+C1476+C1478+C1480+C1481+C1483</f>
        <v>201338</v>
      </c>
      <c r="D1485" s="113">
        <f>+D1476+D1478+D1480+D1481+D1483</f>
        <v>3961.0072791658467</v>
      </c>
      <c r="E1485" s="114"/>
      <c r="F1485" s="114"/>
      <c r="G1485" s="149">
        <f>+G1476+G1478+G1480+G1481+G1483+G1484</f>
        <v>221900</v>
      </c>
      <c r="H1485" s="113">
        <f>+H1476+H1478+H1480+H1481+H1483+H1484</f>
        <v>4361.0072791658467</v>
      </c>
      <c r="I1485" s="114"/>
      <c r="J1485" s="114"/>
    </row>
    <row r="1486" spans="2:10">
      <c r="B1486" s="111" t="s">
        <v>33</v>
      </c>
      <c r="C1486" s="112">
        <v>35263</v>
      </c>
      <c r="D1486" s="113">
        <f>C1486*$N$1470</f>
        <v>693.74385205587248</v>
      </c>
      <c r="E1486" s="114"/>
      <c r="F1486" s="114"/>
      <c r="G1486" s="148">
        <v>35263</v>
      </c>
      <c r="H1486" s="113">
        <f>G1486*$N$1470</f>
        <v>693.74385205587248</v>
      </c>
      <c r="I1486" s="114"/>
      <c r="J1486" s="114"/>
    </row>
    <row r="1487" spans="2:10">
      <c r="B1487" s="111" t="s">
        <v>98</v>
      </c>
      <c r="C1487" s="113">
        <f>+C1485-C1486</f>
        <v>166075</v>
      </c>
      <c r="D1487" s="113">
        <f>+D1485-D1486</f>
        <v>3267.2634271099741</v>
      </c>
      <c r="E1487" s="114"/>
      <c r="F1487" s="114"/>
      <c r="G1487" s="149">
        <f>+G1485-G1486</f>
        <v>186637</v>
      </c>
      <c r="H1487" s="113">
        <f>+H1485-H1486</f>
        <v>3667.2634271099741</v>
      </c>
      <c r="I1487" s="114"/>
      <c r="J1487" s="114"/>
    </row>
    <row r="1488" spans="2:10">
      <c r="B1488" s="117" t="s">
        <v>35</v>
      </c>
      <c r="C1488" s="112">
        <v>35263</v>
      </c>
      <c r="D1488" s="113">
        <f>C1488*$N$1470</f>
        <v>693.74385205587248</v>
      </c>
      <c r="E1488" s="114"/>
      <c r="F1488" s="118"/>
      <c r="G1488" s="148">
        <v>35263</v>
      </c>
      <c r="H1488" s="113">
        <f>G1488*$N$1470</f>
        <v>693.74385205587248</v>
      </c>
      <c r="I1488" s="114"/>
      <c r="J1488" s="118"/>
    </row>
    <row r="1489" spans="2:10">
      <c r="B1489" s="117" t="s">
        <v>36</v>
      </c>
      <c r="C1489" s="112">
        <v>4000</v>
      </c>
      <c r="D1489" s="113">
        <f>C1489*$N$1470</f>
        <v>78.69368483179224</v>
      </c>
      <c r="E1489" s="114"/>
      <c r="F1489" s="118"/>
      <c r="G1489" s="148">
        <v>4000</v>
      </c>
      <c r="H1489" s="113">
        <f>G1489*$N$1470</f>
        <v>78.69368483179224</v>
      </c>
      <c r="I1489" s="114"/>
      <c r="J1489" s="118"/>
    </row>
    <row r="1490" spans="2:10">
      <c r="B1490" s="119" t="s">
        <v>37</v>
      </c>
      <c r="C1490" s="120">
        <f>+C1487+C1488+C1489</f>
        <v>205338</v>
      </c>
      <c r="D1490" s="120">
        <f>+D1487+D1488+D1489</f>
        <v>4039.7009639976391</v>
      </c>
      <c r="E1490" s="121"/>
      <c r="F1490" s="122"/>
      <c r="G1490" s="150">
        <f>+G1487+G1488+G1489</f>
        <v>225900</v>
      </c>
      <c r="H1490" s="120">
        <f>+H1487+H1488+H1489</f>
        <v>4439.7009639976386</v>
      </c>
      <c r="I1490" s="121"/>
      <c r="J1490" s="122"/>
    </row>
    <row r="1491" spans="2:10">
      <c r="B1491" s="111" t="s">
        <v>99</v>
      </c>
      <c r="C1491" s="112">
        <v>584</v>
      </c>
      <c r="D1491" s="113">
        <f>C1491*$N$1470</f>
        <v>11.489277985441667</v>
      </c>
      <c r="E1491" s="121"/>
      <c r="F1491" s="122"/>
      <c r="G1491" s="148">
        <v>584</v>
      </c>
      <c r="H1491" s="113">
        <f>G1491*$N$1470</f>
        <v>11.489277985441667</v>
      </c>
      <c r="I1491" s="121"/>
      <c r="J1491" s="122"/>
    </row>
    <row r="1492" spans="2:10">
      <c r="B1492" s="142" t="s">
        <v>100</v>
      </c>
      <c r="C1492" s="120">
        <f>C1490+C1491</f>
        <v>205922</v>
      </c>
      <c r="D1492" s="120">
        <f>D1490+D1491</f>
        <v>4051.1902419830808</v>
      </c>
      <c r="E1492" s="121"/>
      <c r="F1492" s="122"/>
      <c r="G1492" s="150">
        <f>G1490+G1491</f>
        <v>226484</v>
      </c>
      <c r="H1492" s="120">
        <f>H1490+H1491</f>
        <v>4451.1902419830803</v>
      </c>
      <c r="I1492" s="121"/>
      <c r="J1492" s="122"/>
    </row>
    <row r="1493" spans="2:10">
      <c r="B1493" s="117" t="s">
        <v>38</v>
      </c>
      <c r="C1493" s="112">
        <v>3657</v>
      </c>
      <c r="D1493" s="113">
        <f t="shared" ref="D1493:D1494" si="99">C1493*$N$1470</f>
        <v>71.945701357466064</v>
      </c>
      <c r="E1493" s="121"/>
      <c r="F1493" s="122"/>
      <c r="G1493" s="148">
        <v>3657</v>
      </c>
      <c r="H1493" s="113">
        <f>G1493*$N$1470</f>
        <v>71.945701357466064</v>
      </c>
      <c r="I1493" s="121"/>
      <c r="J1493" s="122"/>
    </row>
    <row r="1494" spans="2:10">
      <c r="B1494" s="117" t="s">
        <v>39</v>
      </c>
      <c r="C1494" s="112">
        <v>12676</v>
      </c>
      <c r="D1494" s="113">
        <f t="shared" si="99"/>
        <v>249.38028723194964</v>
      </c>
      <c r="E1494" s="121"/>
      <c r="F1494" s="122"/>
      <c r="G1494" s="148">
        <v>12676</v>
      </c>
      <c r="H1494" s="113">
        <f>G1494*$N$1470</f>
        <v>249.38028723194964</v>
      </c>
      <c r="I1494" s="121"/>
      <c r="J1494" s="122"/>
    </row>
    <row r="1495" spans="2:10">
      <c r="B1495" s="123" t="s">
        <v>40</v>
      </c>
      <c r="C1495" s="124">
        <f>C1490+C1493+C1494</f>
        <v>221671</v>
      </c>
      <c r="D1495" s="124">
        <f>D1490+D1493+D1494</f>
        <v>4361.0269525870544</v>
      </c>
      <c r="E1495" s="125">
        <f>C1495/C1500</f>
        <v>2.7700910988090923</v>
      </c>
      <c r="F1495" s="125">
        <f>D1495/D1500</f>
        <v>2.8014269709675657</v>
      </c>
      <c r="G1495" s="151">
        <f>G1490+G1493+G1494</f>
        <v>242233</v>
      </c>
      <c r="H1495" s="124">
        <f>H1490+H1493+H1494</f>
        <v>4761.0269525870535</v>
      </c>
      <c r="I1495" s="125">
        <f>G1495/G1500</f>
        <v>3.0270422253602089</v>
      </c>
      <c r="J1495" s="125">
        <f>H1495/H1500</f>
        <v>3.0583780975186814</v>
      </c>
    </row>
    <row r="1496" spans="2:10">
      <c r="B1496" s="117" t="s">
        <v>164</v>
      </c>
      <c r="C1496" s="113">
        <f>Model!W119</f>
        <v>30944</v>
      </c>
      <c r="D1496" s="113">
        <f>C1496*$N$1470</f>
        <v>608.77434585874482</v>
      </c>
      <c r="E1496" s="126"/>
      <c r="F1496" s="126"/>
      <c r="G1496" s="149">
        <f>C1496</f>
        <v>30944</v>
      </c>
      <c r="H1496" s="113">
        <f>G1496*$N$1470</f>
        <v>608.77434585874482</v>
      </c>
      <c r="I1496" s="126"/>
      <c r="J1496" s="126"/>
    </row>
    <row r="1497" spans="2:10">
      <c r="B1497" s="123" t="s">
        <v>19</v>
      </c>
      <c r="C1497" s="124">
        <f>C1495-C1496</f>
        <v>190727</v>
      </c>
      <c r="D1497" s="124">
        <f>D1495-D1496</f>
        <v>3752.2526067283097</v>
      </c>
      <c r="E1497" s="125">
        <f>C1497/C1500</f>
        <v>2.3834022718468439</v>
      </c>
      <c r="F1497" s="125">
        <f>D1497/D1500</f>
        <v>2.4103638360080071</v>
      </c>
      <c r="G1497" s="151">
        <f>G1495-G1496</f>
        <v>211289</v>
      </c>
      <c r="H1497" s="124">
        <f>H1495-H1496</f>
        <v>4152.2526067283088</v>
      </c>
      <c r="I1497" s="125">
        <f>G1497/G1500</f>
        <v>2.6403533983979606</v>
      </c>
      <c r="J1497" s="125">
        <f>H1497/H1500</f>
        <v>2.6673149625591228</v>
      </c>
    </row>
    <row r="1498" spans="2:10">
      <c r="B1498" s="119" t="s">
        <v>20</v>
      </c>
      <c r="C1498" s="141">
        <f>Model!W126</f>
        <v>113029</v>
      </c>
      <c r="D1498" s="127"/>
      <c r="E1498" s="128"/>
      <c r="F1498" s="117"/>
      <c r="G1498" s="152">
        <f>C1498</f>
        <v>113029</v>
      </c>
      <c r="H1498" s="127"/>
      <c r="I1498" s="128"/>
      <c r="J1498" s="117"/>
    </row>
    <row r="1499" spans="2:10">
      <c r="B1499" s="119" t="s">
        <v>21</v>
      </c>
      <c r="C1499" s="129">
        <f>C1497+C1498</f>
        <v>303756</v>
      </c>
      <c r="D1499" s="129"/>
      <c r="E1499" s="128"/>
      <c r="F1499" s="117"/>
      <c r="G1499" s="153">
        <f>G1497+G1498</f>
        <v>324318</v>
      </c>
      <c r="H1499" s="129"/>
      <c r="I1499" s="128"/>
      <c r="J1499" s="117"/>
    </row>
    <row r="1500" spans="2:10">
      <c r="B1500" s="117" t="s">
        <v>22</v>
      </c>
      <c r="C1500" s="130">
        <f>Model!W84</f>
        <v>80023</v>
      </c>
      <c r="D1500" s="130">
        <f>C1500*N1471</f>
        <v>1556.7162727361153</v>
      </c>
      <c r="E1500" s="117"/>
      <c r="F1500" s="117"/>
      <c r="G1500" s="154">
        <f>C1500</f>
        <v>80023</v>
      </c>
      <c r="H1500" s="130">
        <f>G1500*N1471</f>
        <v>1556.7162727361153</v>
      </c>
      <c r="I1500" s="117"/>
      <c r="J1500" s="117"/>
    </row>
    <row r="1501" spans="2:10">
      <c r="B1501" s="131" t="s">
        <v>23</v>
      </c>
      <c r="C1501" s="143">
        <f>C1495-Model!W123</f>
        <v>0</v>
      </c>
    </row>
    <row r="1504" spans="2:10">
      <c r="B1504" s="343" t="s">
        <v>79</v>
      </c>
      <c r="C1504" s="343" t="s">
        <v>104</v>
      </c>
      <c r="D1504" s="343"/>
      <c r="E1504" s="132" t="s">
        <v>118</v>
      </c>
      <c r="F1504" s="132"/>
      <c r="G1504" s="343" t="s">
        <v>119</v>
      </c>
      <c r="H1504" s="343"/>
    </row>
    <row r="1505" spans="2:13">
      <c r="B1505" s="344"/>
      <c r="C1505" s="133" t="s">
        <v>102</v>
      </c>
      <c r="D1505" s="144" t="s">
        <v>103</v>
      </c>
      <c r="E1505" s="144" t="s">
        <v>120</v>
      </c>
      <c r="F1505" s="144" t="s">
        <v>103</v>
      </c>
      <c r="G1505" s="144" t="s">
        <v>120</v>
      </c>
      <c r="H1505" s="144" t="s">
        <v>103</v>
      </c>
    </row>
    <row r="1506" spans="2:13">
      <c r="B1506" s="134">
        <v>2020</v>
      </c>
      <c r="C1506" s="135">
        <v>9933</v>
      </c>
      <c r="D1506" s="136">
        <f>+C1506*$N$1470</f>
        <v>195.4160928585481</v>
      </c>
      <c r="E1506" s="135">
        <v>8779</v>
      </c>
      <c r="F1506" s="136">
        <f>+E1506*$N$1470</f>
        <v>172.71296478457603</v>
      </c>
      <c r="G1506" s="136">
        <f>+C1506+E1506</f>
        <v>18712</v>
      </c>
      <c r="H1506" s="136">
        <f>+D1506+F1506</f>
        <v>368.12905764312416</v>
      </c>
    </row>
    <row r="1507" spans="2:13">
      <c r="B1507" s="134">
        <v>2021</v>
      </c>
      <c r="C1507" s="135">
        <v>22423</v>
      </c>
      <c r="D1507" s="136">
        <f t="shared" ref="D1507:D1511" si="100">+C1507*$N$1470</f>
        <v>441.13712374581939</v>
      </c>
      <c r="E1507" s="135">
        <v>2304</v>
      </c>
      <c r="F1507" s="136">
        <f t="shared" ref="F1507:F1511" si="101">+E1507*$N$1470</f>
        <v>45.327562463112336</v>
      </c>
      <c r="G1507" s="136">
        <f>+C1507+E1507</f>
        <v>24727</v>
      </c>
      <c r="H1507" s="136">
        <f t="shared" ref="H1507:H1511" si="102">+D1507+F1507</f>
        <v>486.46468620893171</v>
      </c>
    </row>
    <row r="1508" spans="2:13">
      <c r="B1508" s="134">
        <v>2022</v>
      </c>
      <c r="C1508" s="135">
        <v>15607</v>
      </c>
      <c r="D1508" s="136">
        <f t="shared" si="100"/>
        <v>307.04308479244537</v>
      </c>
      <c r="E1508" s="135">
        <v>1543</v>
      </c>
      <c r="F1508" s="136">
        <f t="shared" si="101"/>
        <v>30.356088923863858</v>
      </c>
      <c r="G1508" s="136">
        <f>+C1508+E1508</f>
        <v>17150</v>
      </c>
      <c r="H1508" s="136">
        <f t="shared" si="102"/>
        <v>337.39917371630924</v>
      </c>
    </row>
    <row r="1509" spans="2:13">
      <c r="B1509" s="134">
        <v>2023</v>
      </c>
      <c r="C1509" s="135">
        <v>25313</v>
      </c>
      <c r="D1509" s="136">
        <f t="shared" si="100"/>
        <v>497.99331103678929</v>
      </c>
      <c r="E1509" s="135">
        <v>1270</v>
      </c>
      <c r="F1509" s="136">
        <f t="shared" si="101"/>
        <v>24.985244934094037</v>
      </c>
      <c r="G1509" s="136">
        <f>+C1509+E1509</f>
        <v>26583</v>
      </c>
      <c r="H1509" s="136">
        <f t="shared" si="102"/>
        <v>522.97855597088335</v>
      </c>
    </row>
    <row r="1510" spans="2:13">
      <c r="B1510" s="134">
        <v>2024</v>
      </c>
      <c r="C1510" s="135">
        <v>12675</v>
      </c>
      <c r="D1510" s="136">
        <f t="shared" si="100"/>
        <v>249.36061381074168</v>
      </c>
      <c r="E1510" s="135">
        <v>1270</v>
      </c>
      <c r="F1510" s="136">
        <f t="shared" si="101"/>
        <v>24.985244934094037</v>
      </c>
      <c r="G1510" s="136">
        <f>+C1510+E1510</f>
        <v>13945</v>
      </c>
      <c r="H1510" s="136">
        <f t="shared" si="102"/>
        <v>274.34585874483571</v>
      </c>
    </row>
    <row r="1511" spans="2:13">
      <c r="B1511" s="134" t="s">
        <v>213</v>
      </c>
      <c r="C1511" s="135">
        <v>104805</v>
      </c>
      <c r="D1511" s="136">
        <f t="shared" si="100"/>
        <v>2061.8729096989964</v>
      </c>
      <c r="E1511" s="135">
        <v>0</v>
      </c>
      <c r="F1511" s="136">
        <f t="shared" si="101"/>
        <v>0</v>
      </c>
      <c r="G1511" s="136">
        <f>+C1511+E1511</f>
        <v>104805</v>
      </c>
      <c r="H1511" s="136">
        <f t="shared" si="102"/>
        <v>2061.8729096989964</v>
      </c>
    </row>
    <row r="1512" spans="2:13">
      <c r="B1512" s="137" t="s">
        <v>44</v>
      </c>
      <c r="C1512" s="138">
        <f t="shared" ref="C1512:H1512" si="103">+SUM(C1506:C1511)</f>
        <v>190756</v>
      </c>
      <c r="D1512" s="138">
        <f t="shared" si="103"/>
        <v>3752.8231359433403</v>
      </c>
      <c r="E1512" s="138">
        <f t="shared" si="103"/>
        <v>15166</v>
      </c>
      <c r="F1512" s="138">
        <f t="shared" si="103"/>
        <v>298.36710603974035</v>
      </c>
      <c r="G1512" s="138">
        <f t="shared" si="103"/>
        <v>205922</v>
      </c>
      <c r="H1512" s="138">
        <f t="shared" si="103"/>
        <v>4051.1902419830808</v>
      </c>
      <c r="I1512" s="138"/>
      <c r="J1512" s="138"/>
      <c r="K1512" s="138"/>
      <c r="L1512" s="138"/>
      <c r="M1512" s="139"/>
    </row>
    <row r="1513" spans="2:13">
      <c r="B1513" s="131" t="s">
        <v>23</v>
      </c>
      <c r="C1513" s="140">
        <f>+G1512-C1492</f>
        <v>0</v>
      </c>
      <c r="E1513" s="131"/>
      <c r="H1513" s="131"/>
      <c r="I1513" s="131"/>
      <c r="J1513" s="131"/>
      <c r="K1513" s="131"/>
      <c r="L1513" s="131"/>
    </row>
  </sheetData>
  <mergeCells count="102">
    <mergeCell ref="B455:B456"/>
    <mergeCell ref="B461:B462"/>
    <mergeCell ref="C461:D461"/>
    <mergeCell ref="G461:H461"/>
    <mergeCell ref="B523:B524"/>
    <mergeCell ref="B529:B530"/>
    <mergeCell ref="C529:D529"/>
    <mergeCell ref="G529:H529"/>
    <mergeCell ref="B779:B780"/>
    <mergeCell ref="C779:D779"/>
    <mergeCell ref="B728:B729"/>
    <mergeCell ref="C728:D728"/>
    <mergeCell ref="B734:B735"/>
    <mergeCell ref="C734:D734"/>
    <mergeCell ref="G734:H734"/>
    <mergeCell ref="B676:B677"/>
    <mergeCell ref="C676:D676"/>
    <mergeCell ref="B682:B683"/>
    <mergeCell ref="C682:D682"/>
    <mergeCell ref="G682:H682"/>
    <mergeCell ref="B574:B575"/>
    <mergeCell ref="C574:D574"/>
    <mergeCell ref="B580:B581"/>
    <mergeCell ref="C580:D580"/>
    <mergeCell ref="G938:H938"/>
    <mergeCell ref="B983:B984"/>
    <mergeCell ref="C983:D983"/>
    <mergeCell ref="B989:B990"/>
    <mergeCell ref="C989:D989"/>
    <mergeCell ref="G989:H989"/>
    <mergeCell ref="B785:B786"/>
    <mergeCell ref="C785:D785"/>
    <mergeCell ref="G785:H785"/>
    <mergeCell ref="B830:B831"/>
    <mergeCell ref="C830:D830"/>
    <mergeCell ref="B836:B837"/>
    <mergeCell ref="C836:D836"/>
    <mergeCell ref="G836:H836"/>
    <mergeCell ref="B881:B882"/>
    <mergeCell ref="C881:D881"/>
    <mergeCell ref="C1408:D1408"/>
    <mergeCell ref="G1408:H1408"/>
    <mergeCell ref="G1254:H1254"/>
    <mergeCell ref="B1196:B1197"/>
    <mergeCell ref="C1196:D1196"/>
    <mergeCell ref="B1202:B1203"/>
    <mergeCell ref="C1202:D1202"/>
    <mergeCell ref="G1202:H1202"/>
    <mergeCell ref="B1300:B1301"/>
    <mergeCell ref="C1300:D1300"/>
    <mergeCell ref="B1248:B1249"/>
    <mergeCell ref="C1248:D1248"/>
    <mergeCell ref="B1254:B1255"/>
    <mergeCell ref="C1254:D1254"/>
    <mergeCell ref="G1473:J1473"/>
    <mergeCell ref="B1504:B1505"/>
    <mergeCell ref="C1504:D1504"/>
    <mergeCell ref="G1504:H1504"/>
    <mergeCell ref="B1459:B1460"/>
    <mergeCell ref="C1459:D1459"/>
    <mergeCell ref="G1459:H1459"/>
    <mergeCell ref="C1141:D1141"/>
    <mergeCell ref="B1147:B1148"/>
    <mergeCell ref="C1147:D1147"/>
    <mergeCell ref="G1147:H1147"/>
    <mergeCell ref="B1306:B1307"/>
    <mergeCell ref="C1306:D1306"/>
    <mergeCell ref="G1306:H1306"/>
    <mergeCell ref="B1351:B1352"/>
    <mergeCell ref="C1351:D1351"/>
    <mergeCell ref="B1357:B1358"/>
    <mergeCell ref="C1357:D1357"/>
    <mergeCell ref="G1357:H1357"/>
    <mergeCell ref="B1453:B1454"/>
    <mergeCell ref="C1453:D1453"/>
    <mergeCell ref="B1402:B1403"/>
    <mergeCell ref="C1402:D1402"/>
    <mergeCell ref="B1408:B1409"/>
    <mergeCell ref="G580:H580"/>
    <mergeCell ref="B1095:B1096"/>
    <mergeCell ref="C1095:D1095"/>
    <mergeCell ref="G1095:H1095"/>
    <mergeCell ref="B1141:B1142"/>
    <mergeCell ref="B1040:B1041"/>
    <mergeCell ref="C1040:D1040"/>
    <mergeCell ref="G1040:H1040"/>
    <mergeCell ref="B624:B625"/>
    <mergeCell ref="C624:D624"/>
    <mergeCell ref="B630:B631"/>
    <mergeCell ref="C630:D630"/>
    <mergeCell ref="G630:H630"/>
    <mergeCell ref="B1089:B1090"/>
    <mergeCell ref="C1089:D1089"/>
    <mergeCell ref="B887:B888"/>
    <mergeCell ref="C887:D887"/>
    <mergeCell ref="G887:H887"/>
    <mergeCell ref="B1034:B1035"/>
    <mergeCell ref="C1034:D1034"/>
    <mergeCell ref="B932:B933"/>
    <mergeCell ref="C932:D932"/>
    <mergeCell ref="B938:B939"/>
    <mergeCell ref="C938:D938"/>
  </mergeCells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269"/>
  <sheetViews>
    <sheetView showGridLines="0" tabSelected="1" zoomScaleNormal="100" workbookViewId="0">
      <pane xSplit="2" ySplit="6" topLeftCell="AU7" activePane="bottomRight" state="frozen"/>
      <selection pane="bottomRight" activeCell="AX1" sqref="AX1"/>
      <selection pane="bottomLeft" activeCell="M2" sqref="M2"/>
      <selection pane="topRight" activeCell="M2" sqref="M2"/>
    </sheetView>
  </sheetViews>
  <sheetFormatPr defaultColWidth="11.42578125" defaultRowHeight="15" outlineLevelCol="1"/>
  <cols>
    <col min="1" max="1" width="2.7109375" style="1" customWidth="1"/>
    <col min="2" max="2" width="50.7109375" style="1" customWidth="1"/>
    <col min="3" max="5" width="12.7109375" style="1" hidden="1" customWidth="1" outlineLevel="1"/>
    <col min="6" max="7" width="12.7109375" style="1" hidden="1" customWidth="1" outlineLevel="1" collapsed="1"/>
    <col min="8" max="9" width="12.7109375" style="1" hidden="1" customWidth="1" outlineLevel="1"/>
    <col min="10" max="10" width="12.7109375" style="1" customWidth="1" collapsed="1"/>
    <col min="11" max="14" width="12.7109375" style="1" customWidth="1"/>
    <col min="15" max="26" width="12.7109375" style="1" hidden="1" customWidth="1" outlineLevel="1"/>
    <col min="27" max="27" width="12.7109375" style="1" hidden="1" customWidth="1" outlineLevel="1" collapsed="1"/>
    <col min="28" max="30" width="12.7109375" style="1" hidden="1" customWidth="1" outlineLevel="1"/>
    <col min="31" max="31" width="12.7109375" style="1" hidden="1" customWidth="1" outlineLevel="1" collapsed="1"/>
    <col min="32" max="41" width="12.7109375" style="1" hidden="1" customWidth="1" outlineLevel="1"/>
    <col min="42" max="42" width="12.7109375" style="1" customWidth="1" collapsed="1"/>
    <col min="43" max="49" width="12.7109375" style="1" customWidth="1"/>
    <col min="50" max="50" width="12.7109375" customWidth="1"/>
    <col min="51" max="51" width="12.7109375" style="1" hidden="1" customWidth="1"/>
    <col min="52" max="57" width="12.7109375" style="1" customWidth="1"/>
    <col min="58" max="252" width="11.42578125" style="1"/>
    <col min="253" max="253" width="3.5703125" style="1" customWidth="1"/>
    <col min="254" max="254" width="38.28515625" style="1" customWidth="1"/>
    <col min="255" max="255" width="0.7109375" style="1" customWidth="1"/>
    <col min="256" max="260" width="0" style="1" hidden="1" customWidth="1"/>
    <col min="261" max="262" width="13.28515625" style="1" bestFit="1" customWidth="1"/>
    <col min="263" max="267" width="13.28515625" style="1" customWidth="1"/>
    <col min="268" max="268" width="11.42578125" style="1" customWidth="1"/>
    <col min="269" max="288" width="0" style="1" hidden="1" customWidth="1"/>
    <col min="289" max="290" width="11.42578125" style="1" customWidth="1"/>
    <col min="291" max="291" width="10.7109375" style="1" bestFit="1" customWidth="1"/>
    <col min="292" max="300" width="11.42578125" style="1" customWidth="1"/>
    <col min="301" max="301" width="11.42578125" style="1"/>
    <col min="302" max="302" width="20.28515625" style="1" bestFit="1" customWidth="1"/>
    <col min="303" max="508" width="11.42578125" style="1"/>
    <col min="509" max="509" width="3.5703125" style="1" customWidth="1"/>
    <col min="510" max="510" width="38.28515625" style="1" customWidth="1"/>
    <col min="511" max="511" width="0.7109375" style="1" customWidth="1"/>
    <col min="512" max="516" width="0" style="1" hidden="1" customWidth="1"/>
    <col min="517" max="518" width="13.28515625" style="1" bestFit="1" customWidth="1"/>
    <col min="519" max="523" width="13.28515625" style="1" customWidth="1"/>
    <col min="524" max="524" width="11.42578125" style="1" customWidth="1"/>
    <col min="525" max="544" width="0" style="1" hidden="1" customWidth="1"/>
    <col min="545" max="546" width="11.42578125" style="1" customWidth="1"/>
    <col min="547" max="547" width="10.7109375" style="1" bestFit="1" customWidth="1"/>
    <col min="548" max="556" width="11.42578125" style="1" customWidth="1"/>
    <col min="557" max="557" width="11.42578125" style="1"/>
    <col min="558" max="558" width="20.28515625" style="1" bestFit="1" customWidth="1"/>
    <col min="559" max="764" width="11.42578125" style="1"/>
    <col min="765" max="765" width="3.5703125" style="1" customWidth="1"/>
    <col min="766" max="766" width="38.28515625" style="1" customWidth="1"/>
    <col min="767" max="767" width="0.7109375" style="1" customWidth="1"/>
    <col min="768" max="772" width="0" style="1" hidden="1" customWidth="1"/>
    <col min="773" max="774" width="13.28515625" style="1" bestFit="1" customWidth="1"/>
    <col min="775" max="779" width="13.28515625" style="1" customWidth="1"/>
    <col min="780" max="780" width="11.42578125" style="1" customWidth="1"/>
    <col min="781" max="800" width="0" style="1" hidden="1" customWidth="1"/>
    <col min="801" max="802" width="11.42578125" style="1" customWidth="1"/>
    <col min="803" max="803" width="10.7109375" style="1" bestFit="1" customWidth="1"/>
    <col min="804" max="812" width="11.42578125" style="1" customWidth="1"/>
    <col min="813" max="813" width="11.42578125" style="1"/>
    <col min="814" max="814" width="20.28515625" style="1" bestFit="1" customWidth="1"/>
    <col min="815" max="1020" width="11.42578125" style="1"/>
    <col min="1021" max="1021" width="3.5703125" style="1" customWidth="1"/>
    <col min="1022" max="1022" width="38.28515625" style="1" customWidth="1"/>
    <col min="1023" max="1023" width="0.7109375" style="1" customWidth="1"/>
    <col min="1024" max="1028" width="0" style="1" hidden="1" customWidth="1"/>
    <col min="1029" max="1030" width="13.28515625" style="1" bestFit="1" customWidth="1"/>
    <col min="1031" max="1035" width="13.28515625" style="1" customWidth="1"/>
    <col min="1036" max="1036" width="11.42578125" style="1" customWidth="1"/>
    <col min="1037" max="1056" width="0" style="1" hidden="1" customWidth="1"/>
    <col min="1057" max="1058" width="11.42578125" style="1" customWidth="1"/>
    <col min="1059" max="1059" width="10.7109375" style="1" bestFit="1" customWidth="1"/>
    <col min="1060" max="1068" width="11.42578125" style="1" customWidth="1"/>
    <col min="1069" max="1069" width="11.42578125" style="1"/>
    <col min="1070" max="1070" width="20.28515625" style="1" bestFit="1" customWidth="1"/>
    <col min="1071" max="1276" width="11.42578125" style="1"/>
    <col min="1277" max="1277" width="3.5703125" style="1" customWidth="1"/>
    <col min="1278" max="1278" width="38.28515625" style="1" customWidth="1"/>
    <col min="1279" max="1279" width="0.7109375" style="1" customWidth="1"/>
    <col min="1280" max="1284" width="0" style="1" hidden="1" customWidth="1"/>
    <col min="1285" max="1286" width="13.28515625" style="1" bestFit="1" customWidth="1"/>
    <col min="1287" max="1291" width="13.28515625" style="1" customWidth="1"/>
    <col min="1292" max="1292" width="11.42578125" style="1" customWidth="1"/>
    <col min="1293" max="1312" width="0" style="1" hidden="1" customWidth="1"/>
    <col min="1313" max="1314" width="11.42578125" style="1" customWidth="1"/>
    <col min="1315" max="1315" width="10.7109375" style="1" bestFit="1" customWidth="1"/>
    <col min="1316" max="1324" width="11.42578125" style="1" customWidth="1"/>
    <col min="1325" max="1325" width="11.42578125" style="1"/>
    <col min="1326" max="1326" width="20.28515625" style="1" bestFit="1" customWidth="1"/>
    <col min="1327" max="1532" width="11.42578125" style="1"/>
    <col min="1533" max="1533" width="3.5703125" style="1" customWidth="1"/>
    <col min="1534" max="1534" width="38.28515625" style="1" customWidth="1"/>
    <col min="1535" max="1535" width="0.7109375" style="1" customWidth="1"/>
    <col min="1536" max="1540" width="0" style="1" hidden="1" customWidth="1"/>
    <col min="1541" max="1542" width="13.28515625" style="1" bestFit="1" customWidth="1"/>
    <col min="1543" max="1547" width="13.28515625" style="1" customWidth="1"/>
    <col min="1548" max="1548" width="11.42578125" style="1" customWidth="1"/>
    <col min="1549" max="1568" width="0" style="1" hidden="1" customWidth="1"/>
    <col min="1569" max="1570" width="11.42578125" style="1" customWidth="1"/>
    <col min="1571" max="1571" width="10.7109375" style="1" bestFit="1" customWidth="1"/>
    <col min="1572" max="1580" width="11.42578125" style="1" customWidth="1"/>
    <col min="1581" max="1581" width="11.42578125" style="1"/>
    <col min="1582" max="1582" width="20.28515625" style="1" bestFit="1" customWidth="1"/>
    <col min="1583" max="1788" width="11.42578125" style="1"/>
    <col min="1789" max="1789" width="3.5703125" style="1" customWidth="1"/>
    <col min="1790" max="1790" width="38.28515625" style="1" customWidth="1"/>
    <col min="1791" max="1791" width="0.7109375" style="1" customWidth="1"/>
    <col min="1792" max="1796" width="0" style="1" hidden="1" customWidth="1"/>
    <col min="1797" max="1798" width="13.28515625" style="1" bestFit="1" customWidth="1"/>
    <col min="1799" max="1803" width="13.28515625" style="1" customWidth="1"/>
    <col min="1804" max="1804" width="11.42578125" style="1" customWidth="1"/>
    <col min="1805" max="1824" width="0" style="1" hidden="1" customWidth="1"/>
    <col min="1825" max="1826" width="11.42578125" style="1" customWidth="1"/>
    <col min="1827" max="1827" width="10.7109375" style="1" bestFit="1" customWidth="1"/>
    <col min="1828" max="1836" width="11.42578125" style="1" customWidth="1"/>
    <col min="1837" max="1837" width="11.42578125" style="1"/>
    <col min="1838" max="1838" width="20.28515625" style="1" bestFit="1" customWidth="1"/>
    <col min="1839" max="2044" width="11.42578125" style="1"/>
    <col min="2045" max="2045" width="3.5703125" style="1" customWidth="1"/>
    <col min="2046" max="2046" width="38.28515625" style="1" customWidth="1"/>
    <col min="2047" max="2047" width="0.7109375" style="1" customWidth="1"/>
    <col min="2048" max="2052" width="0" style="1" hidden="1" customWidth="1"/>
    <col min="2053" max="2054" width="13.28515625" style="1" bestFit="1" customWidth="1"/>
    <col min="2055" max="2059" width="13.28515625" style="1" customWidth="1"/>
    <col min="2060" max="2060" width="11.42578125" style="1" customWidth="1"/>
    <col min="2061" max="2080" width="0" style="1" hidden="1" customWidth="1"/>
    <col min="2081" max="2082" width="11.42578125" style="1" customWidth="1"/>
    <col min="2083" max="2083" width="10.7109375" style="1" bestFit="1" customWidth="1"/>
    <col min="2084" max="2092" width="11.42578125" style="1" customWidth="1"/>
    <col min="2093" max="2093" width="11.42578125" style="1"/>
    <col min="2094" max="2094" width="20.28515625" style="1" bestFit="1" customWidth="1"/>
    <col min="2095" max="2300" width="11.42578125" style="1"/>
    <col min="2301" max="2301" width="3.5703125" style="1" customWidth="1"/>
    <col min="2302" max="2302" width="38.28515625" style="1" customWidth="1"/>
    <col min="2303" max="2303" width="0.7109375" style="1" customWidth="1"/>
    <col min="2304" max="2308" width="0" style="1" hidden="1" customWidth="1"/>
    <col min="2309" max="2310" width="13.28515625" style="1" bestFit="1" customWidth="1"/>
    <col min="2311" max="2315" width="13.28515625" style="1" customWidth="1"/>
    <col min="2316" max="2316" width="11.42578125" style="1" customWidth="1"/>
    <col min="2317" max="2336" width="0" style="1" hidden="1" customWidth="1"/>
    <col min="2337" max="2338" width="11.42578125" style="1" customWidth="1"/>
    <col min="2339" max="2339" width="10.7109375" style="1" bestFit="1" customWidth="1"/>
    <col min="2340" max="2348" width="11.42578125" style="1" customWidth="1"/>
    <col min="2349" max="2349" width="11.42578125" style="1"/>
    <col min="2350" max="2350" width="20.28515625" style="1" bestFit="1" customWidth="1"/>
    <col min="2351" max="2556" width="11.42578125" style="1"/>
    <col min="2557" max="2557" width="3.5703125" style="1" customWidth="1"/>
    <col min="2558" max="2558" width="38.28515625" style="1" customWidth="1"/>
    <col min="2559" max="2559" width="0.7109375" style="1" customWidth="1"/>
    <col min="2560" max="2564" width="0" style="1" hidden="1" customWidth="1"/>
    <col min="2565" max="2566" width="13.28515625" style="1" bestFit="1" customWidth="1"/>
    <col min="2567" max="2571" width="13.28515625" style="1" customWidth="1"/>
    <col min="2572" max="2572" width="11.42578125" style="1" customWidth="1"/>
    <col min="2573" max="2592" width="0" style="1" hidden="1" customWidth="1"/>
    <col min="2593" max="2594" width="11.42578125" style="1" customWidth="1"/>
    <col min="2595" max="2595" width="10.7109375" style="1" bestFit="1" customWidth="1"/>
    <col min="2596" max="2604" width="11.42578125" style="1" customWidth="1"/>
    <col min="2605" max="2605" width="11.42578125" style="1"/>
    <col min="2606" max="2606" width="20.28515625" style="1" bestFit="1" customWidth="1"/>
    <col min="2607" max="2812" width="11.42578125" style="1"/>
    <col min="2813" max="2813" width="3.5703125" style="1" customWidth="1"/>
    <col min="2814" max="2814" width="38.28515625" style="1" customWidth="1"/>
    <col min="2815" max="2815" width="0.7109375" style="1" customWidth="1"/>
    <col min="2816" max="2820" width="0" style="1" hidden="1" customWidth="1"/>
    <col min="2821" max="2822" width="13.28515625" style="1" bestFit="1" customWidth="1"/>
    <col min="2823" max="2827" width="13.28515625" style="1" customWidth="1"/>
    <col min="2828" max="2828" width="11.42578125" style="1" customWidth="1"/>
    <col min="2829" max="2848" width="0" style="1" hidden="1" customWidth="1"/>
    <col min="2849" max="2850" width="11.42578125" style="1" customWidth="1"/>
    <col min="2851" max="2851" width="10.7109375" style="1" bestFit="1" customWidth="1"/>
    <col min="2852" max="2860" width="11.42578125" style="1" customWidth="1"/>
    <col min="2861" max="2861" width="11.42578125" style="1"/>
    <col min="2862" max="2862" width="20.28515625" style="1" bestFit="1" customWidth="1"/>
    <col min="2863" max="3068" width="11.42578125" style="1"/>
    <col min="3069" max="3069" width="3.5703125" style="1" customWidth="1"/>
    <col min="3070" max="3070" width="38.28515625" style="1" customWidth="1"/>
    <col min="3071" max="3071" width="0.7109375" style="1" customWidth="1"/>
    <col min="3072" max="3076" width="0" style="1" hidden="1" customWidth="1"/>
    <col min="3077" max="3078" width="13.28515625" style="1" bestFit="1" customWidth="1"/>
    <col min="3079" max="3083" width="13.28515625" style="1" customWidth="1"/>
    <col min="3084" max="3084" width="11.42578125" style="1" customWidth="1"/>
    <col min="3085" max="3104" width="0" style="1" hidden="1" customWidth="1"/>
    <col min="3105" max="3106" width="11.42578125" style="1" customWidth="1"/>
    <col min="3107" max="3107" width="10.7109375" style="1" bestFit="1" customWidth="1"/>
    <col min="3108" max="3116" width="11.42578125" style="1" customWidth="1"/>
    <col min="3117" max="3117" width="11.42578125" style="1"/>
    <col min="3118" max="3118" width="20.28515625" style="1" bestFit="1" customWidth="1"/>
    <col min="3119" max="3324" width="11.42578125" style="1"/>
    <col min="3325" max="3325" width="3.5703125" style="1" customWidth="1"/>
    <col min="3326" max="3326" width="38.28515625" style="1" customWidth="1"/>
    <col min="3327" max="3327" width="0.7109375" style="1" customWidth="1"/>
    <col min="3328" max="3332" width="0" style="1" hidden="1" customWidth="1"/>
    <col min="3333" max="3334" width="13.28515625" style="1" bestFit="1" customWidth="1"/>
    <col min="3335" max="3339" width="13.28515625" style="1" customWidth="1"/>
    <col min="3340" max="3340" width="11.42578125" style="1" customWidth="1"/>
    <col min="3341" max="3360" width="0" style="1" hidden="1" customWidth="1"/>
    <col min="3361" max="3362" width="11.42578125" style="1" customWidth="1"/>
    <col min="3363" max="3363" width="10.7109375" style="1" bestFit="1" customWidth="1"/>
    <col min="3364" max="3372" width="11.42578125" style="1" customWidth="1"/>
    <col min="3373" max="3373" width="11.42578125" style="1"/>
    <col min="3374" max="3374" width="20.28515625" style="1" bestFit="1" customWidth="1"/>
    <col min="3375" max="3580" width="11.42578125" style="1"/>
    <col min="3581" max="3581" width="3.5703125" style="1" customWidth="1"/>
    <col min="3582" max="3582" width="38.28515625" style="1" customWidth="1"/>
    <col min="3583" max="3583" width="0.7109375" style="1" customWidth="1"/>
    <col min="3584" max="3588" width="0" style="1" hidden="1" customWidth="1"/>
    <col min="3589" max="3590" width="13.28515625" style="1" bestFit="1" customWidth="1"/>
    <col min="3591" max="3595" width="13.28515625" style="1" customWidth="1"/>
    <col min="3596" max="3596" width="11.42578125" style="1" customWidth="1"/>
    <col min="3597" max="3616" width="0" style="1" hidden="1" customWidth="1"/>
    <col min="3617" max="3618" width="11.42578125" style="1" customWidth="1"/>
    <col min="3619" max="3619" width="10.7109375" style="1" bestFit="1" customWidth="1"/>
    <col min="3620" max="3628" width="11.42578125" style="1" customWidth="1"/>
    <col min="3629" max="3629" width="11.42578125" style="1"/>
    <col min="3630" max="3630" width="20.28515625" style="1" bestFit="1" customWidth="1"/>
    <col min="3631" max="3836" width="11.42578125" style="1"/>
    <col min="3837" max="3837" width="3.5703125" style="1" customWidth="1"/>
    <col min="3838" max="3838" width="38.28515625" style="1" customWidth="1"/>
    <col min="3839" max="3839" width="0.7109375" style="1" customWidth="1"/>
    <col min="3840" max="3844" width="0" style="1" hidden="1" customWidth="1"/>
    <col min="3845" max="3846" width="13.28515625" style="1" bestFit="1" customWidth="1"/>
    <col min="3847" max="3851" width="13.28515625" style="1" customWidth="1"/>
    <col min="3852" max="3852" width="11.42578125" style="1" customWidth="1"/>
    <col min="3853" max="3872" width="0" style="1" hidden="1" customWidth="1"/>
    <col min="3873" max="3874" width="11.42578125" style="1" customWidth="1"/>
    <col min="3875" max="3875" width="10.7109375" style="1" bestFit="1" customWidth="1"/>
    <col min="3876" max="3884" width="11.42578125" style="1" customWidth="1"/>
    <col min="3885" max="3885" width="11.42578125" style="1"/>
    <col min="3886" max="3886" width="20.28515625" style="1" bestFit="1" customWidth="1"/>
    <col min="3887" max="4092" width="11.42578125" style="1"/>
    <col min="4093" max="4093" width="3.5703125" style="1" customWidth="1"/>
    <col min="4094" max="4094" width="38.28515625" style="1" customWidth="1"/>
    <col min="4095" max="4095" width="0.7109375" style="1" customWidth="1"/>
    <col min="4096" max="4100" width="0" style="1" hidden="1" customWidth="1"/>
    <col min="4101" max="4102" width="13.28515625" style="1" bestFit="1" customWidth="1"/>
    <col min="4103" max="4107" width="13.28515625" style="1" customWidth="1"/>
    <col min="4108" max="4108" width="11.42578125" style="1" customWidth="1"/>
    <col min="4109" max="4128" width="0" style="1" hidden="1" customWidth="1"/>
    <col min="4129" max="4130" width="11.42578125" style="1" customWidth="1"/>
    <col min="4131" max="4131" width="10.7109375" style="1" bestFit="1" customWidth="1"/>
    <col min="4132" max="4140" width="11.42578125" style="1" customWidth="1"/>
    <col min="4141" max="4141" width="11.42578125" style="1"/>
    <col min="4142" max="4142" width="20.28515625" style="1" bestFit="1" customWidth="1"/>
    <col min="4143" max="4348" width="11.42578125" style="1"/>
    <col min="4349" max="4349" width="3.5703125" style="1" customWidth="1"/>
    <col min="4350" max="4350" width="38.28515625" style="1" customWidth="1"/>
    <col min="4351" max="4351" width="0.7109375" style="1" customWidth="1"/>
    <col min="4352" max="4356" width="0" style="1" hidden="1" customWidth="1"/>
    <col min="4357" max="4358" width="13.28515625" style="1" bestFit="1" customWidth="1"/>
    <col min="4359" max="4363" width="13.28515625" style="1" customWidth="1"/>
    <col min="4364" max="4364" width="11.42578125" style="1" customWidth="1"/>
    <col min="4365" max="4384" width="0" style="1" hidden="1" customWidth="1"/>
    <col min="4385" max="4386" width="11.42578125" style="1" customWidth="1"/>
    <col min="4387" max="4387" width="10.7109375" style="1" bestFit="1" customWidth="1"/>
    <col min="4388" max="4396" width="11.42578125" style="1" customWidth="1"/>
    <col min="4397" max="4397" width="11.42578125" style="1"/>
    <col min="4398" max="4398" width="20.28515625" style="1" bestFit="1" customWidth="1"/>
    <col min="4399" max="4604" width="11.42578125" style="1"/>
    <col min="4605" max="4605" width="3.5703125" style="1" customWidth="1"/>
    <col min="4606" max="4606" width="38.28515625" style="1" customWidth="1"/>
    <col min="4607" max="4607" width="0.7109375" style="1" customWidth="1"/>
    <col min="4608" max="4612" width="0" style="1" hidden="1" customWidth="1"/>
    <col min="4613" max="4614" width="13.28515625" style="1" bestFit="1" customWidth="1"/>
    <col min="4615" max="4619" width="13.28515625" style="1" customWidth="1"/>
    <col min="4620" max="4620" width="11.42578125" style="1" customWidth="1"/>
    <col min="4621" max="4640" width="0" style="1" hidden="1" customWidth="1"/>
    <col min="4641" max="4642" width="11.42578125" style="1" customWidth="1"/>
    <col min="4643" max="4643" width="10.7109375" style="1" bestFit="1" customWidth="1"/>
    <col min="4644" max="4652" width="11.42578125" style="1" customWidth="1"/>
    <col min="4653" max="4653" width="11.42578125" style="1"/>
    <col min="4654" max="4654" width="20.28515625" style="1" bestFit="1" customWidth="1"/>
    <col min="4655" max="4860" width="11.42578125" style="1"/>
    <col min="4861" max="4861" width="3.5703125" style="1" customWidth="1"/>
    <col min="4862" max="4862" width="38.28515625" style="1" customWidth="1"/>
    <col min="4863" max="4863" width="0.7109375" style="1" customWidth="1"/>
    <col min="4864" max="4868" width="0" style="1" hidden="1" customWidth="1"/>
    <col min="4869" max="4870" width="13.28515625" style="1" bestFit="1" customWidth="1"/>
    <col min="4871" max="4875" width="13.28515625" style="1" customWidth="1"/>
    <col min="4876" max="4876" width="11.42578125" style="1" customWidth="1"/>
    <col min="4877" max="4896" width="0" style="1" hidden="1" customWidth="1"/>
    <col min="4897" max="4898" width="11.42578125" style="1" customWidth="1"/>
    <col min="4899" max="4899" width="10.7109375" style="1" bestFit="1" customWidth="1"/>
    <col min="4900" max="4908" width="11.42578125" style="1" customWidth="1"/>
    <col min="4909" max="4909" width="11.42578125" style="1"/>
    <col min="4910" max="4910" width="20.28515625" style="1" bestFit="1" customWidth="1"/>
    <col min="4911" max="5116" width="11.42578125" style="1"/>
    <col min="5117" max="5117" width="3.5703125" style="1" customWidth="1"/>
    <col min="5118" max="5118" width="38.28515625" style="1" customWidth="1"/>
    <col min="5119" max="5119" width="0.7109375" style="1" customWidth="1"/>
    <col min="5120" max="5124" width="0" style="1" hidden="1" customWidth="1"/>
    <col min="5125" max="5126" width="13.28515625" style="1" bestFit="1" customWidth="1"/>
    <col min="5127" max="5131" width="13.28515625" style="1" customWidth="1"/>
    <col min="5132" max="5132" width="11.42578125" style="1" customWidth="1"/>
    <col min="5133" max="5152" width="0" style="1" hidden="1" customWidth="1"/>
    <col min="5153" max="5154" width="11.42578125" style="1" customWidth="1"/>
    <col min="5155" max="5155" width="10.7109375" style="1" bestFit="1" customWidth="1"/>
    <col min="5156" max="5164" width="11.42578125" style="1" customWidth="1"/>
    <col min="5165" max="5165" width="11.42578125" style="1"/>
    <col min="5166" max="5166" width="20.28515625" style="1" bestFit="1" customWidth="1"/>
    <col min="5167" max="5372" width="11.42578125" style="1"/>
    <col min="5373" max="5373" width="3.5703125" style="1" customWidth="1"/>
    <col min="5374" max="5374" width="38.28515625" style="1" customWidth="1"/>
    <col min="5375" max="5375" width="0.7109375" style="1" customWidth="1"/>
    <col min="5376" max="5380" width="0" style="1" hidden="1" customWidth="1"/>
    <col min="5381" max="5382" width="13.28515625" style="1" bestFit="1" customWidth="1"/>
    <col min="5383" max="5387" width="13.28515625" style="1" customWidth="1"/>
    <col min="5388" max="5388" width="11.42578125" style="1" customWidth="1"/>
    <col min="5389" max="5408" width="0" style="1" hidden="1" customWidth="1"/>
    <col min="5409" max="5410" width="11.42578125" style="1" customWidth="1"/>
    <col min="5411" max="5411" width="10.7109375" style="1" bestFit="1" customWidth="1"/>
    <col min="5412" max="5420" width="11.42578125" style="1" customWidth="1"/>
    <col min="5421" max="5421" width="11.42578125" style="1"/>
    <col min="5422" max="5422" width="20.28515625" style="1" bestFit="1" customWidth="1"/>
    <col min="5423" max="5628" width="11.42578125" style="1"/>
    <col min="5629" max="5629" width="3.5703125" style="1" customWidth="1"/>
    <col min="5630" max="5630" width="38.28515625" style="1" customWidth="1"/>
    <col min="5631" max="5631" width="0.7109375" style="1" customWidth="1"/>
    <col min="5632" max="5636" width="0" style="1" hidden="1" customWidth="1"/>
    <col min="5637" max="5638" width="13.28515625" style="1" bestFit="1" customWidth="1"/>
    <col min="5639" max="5643" width="13.28515625" style="1" customWidth="1"/>
    <col min="5644" max="5644" width="11.42578125" style="1" customWidth="1"/>
    <col min="5645" max="5664" width="0" style="1" hidden="1" customWidth="1"/>
    <col min="5665" max="5666" width="11.42578125" style="1" customWidth="1"/>
    <col min="5667" max="5667" width="10.7109375" style="1" bestFit="1" customWidth="1"/>
    <col min="5668" max="5676" width="11.42578125" style="1" customWidth="1"/>
    <col min="5677" max="5677" width="11.42578125" style="1"/>
    <col min="5678" max="5678" width="20.28515625" style="1" bestFit="1" customWidth="1"/>
    <col min="5679" max="5884" width="11.42578125" style="1"/>
    <col min="5885" max="5885" width="3.5703125" style="1" customWidth="1"/>
    <col min="5886" max="5886" width="38.28515625" style="1" customWidth="1"/>
    <col min="5887" max="5887" width="0.7109375" style="1" customWidth="1"/>
    <col min="5888" max="5892" width="0" style="1" hidden="1" customWidth="1"/>
    <col min="5893" max="5894" width="13.28515625" style="1" bestFit="1" customWidth="1"/>
    <col min="5895" max="5899" width="13.28515625" style="1" customWidth="1"/>
    <col min="5900" max="5900" width="11.42578125" style="1" customWidth="1"/>
    <col min="5901" max="5920" width="0" style="1" hidden="1" customWidth="1"/>
    <col min="5921" max="5922" width="11.42578125" style="1" customWidth="1"/>
    <col min="5923" max="5923" width="10.7109375" style="1" bestFit="1" customWidth="1"/>
    <col min="5924" max="5932" width="11.42578125" style="1" customWidth="1"/>
    <col min="5933" max="5933" width="11.42578125" style="1"/>
    <col min="5934" max="5934" width="20.28515625" style="1" bestFit="1" customWidth="1"/>
    <col min="5935" max="6140" width="11.42578125" style="1"/>
    <col min="6141" max="6141" width="3.5703125" style="1" customWidth="1"/>
    <col min="6142" max="6142" width="38.28515625" style="1" customWidth="1"/>
    <col min="6143" max="6143" width="0.7109375" style="1" customWidth="1"/>
    <col min="6144" max="6148" width="0" style="1" hidden="1" customWidth="1"/>
    <col min="6149" max="6150" width="13.28515625" style="1" bestFit="1" customWidth="1"/>
    <col min="6151" max="6155" width="13.28515625" style="1" customWidth="1"/>
    <col min="6156" max="6156" width="11.42578125" style="1" customWidth="1"/>
    <col min="6157" max="6176" width="0" style="1" hidden="1" customWidth="1"/>
    <col min="6177" max="6178" width="11.42578125" style="1" customWidth="1"/>
    <col min="6179" max="6179" width="10.7109375" style="1" bestFit="1" customWidth="1"/>
    <col min="6180" max="6188" width="11.42578125" style="1" customWidth="1"/>
    <col min="6189" max="6189" width="11.42578125" style="1"/>
    <col min="6190" max="6190" width="20.28515625" style="1" bestFit="1" customWidth="1"/>
    <col min="6191" max="6396" width="11.42578125" style="1"/>
    <col min="6397" max="6397" width="3.5703125" style="1" customWidth="1"/>
    <col min="6398" max="6398" width="38.28515625" style="1" customWidth="1"/>
    <col min="6399" max="6399" width="0.7109375" style="1" customWidth="1"/>
    <col min="6400" max="6404" width="0" style="1" hidden="1" customWidth="1"/>
    <col min="6405" max="6406" width="13.28515625" style="1" bestFit="1" customWidth="1"/>
    <col min="6407" max="6411" width="13.28515625" style="1" customWidth="1"/>
    <col min="6412" max="6412" width="11.42578125" style="1" customWidth="1"/>
    <col min="6413" max="6432" width="0" style="1" hidden="1" customWidth="1"/>
    <col min="6433" max="6434" width="11.42578125" style="1" customWidth="1"/>
    <col min="6435" max="6435" width="10.7109375" style="1" bestFit="1" customWidth="1"/>
    <col min="6436" max="6444" width="11.42578125" style="1" customWidth="1"/>
    <col min="6445" max="6445" width="11.42578125" style="1"/>
    <col min="6446" max="6446" width="20.28515625" style="1" bestFit="1" customWidth="1"/>
    <col min="6447" max="6652" width="11.42578125" style="1"/>
    <col min="6653" max="6653" width="3.5703125" style="1" customWidth="1"/>
    <col min="6654" max="6654" width="38.28515625" style="1" customWidth="1"/>
    <col min="6655" max="6655" width="0.7109375" style="1" customWidth="1"/>
    <col min="6656" max="6660" width="0" style="1" hidden="1" customWidth="1"/>
    <col min="6661" max="6662" width="13.28515625" style="1" bestFit="1" customWidth="1"/>
    <col min="6663" max="6667" width="13.28515625" style="1" customWidth="1"/>
    <col min="6668" max="6668" width="11.42578125" style="1" customWidth="1"/>
    <col min="6669" max="6688" width="0" style="1" hidden="1" customWidth="1"/>
    <col min="6689" max="6690" width="11.42578125" style="1" customWidth="1"/>
    <col min="6691" max="6691" width="10.7109375" style="1" bestFit="1" customWidth="1"/>
    <col min="6692" max="6700" width="11.42578125" style="1" customWidth="1"/>
    <col min="6701" max="6701" width="11.42578125" style="1"/>
    <col min="6702" max="6702" width="20.28515625" style="1" bestFit="1" customWidth="1"/>
    <col min="6703" max="6908" width="11.42578125" style="1"/>
    <col min="6909" max="6909" width="3.5703125" style="1" customWidth="1"/>
    <col min="6910" max="6910" width="38.28515625" style="1" customWidth="1"/>
    <col min="6911" max="6911" width="0.7109375" style="1" customWidth="1"/>
    <col min="6912" max="6916" width="0" style="1" hidden="1" customWidth="1"/>
    <col min="6917" max="6918" width="13.28515625" style="1" bestFit="1" customWidth="1"/>
    <col min="6919" max="6923" width="13.28515625" style="1" customWidth="1"/>
    <col min="6924" max="6924" width="11.42578125" style="1" customWidth="1"/>
    <col min="6925" max="6944" width="0" style="1" hidden="1" customWidth="1"/>
    <col min="6945" max="6946" width="11.42578125" style="1" customWidth="1"/>
    <col min="6947" max="6947" width="10.7109375" style="1" bestFit="1" customWidth="1"/>
    <col min="6948" max="6956" width="11.42578125" style="1" customWidth="1"/>
    <col min="6957" max="6957" width="11.42578125" style="1"/>
    <col min="6958" max="6958" width="20.28515625" style="1" bestFit="1" customWidth="1"/>
    <col min="6959" max="7164" width="11.42578125" style="1"/>
    <col min="7165" max="7165" width="3.5703125" style="1" customWidth="1"/>
    <col min="7166" max="7166" width="38.28515625" style="1" customWidth="1"/>
    <col min="7167" max="7167" width="0.7109375" style="1" customWidth="1"/>
    <col min="7168" max="7172" width="0" style="1" hidden="1" customWidth="1"/>
    <col min="7173" max="7174" width="13.28515625" style="1" bestFit="1" customWidth="1"/>
    <col min="7175" max="7179" width="13.28515625" style="1" customWidth="1"/>
    <col min="7180" max="7180" width="11.42578125" style="1" customWidth="1"/>
    <col min="7181" max="7200" width="0" style="1" hidden="1" customWidth="1"/>
    <col min="7201" max="7202" width="11.42578125" style="1" customWidth="1"/>
    <col min="7203" max="7203" width="10.7109375" style="1" bestFit="1" customWidth="1"/>
    <col min="7204" max="7212" width="11.42578125" style="1" customWidth="1"/>
    <col min="7213" max="7213" width="11.42578125" style="1"/>
    <col min="7214" max="7214" width="20.28515625" style="1" bestFit="1" customWidth="1"/>
    <col min="7215" max="7420" width="11.42578125" style="1"/>
    <col min="7421" max="7421" width="3.5703125" style="1" customWidth="1"/>
    <col min="7422" max="7422" width="38.28515625" style="1" customWidth="1"/>
    <col min="7423" max="7423" width="0.7109375" style="1" customWidth="1"/>
    <col min="7424" max="7428" width="0" style="1" hidden="1" customWidth="1"/>
    <col min="7429" max="7430" width="13.28515625" style="1" bestFit="1" customWidth="1"/>
    <col min="7431" max="7435" width="13.28515625" style="1" customWidth="1"/>
    <col min="7436" max="7436" width="11.42578125" style="1" customWidth="1"/>
    <col min="7437" max="7456" width="0" style="1" hidden="1" customWidth="1"/>
    <col min="7457" max="7458" width="11.42578125" style="1" customWidth="1"/>
    <col min="7459" max="7459" width="10.7109375" style="1" bestFit="1" customWidth="1"/>
    <col min="7460" max="7468" width="11.42578125" style="1" customWidth="1"/>
    <col min="7469" max="7469" width="11.42578125" style="1"/>
    <col min="7470" max="7470" width="20.28515625" style="1" bestFit="1" customWidth="1"/>
    <col min="7471" max="7676" width="11.42578125" style="1"/>
    <col min="7677" max="7677" width="3.5703125" style="1" customWidth="1"/>
    <col min="7678" max="7678" width="38.28515625" style="1" customWidth="1"/>
    <col min="7679" max="7679" width="0.7109375" style="1" customWidth="1"/>
    <col min="7680" max="7684" width="0" style="1" hidden="1" customWidth="1"/>
    <col min="7685" max="7686" width="13.28515625" style="1" bestFit="1" customWidth="1"/>
    <col min="7687" max="7691" width="13.28515625" style="1" customWidth="1"/>
    <col min="7692" max="7692" width="11.42578125" style="1" customWidth="1"/>
    <col min="7693" max="7712" width="0" style="1" hidden="1" customWidth="1"/>
    <col min="7713" max="7714" width="11.42578125" style="1" customWidth="1"/>
    <col min="7715" max="7715" width="10.7109375" style="1" bestFit="1" customWidth="1"/>
    <col min="7716" max="7724" width="11.42578125" style="1" customWidth="1"/>
    <col min="7725" max="7725" width="11.42578125" style="1"/>
    <col min="7726" max="7726" width="20.28515625" style="1" bestFit="1" customWidth="1"/>
    <col min="7727" max="7932" width="11.42578125" style="1"/>
    <col min="7933" max="7933" width="3.5703125" style="1" customWidth="1"/>
    <col min="7934" max="7934" width="38.28515625" style="1" customWidth="1"/>
    <col min="7935" max="7935" width="0.7109375" style="1" customWidth="1"/>
    <col min="7936" max="7940" width="0" style="1" hidden="1" customWidth="1"/>
    <col min="7941" max="7942" width="13.28515625" style="1" bestFit="1" customWidth="1"/>
    <col min="7943" max="7947" width="13.28515625" style="1" customWidth="1"/>
    <col min="7948" max="7948" width="11.42578125" style="1" customWidth="1"/>
    <col min="7949" max="7968" width="0" style="1" hidden="1" customWidth="1"/>
    <col min="7969" max="7970" width="11.42578125" style="1" customWidth="1"/>
    <col min="7971" max="7971" width="10.7109375" style="1" bestFit="1" customWidth="1"/>
    <col min="7972" max="7980" width="11.42578125" style="1" customWidth="1"/>
    <col min="7981" max="7981" width="11.42578125" style="1"/>
    <col min="7982" max="7982" width="20.28515625" style="1" bestFit="1" customWidth="1"/>
    <col min="7983" max="8188" width="11.42578125" style="1"/>
    <col min="8189" max="8189" width="3.5703125" style="1" customWidth="1"/>
    <col min="8190" max="8190" width="38.28515625" style="1" customWidth="1"/>
    <col min="8191" max="8191" width="0.7109375" style="1" customWidth="1"/>
    <col min="8192" max="8196" width="0" style="1" hidden="1" customWidth="1"/>
    <col min="8197" max="8198" width="13.28515625" style="1" bestFit="1" customWidth="1"/>
    <col min="8199" max="8203" width="13.28515625" style="1" customWidth="1"/>
    <col min="8204" max="8204" width="11.42578125" style="1" customWidth="1"/>
    <col min="8205" max="8224" width="0" style="1" hidden="1" customWidth="1"/>
    <col min="8225" max="8226" width="11.42578125" style="1" customWidth="1"/>
    <col min="8227" max="8227" width="10.7109375" style="1" bestFit="1" customWidth="1"/>
    <col min="8228" max="8236" width="11.42578125" style="1" customWidth="1"/>
    <col min="8237" max="8237" width="11.42578125" style="1"/>
    <col min="8238" max="8238" width="20.28515625" style="1" bestFit="1" customWidth="1"/>
    <col min="8239" max="8444" width="11.42578125" style="1"/>
    <col min="8445" max="8445" width="3.5703125" style="1" customWidth="1"/>
    <col min="8446" max="8446" width="38.28515625" style="1" customWidth="1"/>
    <col min="8447" max="8447" width="0.7109375" style="1" customWidth="1"/>
    <col min="8448" max="8452" width="0" style="1" hidden="1" customWidth="1"/>
    <col min="8453" max="8454" width="13.28515625" style="1" bestFit="1" customWidth="1"/>
    <col min="8455" max="8459" width="13.28515625" style="1" customWidth="1"/>
    <col min="8460" max="8460" width="11.42578125" style="1" customWidth="1"/>
    <col min="8461" max="8480" width="0" style="1" hidden="1" customWidth="1"/>
    <col min="8481" max="8482" width="11.42578125" style="1" customWidth="1"/>
    <col min="8483" max="8483" width="10.7109375" style="1" bestFit="1" customWidth="1"/>
    <col min="8484" max="8492" width="11.42578125" style="1" customWidth="1"/>
    <col min="8493" max="8493" width="11.42578125" style="1"/>
    <col min="8494" max="8494" width="20.28515625" style="1" bestFit="1" customWidth="1"/>
    <col min="8495" max="8700" width="11.42578125" style="1"/>
    <col min="8701" max="8701" width="3.5703125" style="1" customWidth="1"/>
    <col min="8702" max="8702" width="38.28515625" style="1" customWidth="1"/>
    <col min="8703" max="8703" width="0.7109375" style="1" customWidth="1"/>
    <col min="8704" max="8708" width="0" style="1" hidden="1" customWidth="1"/>
    <col min="8709" max="8710" width="13.28515625" style="1" bestFit="1" customWidth="1"/>
    <col min="8711" max="8715" width="13.28515625" style="1" customWidth="1"/>
    <col min="8716" max="8716" width="11.42578125" style="1" customWidth="1"/>
    <col min="8717" max="8736" width="0" style="1" hidden="1" customWidth="1"/>
    <col min="8737" max="8738" width="11.42578125" style="1" customWidth="1"/>
    <col min="8739" max="8739" width="10.7109375" style="1" bestFit="1" customWidth="1"/>
    <col min="8740" max="8748" width="11.42578125" style="1" customWidth="1"/>
    <col min="8749" max="8749" width="11.42578125" style="1"/>
    <col min="8750" max="8750" width="20.28515625" style="1" bestFit="1" customWidth="1"/>
    <col min="8751" max="8956" width="11.42578125" style="1"/>
    <col min="8957" max="8957" width="3.5703125" style="1" customWidth="1"/>
    <col min="8958" max="8958" width="38.28515625" style="1" customWidth="1"/>
    <col min="8959" max="8959" width="0.7109375" style="1" customWidth="1"/>
    <col min="8960" max="8964" width="0" style="1" hidden="1" customWidth="1"/>
    <col min="8965" max="8966" width="13.28515625" style="1" bestFit="1" customWidth="1"/>
    <col min="8967" max="8971" width="13.28515625" style="1" customWidth="1"/>
    <col min="8972" max="8972" width="11.42578125" style="1" customWidth="1"/>
    <col min="8973" max="8992" width="0" style="1" hidden="1" customWidth="1"/>
    <col min="8993" max="8994" width="11.42578125" style="1" customWidth="1"/>
    <col min="8995" max="8995" width="10.7109375" style="1" bestFit="1" customWidth="1"/>
    <col min="8996" max="9004" width="11.42578125" style="1" customWidth="1"/>
    <col min="9005" max="9005" width="11.42578125" style="1"/>
    <col min="9006" max="9006" width="20.28515625" style="1" bestFit="1" customWidth="1"/>
    <col min="9007" max="9212" width="11.42578125" style="1"/>
    <col min="9213" max="9213" width="3.5703125" style="1" customWidth="1"/>
    <col min="9214" max="9214" width="38.28515625" style="1" customWidth="1"/>
    <col min="9215" max="9215" width="0.7109375" style="1" customWidth="1"/>
    <col min="9216" max="9220" width="0" style="1" hidden="1" customWidth="1"/>
    <col min="9221" max="9222" width="13.28515625" style="1" bestFit="1" customWidth="1"/>
    <col min="9223" max="9227" width="13.28515625" style="1" customWidth="1"/>
    <col min="9228" max="9228" width="11.42578125" style="1" customWidth="1"/>
    <col min="9229" max="9248" width="0" style="1" hidden="1" customWidth="1"/>
    <col min="9249" max="9250" width="11.42578125" style="1" customWidth="1"/>
    <col min="9251" max="9251" width="10.7109375" style="1" bestFit="1" customWidth="1"/>
    <col min="9252" max="9260" width="11.42578125" style="1" customWidth="1"/>
    <col min="9261" max="9261" width="11.42578125" style="1"/>
    <col min="9262" max="9262" width="20.28515625" style="1" bestFit="1" customWidth="1"/>
    <col min="9263" max="9468" width="11.42578125" style="1"/>
    <col min="9469" max="9469" width="3.5703125" style="1" customWidth="1"/>
    <col min="9470" max="9470" width="38.28515625" style="1" customWidth="1"/>
    <col min="9471" max="9471" width="0.7109375" style="1" customWidth="1"/>
    <col min="9472" max="9476" width="0" style="1" hidden="1" customWidth="1"/>
    <col min="9477" max="9478" width="13.28515625" style="1" bestFit="1" customWidth="1"/>
    <col min="9479" max="9483" width="13.28515625" style="1" customWidth="1"/>
    <col min="9484" max="9484" width="11.42578125" style="1" customWidth="1"/>
    <col min="9485" max="9504" width="0" style="1" hidden="1" customWidth="1"/>
    <col min="9505" max="9506" width="11.42578125" style="1" customWidth="1"/>
    <col min="9507" max="9507" width="10.7109375" style="1" bestFit="1" customWidth="1"/>
    <col min="9508" max="9516" width="11.42578125" style="1" customWidth="1"/>
    <col min="9517" max="9517" width="11.42578125" style="1"/>
    <col min="9518" max="9518" width="20.28515625" style="1" bestFit="1" customWidth="1"/>
    <col min="9519" max="9724" width="11.42578125" style="1"/>
    <col min="9725" max="9725" width="3.5703125" style="1" customWidth="1"/>
    <col min="9726" max="9726" width="38.28515625" style="1" customWidth="1"/>
    <col min="9727" max="9727" width="0.7109375" style="1" customWidth="1"/>
    <col min="9728" max="9732" width="0" style="1" hidden="1" customWidth="1"/>
    <col min="9733" max="9734" width="13.28515625" style="1" bestFit="1" customWidth="1"/>
    <col min="9735" max="9739" width="13.28515625" style="1" customWidth="1"/>
    <col min="9740" max="9740" width="11.42578125" style="1" customWidth="1"/>
    <col min="9741" max="9760" width="0" style="1" hidden="1" customWidth="1"/>
    <col min="9761" max="9762" width="11.42578125" style="1" customWidth="1"/>
    <col min="9763" max="9763" width="10.7109375" style="1" bestFit="1" customWidth="1"/>
    <col min="9764" max="9772" width="11.42578125" style="1" customWidth="1"/>
    <col min="9773" max="9773" width="11.42578125" style="1"/>
    <col min="9774" max="9774" width="20.28515625" style="1" bestFit="1" customWidth="1"/>
    <col min="9775" max="9980" width="11.42578125" style="1"/>
    <col min="9981" max="9981" width="3.5703125" style="1" customWidth="1"/>
    <col min="9982" max="9982" width="38.28515625" style="1" customWidth="1"/>
    <col min="9983" max="9983" width="0.7109375" style="1" customWidth="1"/>
    <col min="9984" max="9988" width="0" style="1" hidden="1" customWidth="1"/>
    <col min="9989" max="9990" width="13.28515625" style="1" bestFit="1" customWidth="1"/>
    <col min="9991" max="9995" width="13.28515625" style="1" customWidth="1"/>
    <col min="9996" max="9996" width="11.42578125" style="1" customWidth="1"/>
    <col min="9997" max="10016" width="0" style="1" hidden="1" customWidth="1"/>
    <col min="10017" max="10018" width="11.42578125" style="1" customWidth="1"/>
    <col min="10019" max="10019" width="10.7109375" style="1" bestFit="1" customWidth="1"/>
    <col min="10020" max="10028" width="11.42578125" style="1" customWidth="1"/>
    <col min="10029" max="10029" width="11.42578125" style="1"/>
    <col min="10030" max="10030" width="20.28515625" style="1" bestFit="1" customWidth="1"/>
    <col min="10031" max="10236" width="11.42578125" style="1"/>
    <col min="10237" max="10237" width="3.5703125" style="1" customWidth="1"/>
    <col min="10238" max="10238" width="38.28515625" style="1" customWidth="1"/>
    <col min="10239" max="10239" width="0.7109375" style="1" customWidth="1"/>
    <col min="10240" max="10244" width="0" style="1" hidden="1" customWidth="1"/>
    <col min="10245" max="10246" width="13.28515625" style="1" bestFit="1" customWidth="1"/>
    <col min="10247" max="10251" width="13.28515625" style="1" customWidth="1"/>
    <col min="10252" max="10252" width="11.42578125" style="1" customWidth="1"/>
    <col min="10253" max="10272" width="0" style="1" hidden="1" customWidth="1"/>
    <col min="10273" max="10274" width="11.42578125" style="1" customWidth="1"/>
    <col min="10275" max="10275" width="10.7109375" style="1" bestFit="1" customWidth="1"/>
    <col min="10276" max="10284" width="11.42578125" style="1" customWidth="1"/>
    <col min="10285" max="10285" width="11.42578125" style="1"/>
    <col min="10286" max="10286" width="20.28515625" style="1" bestFit="1" customWidth="1"/>
    <col min="10287" max="10492" width="11.42578125" style="1"/>
    <col min="10493" max="10493" width="3.5703125" style="1" customWidth="1"/>
    <col min="10494" max="10494" width="38.28515625" style="1" customWidth="1"/>
    <col min="10495" max="10495" width="0.7109375" style="1" customWidth="1"/>
    <col min="10496" max="10500" width="0" style="1" hidden="1" customWidth="1"/>
    <col min="10501" max="10502" width="13.28515625" style="1" bestFit="1" customWidth="1"/>
    <col min="10503" max="10507" width="13.28515625" style="1" customWidth="1"/>
    <col min="10508" max="10508" width="11.42578125" style="1" customWidth="1"/>
    <col min="10509" max="10528" width="0" style="1" hidden="1" customWidth="1"/>
    <col min="10529" max="10530" width="11.42578125" style="1" customWidth="1"/>
    <col min="10531" max="10531" width="10.7109375" style="1" bestFit="1" customWidth="1"/>
    <col min="10532" max="10540" width="11.42578125" style="1" customWidth="1"/>
    <col min="10541" max="10541" width="11.42578125" style="1"/>
    <col min="10542" max="10542" width="20.28515625" style="1" bestFit="1" customWidth="1"/>
    <col min="10543" max="10748" width="11.42578125" style="1"/>
    <col min="10749" max="10749" width="3.5703125" style="1" customWidth="1"/>
    <col min="10750" max="10750" width="38.28515625" style="1" customWidth="1"/>
    <col min="10751" max="10751" width="0.7109375" style="1" customWidth="1"/>
    <col min="10752" max="10756" width="0" style="1" hidden="1" customWidth="1"/>
    <col min="10757" max="10758" width="13.28515625" style="1" bestFit="1" customWidth="1"/>
    <col min="10759" max="10763" width="13.28515625" style="1" customWidth="1"/>
    <col min="10764" max="10764" width="11.42578125" style="1" customWidth="1"/>
    <col min="10765" max="10784" width="0" style="1" hidden="1" customWidth="1"/>
    <col min="10785" max="10786" width="11.42578125" style="1" customWidth="1"/>
    <col min="10787" max="10787" width="10.7109375" style="1" bestFit="1" customWidth="1"/>
    <col min="10788" max="10796" width="11.42578125" style="1" customWidth="1"/>
    <col min="10797" max="10797" width="11.42578125" style="1"/>
    <col min="10798" max="10798" width="20.28515625" style="1" bestFit="1" customWidth="1"/>
    <col min="10799" max="11004" width="11.42578125" style="1"/>
    <col min="11005" max="11005" width="3.5703125" style="1" customWidth="1"/>
    <col min="11006" max="11006" width="38.28515625" style="1" customWidth="1"/>
    <col min="11007" max="11007" width="0.7109375" style="1" customWidth="1"/>
    <col min="11008" max="11012" width="0" style="1" hidden="1" customWidth="1"/>
    <col min="11013" max="11014" width="13.28515625" style="1" bestFit="1" customWidth="1"/>
    <col min="11015" max="11019" width="13.28515625" style="1" customWidth="1"/>
    <col min="11020" max="11020" width="11.42578125" style="1" customWidth="1"/>
    <col min="11021" max="11040" width="0" style="1" hidden="1" customWidth="1"/>
    <col min="11041" max="11042" width="11.42578125" style="1" customWidth="1"/>
    <col min="11043" max="11043" width="10.7109375" style="1" bestFit="1" customWidth="1"/>
    <col min="11044" max="11052" width="11.42578125" style="1" customWidth="1"/>
    <col min="11053" max="11053" width="11.42578125" style="1"/>
    <col min="11054" max="11054" width="20.28515625" style="1" bestFit="1" customWidth="1"/>
    <col min="11055" max="11260" width="11.42578125" style="1"/>
    <col min="11261" max="11261" width="3.5703125" style="1" customWidth="1"/>
    <col min="11262" max="11262" width="38.28515625" style="1" customWidth="1"/>
    <col min="11263" max="11263" width="0.7109375" style="1" customWidth="1"/>
    <col min="11264" max="11268" width="0" style="1" hidden="1" customWidth="1"/>
    <col min="11269" max="11270" width="13.28515625" style="1" bestFit="1" customWidth="1"/>
    <col min="11271" max="11275" width="13.28515625" style="1" customWidth="1"/>
    <col min="11276" max="11276" width="11.42578125" style="1" customWidth="1"/>
    <col min="11277" max="11296" width="0" style="1" hidden="1" customWidth="1"/>
    <col min="11297" max="11298" width="11.42578125" style="1" customWidth="1"/>
    <col min="11299" max="11299" width="10.7109375" style="1" bestFit="1" customWidth="1"/>
    <col min="11300" max="11308" width="11.42578125" style="1" customWidth="1"/>
    <col min="11309" max="11309" width="11.42578125" style="1"/>
    <col min="11310" max="11310" width="20.28515625" style="1" bestFit="1" customWidth="1"/>
    <col min="11311" max="11516" width="11.42578125" style="1"/>
    <col min="11517" max="11517" width="3.5703125" style="1" customWidth="1"/>
    <col min="11518" max="11518" width="38.28515625" style="1" customWidth="1"/>
    <col min="11519" max="11519" width="0.7109375" style="1" customWidth="1"/>
    <col min="11520" max="11524" width="0" style="1" hidden="1" customWidth="1"/>
    <col min="11525" max="11526" width="13.28515625" style="1" bestFit="1" customWidth="1"/>
    <col min="11527" max="11531" width="13.28515625" style="1" customWidth="1"/>
    <col min="11532" max="11532" width="11.42578125" style="1" customWidth="1"/>
    <col min="11533" max="11552" width="0" style="1" hidden="1" customWidth="1"/>
    <col min="11553" max="11554" width="11.42578125" style="1" customWidth="1"/>
    <col min="11555" max="11555" width="10.7109375" style="1" bestFit="1" customWidth="1"/>
    <col min="11556" max="11564" width="11.42578125" style="1" customWidth="1"/>
    <col min="11565" max="11565" width="11.42578125" style="1"/>
    <col min="11566" max="11566" width="20.28515625" style="1" bestFit="1" customWidth="1"/>
    <col min="11567" max="11772" width="11.42578125" style="1"/>
    <col min="11773" max="11773" width="3.5703125" style="1" customWidth="1"/>
    <col min="11774" max="11774" width="38.28515625" style="1" customWidth="1"/>
    <col min="11775" max="11775" width="0.7109375" style="1" customWidth="1"/>
    <col min="11776" max="11780" width="0" style="1" hidden="1" customWidth="1"/>
    <col min="11781" max="11782" width="13.28515625" style="1" bestFit="1" customWidth="1"/>
    <col min="11783" max="11787" width="13.28515625" style="1" customWidth="1"/>
    <col min="11788" max="11788" width="11.42578125" style="1" customWidth="1"/>
    <col min="11789" max="11808" width="0" style="1" hidden="1" customWidth="1"/>
    <col min="11809" max="11810" width="11.42578125" style="1" customWidth="1"/>
    <col min="11811" max="11811" width="10.7109375" style="1" bestFit="1" customWidth="1"/>
    <col min="11812" max="11820" width="11.42578125" style="1" customWidth="1"/>
    <col min="11821" max="11821" width="11.42578125" style="1"/>
    <col min="11822" max="11822" width="20.28515625" style="1" bestFit="1" customWidth="1"/>
    <col min="11823" max="12028" width="11.42578125" style="1"/>
    <col min="12029" max="12029" width="3.5703125" style="1" customWidth="1"/>
    <col min="12030" max="12030" width="38.28515625" style="1" customWidth="1"/>
    <col min="12031" max="12031" width="0.7109375" style="1" customWidth="1"/>
    <col min="12032" max="12036" width="0" style="1" hidden="1" customWidth="1"/>
    <col min="12037" max="12038" width="13.28515625" style="1" bestFit="1" customWidth="1"/>
    <col min="12039" max="12043" width="13.28515625" style="1" customWidth="1"/>
    <col min="12044" max="12044" width="11.42578125" style="1" customWidth="1"/>
    <col min="12045" max="12064" width="0" style="1" hidden="1" customWidth="1"/>
    <col min="12065" max="12066" width="11.42578125" style="1" customWidth="1"/>
    <col min="12067" max="12067" width="10.7109375" style="1" bestFit="1" customWidth="1"/>
    <col min="12068" max="12076" width="11.42578125" style="1" customWidth="1"/>
    <col min="12077" max="12077" width="11.42578125" style="1"/>
    <col min="12078" max="12078" width="20.28515625" style="1" bestFit="1" customWidth="1"/>
    <col min="12079" max="12284" width="11.42578125" style="1"/>
    <col min="12285" max="12285" width="3.5703125" style="1" customWidth="1"/>
    <col min="12286" max="12286" width="38.28515625" style="1" customWidth="1"/>
    <col min="12287" max="12287" width="0.7109375" style="1" customWidth="1"/>
    <col min="12288" max="12292" width="0" style="1" hidden="1" customWidth="1"/>
    <col min="12293" max="12294" width="13.28515625" style="1" bestFit="1" customWidth="1"/>
    <col min="12295" max="12299" width="13.28515625" style="1" customWidth="1"/>
    <col min="12300" max="12300" width="11.42578125" style="1" customWidth="1"/>
    <col min="12301" max="12320" width="0" style="1" hidden="1" customWidth="1"/>
    <col min="12321" max="12322" width="11.42578125" style="1" customWidth="1"/>
    <col min="12323" max="12323" width="10.7109375" style="1" bestFit="1" customWidth="1"/>
    <col min="12324" max="12332" width="11.42578125" style="1" customWidth="1"/>
    <col min="12333" max="12333" width="11.42578125" style="1"/>
    <col min="12334" max="12334" width="20.28515625" style="1" bestFit="1" customWidth="1"/>
    <col min="12335" max="12540" width="11.42578125" style="1"/>
    <col min="12541" max="12541" width="3.5703125" style="1" customWidth="1"/>
    <col min="12542" max="12542" width="38.28515625" style="1" customWidth="1"/>
    <col min="12543" max="12543" width="0.7109375" style="1" customWidth="1"/>
    <col min="12544" max="12548" width="0" style="1" hidden="1" customWidth="1"/>
    <col min="12549" max="12550" width="13.28515625" style="1" bestFit="1" customWidth="1"/>
    <col min="12551" max="12555" width="13.28515625" style="1" customWidth="1"/>
    <col min="12556" max="12556" width="11.42578125" style="1" customWidth="1"/>
    <col min="12557" max="12576" width="0" style="1" hidden="1" customWidth="1"/>
    <col min="12577" max="12578" width="11.42578125" style="1" customWidth="1"/>
    <col min="12579" max="12579" width="10.7109375" style="1" bestFit="1" customWidth="1"/>
    <col min="12580" max="12588" width="11.42578125" style="1" customWidth="1"/>
    <col min="12589" max="12589" width="11.42578125" style="1"/>
    <col min="12590" max="12590" width="20.28515625" style="1" bestFit="1" customWidth="1"/>
    <col min="12591" max="12796" width="11.42578125" style="1"/>
    <col min="12797" max="12797" width="3.5703125" style="1" customWidth="1"/>
    <col min="12798" max="12798" width="38.28515625" style="1" customWidth="1"/>
    <col min="12799" max="12799" width="0.7109375" style="1" customWidth="1"/>
    <col min="12800" max="12804" width="0" style="1" hidden="1" customWidth="1"/>
    <col min="12805" max="12806" width="13.28515625" style="1" bestFit="1" customWidth="1"/>
    <col min="12807" max="12811" width="13.28515625" style="1" customWidth="1"/>
    <col min="12812" max="12812" width="11.42578125" style="1" customWidth="1"/>
    <col min="12813" max="12832" width="0" style="1" hidden="1" customWidth="1"/>
    <col min="12833" max="12834" width="11.42578125" style="1" customWidth="1"/>
    <col min="12835" max="12835" width="10.7109375" style="1" bestFit="1" customWidth="1"/>
    <col min="12836" max="12844" width="11.42578125" style="1" customWidth="1"/>
    <col min="12845" max="12845" width="11.42578125" style="1"/>
    <col min="12846" max="12846" width="20.28515625" style="1" bestFit="1" customWidth="1"/>
    <col min="12847" max="13052" width="11.42578125" style="1"/>
    <col min="13053" max="13053" width="3.5703125" style="1" customWidth="1"/>
    <col min="13054" max="13054" width="38.28515625" style="1" customWidth="1"/>
    <col min="13055" max="13055" width="0.7109375" style="1" customWidth="1"/>
    <col min="13056" max="13060" width="0" style="1" hidden="1" customWidth="1"/>
    <col min="13061" max="13062" width="13.28515625" style="1" bestFit="1" customWidth="1"/>
    <col min="13063" max="13067" width="13.28515625" style="1" customWidth="1"/>
    <col min="13068" max="13068" width="11.42578125" style="1" customWidth="1"/>
    <col min="13069" max="13088" width="0" style="1" hidden="1" customWidth="1"/>
    <col min="13089" max="13090" width="11.42578125" style="1" customWidth="1"/>
    <col min="13091" max="13091" width="10.7109375" style="1" bestFit="1" customWidth="1"/>
    <col min="13092" max="13100" width="11.42578125" style="1" customWidth="1"/>
    <col min="13101" max="13101" width="11.42578125" style="1"/>
    <col min="13102" max="13102" width="20.28515625" style="1" bestFit="1" customWidth="1"/>
    <col min="13103" max="13308" width="11.42578125" style="1"/>
    <col min="13309" max="13309" width="3.5703125" style="1" customWidth="1"/>
    <col min="13310" max="13310" width="38.28515625" style="1" customWidth="1"/>
    <col min="13311" max="13311" width="0.7109375" style="1" customWidth="1"/>
    <col min="13312" max="13316" width="0" style="1" hidden="1" customWidth="1"/>
    <col min="13317" max="13318" width="13.28515625" style="1" bestFit="1" customWidth="1"/>
    <col min="13319" max="13323" width="13.28515625" style="1" customWidth="1"/>
    <col min="13324" max="13324" width="11.42578125" style="1" customWidth="1"/>
    <col min="13325" max="13344" width="0" style="1" hidden="1" customWidth="1"/>
    <col min="13345" max="13346" width="11.42578125" style="1" customWidth="1"/>
    <col min="13347" max="13347" width="10.7109375" style="1" bestFit="1" customWidth="1"/>
    <col min="13348" max="13356" width="11.42578125" style="1" customWidth="1"/>
    <col min="13357" max="13357" width="11.42578125" style="1"/>
    <col min="13358" max="13358" width="20.28515625" style="1" bestFit="1" customWidth="1"/>
    <col min="13359" max="13564" width="11.42578125" style="1"/>
    <col min="13565" max="13565" width="3.5703125" style="1" customWidth="1"/>
    <col min="13566" max="13566" width="38.28515625" style="1" customWidth="1"/>
    <col min="13567" max="13567" width="0.7109375" style="1" customWidth="1"/>
    <col min="13568" max="13572" width="0" style="1" hidden="1" customWidth="1"/>
    <col min="13573" max="13574" width="13.28515625" style="1" bestFit="1" customWidth="1"/>
    <col min="13575" max="13579" width="13.28515625" style="1" customWidth="1"/>
    <col min="13580" max="13580" width="11.42578125" style="1" customWidth="1"/>
    <col min="13581" max="13600" width="0" style="1" hidden="1" customWidth="1"/>
    <col min="13601" max="13602" width="11.42578125" style="1" customWidth="1"/>
    <col min="13603" max="13603" width="10.7109375" style="1" bestFit="1" customWidth="1"/>
    <col min="13604" max="13612" width="11.42578125" style="1" customWidth="1"/>
    <col min="13613" max="13613" width="11.42578125" style="1"/>
    <col min="13614" max="13614" width="20.28515625" style="1" bestFit="1" customWidth="1"/>
    <col min="13615" max="13820" width="11.42578125" style="1"/>
    <col min="13821" max="13821" width="3.5703125" style="1" customWidth="1"/>
    <col min="13822" max="13822" width="38.28515625" style="1" customWidth="1"/>
    <col min="13823" max="13823" width="0.7109375" style="1" customWidth="1"/>
    <col min="13824" max="13828" width="0" style="1" hidden="1" customWidth="1"/>
    <col min="13829" max="13830" width="13.28515625" style="1" bestFit="1" customWidth="1"/>
    <col min="13831" max="13835" width="13.28515625" style="1" customWidth="1"/>
    <col min="13836" max="13836" width="11.42578125" style="1" customWidth="1"/>
    <col min="13837" max="13856" width="0" style="1" hidden="1" customWidth="1"/>
    <col min="13857" max="13858" width="11.42578125" style="1" customWidth="1"/>
    <col min="13859" max="13859" width="10.7109375" style="1" bestFit="1" customWidth="1"/>
    <col min="13860" max="13868" width="11.42578125" style="1" customWidth="1"/>
    <col min="13869" max="13869" width="11.42578125" style="1"/>
    <col min="13870" max="13870" width="20.28515625" style="1" bestFit="1" customWidth="1"/>
    <col min="13871" max="14076" width="11.42578125" style="1"/>
    <col min="14077" max="14077" width="3.5703125" style="1" customWidth="1"/>
    <col min="14078" max="14078" width="38.28515625" style="1" customWidth="1"/>
    <col min="14079" max="14079" width="0.7109375" style="1" customWidth="1"/>
    <col min="14080" max="14084" width="0" style="1" hidden="1" customWidth="1"/>
    <col min="14085" max="14086" width="13.28515625" style="1" bestFit="1" customWidth="1"/>
    <col min="14087" max="14091" width="13.28515625" style="1" customWidth="1"/>
    <col min="14092" max="14092" width="11.42578125" style="1" customWidth="1"/>
    <col min="14093" max="14112" width="0" style="1" hidden="1" customWidth="1"/>
    <col min="14113" max="14114" width="11.42578125" style="1" customWidth="1"/>
    <col min="14115" max="14115" width="10.7109375" style="1" bestFit="1" customWidth="1"/>
    <col min="14116" max="14124" width="11.42578125" style="1" customWidth="1"/>
    <col min="14125" max="14125" width="11.42578125" style="1"/>
    <col min="14126" max="14126" width="20.28515625" style="1" bestFit="1" customWidth="1"/>
    <col min="14127" max="14332" width="11.42578125" style="1"/>
    <col min="14333" max="14333" width="3.5703125" style="1" customWidth="1"/>
    <col min="14334" max="14334" width="38.28515625" style="1" customWidth="1"/>
    <col min="14335" max="14335" width="0.7109375" style="1" customWidth="1"/>
    <col min="14336" max="14340" width="0" style="1" hidden="1" customWidth="1"/>
    <col min="14341" max="14342" width="13.28515625" style="1" bestFit="1" customWidth="1"/>
    <col min="14343" max="14347" width="13.28515625" style="1" customWidth="1"/>
    <col min="14348" max="14348" width="11.42578125" style="1" customWidth="1"/>
    <col min="14349" max="14368" width="0" style="1" hidden="1" customWidth="1"/>
    <col min="14369" max="14370" width="11.42578125" style="1" customWidth="1"/>
    <col min="14371" max="14371" width="10.7109375" style="1" bestFit="1" customWidth="1"/>
    <col min="14372" max="14380" width="11.42578125" style="1" customWidth="1"/>
    <col min="14381" max="14381" width="11.42578125" style="1"/>
    <col min="14382" max="14382" width="20.28515625" style="1" bestFit="1" customWidth="1"/>
    <col min="14383" max="14588" width="11.42578125" style="1"/>
    <col min="14589" max="14589" width="3.5703125" style="1" customWidth="1"/>
    <col min="14590" max="14590" width="38.28515625" style="1" customWidth="1"/>
    <col min="14591" max="14591" width="0.7109375" style="1" customWidth="1"/>
    <col min="14592" max="14596" width="0" style="1" hidden="1" customWidth="1"/>
    <col min="14597" max="14598" width="13.28515625" style="1" bestFit="1" customWidth="1"/>
    <col min="14599" max="14603" width="13.28515625" style="1" customWidth="1"/>
    <col min="14604" max="14604" width="11.42578125" style="1" customWidth="1"/>
    <col min="14605" max="14624" width="0" style="1" hidden="1" customWidth="1"/>
    <col min="14625" max="14626" width="11.42578125" style="1" customWidth="1"/>
    <col min="14627" max="14627" width="10.7109375" style="1" bestFit="1" customWidth="1"/>
    <col min="14628" max="14636" width="11.42578125" style="1" customWidth="1"/>
    <col min="14637" max="14637" width="11.42578125" style="1"/>
    <col min="14638" max="14638" width="20.28515625" style="1" bestFit="1" customWidth="1"/>
    <col min="14639" max="14844" width="11.42578125" style="1"/>
    <col min="14845" max="14845" width="3.5703125" style="1" customWidth="1"/>
    <col min="14846" max="14846" width="38.28515625" style="1" customWidth="1"/>
    <col min="14847" max="14847" width="0.7109375" style="1" customWidth="1"/>
    <col min="14848" max="14852" width="0" style="1" hidden="1" customWidth="1"/>
    <col min="14853" max="14854" width="13.28515625" style="1" bestFit="1" customWidth="1"/>
    <col min="14855" max="14859" width="13.28515625" style="1" customWidth="1"/>
    <col min="14860" max="14860" width="11.42578125" style="1" customWidth="1"/>
    <col min="14861" max="14880" width="0" style="1" hidden="1" customWidth="1"/>
    <col min="14881" max="14882" width="11.42578125" style="1" customWidth="1"/>
    <col min="14883" max="14883" width="10.7109375" style="1" bestFit="1" customWidth="1"/>
    <col min="14884" max="14892" width="11.42578125" style="1" customWidth="1"/>
    <col min="14893" max="14893" width="11.42578125" style="1"/>
    <col min="14894" max="14894" width="20.28515625" style="1" bestFit="1" customWidth="1"/>
    <col min="14895" max="15100" width="11.42578125" style="1"/>
    <col min="15101" max="15101" width="3.5703125" style="1" customWidth="1"/>
    <col min="15102" max="15102" width="38.28515625" style="1" customWidth="1"/>
    <col min="15103" max="15103" width="0.7109375" style="1" customWidth="1"/>
    <col min="15104" max="15108" width="0" style="1" hidden="1" customWidth="1"/>
    <col min="15109" max="15110" width="13.28515625" style="1" bestFit="1" customWidth="1"/>
    <col min="15111" max="15115" width="13.28515625" style="1" customWidth="1"/>
    <col min="15116" max="15116" width="11.42578125" style="1" customWidth="1"/>
    <col min="15117" max="15136" width="0" style="1" hidden="1" customWidth="1"/>
    <col min="15137" max="15138" width="11.42578125" style="1" customWidth="1"/>
    <col min="15139" max="15139" width="10.7109375" style="1" bestFit="1" customWidth="1"/>
    <col min="15140" max="15148" width="11.42578125" style="1" customWidth="1"/>
    <col min="15149" max="15149" width="11.42578125" style="1"/>
    <col min="15150" max="15150" width="20.28515625" style="1" bestFit="1" customWidth="1"/>
    <col min="15151" max="15356" width="11.42578125" style="1"/>
    <col min="15357" max="15357" width="3.5703125" style="1" customWidth="1"/>
    <col min="15358" max="15358" width="38.28515625" style="1" customWidth="1"/>
    <col min="15359" max="15359" width="0.7109375" style="1" customWidth="1"/>
    <col min="15360" max="15364" width="0" style="1" hidden="1" customWidth="1"/>
    <col min="15365" max="15366" width="13.28515625" style="1" bestFit="1" customWidth="1"/>
    <col min="15367" max="15371" width="13.28515625" style="1" customWidth="1"/>
    <col min="15372" max="15372" width="11.42578125" style="1" customWidth="1"/>
    <col min="15373" max="15392" width="0" style="1" hidden="1" customWidth="1"/>
    <col min="15393" max="15394" width="11.42578125" style="1" customWidth="1"/>
    <col min="15395" max="15395" width="10.7109375" style="1" bestFit="1" customWidth="1"/>
    <col min="15396" max="15404" width="11.42578125" style="1" customWidth="1"/>
    <col min="15405" max="15405" width="11.42578125" style="1"/>
    <col min="15406" max="15406" width="20.28515625" style="1" bestFit="1" customWidth="1"/>
    <col min="15407" max="15612" width="11.42578125" style="1"/>
    <col min="15613" max="15613" width="3.5703125" style="1" customWidth="1"/>
    <col min="15614" max="15614" width="38.28515625" style="1" customWidth="1"/>
    <col min="15615" max="15615" width="0.7109375" style="1" customWidth="1"/>
    <col min="15616" max="15620" width="0" style="1" hidden="1" customWidth="1"/>
    <col min="15621" max="15622" width="13.28515625" style="1" bestFit="1" customWidth="1"/>
    <col min="15623" max="15627" width="13.28515625" style="1" customWidth="1"/>
    <col min="15628" max="15628" width="11.42578125" style="1" customWidth="1"/>
    <col min="15629" max="15648" width="0" style="1" hidden="1" customWidth="1"/>
    <col min="15649" max="15650" width="11.42578125" style="1" customWidth="1"/>
    <col min="15651" max="15651" width="10.7109375" style="1" bestFit="1" customWidth="1"/>
    <col min="15652" max="15660" width="11.42578125" style="1" customWidth="1"/>
    <col min="15661" max="15661" width="11.42578125" style="1"/>
    <col min="15662" max="15662" width="20.28515625" style="1" bestFit="1" customWidth="1"/>
    <col min="15663" max="15868" width="11.42578125" style="1"/>
    <col min="15869" max="15869" width="3.5703125" style="1" customWidth="1"/>
    <col min="15870" max="15870" width="38.28515625" style="1" customWidth="1"/>
    <col min="15871" max="15871" width="0.7109375" style="1" customWidth="1"/>
    <col min="15872" max="15876" width="0" style="1" hidden="1" customWidth="1"/>
    <col min="15877" max="15878" width="13.28515625" style="1" bestFit="1" customWidth="1"/>
    <col min="15879" max="15883" width="13.28515625" style="1" customWidth="1"/>
    <col min="15884" max="15884" width="11.42578125" style="1" customWidth="1"/>
    <col min="15885" max="15904" width="0" style="1" hidden="1" customWidth="1"/>
    <col min="15905" max="15906" width="11.42578125" style="1" customWidth="1"/>
    <col min="15907" max="15907" width="10.7109375" style="1" bestFit="1" customWidth="1"/>
    <col min="15908" max="15916" width="11.42578125" style="1" customWidth="1"/>
    <col min="15917" max="15917" width="11.42578125" style="1"/>
    <col min="15918" max="15918" width="20.28515625" style="1" bestFit="1" customWidth="1"/>
    <col min="15919" max="16124" width="11.42578125" style="1"/>
    <col min="16125" max="16125" width="3.5703125" style="1" customWidth="1"/>
    <col min="16126" max="16126" width="38.28515625" style="1" customWidth="1"/>
    <col min="16127" max="16127" width="0.7109375" style="1" customWidth="1"/>
    <col min="16128" max="16132" width="0" style="1" hidden="1" customWidth="1"/>
    <col min="16133" max="16134" width="13.28515625" style="1" bestFit="1" customWidth="1"/>
    <col min="16135" max="16139" width="13.28515625" style="1" customWidth="1"/>
    <col min="16140" max="16140" width="11.42578125" style="1" customWidth="1"/>
    <col min="16141" max="16160" width="0" style="1" hidden="1" customWidth="1"/>
    <col min="16161" max="16162" width="11.42578125" style="1" customWidth="1"/>
    <col min="16163" max="16163" width="10.7109375" style="1" bestFit="1" customWidth="1"/>
    <col min="16164" max="16172" width="11.42578125" style="1" customWidth="1"/>
    <col min="16173" max="16173" width="11.42578125" style="1"/>
    <col min="16174" max="16174" width="20.28515625" style="1" bestFit="1" customWidth="1"/>
    <col min="16175" max="16384" width="11.42578125" style="1"/>
  </cols>
  <sheetData>
    <row r="2" spans="2:51" s="314" customFormat="1" ht="21">
      <c r="B2" s="273" t="s">
        <v>224</v>
      </c>
      <c r="C2" s="274" t="s">
        <v>225</v>
      </c>
      <c r="D2" s="274" t="s">
        <v>225</v>
      </c>
      <c r="E2" s="274" t="s">
        <v>225</v>
      </c>
      <c r="F2" s="274" t="s">
        <v>225</v>
      </c>
      <c r="G2" s="274" t="s">
        <v>225</v>
      </c>
      <c r="H2" s="274" t="s">
        <v>225</v>
      </c>
      <c r="I2" s="274" t="s">
        <v>225</v>
      </c>
      <c r="J2" s="275" t="s">
        <v>225</v>
      </c>
      <c r="K2" s="275" t="s">
        <v>225</v>
      </c>
      <c r="L2" s="275" t="s">
        <v>225</v>
      </c>
      <c r="M2" s="331" t="s">
        <v>226</v>
      </c>
      <c r="N2" s="342"/>
      <c r="O2" s="275" t="s">
        <v>227</v>
      </c>
      <c r="P2" s="275" t="s">
        <v>227</v>
      </c>
      <c r="Q2" s="275" t="s">
        <v>227</v>
      </c>
      <c r="R2" s="275" t="s">
        <v>227</v>
      </c>
      <c r="S2" s="275" t="s">
        <v>227</v>
      </c>
      <c r="T2" s="275" t="s">
        <v>227</v>
      </c>
      <c r="U2" s="275" t="s">
        <v>227</v>
      </c>
      <c r="V2" s="275" t="s">
        <v>227</v>
      </c>
      <c r="W2" s="275" t="s">
        <v>227</v>
      </c>
      <c r="X2" s="275" t="s">
        <v>227</v>
      </c>
      <c r="Y2" s="275" t="s">
        <v>227</v>
      </c>
      <c r="Z2" s="275" t="s">
        <v>227</v>
      </c>
      <c r="AA2" s="275" t="s">
        <v>227</v>
      </c>
      <c r="AB2" s="275" t="s">
        <v>227</v>
      </c>
      <c r="AC2" s="275" t="s">
        <v>227</v>
      </c>
      <c r="AD2" s="275" t="s">
        <v>227</v>
      </c>
      <c r="AE2" s="275" t="s">
        <v>227</v>
      </c>
      <c r="AF2" s="275" t="s">
        <v>227</v>
      </c>
      <c r="AG2" s="275" t="s">
        <v>227</v>
      </c>
      <c r="AH2" s="275" t="s">
        <v>227</v>
      </c>
      <c r="AI2" s="275" t="s">
        <v>227</v>
      </c>
      <c r="AJ2" s="275" t="s">
        <v>227</v>
      </c>
      <c r="AK2" s="275" t="s">
        <v>227</v>
      </c>
      <c r="AL2" s="275" t="s">
        <v>227</v>
      </c>
      <c r="AM2" s="275" t="s">
        <v>227</v>
      </c>
      <c r="AN2" s="275" t="s">
        <v>227</v>
      </c>
      <c r="AO2" s="275" t="s">
        <v>227</v>
      </c>
      <c r="AP2" s="275" t="s">
        <v>227</v>
      </c>
      <c r="AQ2" s="275" t="s">
        <v>227</v>
      </c>
      <c r="AR2" s="275" t="s">
        <v>227</v>
      </c>
      <c r="AS2" s="275" t="s">
        <v>227</v>
      </c>
      <c r="AT2" s="275" t="s">
        <v>227</v>
      </c>
      <c r="AU2" s="275" t="s">
        <v>227</v>
      </c>
      <c r="AV2" s="331" t="s">
        <v>227</v>
      </c>
      <c r="AW2" s="278"/>
      <c r="AY2" s="274" t="s">
        <v>227</v>
      </c>
    </row>
    <row r="3" spans="2:51" s="317" customFormat="1" ht="12.75">
      <c r="B3" s="315" t="s">
        <v>228</v>
      </c>
      <c r="C3" s="310">
        <v>42735</v>
      </c>
      <c r="D3" s="310">
        <v>43100</v>
      </c>
      <c r="E3" s="310">
        <v>43465</v>
      </c>
      <c r="F3" s="310">
        <v>43830</v>
      </c>
      <c r="G3" s="310">
        <v>44196</v>
      </c>
      <c r="H3" s="310">
        <v>44561</v>
      </c>
      <c r="I3" s="310">
        <v>44926</v>
      </c>
      <c r="J3" s="310">
        <v>45291</v>
      </c>
      <c r="K3" s="310">
        <v>45657</v>
      </c>
      <c r="L3" s="310">
        <v>46022</v>
      </c>
      <c r="M3" s="332">
        <f>AV3</f>
        <v>46203</v>
      </c>
      <c r="N3" s="316"/>
      <c r="O3" s="310">
        <v>43190</v>
      </c>
      <c r="P3" s="310">
        <v>43281</v>
      </c>
      <c r="Q3" s="310">
        <v>43373</v>
      </c>
      <c r="R3" s="310">
        <v>43465</v>
      </c>
      <c r="S3" s="310">
        <v>43555</v>
      </c>
      <c r="T3" s="310">
        <v>43646</v>
      </c>
      <c r="U3" s="310">
        <v>43738</v>
      </c>
      <c r="V3" s="310">
        <v>43830</v>
      </c>
      <c r="W3" s="310">
        <v>43921</v>
      </c>
      <c r="X3" s="310">
        <v>44012</v>
      </c>
      <c r="Y3" s="310">
        <v>44104</v>
      </c>
      <c r="Z3" s="310">
        <v>44196</v>
      </c>
      <c r="AA3" s="310">
        <v>44286</v>
      </c>
      <c r="AB3" s="310">
        <v>44348</v>
      </c>
      <c r="AC3" s="310">
        <v>44469</v>
      </c>
      <c r="AD3" s="310">
        <v>44561</v>
      </c>
      <c r="AE3" s="310">
        <v>44651</v>
      </c>
      <c r="AF3" s="310">
        <v>44742</v>
      </c>
      <c r="AG3" s="310">
        <v>44834</v>
      </c>
      <c r="AH3" s="310">
        <v>44926</v>
      </c>
      <c r="AI3" s="310">
        <v>45016</v>
      </c>
      <c r="AJ3" s="310">
        <v>45107</v>
      </c>
      <c r="AK3" s="310">
        <v>45199</v>
      </c>
      <c r="AL3" s="310">
        <v>45291</v>
      </c>
      <c r="AM3" s="310">
        <v>45382</v>
      </c>
      <c r="AN3" s="310">
        <v>45473</v>
      </c>
      <c r="AO3" s="310">
        <v>45565</v>
      </c>
      <c r="AP3" s="310">
        <v>45657</v>
      </c>
      <c r="AQ3" s="310">
        <v>45747</v>
      </c>
      <c r="AR3" s="310">
        <v>45838</v>
      </c>
      <c r="AS3" s="310">
        <v>45930</v>
      </c>
      <c r="AT3" s="310">
        <v>46022</v>
      </c>
      <c r="AU3" s="310">
        <v>46112</v>
      </c>
      <c r="AV3" s="332">
        <v>46203</v>
      </c>
      <c r="AW3" s="316"/>
      <c r="AY3" s="310">
        <v>44104</v>
      </c>
    </row>
    <row r="4" spans="2:51" s="317" customFormat="1" ht="12.75">
      <c r="B4" s="315"/>
      <c r="C4" s="310" t="s">
        <v>229</v>
      </c>
      <c r="D4" s="310" t="s">
        <v>229</v>
      </c>
      <c r="E4" s="310" t="s">
        <v>229</v>
      </c>
      <c r="F4" s="310" t="s">
        <v>229</v>
      </c>
      <c r="G4" s="310" t="s">
        <v>229</v>
      </c>
      <c r="H4" s="310" t="s">
        <v>229</v>
      </c>
      <c r="I4" s="310" t="s">
        <v>229</v>
      </c>
      <c r="J4" s="310" t="s">
        <v>229</v>
      </c>
      <c r="K4" s="310" t="s">
        <v>229</v>
      </c>
      <c r="L4" s="310" t="s">
        <v>229</v>
      </c>
      <c r="M4" s="332" t="s">
        <v>229</v>
      </c>
      <c r="N4" s="316"/>
      <c r="O4" s="310" t="s">
        <v>229</v>
      </c>
      <c r="P4" s="310" t="s">
        <v>229</v>
      </c>
      <c r="Q4" s="310" t="s">
        <v>229</v>
      </c>
      <c r="R4" s="310" t="s">
        <v>229</v>
      </c>
      <c r="S4" s="310" t="s">
        <v>229</v>
      </c>
      <c r="T4" s="310" t="s">
        <v>229</v>
      </c>
      <c r="U4" s="310" t="s">
        <v>229</v>
      </c>
      <c r="V4" s="310" t="s">
        <v>229</v>
      </c>
      <c r="W4" s="310" t="s">
        <v>229</v>
      </c>
      <c r="X4" s="310" t="s">
        <v>229</v>
      </c>
      <c r="Y4" s="310" t="s">
        <v>229</v>
      </c>
      <c r="Z4" s="310" t="s">
        <v>229</v>
      </c>
      <c r="AA4" s="310" t="s">
        <v>229</v>
      </c>
      <c r="AB4" s="310" t="s">
        <v>229</v>
      </c>
      <c r="AC4" s="310" t="s">
        <v>229</v>
      </c>
      <c r="AD4" s="310" t="s">
        <v>229</v>
      </c>
      <c r="AE4" s="310" t="s">
        <v>230</v>
      </c>
      <c r="AF4" s="310" t="s">
        <v>230</v>
      </c>
      <c r="AG4" s="310" t="s">
        <v>230</v>
      </c>
      <c r="AH4" s="310" t="s">
        <v>229</v>
      </c>
      <c r="AI4" s="310" t="s">
        <v>229</v>
      </c>
      <c r="AJ4" s="310" t="s">
        <v>229</v>
      </c>
      <c r="AK4" s="310" t="s">
        <v>229</v>
      </c>
      <c r="AL4" s="310" t="s">
        <v>229</v>
      </c>
      <c r="AM4" s="310" t="s">
        <v>229</v>
      </c>
      <c r="AN4" s="310" t="s">
        <v>229</v>
      </c>
      <c r="AO4" s="310" t="s">
        <v>229</v>
      </c>
      <c r="AP4" s="310" t="s">
        <v>229</v>
      </c>
      <c r="AQ4" s="310" t="s">
        <v>229</v>
      </c>
      <c r="AR4" s="310" t="s">
        <v>229</v>
      </c>
      <c r="AS4" s="310" t="s">
        <v>229</v>
      </c>
      <c r="AT4" s="310" t="s">
        <v>229</v>
      </c>
      <c r="AU4" s="310" t="s">
        <v>229</v>
      </c>
      <c r="AV4" s="332" t="s">
        <v>229</v>
      </c>
      <c r="AW4" s="316"/>
      <c r="AY4" s="310" t="s">
        <v>229</v>
      </c>
    </row>
    <row r="5" spans="2:51" s="318" customFormat="1" ht="12.75">
      <c r="C5" s="319" t="s">
        <v>231</v>
      </c>
      <c r="D5" s="319" t="s">
        <v>232</v>
      </c>
      <c r="E5" s="319" t="s">
        <v>233</v>
      </c>
      <c r="F5" s="319" t="s">
        <v>234</v>
      </c>
      <c r="G5" s="319" t="s">
        <v>235</v>
      </c>
      <c r="H5" s="319" t="s">
        <v>236</v>
      </c>
      <c r="I5" s="319" t="s">
        <v>237</v>
      </c>
      <c r="J5" s="319" t="s">
        <v>238</v>
      </c>
      <c r="K5" s="319" t="s">
        <v>239</v>
      </c>
      <c r="L5" s="319" t="s">
        <v>239</v>
      </c>
      <c r="M5" s="320" t="s">
        <v>226</v>
      </c>
      <c r="N5" s="319"/>
      <c r="O5" s="319" t="s">
        <v>240</v>
      </c>
      <c r="P5" s="319" t="s">
        <v>241</v>
      </c>
      <c r="Q5" s="319" t="s">
        <v>242</v>
      </c>
      <c r="R5" s="319" t="s">
        <v>243</v>
      </c>
      <c r="S5" s="319" t="s">
        <v>244</v>
      </c>
      <c r="T5" s="319" t="s">
        <v>245</v>
      </c>
      <c r="U5" s="319" t="s">
        <v>246</v>
      </c>
      <c r="V5" s="319" t="s">
        <v>247</v>
      </c>
      <c r="W5" s="319" t="s">
        <v>248</v>
      </c>
      <c r="X5" s="319" t="s">
        <v>249</v>
      </c>
      <c r="Y5" s="319" t="s">
        <v>250</v>
      </c>
      <c r="Z5" s="319" t="s">
        <v>251</v>
      </c>
      <c r="AA5" s="319" t="s">
        <v>252</v>
      </c>
      <c r="AB5" s="319" t="s">
        <v>253</v>
      </c>
      <c r="AC5" s="319" t="s">
        <v>254</v>
      </c>
      <c r="AD5" s="319" t="s">
        <v>255</v>
      </c>
      <c r="AE5" s="319" t="s">
        <v>256</v>
      </c>
      <c r="AF5" s="319" t="s">
        <v>257</v>
      </c>
      <c r="AG5" s="319" t="s">
        <v>258</v>
      </c>
      <c r="AH5" s="319" t="s">
        <v>259</v>
      </c>
      <c r="AI5" s="319" t="s">
        <v>260</v>
      </c>
      <c r="AJ5" s="319" t="s">
        <v>261</v>
      </c>
      <c r="AK5" s="319" t="s">
        <v>262</v>
      </c>
      <c r="AL5" s="319" t="s">
        <v>263</v>
      </c>
      <c r="AM5" s="319" t="s">
        <v>264</v>
      </c>
      <c r="AN5" s="319" t="s">
        <v>265</v>
      </c>
      <c r="AO5" s="319" t="s">
        <v>266</v>
      </c>
      <c r="AP5" s="319" t="s">
        <v>267</v>
      </c>
      <c r="AQ5" s="319" t="s">
        <v>268</v>
      </c>
      <c r="AR5" s="319" t="s">
        <v>269</v>
      </c>
      <c r="AS5" s="319" t="s">
        <v>270</v>
      </c>
      <c r="AT5" s="319" t="s">
        <v>271</v>
      </c>
      <c r="AU5" s="319" t="s">
        <v>272</v>
      </c>
      <c r="AV5" s="319" t="s">
        <v>269</v>
      </c>
      <c r="AW5" s="319"/>
      <c r="AY5" s="319" t="s">
        <v>250</v>
      </c>
    </row>
    <row r="6" spans="2:51" s="324" customFormat="1" ht="13.5" customHeight="1">
      <c r="B6" s="321" t="s">
        <v>273</v>
      </c>
      <c r="C6" s="322"/>
      <c r="D6" s="323"/>
      <c r="E6" s="322"/>
      <c r="F6" s="323"/>
      <c r="G6" s="323"/>
      <c r="H6" s="323"/>
      <c r="I6" s="323"/>
      <c r="J6" s="323"/>
      <c r="K6" s="323"/>
      <c r="L6" s="323"/>
      <c r="M6" s="323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6"/>
      <c r="AX6" s="327"/>
      <c r="AY6" s="322" t="s">
        <v>230</v>
      </c>
    </row>
    <row r="7" spans="2:51" s="2" customFormat="1" ht="12.75">
      <c r="B7" s="2" t="s">
        <v>274</v>
      </c>
      <c r="C7" s="5">
        <v>157210</v>
      </c>
      <c r="D7" s="5">
        <v>150172</v>
      </c>
      <c r="E7" s="5">
        <v>152369</v>
      </c>
      <c r="F7" s="5">
        <v>161355</v>
      </c>
      <c r="G7" s="5">
        <v>173634</v>
      </c>
      <c r="H7" s="5">
        <v>184680</v>
      </c>
      <c r="I7" s="5">
        <v>195344</v>
      </c>
      <c r="J7" s="5">
        <v>201832</v>
      </c>
      <c r="K7" s="5">
        <v>208382</v>
      </c>
      <c r="L7" s="5">
        <v>212186</v>
      </c>
      <c r="M7" s="6">
        <f>SUM(AS7:AV7)</f>
        <v>214610</v>
      </c>
      <c r="N7" s="6"/>
      <c r="O7" s="5">
        <v>37745</v>
      </c>
      <c r="P7" s="5">
        <v>38616</v>
      </c>
      <c r="Q7" s="5">
        <v>38015</v>
      </c>
      <c r="R7" s="6">
        <f>E7-Q7-P7-O7</f>
        <v>37993</v>
      </c>
      <c r="S7" s="5">
        <v>38792</v>
      </c>
      <c r="T7" s="5">
        <v>39564</v>
      </c>
      <c r="U7" s="5">
        <v>40652</v>
      </c>
      <c r="V7" s="6">
        <f>F7-U7-T7-S7</f>
        <v>42347</v>
      </c>
      <c r="W7" s="5">
        <v>41797</v>
      </c>
      <c r="X7" s="5">
        <v>41685</v>
      </c>
      <c r="Y7" s="5">
        <v>44367</v>
      </c>
      <c r="Z7" s="6">
        <f>G7-Y7-X7-W7</f>
        <v>45785</v>
      </c>
      <c r="AA7" s="5">
        <v>45677</v>
      </c>
      <c r="AB7" s="5">
        <v>45916</v>
      </c>
      <c r="AC7" s="5">
        <v>46867</v>
      </c>
      <c r="AD7" s="6">
        <f>H7-AC7-AB7-AA7</f>
        <v>46220</v>
      </c>
      <c r="AE7" s="5">
        <v>47651</v>
      </c>
      <c r="AF7" s="5">
        <v>48849</v>
      </c>
      <c r="AG7" s="5">
        <v>49215</v>
      </c>
      <c r="AH7" s="6">
        <f>I7-AG7-AF7-AE7</f>
        <v>49629</v>
      </c>
      <c r="AI7" s="5">
        <v>49726</v>
      </c>
      <c r="AJ7" s="5">
        <v>49525</v>
      </c>
      <c r="AK7" s="5">
        <v>50501</v>
      </c>
      <c r="AL7" s="6">
        <f>J7-AK7-AJ7-AI7</f>
        <v>52080</v>
      </c>
      <c r="AM7" s="5">
        <v>52195</v>
      </c>
      <c r="AN7" s="5">
        <v>51248</v>
      </c>
      <c r="AO7" s="5">
        <v>51552</v>
      </c>
      <c r="AP7" s="6">
        <f>K7-AO7-AN7-AM7</f>
        <v>53387</v>
      </c>
      <c r="AQ7" s="5">
        <v>53421</v>
      </c>
      <c r="AR7" s="5">
        <v>52887</v>
      </c>
      <c r="AS7" s="5">
        <v>52595</v>
      </c>
      <c r="AT7" s="6">
        <f>L7-AS7-AR7-AQ7</f>
        <v>53283</v>
      </c>
      <c r="AU7" s="5">
        <v>54905</v>
      </c>
      <c r="AV7" s="5">
        <v>53827</v>
      </c>
      <c r="AW7" s="5"/>
      <c r="AX7" s="328"/>
      <c r="AY7" s="5">
        <v>44367</v>
      </c>
    </row>
    <row r="8" spans="2:51" s="7" customFormat="1" ht="12.75">
      <c r="B8" s="8" t="s">
        <v>275</v>
      </c>
      <c r="C8" s="10"/>
      <c r="D8" s="10">
        <f>D7/C7-1</f>
        <v>-4.476814452006872E-2</v>
      </c>
      <c r="E8" s="10">
        <f t="shared" ref="E8:F8" si="0">E7/D7-1</f>
        <v>1.4629891058253186E-2</v>
      </c>
      <c r="F8" s="10">
        <f t="shared" si="0"/>
        <v>5.8975250871240226E-2</v>
      </c>
      <c r="G8" s="10">
        <f t="shared" ref="G8:L8" si="1">G7/F7-1</f>
        <v>7.6099284187040928E-2</v>
      </c>
      <c r="H8" s="10">
        <f t="shared" si="1"/>
        <v>6.3616572791043158E-2</v>
      </c>
      <c r="I8" s="10">
        <f t="shared" si="1"/>
        <v>5.7743123240199257E-2</v>
      </c>
      <c r="J8" s="10">
        <f t="shared" si="1"/>
        <v>3.3213203374559797E-2</v>
      </c>
      <c r="K8" s="10">
        <f t="shared" si="1"/>
        <v>3.2452732966031128E-2</v>
      </c>
      <c r="L8" s="10">
        <f t="shared" si="1"/>
        <v>1.8254935647032955E-2</v>
      </c>
      <c r="M8" s="10"/>
      <c r="N8" s="196"/>
      <c r="O8" s="10"/>
      <c r="P8" s="10"/>
      <c r="Q8" s="10"/>
      <c r="R8" s="10"/>
      <c r="S8" s="10">
        <f t="shared" ref="S8:W8" si="2">S7/O7-1</f>
        <v>2.7738773347463219E-2</v>
      </c>
      <c r="T8" s="10">
        <f>T7/P7-1</f>
        <v>2.4549409571162251E-2</v>
      </c>
      <c r="U8" s="10">
        <f t="shared" si="2"/>
        <v>6.9367354991450636E-2</v>
      </c>
      <c r="V8" s="10">
        <f t="shared" si="2"/>
        <v>0.11460005790540362</v>
      </c>
      <c r="W8" s="10">
        <f t="shared" si="2"/>
        <v>7.7464425654774072E-2</v>
      </c>
      <c r="X8" s="10">
        <f>X7/T7-1</f>
        <v>5.3609341825902268E-2</v>
      </c>
      <c r="Y8" s="10">
        <f>Y7/U7-1</f>
        <v>9.1385417691626447E-2</v>
      </c>
      <c r="Z8" s="10">
        <f t="shared" ref="Z8" si="3">Z7/V7-1</f>
        <v>8.1186388646184993E-2</v>
      </c>
      <c r="AA8" s="10">
        <f t="shared" ref="AA8:AV8" si="4">AA7/W7-1</f>
        <v>9.2829628920735985E-2</v>
      </c>
      <c r="AB8" s="10">
        <f t="shared" si="4"/>
        <v>0.10149934029027219</v>
      </c>
      <c r="AC8" s="10">
        <f t="shared" si="4"/>
        <v>5.6348186715351467E-2</v>
      </c>
      <c r="AD8" s="10">
        <f t="shared" si="4"/>
        <v>9.5009282516107518E-3</v>
      </c>
      <c r="AE8" s="10">
        <f t="shared" si="4"/>
        <v>4.3216498456553731E-2</v>
      </c>
      <c r="AF8" s="10">
        <f t="shared" si="4"/>
        <v>6.3877515463019341E-2</v>
      </c>
      <c r="AG8" s="10">
        <f t="shared" si="4"/>
        <v>5.0099216933023216E-2</v>
      </c>
      <c r="AH8" s="10">
        <f t="shared" si="4"/>
        <v>7.3755949805279108E-2</v>
      </c>
      <c r="AI8" s="10">
        <f t="shared" si="4"/>
        <v>4.3545780781095944E-2</v>
      </c>
      <c r="AJ8" s="10">
        <f t="shared" si="4"/>
        <v>1.3838563737231135E-2</v>
      </c>
      <c r="AK8" s="10">
        <f t="shared" si="4"/>
        <v>2.6130244844051687E-2</v>
      </c>
      <c r="AL8" s="10">
        <f t="shared" si="4"/>
        <v>4.9386447440004755E-2</v>
      </c>
      <c r="AM8" s="10">
        <f t="shared" si="4"/>
        <v>4.9652093472227765E-2</v>
      </c>
      <c r="AN8" s="10">
        <f t="shared" si="4"/>
        <v>3.4790509843513284E-2</v>
      </c>
      <c r="AO8" s="10">
        <f t="shared" si="4"/>
        <v>2.0811469079820233E-2</v>
      </c>
      <c r="AP8" s="10">
        <f t="shared" si="4"/>
        <v>2.5096006144393224E-2</v>
      </c>
      <c r="AQ8" s="10">
        <f t="shared" si="4"/>
        <v>2.3488839927196192E-2</v>
      </c>
      <c r="AR8" s="10">
        <f t="shared" si="4"/>
        <v>3.1981735872619321E-2</v>
      </c>
      <c r="AS8" s="10">
        <f t="shared" si="4"/>
        <v>2.0231998758535097E-2</v>
      </c>
      <c r="AT8" s="10">
        <f t="shared" si="4"/>
        <v>-1.9480397849663822E-3</v>
      </c>
      <c r="AU8" s="10">
        <f t="shared" si="4"/>
        <v>2.7779337713633279E-2</v>
      </c>
      <c r="AV8" s="10">
        <f t="shared" si="4"/>
        <v>1.7773744020269655E-2</v>
      </c>
      <c r="AW8" s="196"/>
      <c r="AY8" s="10">
        <f>AY7/U7-1</f>
        <v>9.1385417691626447E-2</v>
      </c>
    </row>
    <row r="9" spans="2:51" s="7" customFormat="1" ht="12.75">
      <c r="B9" s="1" t="s">
        <v>276</v>
      </c>
      <c r="C9" s="11">
        <v>8052</v>
      </c>
      <c r="D9" s="11">
        <v>8761</v>
      </c>
      <c r="E9" s="11">
        <v>10545</v>
      </c>
      <c r="F9" s="11">
        <v>7832</v>
      </c>
      <c r="G9" s="11">
        <v>7370</v>
      </c>
      <c r="H9" s="11">
        <v>7506</v>
      </c>
      <c r="I9" s="11">
        <v>9018</v>
      </c>
      <c r="J9" s="11">
        <v>9121</v>
      </c>
      <c r="K9" s="11">
        <v>8451</v>
      </c>
      <c r="L9" s="11">
        <v>6202</v>
      </c>
      <c r="M9" s="12">
        <f>SUM(AS9:AV9)</f>
        <v>6210</v>
      </c>
      <c r="N9" s="6"/>
      <c r="O9" s="11">
        <v>2762</v>
      </c>
      <c r="P9" s="11">
        <v>3116</v>
      </c>
      <c r="Q9" s="11">
        <v>2397</v>
      </c>
      <c r="R9" s="12">
        <f>E9-Q9-P9-O9</f>
        <v>2270</v>
      </c>
      <c r="S9" s="11">
        <v>1826</v>
      </c>
      <c r="T9" s="11">
        <v>1802</v>
      </c>
      <c r="U9" s="11">
        <v>1800</v>
      </c>
      <c r="V9" s="12">
        <f>F9-U9-T9-S9</f>
        <v>2404</v>
      </c>
      <c r="W9" s="11">
        <v>1849</v>
      </c>
      <c r="X9" s="11">
        <v>1404</v>
      </c>
      <c r="Y9" s="11">
        <v>2120</v>
      </c>
      <c r="Z9" s="12">
        <f>G9-Y9-X9-W9</f>
        <v>1997</v>
      </c>
      <c r="AA9" s="11">
        <v>2247</v>
      </c>
      <c r="AB9" s="11">
        <v>1783</v>
      </c>
      <c r="AC9" s="11">
        <v>1366</v>
      </c>
      <c r="AD9" s="12">
        <f>H9-AC9-AB9-AA9</f>
        <v>2110</v>
      </c>
      <c r="AE9" s="11">
        <v>2174</v>
      </c>
      <c r="AF9" s="11">
        <v>2113</v>
      </c>
      <c r="AG9" s="11">
        <v>2132</v>
      </c>
      <c r="AH9" s="12">
        <f>I9-AG9-AF9-AE9</f>
        <v>2599</v>
      </c>
      <c r="AI9" s="11">
        <v>2636</v>
      </c>
      <c r="AJ9" s="11">
        <v>2151</v>
      </c>
      <c r="AK9" s="11">
        <v>1817</v>
      </c>
      <c r="AL9" s="12">
        <f>J9-AK9-AJ9-AI9</f>
        <v>2517</v>
      </c>
      <c r="AM9" s="11">
        <v>2029</v>
      </c>
      <c r="AN9" s="11">
        <v>2111</v>
      </c>
      <c r="AO9" s="11">
        <v>1807</v>
      </c>
      <c r="AP9" s="12">
        <f>K9-AO9-AN9-AM9</f>
        <v>2504</v>
      </c>
      <c r="AQ9" s="11">
        <v>1856</v>
      </c>
      <c r="AR9" s="11">
        <v>1410</v>
      </c>
      <c r="AS9" s="11">
        <v>1114</v>
      </c>
      <c r="AT9" s="12">
        <f>L9-AS9-AR9-AQ9</f>
        <v>1822</v>
      </c>
      <c r="AU9" s="11">
        <v>1608</v>
      </c>
      <c r="AV9" s="11">
        <v>1666</v>
      </c>
      <c r="AW9" s="11"/>
      <c r="AY9" s="11">
        <v>2120</v>
      </c>
    </row>
    <row r="10" spans="2:51" s="2" customFormat="1" ht="12.75">
      <c r="B10" s="2" t="s">
        <v>277</v>
      </c>
      <c r="C10" s="6">
        <f t="shared" ref="C10:S10" si="5">C7+C9</f>
        <v>165262</v>
      </c>
      <c r="D10" s="6">
        <f t="shared" si="5"/>
        <v>158933</v>
      </c>
      <c r="E10" s="6">
        <f t="shared" si="5"/>
        <v>162914</v>
      </c>
      <c r="F10" s="6">
        <f t="shared" si="5"/>
        <v>169187</v>
      </c>
      <c r="G10" s="6">
        <f t="shared" ref="G10:H10" si="6">G7+G9</f>
        <v>181004</v>
      </c>
      <c r="H10" s="6">
        <f t="shared" si="6"/>
        <v>192186</v>
      </c>
      <c r="I10" s="6">
        <f t="shared" ref="I10:J10" si="7">I7+I9</f>
        <v>204362</v>
      </c>
      <c r="J10" s="6">
        <f t="shared" si="7"/>
        <v>210953</v>
      </c>
      <c r="K10" s="6">
        <f t="shared" ref="K10:L10" si="8">K7+K9</f>
        <v>216833</v>
      </c>
      <c r="L10" s="6">
        <f t="shared" si="8"/>
        <v>218388</v>
      </c>
      <c r="M10" s="6">
        <f>M7+M9</f>
        <v>220820</v>
      </c>
      <c r="N10" s="6"/>
      <c r="O10" s="6">
        <f t="shared" si="5"/>
        <v>40507</v>
      </c>
      <c r="P10" s="6">
        <f t="shared" si="5"/>
        <v>41732</v>
      </c>
      <c r="Q10" s="6">
        <f t="shared" si="5"/>
        <v>40412</v>
      </c>
      <c r="R10" s="6">
        <f t="shared" si="5"/>
        <v>40263</v>
      </c>
      <c r="S10" s="6">
        <f t="shared" si="5"/>
        <v>40618</v>
      </c>
      <c r="T10" s="6">
        <f>T7+T9</f>
        <v>41366</v>
      </c>
      <c r="U10" s="6">
        <f>U7+U9</f>
        <v>42452</v>
      </c>
      <c r="V10" s="6">
        <f>V7+V9</f>
        <v>44751</v>
      </c>
      <c r="W10" s="6">
        <f t="shared" ref="W10" si="9">W7+W9</f>
        <v>43646</v>
      </c>
      <c r="X10" s="6">
        <f>X7+X9</f>
        <v>43089</v>
      </c>
      <c r="Y10" s="6">
        <f>Y7+Y9</f>
        <v>46487</v>
      </c>
      <c r="Z10" s="6">
        <f>Z7+Z9</f>
        <v>47782</v>
      </c>
      <c r="AA10" s="6">
        <f t="shared" ref="AA10" si="10">AA7+AA9</f>
        <v>47924</v>
      </c>
      <c r="AB10" s="6">
        <f>AB7+AB9</f>
        <v>47699</v>
      </c>
      <c r="AC10" s="6">
        <f>AC7+AC9</f>
        <v>48233</v>
      </c>
      <c r="AD10" s="6">
        <f>AD7+AD9</f>
        <v>48330</v>
      </c>
      <c r="AE10" s="6">
        <f t="shared" ref="AE10:AF10" si="11">AE7+AE9</f>
        <v>49825</v>
      </c>
      <c r="AF10" s="6">
        <f t="shared" si="11"/>
        <v>50962</v>
      </c>
      <c r="AG10" s="6">
        <f>AG7+AG9</f>
        <v>51347</v>
      </c>
      <c r="AH10" s="6">
        <f>AH7+AH9</f>
        <v>52228</v>
      </c>
      <c r="AI10" s="6">
        <f t="shared" ref="AI10:AJ10" si="12">AI7+AI9</f>
        <v>52362</v>
      </c>
      <c r="AJ10" s="6">
        <f t="shared" si="12"/>
        <v>51676</v>
      </c>
      <c r="AK10" s="6">
        <f>AK7+AK9</f>
        <v>52318</v>
      </c>
      <c r="AL10" s="6">
        <f>AL7+AL9</f>
        <v>54597</v>
      </c>
      <c r="AM10" s="6">
        <f t="shared" ref="AM10:AN10" si="13">AM7+AM9</f>
        <v>54224</v>
      </c>
      <c r="AN10" s="6">
        <f t="shared" si="13"/>
        <v>53359</v>
      </c>
      <c r="AO10" s="6">
        <f>AO7+AO9</f>
        <v>53359</v>
      </c>
      <c r="AP10" s="6">
        <f>AP7+AP9</f>
        <v>55891</v>
      </c>
      <c r="AQ10" s="6">
        <f t="shared" ref="AQ10:AR10" si="14">AQ7+AQ9</f>
        <v>55277</v>
      </c>
      <c r="AR10" s="6">
        <f t="shared" si="14"/>
        <v>54297</v>
      </c>
      <c r="AS10" s="6">
        <f>AS7+AS9</f>
        <v>53709</v>
      </c>
      <c r="AT10" s="6">
        <f>AT7+AT9</f>
        <v>55105</v>
      </c>
      <c r="AU10" s="6">
        <f t="shared" ref="AU10:AV10" si="15">AU7+AU9</f>
        <v>56513</v>
      </c>
      <c r="AV10" s="6">
        <f t="shared" si="15"/>
        <v>55493</v>
      </c>
      <c r="AW10" s="6"/>
      <c r="AY10" s="6">
        <f>AY7+AY9</f>
        <v>46487</v>
      </c>
    </row>
    <row r="11" spans="2:51" s="7" customFormat="1" ht="12.75">
      <c r="B11" s="8" t="s">
        <v>275</v>
      </c>
      <c r="C11" s="10"/>
      <c r="D11" s="10">
        <f>D10/C10-1</f>
        <v>-3.8296765136570987E-2</v>
      </c>
      <c r="E11" s="10">
        <f t="shared" ref="E11" si="16">E10/D10-1</f>
        <v>2.5048290789200456E-2</v>
      </c>
      <c r="F11" s="10">
        <f t="shared" ref="F11" si="17">F10/E10-1</f>
        <v>3.8504978086597808E-2</v>
      </c>
      <c r="G11" s="10">
        <f t="shared" ref="G11:L11" si="18">G10/F10-1</f>
        <v>6.9845791934368462E-2</v>
      </c>
      <c r="H11" s="10">
        <f t="shared" si="18"/>
        <v>6.1777640273143142E-2</v>
      </c>
      <c r="I11" s="10">
        <f t="shared" si="18"/>
        <v>6.3355291228289312E-2</v>
      </c>
      <c r="J11" s="10">
        <f t="shared" si="18"/>
        <v>3.2251592761863845E-2</v>
      </c>
      <c r="K11" s="10">
        <f t="shared" si="18"/>
        <v>2.7873507368940009E-2</v>
      </c>
      <c r="L11" s="10">
        <f t="shared" si="18"/>
        <v>7.1714176347696945E-3</v>
      </c>
      <c r="M11" s="10"/>
      <c r="N11" s="196"/>
      <c r="O11" s="10"/>
      <c r="P11" s="10"/>
      <c r="Q11" s="10"/>
      <c r="R11" s="10"/>
      <c r="S11" s="10">
        <f t="shared" ref="S11:Z11" si="19">S10/O10-1</f>
        <v>2.740267114325956E-3</v>
      </c>
      <c r="T11" s="10">
        <f t="shared" si="19"/>
        <v>-8.7702482507427959E-3</v>
      </c>
      <c r="U11" s="10">
        <f t="shared" si="19"/>
        <v>5.0480055429080517E-2</v>
      </c>
      <c r="V11" s="10">
        <f t="shared" si="19"/>
        <v>0.11146710379256386</v>
      </c>
      <c r="W11" s="10">
        <f t="shared" si="19"/>
        <v>7.4548229848835579E-2</v>
      </c>
      <c r="X11" s="10">
        <f>X10/T10-1</f>
        <v>4.1652564908378764E-2</v>
      </c>
      <c r="Y11" s="10">
        <f>Y10/U10-1</f>
        <v>9.5048525393385486E-2</v>
      </c>
      <c r="Z11" s="10">
        <f t="shared" si="19"/>
        <v>6.7730330048490606E-2</v>
      </c>
      <c r="AA11" s="10">
        <f>AA10/W10-1</f>
        <v>9.8015854832057991E-2</v>
      </c>
      <c r="AB11" s="10">
        <f>AB10/X10-1</f>
        <v>0.10698786233145352</v>
      </c>
      <c r="AC11" s="10">
        <f>AC10/Y10-1</f>
        <v>3.755888743089475E-2</v>
      </c>
      <c r="AD11" s="10">
        <f>AD10/Z10-1</f>
        <v>1.1468753924071873E-2</v>
      </c>
      <c r="AE11" s="10">
        <f t="shared" ref="AE11:AF11" si="20">AE10/AA10-1</f>
        <v>3.9666972706785764E-2</v>
      </c>
      <c r="AF11" s="10">
        <f t="shared" si="20"/>
        <v>6.8408142728359156E-2</v>
      </c>
      <c r="AG11" s="10">
        <f>AG10/AC10-1</f>
        <v>6.4561607198391213E-2</v>
      </c>
      <c r="AH11" s="10">
        <f>AH10/AD10-1</f>
        <v>8.0653838195737571E-2</v>
      </c>
      <c r="AI11" s="10">
        <f t="shared" ref="AI11:AJ11" si="21">AI10/AE10-1</f>
        <v>5.0918213748118335E-2</v>
      </c>
      <c r="AJ11" s="10">
        <f t="shared" si="21"/>
        <v>1.4010439150739851E-2</v>
      </c>
      <c r="AK11" s="10">
        <f>AK10/AG10-1</f>
        <v>1.8910549788692554E-2</v>
      </c>
      <c r="AL11" s="10">
        <f>AL10/AH10-1</f>
        <v>4.5358811365550977E-2</v>
      </c>
      <c r="AM11" s="10">
        <f t="shared" ref="AM11:AN11" si="22">AM10/AI10-1</f>
        <v>3.5560139032122517E-2</v>
      </c>
      <c r="AN11" s="10">
        <f t="shared" si="22"/>
        <v>3.2568310240730813E-2</v>
      </c>
      <c r="AO11" s="10">
        <f>AO10/AK10-1</f>
        <v>1.9897549600519815E-2</v>
      </c>
      <c r="AP11" s="10">
        <f>AP10/AL10-1</f>
        <v>2.3700935948861579E-2</v>
      </c>
      <c r="AQ11" s="10">
        <f t="shared" ref="AQ11:AR11" si="23">AQ10/AM10-1</f>
        <v>1.9419445264089674E-2</v>
      </c>
      <c r="AR11" s="10">
        <f t="shared" si="23"/>
        <v>1.7579040086958209E-2</v>
      </c>
      <c r="AS11" s="10">
        <f>AS10/AO10-1</f>
        <v>6.5593433160291426E-3</v>
      </c>
      <c r="AT11" s="10">
        <f>AT10/AP10-1</f>
        <v>-1.4063087080209646E-2</v>
      </c>
      <c r="AU11" s="10">
        <f t="shared" ref="AU11:AV11" si="24">AU10/AQ10-1</f>
        <v>2.2360113609638743E-2</v>
      </c>
      <c r="AV11" s="10">
        <f t="shared" si="24"/>
        <v>2.202699965007282E-2</v>
      </c>
      <c r="AW11" s="196"/>
      <c r="AY11" s="10">
        <f>AY10/U10-1</f>
        <v>9.5048525393385486E-2</v>
      </c>
    </row>
    <row r="12" spans="2:51" s="2" customFormat="1" ht="12.75">
      <c r="B12" s="2" t="s">
        <v>278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Y12" s="6"/>
    </row>
    <row r="13" spans="2:51" s="2" customFormat="1" ht="12.75">
      <c r="B13" s="1" t="s">
        <v>279</v>
      </c>
      <c r="C13" s="11">
        <v>18293</v>
      </c>
      <c r="D13" s="11">
        <v>13633</v>
      </c>
      <c r="E13" s="11">
        <v>14427</v>
      </c>
      <c r="F13" s="11">
        <v>13429</v>
      </c>
      <c r="G13" s="11">
        <v>12295</v>
      </c>
      <c r="H13" s="11">
        <v>12917</v>
      </c>
      <c r="I13" s="11">
        <v>14172</v>
      </c>
      <c r="J13" s="11">
        <v>15092</v>
      </c>
      <c r="K13" s="11">
        <v>14011</v>
      </c>
      <c r="L13" s="11">
        <v>12784</v>
      </c>
      <c r="M13" s="12">
        <f t="shared" ref="M13:M17" si="25">SUM(AS13:AV13)</f>
        <v>13664</v>
      </c>
      <c r="N13" s="12"/>
      <c r="O13" s="11">
        <v>3614</v>
      </c>
      <c r="P13" s="11">
        <v>3896</v>
      </c>
      <c r="Q13" s="11">
        <v>3560</v>
      </c>
      <c r="R13" s="12">
        <f>E13-Q13-P13-O13</f>
        <v>3357</v>
      </c>
      <c r="S13" s="11">
        <v>2884</v>
      </c>
      <c r="T13" s="11">
        <v>3418</v>
      </c>
      <c r="U13" s="11">
        <v>3162</v>
      </c>
      <c r="V13" s="12">
        <f>F13-U13-T13-S13</f>
        <v>3965</v>
      </c>
      <c r="W13" s="11">
        <v>3029</v>
      </c>
      <c r="X13" s="11">
        <v>2587</v>
      </c>
      <c r="Y13" s="11">
        <v>3461</v>
      </c>
      <c r="Z13" s="12">
        <f>G13-Y13-X13-W13</f>
        <v>3218</v>
      </c>
      <c r="AA13" s="11">
        <v>3588</v>
      </c>
      <c r="AB13" s="11">
        <v>3109</v>
      </c>
      <c r="AC13" s="11">
        <v>2852</v>
      </c>
      <c r="AD13" s="12">
        <f>H13-AC13-AB13-AA13</f>
        <v>3368</v>
      </c>
      <c r="AE13" s="11">
        <v>3119</v>
      </c>
      <c r="AF13" s="11">
        <v>3286</v>
      </c>
      <c r="AG13" s="11">
        <v>3654</v>
      </c>
      <c r="AH13" s="12">
        <f>I13-AG13-AF13-AE13</f>
        <v>4113</v>
      </c>
      <c r="AI13" s="11">
        <v>4047</v>
      </c>
      <c r="AJ13" s="11">
        <v>3643</v>
      </c>
      <c r="AK13" s="11">
        <v>3212</v>
      </c>
      <c r="AL13" s="12">
        <f>J13-AK13-AJ13-AI13</f>
        <v>4190</v>
      </c>
      <c r="AM13" s="11">
        <v>3253</v>
      </c>
      <c r="AN13" s="11">
        <v>3592</v>
      </c>
      <c r="AO13" s="11">
        <v>3174</v>
      </c>
      <c r="AP13" s="12">
        <f t="shared" ref="AP13:AP17" si="26">K13-AO13-AN13-AM13</f>
        <v>3992</v>
      </c>
      <c r="AQ13" s="11">
        <v>3366</v>
      </c>
      <c r="AR13" s="11">
        <v>2592</v>
      </c>
      <c r="AS13" s="11">
        <v>2883</v>
      </c>
      <c r="AT13" s="12">
        <f t="shared" ref="AT13:AT17" si="27">L13-AS13-AR13-AQ13</f>
        <v>3943</v>
      </c>
      <c r="AU13" s="11">
        <v>3444</v>
      </c>
      <c r="AV13" s="11">
        <v>3394</v>
      </c>
      <c r="AW13" s="11"/>
      <c r="AY13" s="11">
        <v>3461</v>
      </c>
    </row>
    <row r="14" spans="2:51" s="2" customFormat="1" ht="12.75">
      <c r="B14" s="1" t="s">
        <v>280</v>
      </c>
      <c r="C14" s="11">
        <v>67196</v>
      </c>
      <c r="D14" s="11">
        <v>68990</v>
      </c>
      <c r="E14" s="11">
        <v>73916</v>
      </c>
      <c r="F14" s="11">
        <v>68230</v>
      </c>
      <c r="G14" s="11">
        <v>75255</v>
      </c>
      <c r="H14" s="11">
        <v>77686</v>
      </c>
      <c r="I14" s="11">
        <v>84476</v>
      </c>
      <c r="J14" s="11">
        <v>81876</v>
      </c>
      <c r="K14" s="11">
        <v>78308</v>
      </c>
      <c r="L14" s="11">
        <v>75789</v>
      </c>
      <c r="M14" s="12">
        <f t="shared" si="25"/>
        <v>74443</v>
      </c>
      <c r="N14" s="12"/>
      <c r="O14" s="11">
        <v>17309</v>
      </c>
      <c r="P14" s="11">
        <v>17943</v>
      </c>
      <c r="Q14" s="11">
        <v>17758</v>
      </c>
      <c r="R14" s="12">
        <f>E14-Q14-P14-O14</f>
        <v>20906</v>
      </c>
      <c r="S14" s="11">
        <v>15891</v>
      </c>
      <c r="T14" s="11">
        <v>16172</v>
      </c>
      <c r="U14" s="11">
        <v>18964</v>
      </c>
      <c r="V14" s="12">
        <f>F14-U14-T14-S14</f>
        <v>17203</v>
      </c>
      <c r="W14" s="11">
        <f>17851</f>
        <v>17851</v>
      </c>
      <c r="X14" s="11">
        <v>16337</v>
      </c>
      <c r="Y14" s="11">
        <v>16941</v>
      </c>
      <c r="Z14" s="12">
        <f>G14-Y14-X14-W14</f>
        <v>24126</v>
      </c>
      <c r="AA14" s="11">
        <v>20014</v>
      </c>
      <c r="AB14" s="11">
        <v>19768</v>
      </c>
      <c r="AC14" s="11">
        <v>19536</v>
      </c>
      <c r="AD14" s="12">
        <f>H14-AC14-AB14-AA14</f>
        <v>18368</v>
      </c>
      <c r="AE14" s="11">
        <v>23359</v>
      </c>
      <c r="AF14" s="11">
        <v>21444</v>
      </c>
      <c r="AG14" s="11">
        <v>19934</v>
      </c>
      <c r="AH14" s="12">
        <f>I14-AG14-AF14-AE14</f>
        <v>19739</v>
      </c>
      <c r="AI14" s="11">
        <v>20251</v>
      </c>
      <c r="AJ14" s="11">
        <v>19582</v>
      </c>
      <c r="AK14" s="11">
        <v>19056</v>
      </c>
      <c r="AL14" s="12">
        <f>J14-AK14-AJ14-AI14</f>
        <v>22987</v>
      </c>
      <c r="AM14" s="11">
        <v>19276</v>
      </c>
      <c r="AN14" s="11">
        <v>20469</v>
      </c>
      <c r="AO14" s="11">
        <v>18990</v>
      </c>
      <c r="AP14" s="12">
        <f t="shared" si="26"/>
        <v>19573</v>
      </c>
      <c r="AQ14" s="11">
        <v>18851</v>
      </c>
      <c r="AR14" s="11">
        <v>19121</v>
      </c>
      <c r="AS14" s="11">
        <v>19041</v>
      </c>
      <c r="AT14" s="12">
        <f t="shared" si="27"/>
        <v>18776</v>
      </c>
      <c r="AU14" s="11">
        <v>18204</v>
      </c>
      <c r="AV14" s="11">
        <v>18422</v>
      </c>
      <c r="AW14" s="11"/>
      <c r="AY14" s="11">
        <v>16941</v>
      </c>
    </row>
    <row r="15" spans="2:51" s="2" customFormat="1" ht="12.75">
      <c r="B15" s="1" t="s">
        <v>281</v>
      </c>
      <c r="C15" s="11">
        <v>9573</v>
      </c>
      <c r="D15" s="11">
        <v>6626</v>
      </c>
      <c r="E15" s="11">
        <v>5493</v>
      </c>
      <c r="F15" s="11">
        <v>3638</v>
      </c>
      <c r="G15" s="11">
        <v>2146</v>
      </c>
      <c r="H15" s="11">
        <v>3698</v>
      </c>
      <c r="I15" s="11">
        <v>6104</v>
      </c>
      <c r="J15" s="11">
        <v>10418</v>
      </c>
      <c r="K15" s="11">
        <v>13718</v>
      </c>
      <c r="L15" s="11">
        <v>16010</v>
      </c>
      <c r="M15" s="12">
        <f t="shared" si="25"/>
        <v>17781</v>
      </c>
      <c r="N15" s="12"/>
      <c r="O15" s="11">
        <v>1874</v>
      </c>
      <c r="P15" s="11">
        <v>2034</v>
      </c>
      <c r="Q15" s="11">
        <v>1441</v>
      </c>
      <c r="R15" s="12">
        <f>E15-Q15-P15-O15</f>
        <v>144</v>
      </c>
      <c r="S15" s="11">
        <v>835</v>
      </c>
      <c r="T15" s="11">
        <v>866</v>
      </c>
      <c r="U15" s="11">
        <v>1039</v>
      </c>
      <c r="V15" s="12">
        <f>F15-U15-T15-S15</f>
        <v>898</v>
      </c>
      <c r="W15" s="11">
        <f>302</f>
        <v>302</v>
      </c>
      <c r="X15" s="11">
        <v>339</v>
      </c>
      <c r="Y15" s="11">
        <v>619</v>
      </c>
      <c r="Z15" s="12">
        <f>G15-Y15-X15-W15</f>
        <v>886</v>
      </c>
      <c r="AA15" s="11">
        <v>833</v>
      </c>
      <c r="AB15" s="11">
        <v>894</v>
      </c>
      <c r="AC15" s="11">
        <v>839</v>
      </c>
      <c r="AD15" s="12">
        <f>H15-AC15-AB15-AA15</f>
        <v>1132</v>
      </c>
      <c r="AE15" s="11">
        <v>1596</v>
      </c>
      <c r="AF15" s="11">
        <v>1252</v>
      </c>
      <c r="AG15" s="11">
        <v>1709</v>
      </c>
      <c r="AH15" s="12">
        <f>I15-AG15-AF15-AE15</f>
        <v>1547</v>
      </c>
      <c r="AI15" s="11">
        <v>2619</v>
      </c>
      <c r="AJ15" s="11">
        <v>2101</v>
      </c>
      <c r="AK15" s="11">
        <v>2743</v>
      </c>
      <c r="AL15" s="12">
        <f>J15-AK15-AJ15-AI15</f>
        <v>2955</v>
      </c>
      <c r="AM15" s="11">
        <v>3491</v>
      </c>
      <c r="AN15" s="11">
        <v>3055</v>
      </c>
      <c r="AO15" s="11">
        <v>3556</v>
      </c>
      <c r="AP15" s="12">
        <f t="shared" si="26"/>
        <v>3616</v>
      </c>
      <c r="AQ15" s="11">
        <v>4464</v>
      </c>
      <c r="AR15" s="11">
        <v>4723</v>
      </c>
      <c r="AS15" s="11">
        <v>3816</v>
      </c>
      <c r="AT15" s="12">
        <f t="shared" si="27"/>
        <v>3007</v>
      </c>
      <c r="AU15" s="11">
        <v>5996</v>
      </c>
      <c r="AV15" s="11">
        <v>4962</v>
      </c>
      <c r="AW15" s="11"/>
      <c r="AY15" s="11">
        <v>619</v>
      </c>
    </row>
    <row r="16" spans="2:51" s="2" customFormat="1" ht="12.75">
      <c r="B16" s="1" t="s">
        <v>282</v>
      </c>
      <c r="C16" s="15">
        <v>34455</v>
      </c>
      <c r="D16" s="15">
        <v>51915</v>
      </c>
      <c r="E16" s="15">
        <v>47240</v>
      </c>
      <c r="F16" s="15">
        <v>39656</v>
      </c>
      <c r="G16" s="15">
        <v>47480</v>
      </c>
      <c r="H16" s="15">
        <v>52072</v>
      </c>
      <c r="I16" s="15">
        <v>98631</v>
      </c>
      <c r="J16" s="15">
        <v>58441</v>
      </c>
      <c r="K16" s="15">
        <v>55988</v>
      </c>
      <c r="L16" s="15">
        <v>59487</v>
      </c>
      <c r="M16" s="12">
        <f t="shared" si="25"/>
        <v>61997</v>
      </c>
      <c r="N16" s="12"/>
      <c r="O16" s="11">
        <v>9373</v>
      </c>
      <c r="P16" s="11">
        <v>8516</v>
      </c>
      <c r="Q16" s="11">
        <v>9611</v>
      </c>
      <c r="R16" s="12">
        <f>E16-Q16-P16-O16</f>
        <v>19740</v>
      </c>
      <c r="S16" s="11">
        <v>9346</v>
      </c>
      <c r="T16" s="11">
        <v>9557</v>
      </c>
      <c r="U16" s="11">
        <v>9710</v>
      </c>
      <c r="V16" s="12">
        <f>F16-U16-T16-S16</f>
        <v>11043</v>
      </c>
      <c r="W16" s="11">
        <v>10286</v>
      </c>
      <c r="X16" s="11">
        <v>10611</v>
      </c>
      <c r="Y16" s="11">
        <v>10690</v>
      </c>
      <c r="Z16" s="12">
        <f>G16-Y16-X16-W16</f>
        <v>15893</v>
      </c>
      <c r="AA16" s="11">
        <v>11721</v>
      </c>
      <c r="AB16" s="11">
        <v>12633</v>
      </c>
      <c r="AC16" s="11">
        <v>12839</v>
      </c>
      <c r="AD16" s="12">
        <f>H16-AC16-AB16-AA16</f>
        <v>14879</v>
      </c>
      <c r="AE16" s="11">
        <v>12543</v>
      </c>
      <c r="AF16" s="11">
        <v>28151</v>
      </c>
      <c r="AG16" s="11">
        <v>12061</v>
      </c>
      <c r="AH16" s="12">
        <f>I16-AG16-AF16-AE16</f>
        <v>45876</v>
      </c>
      <c r="AI16" s="11">
        <v>11679</v>
      </c>
      <c r="AJ16" s="11">
        <v>12271</v>
      </c>
      <c r="AK16" s="11">
        <v>12094</v>
      </c>
      <c r="AL16" s="12">
        <f>J16-AK16-AJ16-AI16</f>
        <v>22397</v>
      </c>
      <c r="AM16" s="11">
        <v>11642</v>
      </c>
      <c r="AN16" s="11">
        <v>12639</v>
      </c>
      <c r="AO16" s="11">
        <v>12881</v>
      </c>
      <c r="AP16" s="12">
        <f t="shared" si="26"/>
        <v>18826</v>
      </c>
      <c r="AQ16" s="11">
        <v>13001</v>
      </c>
      <c r="AR16" s="11">
        <v>13042</v>
      </c>
      <c r="AS16" s="11">
        <v>15633</v>
      </c>
      <c r="AT16" s="12">
        <f t="shared" si="27"/>
        <v>17811</v>
      </c>
      <c r="AU16" s="11">
        <v>14280</v>
      </c>
      <c r="AV16" s="11">
        <v>14273</v>
      </c>
      <c r="AW16" s="11"/>
      <c r="AY16" s="11">
        <v>10690</v>
      </c>
    </row>
    <row r="17" spans="2:51" s="2" customFormat="1" ht="12.75">
      <c r="B17" s="1" t="s">
        <v>283</v>
      </c>
      <c r="C17" s="11">
        <v>11042</v>
      </c>
      <c r="D17" s="11">
        <v>8258</v>
      </c>
      <c r="E17" s="11">
        <v>8065</v>
      </c>
      <c r="F17" s="11">
        <v>4833</v>
      </c>
      <c r="G17" s="11">
        <v>7646</v>
      </c>
      <c r="H17" s="11">
        <v>4942</v>
      </c>
      <c r="I17" s="11">
        <v>6044</v>
      </c>
      <c r="J17" s="11">
        <v>4432</v>
      </c>
      <c r="K17" s="11">
        <v>4321</v>
      </c>
      <c r="L17" s="11">
        <v>3970</v>
      </c>
      <c r="M17" s="12">
        <f t="shared" si="25"/>
        <v>4011</v>
      </c>
      <c r="N17" s="12"/>
      <c r="O17" s="11">
        <v>1391</v>
      </c>
      <c r="P17" s="11">
        <v>1421</v>
      </c>
      <c r="Q17" s="11">
        <v>1352</v>
      </c>
      <c r="R17" s="12">
        <f>E17-Q17-P17-O17</f>
        <v>3901</v>
      </c>
      <c r="S17" s="11">
        <v>1357</v>
      </c>
      <c r="T17" s="11">
        <v>1287</v>
      </c>
      <c r="U17" s="11">
        <v>1208</v>
      </c>
      <c r="V17" s="12">
        <f>F17-U17-T17-S17</f>
        <v>981</v>
      </c>
      <c r="W17" s="11">
        <v>1060</v>
      </c>
      <c r="X17" s="11">
        <v>2417</v>
      </c>
      <c r="Y17" s="11">
        <v>2943</v>
      </c>
      <c r="Z17" s="12">
        <f>G17-Y17-X17-W17</f>
        <v>1226</v>
      </c>
      <c r="AA17" s="11">
        <v>1592</v>
      </c>
      <c r="AB17" s="11">
        <v>1847</v>
      </c>
      <c r="AC17" s="11">
        <v>941</v>
      </c>
      <c r="AD17" s="12">
        <f>H17-AC17-AB17-AA17</f>
        <v>562</v>
      </c>
      <c r="AE17" s="11">
        <v>1076</v>
      </c>
      <c r="AF17" s="11">
        <v>1269</v>
      </c>
      <c r="AG17" s="11">
        <v>1513</v>
      </c>
      <c r="AH17" s="12">
        <f>I17-AG17-AF17-AE17</f>
        <v>2186</v>
      </c>
      <c r="AI17" s="11">
        <v>1102</v>
      </c>
      <c r="AJ17" s="11">
        <v>1045</v>
      </c>
      <c r="AK17" s="11">
        <v>1142</v>
      </c>
      <c r="AL17" s="12">
        <f>J17-AK17-AJ17-AI17</f>
        <v>1143</v>
      </c>
      <c r="AM17" s="11">
        <v>959</v>
      </c>
      <c r="AN17" s="11">
        <v>1090</v>
      </c>
      <c r="AO17" s="11">
        <v>1020</v>
      </c>
      <c r="AP17" s="12">
        <f t="shared" si="26"/>
        <v>1252</v>
      </c>
      <c r="AQ17" s="11">
        <v>867</v>
      </c>
      <c r="AR17" s="11">
        <v>1001</v>
      </c>
      <c r="AS17" s="11">
        <v>984</v>
      </c>
      <c r="AT17" s="12">
        <f t="shared" si="27"/>
        <v>1118</v>
      </c>
      <c r="AU17" s="11">
        <v>828</v>
      </c>
      <c r="AV17" s="11">
        <v>1081</v>
      </c>
      <c r="AW17" s="11"/>
      <c r="AY17" s="11">
        <v>2943</v>
      </c>
    </row>
    <row r="18" spans="2:51" s="2" customFormat="1" ht="12.75">
      <c r="B18" s="2" t="s">
        <v>284</v>
      </c>
      <c r="C18" s="6">
        <f t="shared" ref="C18:M18" si="28">C10-SUM(C13:C17)</f>
        <v>24703</v>
      </c>
      <c r="D18" s="6">
        <f t="shared" si="28"/>
        <v>9511</v>
      </c>
      <c r="E18" s="6">
        <f t="shared" si="28"/>
        <v>13773</v>
      </c>
      <c r="F18" s="6">
        <f t="shared" si="28"/>
        <v>39401</v>
      </c>
      <c r="G18" s="6">
        <f t="shared" si="28"/>
        <v>36182</v>
      </c>
      <c r="H18" s="6">
        <f t="shared" si="28"/>
        <v>40871</v>
      </c>
      <c r="I18" s="6">
        <f t="shared" si="28"/>
        <v>-5065</v>
      </c>
      <c r="J18" s="6">
        <f t="shared" si="28"/>
        <v>40694</v>
      </c>
      <c r="K18" s="6">
        <f t="shared" si="28"/>
        <v>50487</v>
      </c>
      <c r="L18" s="6">
        <f t="shared" si="28"/>
        <v>50348</v>
      </c>
      <c r="M18" s="6">
        <f t="shared" si="28"/>
        <v>48924</v>
      </c>
      <c r="N18" s="6"/>
      <c r="O18" s="6">
        <f t="shared" ref="O18:AT18" si="29">O10-SUM(O13:O17)</f>
        <v>6946</v>
      </c>
      <c r="P18" s="6">
        <f t="shared" si="29"/>
        <v>7922</v>
      </c>
      <c r="Q18" s="6">
        <f t="shared" si="29"/>
        <v>6690</v>
      </c>
      <c r="R18" s="6">
        <f t="shared" si="29"/>
        <v>-7785</v>
      </c>
      <c r="S18" s="6">
        <f t="shared" si="29"/>
        <v>10305</v>
      </c>
      <c r="T18" s="6">
        <f t="shared" si="29"/>
        <v>10066</v>
      </c>
      <c r="U18" s="6">
        <f t="shared" si="29"/>
        <v>8369</v>
      </c>
      <c r="V18" s="6">
        <f t="shared" si="29"/>
        <v>10661</v>
      </c>
      <c r="W18" s="6">
        <f t="shared" si="29"/>
        <v>11118</v>
      </c>
      <c r="X18" s="6">
        <f t="shared" si="29"/>
        <v>10798</v>
      </c>
      <c r="Y18" s="6">
        <f t="shared" si="29"/>
        <v>11833</v>
      </c>
      <c r="Z18" s="6">
        <f t="shared" si="29"/>
        <v>2433</v>
      </c>
      <c r="AA18" s="6">
        <f t="shared" si="29"/>
        <v>10176</v>
      </c>
      <c r="AB18" s="6">
        <f t="shared" si="29"/>
        <v>9448</v>
      </c>
      <c r="AC18" s="6">
        <f t="shared" si="29"/>
        <v>11226</v>
      </c>
      <c r="AD18" s="6">
        <f t="shared" si="29"/>
        <v>10021</v>
      </c>
      <c r="AE18" s="6">
        <f t="shared" si="29"/>
        <v>8132</v>
      </c>
      <c r="AF18" s="6">
        <f t="shared" si="29"/>
        <v>-4440</v>
      </c>
      <c r="AG18" s="6">
        <f t="shared" si="29"/>
        <v>12476</v>
      </c>
      <c r="AH18" s="6">
        <f t="shared" si="29"/>
        <v>-21233</v>
      </c>
      <c r="AI18" s="6">
        <f t="shared" si="29"/>
        <v>12664</v>
      </c>
      <c r="AJ18" s="6">
        <f t="shared" si="29"/>
        <v>13034</v>
      </c>
      <c r="AK18" s="6">
        <f t="shared" si="29"/>
        <v>14071</v>
      </c>
      <c r="AL18" s="6">
        <f t="shared" si="29"/>
        <v>925</v>
      </c>
      <c r="AM18" s="6">
        <f t="shared" si="29"/>
        <v>15603</v>
      </c>
      <c r="AN18" s="6">
        <f t="shared" si="29"/>
        <v>12514</v>
      </c>
      <c r="AO18" s="6">
        <f t="shared" si="29"/>
        <v>13738</v>
      </c>
      <c r="AP18" s="6">
        <f t="shared" si="29"/>
        <v>8632</v>
      </c>
      <c r="AQ18" s="6">
        <f t="shared" si="29"/>
        <v>14728</v>
      </c>
      <c r="AR18" s="6">
        <f t="shared" si="29"/>
        <v>13818</v>
      </c>
      <c r="AS18" s="6">
        <f t="shared" si="29"/>
        <v>11352</v>
      </c>
      <c r="AT18" s="6">
        <f t="shared" si="29"/>
        <v>10450</v>
      </c>
      <c r="AU18" s="6">
        <f t="shared" ref="AU18:AV18" si="30">AU10-SUM(AU13:AU17)</f>
        <v>13761</v>
      </c>
      <c r="AV18" s="6">
        <f t="shared" si="30"/>
        <v>13361</v>
      </c>
      <c r="AW18" s="6"/>
      <c r="AY18" s="6">
        <f>AY10-SUM(AY13:AY17)</f>
        <v>11833</v>
      </c>
    </row>
    <row r="19" spans="2:51" s="7" customFormat="1" ht="12.75">
      <c r="B19" s="8" t="s">
        <v>285</v>
      </c>
      <c r="C19" s="10">
        <f t="shared" ref="C19:M19" si="31">C18/C10</f>
        <v>0.14947779888903681</v>
      </c>
      <c r="D19" s="13">
        <f t="shared" si="31"/>
        <v>5.9842826851566382E-2</v>
      </c>
      <c r="E19" s="10">
        <f t="shared" si="31"/>
        <v>8.4541537252783683E-2</v>
      </c>
      <c r="F19" s="10">
        <f t="shared" si="31"/>
        <v>0.23288432326360772</v>
      </c>
      <c r="G19" s="10">
        <f t="shared" si="31"/>
        <v>0.19989613489204658</v>
      </c>
      <c r="H19" s="10">
        <f t="shared" si="31"/>
        <v>0.21266377363595684</v>
      </c>
      <c r="I19" s="10">
        <f t="shared" si="31"/>
        <v>-2.4784451121049902E-2</v>
      </c>
      <c r="J19" s="10">
        <f t="shared" si="31"/>
        <v>0.1929055287196674</v>
      </c>
      <c r="K19" s="10">
        <f t="shared" si="31"/>
        <v>0.23283817500103768</v>
      </c>
      <c r="L19" s="10">
        <f t="shared" si="31"/>
        <v>0.23054380277304615</v>
      </c>
      <c r="M19" s="10">
        <f t="shared" si="31"/>
        <v>0.22155601847658726</v>
      </c>
      <c r="N19" s="196"/>
      <c r="O19" s="10">
        <f t="shared" ref="O19:AT19" si="32">O18/O10</f>
        <v>0.1714765349198904</v>
      </c>
      <c r="P19" s="10">
        <f t="shared" si="32"/>
        <v>0.18983034601744464</v>
      </c>
      <c r="Q19" s="10">
        <f t="shared" si="32"/>
        <v>0.16554488765713155</v>
      </c>
      <c r="R19" s="10">
        <f t="shared" si="32"/>
        <v>-0.19335369942627226</v>
      </c>
      <c r="S19" s="10">
        <f t="shared" si="32"/>
        <v>0.25370525382835196</v>
      </c>
      <c r="T19" s="10">
        <f t="shared" si="32"/>
        <v>0.24333994101435963</v>
      </c>
      <c r="U19" s="10">
        <f t="shared" si="32"/>
        <v>0.19714029963252613</v>
      </c>
      <c r="V19" s="10">
        <f t="shared" si="32"/>
        <v>0.23822931331143438</v>
      </c>
      <c r="W19" s="10">
        <f t="shared" si="32"/>
        <v>0.25473124684965404</v>
      </c>
      <c r="X19" s="10">
        <f t="shared" si="32"/>
        <v>0.25059760031562578</v>
      </c>
      <c r="Y19" s="10">
        <f t="shared" si="32"/>
        <v>0.25454428119689376</v>
      </c>
      <c r="Z19" s="10">
        <f t="shared" si="32"/>
        <v>5.0918756016910136E-2</v>
      </c>
      <c r="AA19" s="10">
        <f t="shared" si="32"/>
        <v>0.21233619898172107</v>
      </c>
      <c r="AB19" s="10">
        <f t="shared" si="32"/>
        <v>0.19807543135076208</v>
      </c>
      <c r="AC19" s="10">
        <f t="shared" si="32"/>
        <v>0.23274521593100159</v>
      </c>
      <c r="AD19" s="10">
        <f t="shared" si="32"/>
        <v>0.20734533416097661</v>
      </c>
      <c r="AE19" s="10">
        <f t="shared" si="32"/>
        <v>0.16321123933768189</v>
      </c>
      <c r="AF19" s="10">
        <f t="shared" si="32"/>
        <v>-8.7123739256701069E-2</v>
      </c>
      <c r="AG19" s="10">
        <f t="shared" si="32"/>
        <v>0.24297427308314021</v>
      </c>
      <c r="AH19" s="10">
        <f t="shared" si="32"/>
        <v>-0.4065443823236578</v>
      </c>
      <c r="AI19" s="10">
        <f t="shared" si="32"/>
        <v>0.24185478018410297</v>
      </c>
      <c r="AJ19" s="10">
        <f t="shared" si="32"/>
        <v>0.25222540444306835</v>
      </c>
      <c r="AK19" s="10">
        <f t="shared" si="32"/>
        <v>0.26895141251576893</v>
      </c>
      <c r="AL19" s="10">
        <f t="shared" si="32"/>
        <v>1.6942322838251186E-2</v>
      </c>
      <c r="AM19" s="10">
        <f t="shared" si="32"/>
        <v>0.28775081144880493</v>
      </c>
      <c r="AN19" s="10">
        <f t="shared" si="32"/>
        <v>0.23452463501939691</v>
      </c>
      <c r="AO19" s="10">
        <f t="shared" si="32"/>
        <v>0.25746359564459603</v>
      </c>
      <c r="AP19" s="10">
        <f t="shared" si="32"/>
        <v>0.15444347032617059</v>
      </c>
      <c r="AQ19" s="10">
        <f t="shared" si="32"/>
        <v>0.26643992980805759</v>
      </c>
      <c r="AR19" s="10">
        <f t="shared" si="32"/>
        <v>0.25448919829824851</v>
      </c>
      <c r="AS19" s="10">
        <f t="shared" si="32"/>
        <v>0.21136122437580293</v>
      </c>
      <c r="AT19" s="10">
        <f t="shared" si="32"/>
        <v>0.18963796388712459</v>
      </c>
      <c r="AU19" s="10">
        <f t="shared" ref="AU19:AV19" si="33">AU18/AU10</f>
        <v>0.24350149523118575</v>
      </c>
      <c r="AV19" s="10">
        <f t="shared" si="33"/>
        <v>0.24076910601337106</v>
      </c>
      <c r="AW19" s="196"/>
      <c r="AY19" s="10">
        <f>AY18/AY10</f>
        <v>0.25454428119689376</v>
      </c>
    </row>
    <row r="20" spans="2:51" s="2" customFormat="1" ht="12.75">
      <c r="B20" s="1" t="s">
        <v>286</v>
      </c>
      <c r="C20" s="11">
        <v>2632</v>
      </c>
      <c r="D20" s="11">
        <v>-5058</v>
      </c>
      <c r="E20" s="11">
        <v>-9042</v>
      </c>
      <c r="F20" s="11">
        <v>7065</v>
      </c>
      <c r="G20" s="11">
        <v>3161</v>
      </c>
      <c r="H20" s="11">
        <v>6615</v>
      </c>
      <c r="I20" s="11">
        <v>-19097</v>
      </c>
      <c r="J20" s="11">
        <v>4217</v>
      </c>
      <c r="K20" s="11">
        <v>7794</v>
      </c>
      <c r="L20" s="11">
        <v>10859</v>
      </c>
      <c r="M20" s="12">
        <f>SUM(AS20:AV20)</f>
        <v>11833</v>
      </c>
      <c r="N20" s="12"/>
      <c r="O20" s="11">
        <v>-1889</v>
      </c>
      <c r="P20" s="11">
        <v>1195</v>
      </c>
      <c r="Q20" s="11">
        <v>1003</v>
      </c>
      <c r="R20" s="12">
        <f>E20-Q20-P20-O20</f>
        <v>-9351</v>
      </c>
      <c r="S20" s="11">
        <v>1292</v>
      </c>
      <c r="T20" s="11">
        <v>2008</v>
      </c>
      <c r="U20" s="11">
        <v>2825</v>
      </c>
      <c r="V20" s="12">
        <f>F20-U20-T20-S20</f>
        <v>940</v>
      </c>
      <c r="W20" s="11">
        <v>2787</v>
      </c>
      <c r="X20" s="11">
        <v>2010</v>
      </c>
      <c r="Y20" s="11">
        <v>1371</v>
      </c>
      <c r="Z20" s="12">
        <f>G20-Y20-X20-W20</f>
        <v>-3007</v>
      </c>
      <c r="AA20" s="11">
        <v>2480</v>
      </c>
      <c r="AB20" s="11">
        <v>436</v>
      </c>
      <c r="AC20" s="11">
        <v>3503</v>
      </c>
      <c r="AD20" s="12">
        <f>H20-AC20-AB20-AA20</f>
        <v>196</v>
      </c>
      <c r="AE20" s="11">
        <v>-3795</v>
      </c>
      <c r="AF20" s="11">
        <v>-14185</v>
      </c>
      <c r="AG20" s="11">
        <v>-1616</v>
      </c>
      <c r="AH20" s="12">
        <f>I20-AG20-AF20-AE20</f>
        <v>499</v>
      </c>
      <c r="AI20" s="11">
        <v>442</v>
      </c>
      <c r="AJ20" s="11">
        <v>482</v>
      </c>
      <c r="AK20" s="11">
        <v>1301</v>
      </c>
      <c r="AL20" s="12">
        <f>J20-AK20-AJ20-AI20</f>
        <v>1992</v>
      </c>
      <c r="AM20" s="11">
        <v>2411</v>
      </c>
      <c r="AN20" s="11">
        <v>1403</v>
      </c>
      <c r="AO20" s="11">
        <v>978</v>
      </c>
      <c r="AP20" s="12">
        <f>K20-AO20-AN20-AM20</f>
        <v>3002</v>
      </c>
      <c r="AQ20" s="11">
        <v>2924</v>
      </c>
      <c r="AR20" s="11">
        <v>1944</v>
      </c>
      <c r="AS20" s="11">
        <v>2312</v>
      </c>
      <c r="AT20" s="12">
        <f>L20-AS20-AR20-AQ20</f>
        <v>3679</v>
      </c>
      <c r="AU20" s="11">
        <v>2504</v>
      </c>
      <c r="AV20" s="11">
        <v>3338</v>
      </c>
      <c r="AW20" s="11"/>
      <c r="AY20" s="11">
        <v>1371</v>
      </c>
    </row>
    <row r="21" spans="2:51" s="2" customFormat="1" ht="12.75">
      <c r="B21" s="2" t="s">
        <v>287</v>
      </c>
      <c r="C21" s="6">
        <f>C18-C20</f>
        <v>22071</v>
      </c>
      <c r="D21" s="6">
        <f t="shared" ref="D21:F21" si="34">D18-D20</f>
        <v>14569</v>
      </c>
      <c r="E21" s="6">
        <f t="shared" si="34"/>
        <v>22815</v>
      </c>
      <c r="F21" s="6">
        <f t="shared" si="34"/>
        <v>32336</v>
      </c>
      <c r="G21" s="6">
        <f t="shared" ref="G21" si="35">G18-G20</f>
        <v>33021</v>
      </c>
      <c r="H21" s="6">
        <f t="shared" ref="H21:M21" si="36">H18-H20</f>
        <v>34256</v>
      </c>
      <c r="I21" s="6">
        <f t="shared" si="36"/>
        <v>14032</v>
      </c>
      <c r="J21" s="6">
        <f t="shared" si="36"/>
        <v>36477</v>
      </c>
      <c r="K21" s="6">
        <f t="shared" si="36"/>
        <v>42693</v>
      </c>
      <c r="L21" s="6">
        <f t="shared" si="36"/>
        <v>39489</v>
      </c>
      <c r="M21" s="6">
        <f t="shared" si="36"/>
        <v>37091</v>
      </c>
      <c r="N21" s="6"/>
      <c r="O21" s="6">
        <f t="shared" ref="O21:W21" si="37">O18-O20</f>
        <v>8835</v>
      </c>
      <c r="P21" s="6">
        <f t="shared" si="37"/>
        <v>6727</v>
      </c>
      <c r="Q21" s="6">
        <f t="shared" si="37"/>
        <v>5687</v>
      </c>
      <c r="R21" s="6">
        <f t="shared" si="37"/>
        <v>1566</v>
      </c>
      <c r="S21" s="6">
        <f t="shared" si="37"/>
        <v>9013</v>
      </c>
      <c r="T21" s="6">
        <f t="shared" si="37"/>
        <v>8058</v>
      </c>
      <c r="U21" s="6">
        <f t="shared" si="37"/>
        <v>5544</v>
      </c>
      <c r="V21" s="6">
        <f t="shared" si="37"/>
        <v>9721</v>
      </c>
      <c r="W21" s="6">
        <f t="shared" si="37"/>
        <v>8331</v>
      </c>
      <c r="X21" s="6">
        <f t="shared" ref="X21:AA21" si="38">X18-X20</f>
        <v>8788</v>
      </c>
      <c r="Y21" s="6">
        <f>Y18-Y20</f>
        <v>10462</v>
      </c>
      <c r="Z21" s="6">
        <f t="shared" si="38"/>
        <v>5440</v>
      </c>
      <c r="AA21" s="6">
        <f t="shared" si="38"/>
        <v>7696</v>
      </c>
      <c r="AB21" s="6">
        <f>AB18-AB20</f>
        <v>9012</v>
      </c>
      <c r="AC21" s="6">
        <f>AC18-AC20</f>
        <v>7723</v>
      </c>
      <c r="AD21" s="6">
        <f t="shared" ref="AD21" si="39">AD18-AD20</f>
        <v>9825</v>
      </c>
      <c r="AE21" s="6">
        <f t="shared" ref="AE21:AJ21" si="40">AE18-AE20</f>
        <v>11927</v>
      </c>
      <c r="AF21" s="6">
        <f t="shared" si="40"/>
        <v>9745</v>
      </c>
      <c r="AG21" s="6">
        <f t="shared" si="40"/>
        <v>14092</v>
      </c>
      <c r="AH21" s="6">
        <f t="shared" si="40"/>
        <v>-21732</v>
      </c>
      <c r="AI21" s="6">
        <f t="shared" si="40"/>
        <v>12222</v>
      </c>
      <c r="AJ21" s="6">
        <f t="shared" si="40"/>
        <v>12552</v>
      </c>
      <c r="AK21" s="6">
        <f t="shared" ref="AK21:AN21" si="41">AK18-AK20</f>
        <v>12770</v>
      </c>
      <c r="AL21" s="6">
        <f t="shared" si="41"/>
        <v>-1067</v>
      </c>
      <c r="AM21" s="6">
        <f t="shared" si="41"/>
        <v>13192</v>
      </c>
      <c r="AN21" s="6">
        <f t="shared" si="41"/>
        <v>11111</v>
      </c>
      <c r="AO21" s="6">
        <f t="shared" ref="AO21:AR21" si="42">AO18-AO20</f>
        <v>12760</v>
      </c>
      <c r="AP21" s="6">
        <f t="shared" si="42"/>
        <v>5630</v>
      </c>
      <c r="AQ21" s="6">
        <f t="shared" si="42"/>
        <v>11804</v>
      </c>
      <c r="AR21" s="6">
        <f t="shared" si="42"/>
        <v>11874</v>
      </c>
      <c r="AS21" s="6">
        <f t="shared" ref="AS21:AV21" si="43">AS18-AS20</f>
        <v>9040</v>
      </c>
      <c r="AT21" s="6">
        <f t="shared" si="43"/>
        <v>6771</v>
      </c>
      <c r="AU21" s="6">
        <f t="shared" si="43"/>
        <v>11257</v>
      </c>
      <c r="AV21" s="6">
        <f t="shared" si="43"/>
        <v>10023</v>
      </c>
      <c r="AW21" s="6"/>
      <c r="AY21" s="6">
        <f>AY18-AY20</f>
        <v>10462</v>
      </c>
    </row>
    <row r="22" spans="2:51" s="2" customFormat="1" ht="12.75">
      <c r="B22" s="16" t="s">
        <v>288</v>
      </c>
      <c r="C22" s="11">
        <v>-1909</v>
      </c>
      <c r="D22" s="11">
        <v>-1103</v>
      </c>
      <c r="E22" s="11">
        <v>-3842</v>
      </c>
      <c r="F22" s="11">
        <v>-9550</v>
      </c>
      <c r="G22" s="11">
        <v>-8441</v>
      </c>
      <c r="H22" s="11">
        <v>-7459</v>
      </c>
      <c r="I22" s="11">
        <v>-2697</v>
      </c>
      <c r="J22" s="11">
        <v>-9612</v>
      </c>
      <c r="K22" s="11">
        <v>-10138</v>
      </c>
      <c r="L22" s="11">
        <v>-9271</v>
      </c>
      <c r="M22" s="12">
        <f>SUM(AS22:AV22)</f>
        <v>-8517</v>
      </c>
      <c r="N22" s="12"/>
      <c r="O22" s="11">
        <v>-1911</v>
      </c>
      <c r="P22" s="11">
        <v>-1846</v>
      </c>
      <c r="Q22" s="11">
        <v>-1166</v>
      </c>
      <c r="R22" s="12">
        <f>E22-Q22-P22-O22</f>
        <v>1081</v>
      </c>
      <c r="S22" s="11">
        <v>-2290</v>
      </c>
      <c r="T22" s="11">
        <v>-2546</v>
      </c>
      <c r="U22" s="11">
        <v>-1743</v>
      </c>
      <c r="V22" s="12">
        <f>F22-U22-T22-S22</f>
        <v>-2971</v>
      </c>
      <c r="W22" s="11">
        <v>-2356</v>
      </c>
      <c r="X22" s="11">
        <v>-2340</v>
      </c>
      <c r="Y22" s="11">
        <v>-2985</v>
      </c>
      <c r="Z22" s="12">
        <f>G22-Y22-X22-W22</f>
        <v>-760</v>
      </c>
      <c r="AA22" s="11">
        <v>-1822</v>
      </c>
      <c r="AB22" s="11">
        <v>-1818</v>
      </c>
      <c r="AC22" s="11">
        <v>-1722</v>
      </c>
      <c r="AD22" s="12">
        <f>H22-AC22-AB22-AA22</f>
        <v>-2097</v>
      </c>
      <c r="AE22" s="11">
        <v>-2753</v>
      </c>
      <c r="AF22" s="11">
        <v>-1881</v>
      </c>
      <c r="AG22" s="11">
        <v>-3232</v>
      </c>
      <c r="AH22" s="12">
        <f>I22-AG22-AF22-AE22</f>
        <v>5169</v>
      </c>
      <c r="AI22" s="11">
        <v>-3148</v>
      </c>
      <c r="AJ22" s="11">
        <v>-3090</v>
      </c>
      <c r="AK22" s="11">
        <v>-3295</v>
      </c>
      <c r="AL22" s="12">
        <f>J22-AK22-AJ22-AI22</f>
        <v>-79</v>
      </c>
      <c r="AM22" s="11">
        <v>-3299</v>
      </c>
      <c r="AN22" s="11">
        <v>-2487</v>
      </c>
      <c r="AO22" s="11">
        <v>-3053</v>
      </c>
      <c r="AP22" s="12">
        <f>K22-AO22-AN22-AM22</f>
        <v>-1299</v>
      </c>
      <c r="AQ22" s="11">
        <v>-2740</v>
      </c>
      <c r="AR22" s="11">
        <v>-2760</v>
      </c>
      <c r="AS22" s="11">
        <v>-2083</v>
      </c>
      <c r="AT22" s="12">
        <f>L22-AS22-AR22-AQ22</f>
        <v>-1688</v>
      </c>
      <c r="AU22" s="11">
        <v>-2339</v>
      </c>
      <c r="AV22" s="11">
        <v>-2407</v>
      </c>
      <c r="AW22" s="11"/>
      <c r="AY22" s="11">
        <v>-2985</v>
      </c>
    </row>
    <row r="23" spans="2:51" s="2" customFormat="1" ht="12.75">
      <c r="B23" s="2" t="s">
        <v>289</v>
      </c>
      <c r="C23" s="6">
        <f>C21+C22</f>
        <v>20162</v>
      </c>
      <c r="D23" s="6">
        <f t="shared" ref="D23:I23" si="44">D21+D22</f>
        <v>13466</v>
      </c>
      <c r="E23" s="6">
        <f t="shared" si="44"/>
        <v>18973</v>
      </c>
      <c r="F23" s="6">
        <f t="shared" si="44"/>
        <v>22786</v>
      </c>
      <c r="G23" s="6">
        <f t="shared" si="44"/>
        <v>24580</v>
      </c>
      <c r="H23" s="6">
        <f t="shared" si="44"/>
        <v>26797</v>
      </c>
      <c r="I23" s="6">
        <f t="shared" si="44"/>
        <v>11335</v>
      </c>
      <c r="J23" s="6">
        <f t="shared" ref="J23:K23" si="45">J21+J22</f>
        <v>26865</v>
      </c>
      <c r="K23" s="6">
        <f t="shared" si="45"/>
        <v>32555</v>
      </c>
      <c r="L23" s="6">
        <f t="shared" ref="L23" si="46">L21+L22</f>
        <v>30218</v>
      </c>
      <c r="M23" s="6">
        <f t="shared" ref="M23" si="47">M21+M22</f>
        <v>28574</v>
      </c>
      <c r="N23" s="6"/>
      <c r="O23" s="6">
        <f t="shared" ref="O23" si="48">O21+O22</f>
        <v>6924</v>
      </c>
      <c r="P23" s="6">
        <f t="shared" ref="P23" si="49">P21+P22</f>
        <v>4881</v>
      </c>
      <c r="Q23" s="6">
        <f t="shared" ref="Q23" si="50">Q21+Q22</f>
        <v>4521</v>
      </c>
      <c r="R23" s="6">
        <f t="shared" ref="R23" si="51">R21+R22</f>
        <v>2647</v>
      </c>
      <c r="S23" s="6">
        <f t="shared" ref="S23" si="52">S21+S22</f>
        <v>6723</v>
      </c>
      <c r="T23" s="6">
        <f t="shared" ref="T23" si="53">T21+T22</f>
        <v>5512</v>
      </c>
      <c r="U23" s="6">
        <f t="shared" ref="U23" si="54">U21+U22</f>
        <v>3801</v>
      </c>
      <c r="V23" s="6">
        <f t="shared" ref="V23" si="55">V21+V22</f>
        <v>6750</v>
      </c>
      <c r="W23" s="6">
        <f t="shared" ref="W23" si="56">W21+W22</f>
        <v>5975</v>
      </c>
      <c r="X23" s="6">
        <f t="shared" ref="X23" si="57">X21+X22</f>
        <v>6448</v>
      </c>
      <c r="Y23" s="6">
        <f t="shared" ref="Y23" si="58">Y21+Y22</f>
        <v>7477</v>
      </c>
      <c r="Z23" s="6">
        <f t="shared" ref="Z23" si="59">Z21+Z22</f>
        <v>4680</v>
      </c>
      <c r="AA23" s="6">
        <f t="shared" ref="AA23" si="60">AA21+AA22</f>
        <v>5874</v>
      </c>
      <c r="AB23" s="6">
        <f t="shared" ref="AB23" si="61">AB21+AB22</f>
        <v>7194</v>
      </c>
      <c r="AC23" s="6">
        <f t="shared" ref="AC23" si="62">AC21+AC22</f>
        <v>6001</v>
      </c>
      <c r="AD23" s="6">
        <f t="shared" ref="AD23" si="63">AD21+AD22</f>
        <v>7728</v>
      </c>
      <c r="AE23" s="6">
        <f t="shared" ref="AE23" si="64">AE21+AE22</f>
        <v>9174</v>
      </c>
      <c r="AF23" s="6">
        <f t="shared" ref="AF23" si="65">AF21+AF22</f>
        <v>7864</v>
      </c>
      <c r="AG23" s="6">
        <f t="shared" ref="AG23" si="66">AG21+AG22</f>
        <v>10860</v>
      </c>
      <c r="AH23" s="6">
        <f>AH21+AH22</f>
        <v>-16563</v>
      </c>
      <c r="AI23" s="6">
        <f t="shared" ref="AI23:AK23" si="67">AI21+AI22</f>
        <v>9074</v>
      </c>
      <c r="AJ23" s="6">
        <f t="shared" si="67"/>
        <v>9462</v>
      </c>
      <c r="AK23" s="6">
        <f t="shared" si="67"/>
        <v>9475</v>
      </c>
      <c r="AL23" s="6">
        <f>AL21+AL22</f>
        <v>-1146</v>
      </c>
      <c r="AM23" s="6">
        <f t="shared" ref="AM23:AO23" si="68">AM21+AM22</f>
        <v>9893</v>
      </c>
      <c r="AN23" s="6">
        <f t="shared" si="68"/>
        <v>8624</v>
      </c>
      <c r="AO23" s="6">
        <f t="shared" si="68"/>
        <v>9707</v>
      </c>
      <c r="AP23" s="6">
        <f>AP21+AP22</f>
        <v>4331</v>
      </c>
      <c r="AQ23" s="6">
        <f t="shared" ref="AQ23:AS23" si="69">AQ21+AQ22</f>
        <v>9064</v>
      </c>
      <c r="AR23" s="6">
        <f t="shared" si="69"/>
        <v>9114</v>
      </c>
      <c r="AS23" s="6">
        <f t="shared" si="69"/>
        <v>6957</v>
      </c>
      <c r="AT23" s="6">
        <f>AT21+AT22</f>
        <v>5083</v>
      </c>
      <c r="AU23" s="6">
        <f t="shared" ref="AU23:AV23" si="70">AU21+AU22</f>
        <v>8918</v>
      </c>
      <c r="AV23" s="6">
        <f t="shared" si="70"/>
        <v>7616</v>
      </c>
      <c r="AW23" s="6"/>
      <c r="AY23" s="6">
        <f>AY19+AY20</f>
        <v>1371.2545442811968</v>
      </c>
    </row>
    <row r="24" spans="2:51" s="2" customFormat="1" ht="12.75">
      <c r="B24" s="16" t="s">
        <v>290</v>
      </c>
      <c r="C24" s="11"/>
      <c r="D24" s="11"/>
      <c r="E24" s="11"/>
      <c r="F24" s="11"/>
      <c r="G24" s="11"/>
      <c r="H24" s="11">
        <v>-121</v>
      </c>
      <c r="I24" s="11">
        <v>-600</v>
      </c>
      <c r="J24" s="11">
        <v>-41</v>
      </c>
      <c r="K24" s="11">
        <v>0</v>
      </c>
      <c r="L24" s="11">
        <v>0</v>
      </c>
      <c r="M24" s="12">
        <f>SUM(AS24:AV24)</f>
        <v>0</v>
      </c>
      <c r="N24" s="12"/>
      <c r="O24" s="11"/>
      <c r="P24" s="11"/>
      <c r="Q24" s="11"/>
      <c r="R24" s="12"/>
      <c r="S24" s="11"/>
      <c r="T24" s="11"/>
      <c r="U24" s="11"/>
      <c r="V24" s="12"/>
      <c r="W24" s="11"/>
      <c r="X24" s="11"/>
      <c r="Y24" s="11"/>
      <c r="Z24" s="12"/>
      <c r="AA24" s="11"/>
      <c r="AB24" s="11"/>
      <c r="AC24" s="11"/>
      <c r="AD24" s="12"/>
      <c r="AE24" s="11">
        <v>-20</v>
      </c>
      <c r="AF24" s="11">
        <v>-41</v>
      </c>
      <c r="AG24" s="11">
        <v>-64</v>
      </c>
      <c r="AH24" s="12">
        <f>I24-AG24-AF24-AE24</f>
        <v>-475</v>
      </c>
      <c r="AI24" s="11">
        <v>-25</v>
      </c>
      <c r="AJ24" s="11">
        <v>-4</v>
      </c>
      <c r="AK24" s="11">
        <v>16</v>
      </c>
      <c r="AL24" s="12">
        <f>J24-AK24-AJ24-AI24</f>
        <v>-28</v>
      </c>
      <c r="AM24" s="11">
        <v>0</v>
      </c>
      <c r="AN24" s="11">
        <v>0</v>
      </c>
      <c r="AO24" s="11">
        <v>0</v>
      </c>
      <c r="AP24" s="12">
        <f>K24-AO24-AN24-AM24</f>
        <v>0</v>
      </c>
      <c r="AQ24" s="11">
        <v>0</v>
      </c>
      <c r="AR24" s="11">
        <v>0</v>
      </c>
      <c r="AS24" s="11">
        <v>0</v>
      </c>
      <c r="AT24" s="12">
        <f>L24-AS24-AR24-AQ24</f>
        <v>0</v>
      </c>
      <c r="AU24" s="11">
        <v>0</v>
      </c>
      <c r="AV24" s="11">
        <v>0</v>
      </c>
      <c r="AW24" s="11"/>
      <c r="AY24" s="11"/>
    </row>
    <row r="25" spans="2:51" s="2" customFormat="1" ht="12.75">
      <c r="B25" s="2" t="s">
        <v>291</v>
      </c>
      <c r="C25" s="6">
        <f>C23+C24</f>
        <v>20162</v>
      </c>
      <c r="D25" s="6">
        <f t="shared" ref="D25" si="71">D23+D24</f>
        <v>13466</v>
      </c>
      <c r="E25" s="6">
        <f t="shared" ref="E25" si="72">E23+E24</f>
        <v>18973</v>
      </c>
      <c r="F25" s="6">
        <f t="shared" ref="F25" si="73">F23+F24</f>
        <v>22786</v>
      </c>
      <c r="G25" s="6">
        <f t="shared" ref="G25" si="74">G23+G24</f>
        <v>24580</v>
      </c>
      <c r="H25" s="6">
        <f t="shared" ref="H25" si="75">H23+H24</f>
        <v>26676</v>
      </c>
      <c r="I25" s="6">
        <f t="shared" ref="I25:J25" si="76">I23+I24</f>
        <v>10735</v>
      </c>
      <c r="J25" s="6">
        <f t="shared" si="76"/>
        <v>26824</v>
      </c>
      <c r="K25" s="6">
        <f t="shared" ref="K25:L25" si="77">K23+K24</f>
        <v>32555</v>
      </c>
      <c r="L25" s="6">
        <f t="shared" si="77"/>
        <v>30218</v>
      </c>
      <c r="M25" s="6">
        <f t="shared" ref="M25" si="78">M23+M24</f>
        <v>28574</v>
      </c>
      <c r="N25" s="6"/>
      <c r="O25" s="6">
        <f t="shared" ref="O25" si="79">O23+O24</f>
        <v>6924</v>
      </c>
      <c r="P25" s="6">
        <f t="shared" ref="P25" si="80">P23+P24</f>
        <v>4881</v>
      </c>
      <c r="Q25" s="6">
        <f t="shared" ref="Q25" si="81">Q23+Q24</f>
        <v>4521</v>
      </c>
      <c r="R25" s="6">
        <f t="shared" ref="R25" si="82">R23+R24</f>
        <v>2647</v>
      </c>
      <c r="S25" s="6">
        <f t="shared" ref="S25" si="83">S23+S24</f>
        <v>6723</v>
      </c>
      <c r="T25" s="6">
        <f t="shared" ref="T25" si="84">T23+T24</f>
        <v>5512</v>
      </c>
      <c r="U25" s="6">
        <f t="shared" ref="U25" si="85">U23+U24</f>
        <v>3801</v>
      </c>
      <c r="V25" s="6">
        <f t="shared" ref="V25" si="86">V23+V24</f>
        <v>6750</v>
      </c>
      <c r="W25" s="6">
        <f t="shared" ref="W25" si="87">W23+W24</f>
        <v>5975</v>
      </c>
      <c r="X25" s="6">
        <f t="shared" ref="X25" si="88">X23+X24</f>
        <v>6448</v>
      </c>
      <c r="Y25" s="6">
        <f t="shared" ref="Y25" si="89">Y23+Y24</f>
        <v>7477</v>
      </c>
      <c r="Z25" s="6">
        <f t="shared" ref="Z25" si="90">Z23+Z24</f>
        <v>4680</v>
      </c>
      <c r="AA25" s="6">
        <f t="shared" ref="AA25" si="91">AA23+AA24</f>
        <v>5874</v>
      </c>
      <c r="AB25" s="6">
        <f t="shared" ref="AB25" si="92">AB23+AB24</f>
        <v>7194</v>
      </c>
      <c r="AC25" s="6">
        <f t="shared" ref="AC25" si="93">AC23+AC24</f>
        <v>6001</v>
      </c>
      <c r="AD25" s="6">
        <f t="shared" ref="AD25" si="94">AD23+AD24</f>
        <v>7728</v>
      </c>
      <c r="AE25" s="6">
        <f t="shared" ref="AE25" si="95">AE23+AE24</f>
        <v>9154</v>
      </c>
      <c r="AF25" s="6">
        <f t="shared" ref="AF25" si="96">AF23+AF24</f>
        <v>7823</v>
      </c>
      <c r="AG25" s="6">
        <f t="shared" ref="AG25" si="97">AG23+AG24</f>
        <v>10796</v>
      </c>
      <c r="AH25" s="6">
        <f>AH23+AH24</f>
        <v>-17038</v>
      </c>
      <c r="AI25" s="6">
        <f t="shared" ref="AI25:AK25" si="98">AI23+AI24</f>
        <v>9049</v>
      </c>
      <c r="AJ25" s="6">
        <f t="shared" si="98"/>
        <v>9458</v>
      </c>
      <c r="AK25" s="6">
        <f t="shared" si="98"/>
        <v>9491</v>
      </c>
      <c r="AL25" s="6">
        <f>AL23+AL24</f>
        <v>-1174</v>
      </c>
      <c r="AM25" s="6">
        <f t="shared" ref="AM25:AO25" si="99">AM23+AM24</f>
        <v>9893</v>
      </c>
      <c r="AN25" s="6">
        <f t="shared" si="99"/>
        <v>8624</v>
      </c>
      <c r="AO25" s="6">
        <f t="shared" si="99"/>
        <v>9707</v>
      </c>
      <c r="AP25" s="6">
        <f>AP23+AP24</f>
        <v>4331</v>
      </c>
      <c r="AQ25" s="6">
        <f t="shared" ref="AQ25:AS25" si="100">AQ23+AQ24</f>
        <v>9064</v>
      </c>
      <c r="AR25" s="6">
        <f t="shared" si="100"/>
        <v>9114</v>
      </c>
      <c r="AS25" s="6">
        <f t="shared" si="100"/>
        <v>6957</v>
      </c>
      <c r="AT25" s="6">
        <f>AT23+AT24</f>
        <v>5083</v>
      </c>
      <c r="AU25" s="6">
        <f t="shared" ref="AU25:AV25" si="101">AU23+AU24</f>
        <v>8918</v>
      </c>
      <c r="AV25" s="6">
        <f t="shared" si="101"/>
        <v>7616</v>
      </c>
      <c r="AW25" s="6"/>
      <c r="AY25" s="6">
        <f>AY21+AY22</f>
        <v>7477</v>
      </c>
    </row>
    <row r="26" spans="2:51" s="7" customFormat="1" ht="12.75">
      <c r="B26" s="8" t="s">
        <v>285</v>
      </c>
      <c r="C26" s="10">
        <f t="shared" ref="C26:M26" si="102">C25/C10</f>
        <v>0.12200021783592115</v>
      </c>
      <c r="D26" s="10">
        <f t="shared" si="102"/>
        <v>8.47275266936382E-2</v>
      </c>
      <c r="E26" s="10">
        <f t="shared" si="102"/>
        <v>0.11646021827467253</v>
      </c>
      <c r="F26" s="10">
        <f t="shared" si="102"/>
        <v>0.1346793784392418</v>
      </c>
      <c r="G26" s="10">
        <f t="shared" si="102"/>
        <v>0.13579810390930588</v>
      </c>
      <c r="H26" s="10">
        <f t="shared" si="102"/>
        <v>0.13880303456026974</v>
      </c>
      <c r="I26" s="10">
        <f t="shared" si="102"/>
        <v>5.2529335199303195E-2</v>
      </c>
      <c r="J26" s="10">
        <f t="shared" si="102"/>
        <v>0.12715628599735487</v>
      </c>
      <c r="K26" s="10">
        <f t="shared" si="102"/>
        <v>0.15013858591635038</v>
      </c>
      <c r="L26" s="10">
        <f t="shared" si="102"/>
        <v>0.13836840852061469</v>
      </c>
      <c r="M26" s="10">
        <f t="shared" si="102"/>
        <v>0.12939951091386651</v>
      </c>
      <c r="N26" s="196"/>
      <c r="O26" s="10">
        <f t="shared" ref="O26:AT26" si="103">O25/O10</f>
        <v>0.17093341891524921</v>
      </c>
      <c r="P26" s="10">
        <f t="shared" si="103"/>
        <v>0.1169606057701524</v>
      </c>
      <c r="Q26" s="10">
        <f t="shared" si="103"/>
        <v>0.11187271107591805</v>
      </c>
      <c r="R26" s="10">
        <f t="shared" si="103"/>
        <v>6.5742741474803162E-2</v>
      </c>
      <c r="S26" s="10">
        <f t="shared" si="103"/>
        <v>0.16551775075089861</v>
      </c>
      <c r="T26" s="10">
        <f t="shared" si="103"/>
        <v>0.13324952859836581</v>
      </c>
      <c r="U26" s="10">
        <f t="shared" si="103"/>
        <v>8.953641760105531E-2</v>
      </c>
      <c r="V26" s="10">
        <f t="shared" si="103"/>
        <v>0.15083461822082189</v>
      </c>
      <c r="W26" s="10">
        <f t="shared" si="103"/>
        <v>0.13689685194519544</v>
      </c>
      <c r="X26" s="10">
        <f t="shared" si="103"/>
        <v>0.14964376058854928</v>
      </c>
      <c r="Y26" s="10">
        <f t="shared" si="103"/>
        <v>0.1608406651321875</v>
      </c>
      <c r="Z26" s="10">
        <f t="shared" si="103"/>
        <v>9.7944832782219243E-2</v>
      </c>
      <c r="AA26" s="10">
        <f t="shared" si="103"/>
        <v>0.12256906769050997</v>
      </c>
      <c r="AB26" s="10">
        <f t="shared" si="103"/>
        <v>0.15082077192393969</v>
      </c>
      <c r="AC26" s="10">
        <f t="shared" si="103"/>
        <v>0.12441689299856945</v>
      </c>
      <c r="AD26" s="10">
        <f t="shared" si="103"/>
        <v>0.15990068280571074</v>
      </c>
      <c r="AE26" s="10">
        <f t="shared" si="103"/>
        <v>0.18372303060712494</v>
      </c>
      <c r="AF26" s="10">
        <f t="shared" si="103"/>
        <v>0.15350653428044425</v>
      </c>
      <c r="AG26" s="10">
        <f t="shared" si="103"/>
        <v>0.21025571114183886</v>
      </c>
      <c r="AH26" s="10">
        <f t="shared" si="103"/>
        <v>-0.32622348165734855</v>
      </c>
      <c r="AI26" s="10">
        <f t="shared" si="103"/>
        <v>0.17281616439402619</v>
      </c>
      <c r="AJ26" s="10">
        <f t="shared" si="103"/>
        <v>0.1830250019351343</v>
      </c>
      <c r="AK26" s="10">
        <f t="shared" si="103"/>
        <v>0.1814098398256814</v>
      </c>
      <c r="AL26" s="10">
        <f t="shared" si="103"/>
        <v>-2.1503012986061505E-2</v>
      </c>
      <c r="AM26" s="10">
        <f t="shared" si="103"/>
        <v>0.1824468869873119</v>
      </c>
      <c r="AN26" s="10">
        <f t="shared" si="103"/>
        <v>0.16162221930695853</v>
      </c>
      <c r="AO26" s="10">
        <f t="shared" si="103"/>
        <v>0.18191870162484305</v>
      </c>
      <c r="AP26" s="10">
        <f t="shared" si="103"/>
        <v>7.7490114687516778E-2</v>
      </c>
      <c r="AQ26" s="10">
        <f t="shared" si="103"/>
        <v>0.163974166470684</v>
      </c>
      <c r="AR26" s="10">
        <f t="shared" si="103"/>
        <v>0.16785457760097244</v>
      </c>
      <c r="AS26" s="10">
        <f t="shared" si="103"/>
        <v>0.12953136345863822</v>
      </c>
      <c r="AT26" s="10">
        <f t="shared" si="103"/>
        <v>9.2242083295526717E-2</v>
      </c>
      <c r="AU26" s="10">
        <f t="shared" ref="AU26:AV26" si="104">AU25/AU10</f>
        <v>0.15780439898784351</v>
      </c>
      <c r="AV26" s="10">
        <f t="shared" si="104"/>
        <v>0.13724253509451642</v>
      </c>
      <c r="AW26" s="196"/>
      <c r="AY26" s="10">
        <f>AY25/AY10</f>
        <v>0.1608406651321875</v>
      </c>
    </row>
    <row r="27" spans="2:51" s="7" customFormat="1" ht="13.5" customHeight="1">
      <c r="B27" s="2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96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60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96"/>
      <c r="AY27" s="13"/>
    </row>
    <row r="28" spans="2:51" s="58" customFormat="1" ht="12" customHeight="1">
      <c r="B28" s="59" t="s">
        <v>292</v>
      </c>
      <c r="C28" s="60">
        <v>156</v>
      </c>
      <c r="D28" s="60">
        <v>95</v>
      </c>
      <c r="E28" s="60">
        <v>57</v>
      </c>
      <c r="F28" s="60">
        <v>265</v>
      </c>
      <c r="G28" s="60">
        <v>296</v>
      </c>
      <c r="H28" s="60">
        <v>309</v>
      </c>
      <c r="I28" s="60">
        <v>250</v>
      </c>
      <c r="J28" s="60">
        <v>210</v>
      </c>
      <c r="K28" s="60">
        <v>248</v>
      </c>
      <c r="L28" s="60">
        <v>207</v>
      </c>
      <c r="M28" s="12">
        <f>SUM(AS28:AV28)</f>
        <v>254</v>
      </c>
      <c r="N28" s="12"/>
      <c r="O28" s="60">
        <v>24</v>
      </c>
      <c r="P28" s="60">
        <v>19</v>
      </c>
      <c r="Q28" s="60">
        <v>14</v>
      </c>
      <c r="R28" s="12">
        <f>E28-Q28-P28-O28</f>
        <v>0</v>
      </c>
      <c r="S28" s="60">
        <v>15</v>
      </c>
      <c r="T28" s="60">
        <v>13</v>
      </c>
      <c r="U28" s="60">
        <v>12</v>
      </c>
      <c r="V28" s="12">
        <f>F28-U28-T28-S28</f>
        <v>225</v>
      </c>
      <c r="W28" s="60">
        <v>63</v>
      </c>
      <c r="X28" s="60">
        <v>80</v>
      </c>
      <c r="Y28" s="60">
        <v>70</v>
      </c>
      <c r="Z28" s="12">
        <f>G28-Y28-X28-W28</f>
        <v>83</v>
      </c>
      <c r="AA28" s="60">
        <v>71</v>
      </c>
      <c r="AB28" s="60">
        <v>75</v>
      </c>
      <c r="AC28" s="60">
        <v>76</v>
      </c>
      <c r="AD28" s="12">
        <f>H28-AC28-AB28-AA28</f>
        <v>87</v>
      </c>
      <c r="AE28" s="60">
        <v>75</v>
      </c>
      <c r="AF28" s="60">
        <v>116</v>
      </c>
      <c r="AG28" s="60">
        <v>83</v>
      </c>
      <c r="AH28" s="12">
        <f>I28-AG28-AF28-AE28</f>
        <v>-24</v>
      </c>
      <c r="AI28" s="60">
        <v>34</v>
      </c>
      <c r="AJ28" s="60">
        <v>22</v>
      </c>
      <c r="AK28" s="60">
        <v>63</v>
      </c>
      <c r="AL28" s="12">
        <f>J28-AK28-AJ28-AI28</f>
        <v>91</v>
      </c>
      <c r="AM28" s="60">
        <v>69</v>
      </c>
      <c r="AN28" s="60">
        <v>35</v>
      </c>
      <c r="AO28" s="60">
        <v>50</v>
      </c>
      <c r="AP28" s="12">
        <f>K28-AO28-AN28-AM28</f>
        <v>94</v>
      </c>
      <c r="AQ28" s="60">
        <v>39</v>
      </c>
      <c r="AR28" s="60">
        <v>2</v>
      </c>
      <c r="AS28" s="60">
        <v>23</v>
      </c>
      <c r="AT28" s="12">
        <f>L28-AS28-AR28-AQ28</f>
        <v>143</v>
      </c>
      <c r="AU28" s="60">
        <v>49</v>
      </c>
      <c r="AV28" s="60">
        <v>39</v>
      </c>
      <c r="AW28" s="60"/>
      <c r="AY28" s="60">
        <v>70</v>
      </c>
    </row>
    <row r="29" spans="2:51" s="58" customFormat="1" ht="12" customHeight="1">
      <c r="B29" s="59" t="s">
        <v>293</v>
      </c>
      <c r="C29" s="60">
        <v>20006</v>
      </c>
      <c r="D29" s="60">
        <v>13371</v>
      </c>
      <c r="E29" s="60">
        <v>18916</v>
      </c>
      <c r="F29" s="60">
        <v>22521</v>
      </c>
      <c r="G29" s="60">
        <v>24284</v>
      </c>
      <c r="H29" s="60">
        <v>26367</v>
      </c>
      <c r="I29" s="60">
        <v>10485</v>
      </c>
      <c r="J29" s="60">
        <v>26614</v>
      </c>
      <c r="K29" s="60">
        <v>32307</v>
      </c>
      <c r="L29" s="60">
        <v>30011</v>
      </c>
      <c r="M29" s="12">
        <f>SUM(AS29:AV29)</f>
        <v>28320</v>
      </c>
      <c r="N29" s="12"/>
      <c r="O29" s="60">
        <v>6900</v>
      </c>
      <c r="P29" s="60">
        <v>4862</v>
      </c>
      <c r="Q29" s="60">
        <v>4507</v>
      </c>
      <c r="R29" s="12">
        <f>E29-Q29-P29-O29</f>
        <v>2647</v>
      </c>
      <c r="S29" s="60">
        <v>6708</v>
      </c>
      <c r="T29" s="60">
        <v>5499</v>
      </c>
      <c r="U29" s="60">
        <v>3789</v>
      </c>
      <c r="V29" s="12">
        <f>F29-U29-T29-S29</f>
        <v>6525</v>
      </c>
      <c r="W29" s="60">
        <v>5912</v>
      </c>
      <c r="X29" s="60">
        <v>6368</v>
      </c>
      <c r="Y29" s="60">
        <v>7407</v>
      </c>
      <c r="Z29" s="12">
        <f>G29-Y29-X29-W29</f>
        <v>4597</v>
      </c>
      <c r="AA29" s="60">
        <v>5803</v>
      </c>
      <c r="AB29" s="60">
        <v>7119</v>
      </c>
      <c r="AC29" s="60">
        <v>5925</v>
      </c>
      <c r="AD29" s="12">
        <f>H29-AC29-AB29-AA29</f>
        <v>7520</v>
      </c>
      <c r="AE29" s="60">
        <v>9079</v>
      </c>
      <c r="AF29" s="60">
        <v>7707</v>
      </c>
      <c r="AG29" s="60">
        <v>10713</v>
      </c>
      <c r="AH29" s="12">
        <f>I29-AG29-AF29-AE29</f>
        <v>-17014</v>
      </c>
      <c r="AI29" s="60">
        <v>9015</v>
      </c>
      <c r="AJ29" s="60">
        <v>9436</v>
      </c>
      <c r="AK29" s="60">
        <v>9428</v>
      </c>
      <c r="AL29" s="12">
        <f>J29-AK29-AJ29-AI29</f>
        <v>-1265</v>
      </c>
      <c r="AM29" s="60">
        <v>9824</v>
      </c>
      <c r="AN29" s="60">
        <v>8589</v>
      </c>
      <c r="AO29" s="60">
        <v>9657</v>
      </c>
      <c r="AP29" s="12">
        <f>K29-AO29-AN29-AM29</f>
        <v>4237</v>
      </c>
      <c r="AQ29" s="60">
        <v>9025</v>
      </c>
      <c r="AR29" s="60">
        <v>9112</v>
      </c>
      <c r="AS29" s="60">
        <v>6934</v>
      </c>
      <c r="AT29" s="12">
        <f>L29-AS29-AR29-AQ29</f>
        <v>4940</v>
      </c>
      <c r="AU29" s="60">
        <v>8869</v>
      </c>
      <c r="AV29" s="60">
        <v>7577</v>
      </c>
      <c r="AW29" s="60"/>
      <c r="AY29" s="60">
        <v>7407</v>
      </c>
    </row>
    <row r="30" spans="2:51" s="29" customFormat="1" ht="13.5" customHeight="1">
      <c r="B30" s="30" t="s">
        <v>294</v>
      </c>
      <c r="C30" s="243">
        <f>C25-C28-C29</f>
        <v>0</v>
      </c>
      <c r="D30" s="243">
        <f t="shared" ref="D30:F30" si="105">D25-D28-D29</f>
        <v>0</v>
      </c>
      <c r="E30" s="243">
        <f t="shared" si="105"/>
        <v>0</v>
      </c>
      <c r="F30" s="243">
        <f t="shared" si="105"/>
        <v>0</v>
      </c>
      <c r="G30" s="243">
        <f t="shared" ref="G30" si="106">G25-G28-G29</f>
        <v>0</v>
      </c>
      <c r="H30" s="243">
        <f t="shared" ref="H30:M30" si="107">H25-H28-H29</f>
        <v>0</v>
      </c>
      <c r="I30" s="243">
        <f t="shared" si="107"/>
        <v>0</v>
      </c>
      <c r="J30" s="243">
        <f t="shared" si="107"/>
        <v>0</v>
      </c>
      <c r="K30" s="243">
        <f t="shared" si="107"/>
        <v>0</v>
      </c>
      <c r="L30" s="243">
        <f t="shared" si="107"/>
        <v>0</v>
      </c>
      <c r="M30" s="243">
        <f t="shared" si="107"/>
        <v>0</v>
      </c>
      <c r="N30" s="243"/>
      <c r="O30" s="243">
        <f t="shared" ref="O30:W30" si="108">O25-O28-O29</f>
        <v>0</v>
      </c>
      <c r="P30" s="243">
        <f t="shared" si="108"/>
        <v>0</v>
      </c>
      <c r="Q30" s="243">
        <f t="shared" si="108"/>
        <v>0</v>
      </c>
      <c r="R30" s="243">
        <f t="shared" si="108"/>
        <v>0</v>
      </c>
      <c r="S30" s="243">
        <f t="shared" si="108"/>
        <v>0</v>
      </c>
      <c r="T30" s="243">
        <f>T25-T28-T29</f>
        <v>0</v>
      </c>
      <c r="U30" s="243">
        <f t="shared" si="108"/>
        <v>0</v>
      </c>
      <c r="V30" s="243">
        <f>V25-V28-V29</f>
        <v>0</v>
      </c>
      <c r="W30" s="243">
        <f t="shared" si="108"/>
        <v>0</v>
      </c>
      <c r="X30" s="243">
        <f t="shared" ref="X30:AD30" si="109">X25-X28-X29</f>
        <v>0</v>
      </c>
      <c r="Y30" s="243">
        <f t="shared" si="109"/>
        <v>0</v>
      </c>
      <c r="Z30" s="243">
        <f t="shared" si="109"/>
        <v>0</v>
      </c>
      <c r="AA30" s="243">
        <f t="shared" si="109"/>
        <v>0</v>
      </c>
      <c r="AB30" s="243">
        <f t="shared" si="109"/>
        <v>0</v>
      </c>
      <c r="AC30" s="243">
        <f t="shared" si="109"/>
        <v>0</v>
      </c>
      <c r="AD30" s="243">
        <f t="shared" si="109"/>
        <v>121</v>
      </c>
      <c r="AE30" s="243">
        <f>AE25-AE28-AE29</f>
        <v>0</v>
      </c>
      <c r="AF30" s="243">
        <f>AF25-AF28-AF29</f>
        <v>0</v>
      </c>
      <c r="AG30" s="243">
        <f t="shared" ref="AG30" si="110">AG25-AG28-AG29</f>
        <v>0</v>
      </c>
      <c r="AH30" s="243">
        <f>AH25-AH28-AH29</f>
        <v>0</v>
      </c>
      <c r="AI30" s="243">
        <f>AI25-AI28-AI29</f>
        <v>0</v>
      </c>
      <c r="AJ30" s="243">
        <f>AJ25-AJ28-AJ29</f>
        <v>0</v>
      </c>
      <c r="AK30" s="243">
        <f t="shared" ref="AK30" si="111">AK25-AK28-AK29</f>
        <v>0</v>
      </c>
      <c r="AL30" s="243">
        <f>AL25-AL28-AL29</f>
        <v>0</v>
      </c>
      <c r="AM30" s="243">
        <f>AM25-AM28-AM29</f>
        <v>0</v>
      </c>
      <c r="AN30" s="243">
        <f>AN25-AN28-AN29</f>
        <v>0</v>
      </c>
      <c r="AO30" s="243">
        <f t="shared" ref="AO30" si="112">AO25-AO28-AO29</f>
        <v>0</v>
      </c>
      <c r="AP30" s="243">
        <f>AP25-AP28-AP29</f>
        <v>0</v>
      </c>
      <c r="AQ30" s="243">
        <f>AQ25-AQ28-AQ29</f>
        <v>0</v>
      </c>
      <c r="AR30" s="243">
        <f>AR25-AR28-AR29</f>
        <v>0</v>
      </c>
      <c r="AS30" s="243">
        <f t="shared" ref="AS30" si="113">AS25-AS28-AS29</f>
        <v>0</v>
      </c>
      <c r="AT30" s="243">
        <f>AT25-AT28-AT29</f>
        <v>0</v>
      </c>
      <c r="AU30" s="243">
        <f>AU25-AU28-AU29</f>
        <v>0</v>
      </c>
      <c r="AV30" s="243">
        <f>AV25-AV28-AV29</f>
        <v>0</v>
      </c>
      <c r="AW30" s="243"/>
      <c r="AY30" s="243">
        <f>AY25-AY28-AY29</f>
        <v>0</v>
      </c>
    </row>
    <row r="31" spans="2:51" s="7" customFormat="1" ht="13.5" customHeight="1">
      <c r="B31" s="2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2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96"/>
      <c r="AY31" s="13"/>
    </row>
    <row r="32" spans="2:51" s="2" customFormat="1" ht="13.5" customHeight="1">
      <c r="B32" s="244" t="s">
        <v>295</v>
      </c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3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6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11"/>
      <c r="AY32" s="11"/>
    </row>
    <row r="33" spans="2:53" s="7" customFormat="1" ht="13.5" customHeight="1">
      <c r="B33" s="21" t="str">
        <f>B13</f>
        <v>Cost of sales and services</v>
      </c>
      <c r="C33" s="9">
        <f t="shared" ref="C33:M33" si="114">C13/C7</f>
        <v>0.11636028242478214</v>
      </c>
      <c r="D33" s="9">
        <f t="shared" si="114"/>
        <v>9.0782569320512485E-2</v>
      </c>
      <c r="E33" s="9">
        <f t="shared" si="114"/>
        <v>9.4684614324436076E-2</v>
      </c>
      <c r="F33" s="9">
        <f t="shared" si="114"/>
        <v>8.3226426203092563E-2</v>
      </c>
      <c r="G33" s="9">
        <f t="shared" si="114"/>
        <v>7.0809864427473876E-2</v>
      </c>
      <c r="H33" s="9">
        <f t="shared" si="114"/>
        <v>6.9942603422135582E-2</v>
      </c>
      <c r="I33" s="9">
        <f t="shared" si="114"/>
        <v>7.2548939307068558E-2</v>
      </c>
      <c r="J33" s="9">
        <f t="shared" si="114"/>
        <v>7.4775060446311784E-2</v>
      </c>
      <c r="K33" s="9">
        <f t="shared" si="114"/>
        <v>6.7237093414978258E-2</v>
      </c>
      <c r="L33" s="9">
        <f t="shared" si="114"/>
        <v>6.0249026797243928E-2</v>
      </c>
      <c r="M33" s="9">
        <f t="shared" si="114"/>
        <v>6.3668980942174172E-2</v>
      </c>
      <c r="N33" s="12"/>
      <c r="O33" s="9">
        <f t="shared" ref="O33:AT33" si="115">O13/O7</f>
        <v>9.5747781163067952E-2</v>
      </c>
      <c r="P33" s="9">
        <f t="shared" si="115"/>
        <v>0.10089082245701264</v>
      </c>
      <c r="Q33" s="9">
        <f t="shared" si="115"/>
        <v>9.3647244508746549E-2</v>
      </c>
      <c r="R33" s="9">
        <f t="shared" si="115"/>
        <v>8.8358381807175007E-2</v>
      </c>
      <c r="S33" s="9">
        <f t="shared" si="115"/>
        <v>7.4345225819756652E-2</v>
      </c>
      <c r="T33" s="9">
        <f t="shared" si="115"/>
        <v>8.6391669194216966E-2</v>
      </c>
      <c r="U33" s="9">
        <f t="shared" si="115"/>
        <v>7.7782150939683159E-2</v>
      </c>
      <c r="V33" s="9">
        <f t="shared" si="115"/>
        <v>9.3631189930809738E-2</v>
      </c>
      <c r="W33" s="9">
        <f t="shared" si="115"/>
        <v>7.2469315979615756E-2</v>
      </c>
      <c r="X33" s="9">
        <f t="shared" si="115"/>
        <v>6.2060693294950224E-2</v>
      </c>
      <c r="Y33" s="9">
        <f t="shared" si="115"/>
        <v>7.8008429688732617E-2</v>
      </c>
      <c r="Z33" s="9">
        <f t="shared" si="115"/>
        <v>7.0285027847548323E-2</v>
      </c>
      <c r="AA33" s="9">
        <f t="shared" si="115"/>
        <v>7.8551568623158263E-2</v>
      </c>
      <c r="AB33" s="9">
        <f t="shared" si="115"/>
        <v>6.7710601968812609E-2</v>
      </c>
      <c r="AC33" s="9">
        <f t="shared" si="115"/>
        <v>6.0853052254251395E-2</v>
      </c>
      <c r="AD33" s="9">
        <f t="shared" si="115"/>
        <v>7.2868887927304199E-2</v>
      </c>
      <c r="AE33" s="9">
        <f t="shared" si="115"/>
        <v>6.5455079641560512E-2</v>
      </c>
      <c r="AF33" s="9">
        <f t="shared" si="115"/>
        <v>6.7268521361747421E-2</v>
      </c>
      <c r="AG33" s="9">
        <f t="shared" si="115"/>
        <v>7.4245656811947572E-2</v>
      </c>
      <c r="AH33" s="9">
        <f t="shared" si="115"/>
        <v>8.2874931995405909E-2</v>
      </c>
      <c r="AI33" s="9">
        <f t="shared" si="115"/>
        <v>8.1385995253991872E-2</v>
      </c>
      <c r="AJ33" s="9">
        <f t="shared" si="115"/>
        <v>7.3558808682483601E-2</v>
      </c>
      <c r="AK33" s="9">
        <f t="shared" si="115"/>
        <v>6.3602700936615117E-2</v>
      </c>
      <c r="AL33" s="9">
        <f t="shared" si="115"/>
        <v>8.0453149001536092E-2</v>
      </c>
      <c r="AM33" s="9">
        <f t="shared" si="115"/>
        <v>6.2323977392470545E-2</v>
      </c>
      <c r="AN33" s="9">
        <f t="shared" si="115"/>
        <v>7.0090540118638772E-2</v>
      </c>
      <c r="AO33" s="9">
        <f t="shared" si="115"/>
        <v>6.1568901303538176E-2</v>
      </c>
      <c r="AP33" s="9">
        <f t="shared" si="115"/>
        <v>7.4774757899863264E-2</v>
      </c>
      <c r="AQ33" s="9">
        <f t="shared" si="115"/>
        <v>6.300892907283652E-2</v>
      </c>
      <c r="AR33" s="9">
        <f t="shared" si="115"/>
        <v>4.9010153723977538E-2</v>
      </c>
      <c r="AS33" s="9">
        <f t="shared" si="115"/>
        <v>5.4815096492061982E-2</v>
      </c>
      <c r="AT33" s="9">
        <f t="shared" si="115"/>
        <v>7.4001088527297643E-2</v>
      </c>
      <c r="AU33" s="9">
        <f t="shared" ref="AU33:AV33" si="116">AU13/AU7</f>
        <v>6.2726527638648569E-2</v>
      </c>
      <c r="AV33" s="9">
        <f t="shared" si="116"/>
        <v>6.3053857729392315E-2</v>
      </c>
      <c r="AW33" s="197"/>
      <c r="AY33" s="9">
        <f>AY13/AY7</f>
        <v>7.8008429688732617E-2</v>
      </c>
    </row>
    <row r="34" spans="2:53" s="7" customFormat="1" ht="13.5" customHeight="1">
      <c r="B34" s="21" t="str">
        <f>B14</f>
        <v>Selling, general and administrative expenses</v>
      </c>
      <c r="C34" s="9">
        <f t="shared" ref="C34:M34" si="117">C14/C7</f>
        <v>0.42742828064372496</v>
      </c>
      <c r="D34" s="9">
        <f t="shared" si="117"/>
        <v>0.45940654715925738</v>
      </c>
      <c r="E34" s="9">
        <f t="shared" si="117"/>
        <v>0.48511180095688755</v>
      </c>
      <c r="F34" s="9">
        <f t="shared" si="117"/>
        <v>0.42285643456973754</v>
      </c>
      <c r="G34" s="9">
        <f t="shared" si="117"/>
        <v>0.43341165900687656</v>
      </c>
      <c r="H34" s="9">
        <f t="shared" si="117"/>
        <v>0.42065193848819582</v>
      </c>
      <c r="I34" s="9">
        <f t="shared" si="117"/>
        <v>0.43244737488737817</v>
      </c>
      <c r="J34" s="9">
        <f t="shared" si="117"/>
        <v>0.40566411669110941</v>
      </c>
      <c r="K34" s="9">
        <f t="shared" si="117"/>
        <v>0.37579061531226304</v>
      </c>
      <c r="L34" s="9">
        <f t="shared" si="117"/>
        <v>0.35718190644057574</v>
      </c>
      <c r="M34" s="9">
        <f t="shared" si="117"/>
        <v>0.34687572806486183</v>
      </c>
      <c r="N34" s="197"/>
      <c r="O34" s="9">
        <f t="shared" ref="O34:AT34" si="118">O14/O7</f>
        <v>0.45857729500596106</v>
      </c>
      <c r="P34" s="9">
        <f t="shared" si="118"/>
        <v>0.46465195773772527</v>
      </c>
      <c r="Q34" s="9">
        <f t="shared" si="118"/>
        <v>0.46713139550177563</v>
      </c>
      <c r="R34" s="9">
        <f t="shared" si="118"/>
        <v>0.55025925828442079</v>
      </c>
      <c r="S34" s="9">
        <f t="shared" si="118"/>
        <v>0.40964631882862446</v>
      </c>
      <c r="T34" s="9">
        <f t="shared" si="118"/>
        <v>0.40875543423314126</v>
      </c>
      <c r="U34" s="9">
        <f t="shared" si="118"/>
        <v>0.46649611335235658</v>
      </c>
      <c r="V34" s="9">
        <f t="shared" si="118"/>
        <v>0.40623893073889533</v>
      </c>
      <c r="W34" s="9">
        <f t="shared" si="118"/>
        <v>0.42708806852166425</v>
      </c>
      <c r="X34" s="9">
        <f t="shared" si="118"/>
        <v>0.39191555715485188</v>
      </c>
      <c r="Y34" s="9">
        <f t="shared" si="118"/>
        <v>0.38183785245790791</v>
      </c>
      <c r="Z34" s="9">
        <f t="shared" si="118"/>
        <v>0.52694113792726871</v>
      </c>
      <c r="AA34" s="9">
        <f t="shared" si="118"/>
        <v>0.43816362720844187</v>
      </c>
      <c r="AB34" s="9">
        <f t="shared" si="118"/>
        <v>0.43052530708249848</v>
      </c>
      <c r="AC34" s="9">
        <f t="shared" si="118"/>
        <v>0.41683914054665328</v>
      </c>
      <c r="AD34" s="9">
        <f t="shared" si="118"/>
        <v>0.39740372133275637</v>
      </c>
      <c r="AE34" s="9">
        <f t="shared" si="118"/>
        <v>0.4902100690436717</v>
      </c>
      <c r="AF34" s="9">
        <f t="shared" si="118"/>
        <v>0.43898544494257813</v>
      </c>
      <c r="AG34" s="9">
        <f t="shared" si="118"/>
        <v>0.40503911409123233</v>
      </c>
      <c r="AH34" s="9">
        <f t="shared" si="118"/>
        <v>0.39773116524612628</v>
      </c>
      <c r="AI34" s="9">
        <f t="shared" si="118"/>
        <v>0.40725173953263888</v>
      </c>
      <c r="AJ34" s="9">
        <f t="shared" si="118"/>
        <v>0.3953962645128723</v>
      </c>
      <c r="AK34" s="9">
        <f t="shared" si="118"/>
        <v>0.37733906259281996</v>
      </c>
      <c r="AL34" s="9">
        <f t="shared" si="118"/>
        <v>0.44137864823348694</v>
      </c>
      <c r="AM34" s="9">
        <f t="shared" si="118"/>
        <v>0.36930740492384329</v>
      </c>
      <c r="AN34" s="9">
        <f t="shared" si="118"/>
        <v>0.39941070871058382</v>
      </c>
      <c r="AO34" s="9">
        <f t="shared" si="118"/>
        <v>0.36836592178770949</v>
      </c>
      <c r="AP34" s="9">
        <f t="shared" si="118"/>
        <v>0.36662483376102795</v>
      </c>
      <c r="AQ34" s="9">
        <f t="shared" si="118"/>
        <v>0.35287620973025591</v>
      </c>
      <c r="AR34" s="9">
        <f t="shared" si="118"/>
        <v>0.36154442490593153</v>
      </c>
      <c r="AS34" s="9">
        <f t="shared" si="118"/>
        <v>0.36203061127483599</v>
      </c>
      <c r="AT34" s="9">
        <f t="shared" si="118"/>
        <v>0.35238256104198334</v>
      </c>
      <c r="AU34" s="9">
        <f t="shared" ref="AU34:AV34" si="119">AU14/AU7</f>
        <v>0.33155450323285673</v>
      </c>
      <c r="AV34" s="9">
        <f t="shared" si="119"/>
        <v>0.3422445984357293</v>
      </c>
      <c r="AW34" s="197"/>
      <c r="AY34" s="9">
        <f>AY14/AY7</f>
        <v>0.38183785245790791</v>
      </c>
    </row>
    <row r="35" spans="2:53" s="7" customFormat="1" ht="13.5" customHeight="1">
      <c r="B35" s="21" t="str">
        <f>B15</f>
        <v xml:space="preserve">Interconnection costs </v>
      </c>
      <c r="C35" s="9">
        <f t="shared" ref="C35:M35" si="120">C15/C7</f>
        <v>6.0893072959735388E-2</v>
      </c>
      <c r="D35" s="9">
        <f t="shared" si="120"/>
        <v>4.4122739258983031E-2</v>
      </c>
      <c r="E35" s="9">
        <f t="shared" si="120"/>
        <v>3.6050640222092423E-2</v>
      </c>
      <c r="F35" s="9">
        <f t="shared" si="120"/>
        <v>2.2546558829909205E-2</v>
      </c>
      <c r="G35" s="9">
        <f t="shared" si="120"/>
        <v>1.2359330545860834E-2</v>
      </c>
      <c r="H35" s="9">
        <f t="shared" si="120"/>
        <v>2.0023824994585229E-2</v>
      </c>
      <c r="I35" s="9">
        <f t="shared" si="120"/>
        <v>3.1247440412810221E-2</v>
      </c>
      <c r="J35" s="9">
        <f t="shared" si="120"/>
        <v>5.1617186571009555E-2</v>
      </c>
      <c r="K35" s="9">
        <f t="shared" si="120"/>
        <v>6.5831021873290402E-2</v>
      </c>
      <c r="L35" s="9">
        <f t="shared" si="120"/>
        <v>7.5452668884846308E-2</v>
      </c>
      <c r="M35" s="9">
        <f t="shared" si="120"/>
        <v>8.2852616373887522E-2</v>
      </c>
      <c r="N35" s="197"/>
      <c r="O35" s="9">
        <f t="shared" ref="O35:AT35" si="121">O15/O7</f>
        <v>4.9648960127169163E-2</v>
      </c>
      <c r="P35" s="9">
        <f t="shared" si="121"/>
        <v>5.2672467371037909E-2</v>
      </c>
      <c r="Q35" s="9">
        <f t="shared" si="121"/>
        <v>3.7906089701433644E-2</v>
      </c>
      <c r="R35" s="9">
        <f t="shared" si="121"/>
        <v>3.7901718737662201E-3</v>
      </c>
      <c r="S35" s="9">
        <f t="shared" si="121"/>
        <v>2.1525056712724273E-2</v>
      </c>
      <c r="T35" s="9">
        <f t="shared" si="121"/>
        <v>2.1888585582853098E-2</v>
      </c>
      <c r="U35" s="9">
        <f t="shared" si="121"/>
        <v>2.5558398110794057E-2</v>
      </c>
      <c r="V35" s="9">
        <f t="shared" si="121"/>
        <v>2.1205752473610881E-2</v>
      </c>
      <c r="W35" s="9">
        <f t="shared" si="121"/>
        <v>7.2253989520779001E-3</v>
      </c>
      <c r="X35" s="9">
        <f t="shared" si="121"/>
        <v>8.1324217344368472E-3</v>
      </c>
      <c r="Y35" s="9">
        <f t="shared" si="121"/>
        <v>1.3951811030721031E-2</v>
      </c>
      <c r="Z35" s="9">
        <f t="shared" si="121"/>
        <v>1.9351315933165886E-2</v>
      </c>
      <c r="AA35" s="9">
        <f t="shared" si="121"/>
        <v>1.8236749348687523E-2</v>
      </c>
      <c r="AB35" s="9">
        <f t="shared" si="121"/>
        <v>1.9470337137381305E-2</v>
      </c>
      <c r="AC35" s="9">
        <f t="shared" si="121"/>
        <v>1.7901721893869887E-2</v>
      </c>
      <c r="AD35" s="9">
        <f t="shared" si="121"/>
        <v>2.4491562094331457E-2</v>
      </c>
      <c r="AE35" s="9">
        <f t="shared" si="121"/>
        <v>3.3493525844158573E-2</v>
      </c>
      <c r="AF35" s="9">
        <f t="shared" si="121"/>
        <v>2.5630002661262256E-2</v>
      </c>
      <c r="AG35" s="9">
        <f t="shared" si="121"/>
        <v>3.4725185410951945E-2</v>
      </c>
      <c r="AH35" s="9">
        <f t="shared" si="121"/>
        <v>3.117129097906466E-2</v>
      </c>
      <c r="AI35" s="9">
        <f t="shared" si="121"/>
        <v>5.2668624059847964E-2</v>
      </c>
      <c r="AJ35" s="9">
        <f t="shared" si="121"/>
        <v>4.2423018677435635E-2</v>
      </c>
      <c r="AK35" s="9">
        <f t="shared" si="121"/>
        <v>5.4315756123641118E-2</v>
      </c>
      <c r="AL35" s="9">
        <f t="shared" si="121"/>
        <v>5.6739631336405527E-2</v>
      </c>
      <c r="AM35" s="9">
        <f t="shared" si="121"/>
        <v>6.6883801130376466E-2</v>
      </c>
      <c r="AN35" s="9">
        <f t="shared" si="121"/>
        <v>5.9612082422728689E-2</v>
      </c>
      <c r="AO35" s="9">
        <f t="shared" si="121"/>
        <v>6.8978895096213536E-2</v>
      </c>
      <c r="AP35" s="9">
        <f t="shared" si="121"/>
        <v>6.7731844831138671E-2</v>
      </c>
      <c r="AQ35" s="9">
        <f t="shared" si="121"/>
        <v>8.3562643904082662E-2</v>
      </c>
      <c r="AR35" s="9">
        <f t="shared" si="121"/>
        <v>8.9303609582695176E-2</v>
      </c>
      <c r="AS35" s="9">
        <f t="shared" si="121"/>
        <v>7.2554425325601288E-2</v>
      </c>
      <c r="AT35" s="9">
        <f t="shared" si="121"/>
        <v>5.6434510068877501E-2</v>
      </c>
      <c r="AU35" s="9">
        <f t="shared" ref="AU35:AV35" si="122">AU15/AU7</f>
        <v>0.10920681176577725</v>
      </c>
      <c r="AV35" s="9">
        <f t="shared" si="122"/>
        <v>9.2184219815334312E-2</v>
      </c>
      <c r="AW35" s="197"/>
      <c r="AY35" s="9">
        <f>AY15/AY7</f>
        <v>1.3951811030721031E-2</v>
      </c>
    </row>
    <row r="36" spans="2:53" s="7" customFormat="1" ht="13.5" customHeight="1">
      <c r="B36" s="21" t="str">
        <f>B18</f>
        <v>Operating profit</v>
      </c>
      <c r="C36" s="9">
        <f t="shared" ref="C36:M36" si="123">C18/C7</f>
        <v>0.15713377011640481</v>
      </c>
      <c r="D36" s="9">
        <f t="shared" si="123"/>
        <v>6.3334043629970971E-2</v>
      </c>
      <c r="E36" s="9">
        <f t="shared" si="123"/>
        <v>9.0392402654083173E-2</v>
      </c>
      <c r="F36" s="9">
        <f t="shared" si="123"/>
        <v>0.24418828049951968</v>
      </c>
      <c r="G36" s="9">
        <f t="shared" si="123"/>
        <v>0.20838084706912241</v>
      </c>
      <c r="H36" s="9">
        <f t="shared" si="123"/>
        <v>0.22130712583928958</v>
      </c>
      <c r="I36" s="9">
        <f t="shared" si="123"/>
        <v>-2.5928618232451472E-2</v>
      </c>
      <c r="J36" s="9">
        <f t="shared" si="123"/>
        <v>0.20162313210987357</v>
      </c>
      <c r="K36" s="9">
        <f t="shared" si="123"/>
        <v>0.24228100315766238</v>
      </c>
      <c r="L36" s="9">
        <f t="shared" si="123"/>
        <v>0.23728238432318816</v>
      </c>
      <c r="M36" s="9">
        <f t="shared" si="123"/>
        <v>0.2279670099249802</v>
      </c>
      <c r="N36" s="197"/>
      <c r="O36" s="9">
        <f t="shared" ref="O36:AT36" si="124">O18/O7</f>
        <v>0.18402437408928335</v>
      </c>
      <c r="P36" s="9">
        <f t="shared" si="124"/>
        <v>0.20514812512948</v>
      </c>
      <c r="Q36" s="9">
        <f t="shared" si="124"/>
        <v>0.17598316454031304</v>
      </c>
      <c r="R36" s="9">
        <f t="shared" si="124"/>
        <v>-0.20490616692548627</v>
      </c>
      <c r="S36" s="9">
        <f t="shared" si="124"/>
        <v>0.26564755619715408</v>
      </c>
      <c r="T36" s="9">
        <f t="shared" si="124"/>
        <v>0.25442321302193915</v>
      </c>
      <c r="U36" s="9">
        <f t="shared" si="124"/>
        <v>0.20586932992226706</v>
      </c>
      <c r="V36" s="9">
        <f t="shared" si="124"/>
        <v>0.25175337095898176</v>
      </c>
      <c r="W36" s="9">
        <f t="shared" si="124"/>
        <v>0.26599995214967581</v>
      </c>
      <c r="X36" s="9">
        <f t="shared" si="124"/>
        <v>0.25903802326976133</v>
      </c>
      <c r="Y36" s="9">
        <f t="shared" si="124"/>
        <v>0.26670723736110175</v>
      </c>
      <c r="Z36" s="9">
        <f t="shared" si="124"/>
        <v>5.3139674565905862E-2</v>
      </c>
      <c r="AA36" s="9">
        <f t="shared" si="124"/>
        <v>0.22278170632922478</v>
      </c>
      <c r="AB36" s="9">
        <f t="shared" si="124"/>
        <v>0.20576705287917066</v>
      </c>
      <c r="AC36" s="9">
        <f t="shared" si="124"/>
        <v>0.23952887959545097</v>
      </c>
      <c r="AD36" s="9">
        <f t="shared" si="124"/>
        <v>0.21681090437040243</v>
      </c>
      <c r="AE36" s="9">
        <f t="shared" si="124"/>
        <v>0.17065748882499843</v>
      </c>
      <c r="AF36" s="9">
        <f t="shared" si="124"/>
        <v>-9.0892341706073826E-2</v>
      </c>
      <c r="AG36" s="9">
        <f t="shared" si="124"/>
        <v>0.25349994920247892</v>
      </c>
      <c r="AH36" s="9">
        <f t="shared" si="124"/>
        <v>-0.4278345322291402</v>
      </c>
      <c r="AI36" s="9">
        <f t="shared" si="124"/>
        <v>0.25467562241081126</v>
      </c>
      <c r="AJ36" s="9">
        <f t="shared" si="124"/>
        <v>0.26318021201413427</v>
      </c>
      <c r="AK36" s="9">
        <f t="shared" si="124"/>
        <v>0.2786281459773074</v>
      </c>
      <c r="AL36" s="9">
        <f t="shared" si="124"/>
        <v>1.7761136712749617E-2</v>
      </c>
      <c r="AM36" s="9">
        <f t="shared" si="124"/>
        <v>0.29893667975859756</v>
      </c>
      <c r="AN36" s="9">
        <f t="shared" si="124"/>
        <v>0.24418513893225102</v>
      </c>
      <c r="AO36" s="9">
        <f t="shared" si="124"/>
        <v>0.26648820608317814</v>
      </c>
      <c r="AP36" s="9">
        <f t="shared" si="124"/>
        <v>0.16168730215220933</v>
      </c>
      <c r="AQ36" s="9">
        <f t="shared" si="124"/>
        <v>0.27569682334662399</v>
      </c>
      <c r="AR36" s="9">
        <f t="shared" si="124"/>
        <v>0.2612740370979636</v>
      </c>
      <c r="AS36" s="9">
        <f t="shared" si="124"/>
        <v>0.21583800741515352</v>
      </c>
      <c r="AT36" s="9">
        <f t="shared" si="124"/>
        <v>0.19612259069496837</v>
      </c>
      <c r="AU36" s="9">
        <f t="shared" ref="AU36:AV36" si="125">AU18/AU7</f>
        <v>0.25063291139240507</v>
      </c>
      <c r="AV36" s="9">
        <f t="shared" si="125"/>
        <v>0.248221152952979</v>
      </c>
      <c r="AW36" s="197"/>
      <c r="AY36" s="9">
        <f>AY18/AY7</f>
        <v>0.26670723736110175</v>
      </c>
    </row>
    <row r="37" spans="2:53" s="7" customFormat="1" ht="13.5" customHeight="1">
      <c r="B37" s="21" t="s">
        <v>296</v>
      </c>
      <c r="C37" s="9">
        <f t="shared" ref="C37:M37" si="126">C21/C7</f>
        <v>0.14039183258062465</v>
      </c>
      <c r="D37" s="9">
        <f t="shared" si="126"/>
        <v>9.7015422315744615E-2</v>
      </c>
      <c r="E37" s="9">
        <f t="shared" si="126"/>
        <v>0.14973518235336583</v>
      </c>
      <c r="F37" s="9">
        <f t="shared" si="126"/>
        <v>0.20040283846177684</v>
      </c>
      <c r="G37" s="9">
        <f t="shared" si="126"/>
        <v>0.1901758872110301</v>
      </c>
      <c r="H37" s="9">
        <f t="shared" si="126"/>
        <v>0.18548841238899719</v>
      </c>
      <c r="I37" s="9">
        <f t="shared" si="126"/>
        <v>7.1832254893930705E-2</v>
      </c>
      <c r="J37" s="9">
        <f t="shared" si="126"/>
        <v>0.1807295176186135</v>
      </c>
      <c r="K37" s="9">
        <f t="shared" si="126"/>
        <v>0.20487854037296888</v>
      </c>
      <c r="L37" s="9">
        <f t="shared" si="126"/>
        <v>0.18610558660797602</v>
      </c>
      <c r="M37" s="9">
        <f t="shared" si="126"/>
        <v>0.17282978425982015</v>
      </c>
      <c r="N37" s="197"/>
      <c r="O37" s="9">
        <f t="shared" ref="O37:AT37" si="127">O21/O7</f>
        <v>0.23407073784607232</v>
      </c>
      <c r="P37" s="9">
        <f t="shared" si="127"/>
        <v>0.1742024031489538</v>
      </c>
      <c r="Q37" s="9">
        <f t="shared" si="127"/>
        <v>0.14959884256214653</v>
      </c>
      <c r="R37" s="9">
        <f t="shared" si="127"/>
        <v>4.1218119127207645E-2</v>
      </c>
      <c r="S37" s="9">
        <f t="shared" si="127"/>
        <v>0.23234171994225614</v>
      </c>
      <c r="T37" s="9">
        <f t="shared" si="127"/>
        <v>0.20367000303306035</v>
      </c>
      <c r="U37" s="9">
        <f t="shared" si="127"/>
        <v>0.13637705401948244</v>
      </c>
      <c r="V37" s="9">
        <f t="shared" si="127"/>
        <v>0.2295558126903913</v>
      </c>
      <c r="W37" s="9">
        <f t="shared" si="127"/>
        <v>0.19932052539655956</v>
      </c>
      <c r="X37" s="9">
        <f t="shared" si="127"/>
        <v>0.21081923953460477</v>
      </c>
      <c r="Y37" s="9">
        <f t="shared" si="127"/>
        <v>0.23580589176640296</v>
      </c>
      <c r="Z37" s="9">
        <f t="shared" si="127"/>
        <v>0.11881620618106367</v>
      </c>
      <c r="AA37" s="9">
        <f t="shared" si="127"/>
        <v>0.16848742255402063</v>
      </c>
      <c r="AB37" s="9">
        <f t="shared" si="127"/>
        <v>0.19627145221709208</v>
      </c>
      <c r="AC37" s="9">
        <f t="shared" si="127"/>
        <v>0.16478545671794653</v>
      </c>
      <c r="AD37" s="9">
        <f t="shared" si="127"/>
        <v>0.21257031588057118</v>
      </c>
      <c r="AE37" s="9">
        <f t="shared" si="127"/>
        <v>0.25029904933789426</v>
      </c>
      <c r="AF37" s="9">
        <f t="shared" si="127"/>
        <v>0.19949231304632645</v>
      </c>
      <c r="AG37" s="9">
        <f t="shared" si="127"/>
        <v>0.28633546682921873</v>
      </c>
      <c r="AH37" s="9">
        <f t="shared" si="127"/>
        <v>-0.4378891373995043</v>
      </c>
      <c r="AI37" s="9">
        <f t="shared" si="127"/>
        <v>0.2457869122792905</v>
      </c>
      <c r="AJ37" s="9">
        <f t="shared" si="127"/>
        <v>0.25344775365976779</v>
      </c>
      <c r="AK37" s="9">
        <f t="shared" si="127"/>
        <v>0.25286627987564603</v>
      </c>
      <c r="AL37" s="9">
        <f t="shared" si="127"/>
        <v>-2.0487711213517664E-2</v>
      </c>
      <c r="AM37" s="9">
        <f t="shared" si="127"/>
        <v>0.25274451575821438</v>
      </c>
      <c r="AN37" s="9">
        <f t="shared" si="127"/>
        <v>0.21680846081798313</v>
      </c>
      <c r="AO37" s="9">
        <f t="shared" si="127"/>
        <v>0.24751707014276847</v>
      </c>
      <c r="AP37" s="9">
        <f t="shared" si="127"/>
        <v>0.10545638451308371</v>
      </c>
      <c r="AQ37" s="9">
        <f t="shared" si="127"/>
        <v>0.22096179405102861</v>
      </c>
      <c r="AR37" s="9">
        <f t="shared" si="127"/>
        <v>0.22451642180498044</v>
      </c>
      <c r="AS37" s="9">
        <f t="shared" si="127"/>
        <v>0.17187945622207434</v>
      </c>
      <c r="AT37" s="9">
        <f t="shared" si="127"/>
        <v>0.12707617814312258</v>
      </c>
      <c r="AU37" s="9">
        <f t="shared" ref="AU37:AV37" si="128">AU21/AU7</f>
        <v>0.20502686458428193</v>
      </c>
      <c r="AV37" s="9">
        <f t="shared" si="128"/>
        <v>0.18620766529808461</v>
      </c>
      <c r="AW37" s="197"/>
      <c r="AY37" s="9">
        <f>AY21/AY7</f>
        <v>0.23580589176640296</v>
      </c>
    </row>
    <row r="38" spans="2:53" s="7" customFormat="1" ht="13.5" customHeight="1">
      <c r="B38" s="21" t="s">
        <v>297</v>
      </c>
      <c r="C38" s="9">
        <f>-C22/C21</f>
        <v>8.6493588872275831E-2</v>
      </c>
      <c r="D38" s="9">
        <f t="shared" ref="D38:F38" si="129">-D22/D21</f>
        <v>7.5708696547463789E-2</v>
      </c>
      <c r="E38" s="9">
        <f t="shared" si="129"/>
        <v>0.16839798378259918</v>
      </c>
      <c r="F38" s="9">
        <f t="shared" si="129"/>
        <v>0.29533646709549727</v>
      </c>
      <c r="G38" s="9">
        <f t="shared" ref="G38:H38" si="130">-G22/G21</f>
        <v>0.25562520820084189</v>
      </c>
      <c r="H38" s="9">
        <f t="shared" si="130"/>
        <v>0.21774287716020552</v>
      </c>
      <c r="I38" s="9">
        <f t="shared" ref="I38:J38" si="131">-I22/I21</f>
        <v>0.19220353477765109</v>
      </c>
      <c r="J38" s="9">
        <f t="shared" si="131"/>
        <v>0.26350851221317545</v>
      </c>
      <c r="K38" s="9">
        <f t="shared" ref="K38:L38" si="132">-K22/K21</f>
        <v>0.23746281591830043</v>
      </c>
      <c r="L38" s="9">
        <f t="shared" si="132"/>
        <v>0.23477424092785332</v>
      </c>
      <c r="M38" s="9">
        <f>-M22/M21</f>
        <v>0.22962443719500689</v>
      </c>
      <c r="N38" s="197"/>
      <c r="O38" s="9">
        <f t="shared" ref="O38" si="133">-O22/O21</f>
        <v>0.2162988115449915</v>
      </c>
      <c r="P38" s="9">
        <f t="shared" ref="P38:V38" si="134">-P22/P21</f>
        <v>0.27441653039988106</v>
      </c>
      <c r="Q38" s="9">
        <f t="shared" si="134"/>
        <v>0.20502901353965183</v>
      </c>
      <c r="R38" s="9">
        <f t="shared" si="134"/>
        <v>-0.69029374201787996</v>
      </c>
      <c r="S38" s="9">
        <f t="shared" si="134"/>
        <v>0.25407744369244423</v>
      </c>
      <c r="T38" s="9">
        <f t="shared" si="134"/>
        <v>0.31595929511044923</v>
      </c>
      <c r="U38" s="9">
        <f t="shared" si="134"/>
        <v>0.31439393939393939</v>
      </c>
      <c r="V38" s="9">
        <f t="shared" si="134"/>
        <v>0.30562699310770497</v>
      </c>
      <c r="W38" s="9">
        <f>-W22/W21</f>
        <v>0.28279918377145602</v>
      </c>
      <c r="X38" s="9">
        <f t="shared" ref="X38:Z38" si="135">-X22/X21</f>
        <v>0.26627218934911245</v>
      </c>
      <c r="Y38" s="9">
        <f t="shared" si="135"/>
        <v>0.28531829478111259</v>
      </c>
      <c r="Z38" s="9">
        <f t="shared" si="135"/>
        <v>0.13970588235294118</v>
      </c>
      <c r="AA38" s="9">
        <f>-AA22/AA21</f>
        <v>0.23674636174636174</v>
      </c>
      <c r="AB38" s="9">
        <f t="shared" ref="AB38:AC38" si="136">-AB22/AB21</f>
        <v>0.20173102529960052</v>
      </c>
      <c r="AC38" s="9">
        <f t="shared" si="136"/>
        <v>0.22297034831024212</v>
      </c>
      <c r="AD38" s="9">
        <f>-AD22/AD21</f>
        <v>0.2134351145038168</v>
      </c>
      <c r="AE38" s="9">
        <f t="shared" ref="AE38:AG38" si="137">-AE22/AE21</f>
        <v>0.23082082669573237</v>
      </c>
      <c r="AF38" s="9">
        <f t="shared" si="137"/>
        <v>0.19302206259620319</v>
      </c>
      <c r="AG38" s="9">
        <f t="shared" si="137"/>
        <v>0.22934998580755039</v>
      </c>
      <c r="AH38" s="9">
        <f>-AH22/AH21</f>
        <v>0.23785201546107124</v>
      </c>
      <c r="AI38" s="9">
        <f t="shared" ref="AI38:AK38" si="138">-AI22/AI21</f>
        <v>0.2575683194239895</v>
      </c>
      <c r="AJ38" s="9">
        <f t="shared" si="138"/>
        <v>0.24617590822179733</v>
      </c>
      <c r="AK38" s="9">
        <f t="shared" si="138"/>
        <v>0.25802662490211431</v>
      </c>
      <c r="AL38" s="9">
        <f>-AL22/AL21</f>
        <v>-7.4039362699156508E-2</v>
      </c>
      <c r="AM38" s="9">
        <f t="shared" ref="AM38:AO38" si="139">-AM22/AM21</f>
        <v>0.2500758035172832</v>
      </c>
      <c r="AN38" s="9">
        <f t="shared" si="139"/>
        <v>0.22383223832238322</v>
      </c>
      <c r="AO38" s="9">
        <f t="shared" si="139"/>
        <v>0.23926332288401253</v>
      </c>
      <c r="AP38" s="9">
        <f>-AP22/AP21</f>
        <v>0.23072824156305508</v>
      </c>
      <c r="AQ38" s="9">
        <f t="shared" ref="AQ38:AS38" si="140">-AQ22/AQ21</f>
        <v>0.23212470349034225</v>
      </c>
      <c r="AR38" s="9">
        <f t="shared" si="140"/>
        <v>0.23244062657908035</v>
      </c>
      <c r="AS38" s="9">
        <f t="shared" si="140"/>
        <v>0.23042035398230087</v>
      </c>
      <c r="AT38" s="9">
        <f>-AT22/AT21</f>
        <v>0.24929847880667552</v>
      </c>
      <c r="AU38" s="9">
        <f t="shared" ref="AU38:AV38" si="141">-AU22/AU21</f>
        <v>0.20778182464244471</v>
      </c>
      <c r="AV38" s="9">
        <f t="shared" si="141"/>
        <v>0.24014766038112342</v>
      </c>
      <c r="AW38" s="197"/>
      <c r="AY38" s="9">
        <f t="shared" ref="AY38" si="142">-AY22/AY21</f>
        <v>0.28531829478111259</v>
      </c>
    </row>
    <row r="39" spans="2:53" s="7" customFormat="1" ht="13.5" customHeight="1">
      <c r="B39" s="20" t="str">
        <f>B20</f>
        <v>Other expenses - net</v>
      </c>
      <c r="C39" s="9">
        <f t="shared" ref="C39:M39" si="143">C20/C7</f>
        <v>1.6741937535780165E-2</v>
      </c>
      <c r="D39" s="9">
        <f t="shared" si="143"/>
        <v>-3.3681378685773644E-2</v>
      </c>
      <c r="E39" s="9">
        <f t="shared" si="143"/>
        <v>-5.9342779699282665E-2</v>
      </c>
      <c r="F39" s="9">
        <f t="shared" si="143"/>
        <v>4.3785442037742865E-2</v>
      </c>
      <c r="G39" s="9">
        <f t="shared" si="143"/>
        <v>1.8204959858092309E-2</v>
      </c>
      <c r="H39" s="9">
        <f t="shared" si="143"/>
        <v>3.5818713450292396E-2</v>
      </c>
      <c r="I39" s="9">
        <f t="shared" si="143"/>
        <v>-9.7760873126382181E-2</v>
      </c>
      <c r="J39" s="9">
        <f t="shared" si="143"/>
        <v>2.0893614491260058E-2</v>
      </c>
      <c r="K39" s="9">
        <f t="shared" si="143"/>
        <v>3.7402462784693495E-2</v>
      </c>
      <c r="L39" s="9">
        <f t="shared" si="143"/>
        <v>5.1176797715212129E-2</v>
      </c>
      <c r="M39" s="9">
        <f t="shared" si="143"/>
        <v>5.5137225665160057E-2</v>
      </c>
      <c r="N39" s="197"/>
      <c r="O39" s="9">
        <f t="shared" ref="O39:AT39" si="144">O20/O7</f>
        <v>-5.0046363756788982E-2</v>
      </c>
      <c r="P39" s="9">
        <f t="shared" si="144"/>
        <v>3.0945721980526208E-2</v>
      </c>
      <c r="Q39" s="9">
        <f t="shared" si="144"/>
        <v>2.6384321978166512E-2</v>
      </c>
      <c r="R39" s="9">
        <f t="shared" si="144"/>
        <v>-0.24612428605269393</v>
      </c>
      <c r="S39" s="9">
        <f t="shared" si="144"/>
        <v>3.3305836254897914E-2</v>
      </c>
      <c r="T39" s="9">
        <f t="shared" si="144"/>
        <v>5.0753209988878778E-2</v>
      </c>
      <c r="U39" s="9">
        <f t="shared" si="144"/>
        <v>6.9492275902784617E-2</v>
      </c>
      <c r="V39" s="9">
        <f t="shared" si="144"/>
        <v>2.2197558268590455E-2</v>
      </c>
      <c r="W39" s="9">
        <f t="shared" si="144"/>
        <v>6.667942675311625E-2</v>
      </c>
      <c r="X39" s="9">
        <f t="shared" si="144"/>
        <v>4.8218783735156534E-2</v>
      </c>
      <c r="Y39" s="9">
        <f t="shared" si="144"/>
        <v>3.0901345594698763E-2</v>
      </c>
      <c r="Z39" s="9">
        <f t="shared" si="144"/>
        <v>-6.5676531615157796E-2</v>
      </c>
      <c r="AA39" s="9">
        <f t="shared" si="144"/>
        <v>5.429428377520415E-2</v>
      </c>
      <c r="AB39" s="9">
        <f t="shared" si="144"/>
        <v>9.4956006620785776E-3</v>
      </c>
      <c r="AC39" s="9">
        <f t="shared" si="144"/>
        <v>7.4743422877504434E-2</v>
      </c>
      <c r="AD39" s="9">
        <f t="shared" si="144"/>
        <v>4.2405884898312415E-3</v>
      </c>
      <c r="AE39" s="9">
        <f t="shared" si="144"/>
        <v>-7.9641560512895851E-2</v>
      </c>
      <c r="AF39" s="9">
        <f t="shared" si="144"/>
        <v>-0.29038465475240027</v>
      </c>
      <c r="AG39" s="9">
        <f t="shared" si="144"/>
        <v>-3.2835517626739814E-2</v>
      </c>
      <c r="AH39" s="9">
        <f t="shared" si="144"/>
        <v>1.0054605170364102E-2</v>
      </c>
      <c r="AI39" s="9">
        <f t="shared" si="144"/>
        <v>8.8887101315207329E-3</v>
      </c>
      <c r="AJ39" s="9">
        <f t="shared" si="144"/>
        <v>9.7324583543664817E-3</v>
      </c>
      <c r="AK39" s="9">
        <f t="shared" si="144"/>
        <v>2.5761866101661354E-2</v>
      </c>
      <c r="AL39" s="9">
        <f t="shared" si="144"/>
        <v>3.8248847926267281E-2</v>
      </c>
      <c r="AM39" s="9">
        <f t="shared" si="144"/>
        <v>4.619216400038318E-2</v>
      </c>
      <c r="AN39" s="9">
        <f t="shared" si="144"/>
        <v>2.7376678114267874E-2</v>
      </c>
      <c r="AO39" s="9">
        <f t="shared" si="144"/>
        <v>1.8971135940409684E-2</v>
      </c>
      <c r="AP39" s="9">
        <f t="shared" si="144"/>
        <v>5.6230917639125633E-2</v>
      </c>
      <c r="AQ39" s="9">
        <f t="shared" si="144"/>
        <v>5.4735029295595365E-2</v>
      </c>
      <c r="AR39" s="9">
        <f t="shared" si="144"/>
        <v>3.6757615292983152E-2</v>
      </c>
      <c r="AS39" s="9">
        <f t="shared" si="144"/>
        <v>4.395855119307919E-2</v>
      </c>
      <c r="AT39" s="9">
        <f t="shared" si="144"/>
        <v>6.9046412551845807E-2</v>
      </c>
      <c r="AU39" s="9">
        <f t="shared" ref="AU39:AV39" si="145">AU20/AU7</f>
        <v>4.5606046808123121E-2</v>
      </c>
      <c r="AV39" s="9">
        <f t="shared" si="145"/>
        <v>6.2013487654894381E-2</v>
      </c>
      <c r="AW39" s="197"/>
      <c r="AY39" s="9">
        <f>AY20/AY7</f>
        <v>3.0901345594698763E-2</v>
      </c>
    </row>
    <row r="40" spans="2:53" s="7" customFormat="1" ht="13.5" customHeight="1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197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197"/>
      <c r="AY40" s="22"/>
    </row>
    <row r="41" spans="2:53" s="7" customFormat="1" ht="13.5" customHeight="1">
      <c r="B41" s="20" t="s">
        <v>298</v>
      </c>
      <c r="C41" s="9">
        <f t="shared" ref="C41" si="146">C97/C81</f>
        <v>-0.14988321574227589</v>
      </c>
      <c r="D41" s="9">
        <f t="shared" ref="D41:F41" si="147">D97/D81</f>
        <v>-0.14314837069708619</v>
      </c>
      <c r="E41" s="9">
        <f t="shared" si="147"/>
        <v>-0.29264519930761013</v>
      </c>
      <c r="F41" s="9">
        <f t="shared" si="147"/>
        <v>-0.30733448787436385</v>
      </c>
      <c r="G41" s="9">
        <f t="shared" ref="G41:H41" si="148">G97/G81</f>
        <v>-0.31090473138715169</v>
      </c>
      <c r="H41" s="9">
        <f t="shared" si="148"/>
        <v>-0.38642773146847326</v>
      </c>
      <c r="I41" s="9">
        <f t="shared" ref="I41:J41" si="149">I97/I81</f>
        <v>-0.36877697419285388</v>
      </c>
      <c r="J41" s="9">
        <f t="shared" si="149"/>
        <v>-0.24454736363076135</v>
      </c>
      <c r="K41" s="9">
        <f t="shared" ref="K41:L41" si="150">K97/K81</f>
        <v>-0.14667509096862563</v>
      </c>
      <c r="L41" s="9">
        <f t="shared" si="150"/>
        <v>-0.10609099401065993</v>
      </c>
      <c r="M41" s="9">
        <f t="shared" ref="M41" si="151">M97/M81</f>
        <v>-6.8675844579295348E-2</v>
      </c>
      <c r="N41" s="197"/>
      <c r="O41" s="9"/>
      <c r="P41" s="9"/>
      <c r="Q41" s="9"/>
      <c r="R41" s="9">
        <f t="shared" ref="R41:W41" si="152">R97/R81</f>
        <v>-0.29264519930761013</v>
      </c>
      <c r="S41" s="9">
        <f t="shared" si="152"/>
        <v>-0.28257015795123447</v>
      </c>
      <c r="T41" s="9">
        <f t="shared" si="152"/>
        <v>-0.30377046459156887</v>
      </c>
      <c r="U41" s="9">
        <f t="shared" si="152"/>
        <v>-0.33776161361028301</v>
      </c>
      <c r="V41" s="9">
        <f t="shared" si="152"/>
        <v>-0.30733448787436385</v>
      </c>
      <c r="W41" s="9">
        <f t="shared" si="152"/>
        <v>-0.30916586824608772</v>
      </c>
      <c r="X41" s="9">
        <f t="shared" ref="X41" si="153">X97/X81</f>
        <v>-0.18130598259149813</v>
      </c>
      <c r="Y41" s="9">
        <f>Y97/Y81</f>
        <v>-0.18603383659319112</v>
      </c>
      <c r="Z41" s="9">
        <f t="shared" ref="Z41:AB41" si="154">Z97/Z81</f>
        <v>-0.31090473138715169</v>
      </c>
      <c r="AA41" s="9">
        <f t="shared" si="154"/>
        <v>-0.35714208611737785</v>
      </c>
      <c r="AB41" s="9">
        <f t="shared" si="154"/>
        <v>-0.36521285783497986</v>
      </c>
      <c r="AC41" s="9">
        <f>AC97/AC81</f>
        <v>-0.34929919953245181</v>
      </c>
      <c r="AD41" s="9">
        <f t="shared" ref="AD41" si="155">AD97/AD81</f>
        <v>-0.38642773146847326</v>
      </c>
      <c r="AE41" s="9">
        <f t="shared" ref="AE41:AF41" si="156">AE97/AE81</f>
        <v>-0.36823177234951338</v>
      </c>
      <c r="AF41" s="9">
        <f t="shared" si="156"/>
        <v>-0.41206485938687609</v>
      </c>
      <c r="AG41" s="9">
        <f>AG97/AG81</f>
        <v>-0.38442313831909969</v>
      </c>
      <c r="AH41" s="9">
        <f t="shared" ref="AH41:AJ41" si="157">AH97/AH81</f>
        <v>-0.36877697419285388</v>
      </c>
      <c r="AI41" s="9">
        <f t="shared" si="157"/>
        <v>-0.30217642424564645</v>
      </c>
      <c r="AJ41" s="9">
        <f t="shared" si="157"/>
        <v>-0.2726467032411265</v>
      </c>
      <c r="AK41" s="9">
        <f>AK97/AK81</f>
        <v>-0.28595194262263646</v>
      </c>
      <c r="AL41" s="9">
        <f t="shared" ref="AL41:AN41" si="158">AL97/AL81</f>
        <v>-0.24454736363076135</v>
      </c>
      <c r="AM41" s="9">
        <f t="shared" si="158"/>
        <v>-0.25447924253459575</v>
      </c>
      <c r="AN41" s="9">
        <f t="shared" si="158"/>
        <v>-0.28397933780268347</v>
      </c>
      <c r="AO41" s="9">
        <f>AO97/AO81</f>
        <v>-0.20586993537132492</v>
      </c>
      <c r="AP41" s="9">
        <f t="shared" ref="AP41:AR41" si="159">AP97/AP81</f>
        <v>-0.14667509096862563</v>
      </c>
      <c r="AQ41" s="9">
        <f t="shared" si="159"/>
        <v>-0.1188786796765281</v>
      </c>
      <c r="AR41" s="9">
        <f t="shared" si="159"/>
        <v>-0.12206156545899902</v>
      </c>
      <c r="AS41" s="9">
        <f>AS97/AS81</f>
        <v>-0.10421856607079306</v>
      </c>
      <c r="AT41" s="9">
        <f t="shared" ref="AT41:AV41" si="160">AT97/AT81</f>
        <v>-0.10609099401065993</v>
      </c>
      <c r="AU41" s="9">
        <f>AU97/AU81</f>
        <v>-8.7167158416202234E-2</v>
      </c>
      <c r="AV41" s="9">
        <f t="shared" si="160"/>
        <v>-6.8675844579295348E-2</v>
      </c>
      <c r="AW41" s="197"/>
      <c r="AY41" s="9">
        <f>AY97/AY81</f>
        <v>-0.18603383659319112</v>
      </c>
    </row>
    <row r="42" spans="2:53" s="7" customFormat="1" ht="13.5" customHeight="1">
      <c r="C42" s="22"/>
      <c r="D42" s="22"/>
      <c r="E42" s="22"/>
      <c r="F42" s="22"/>
      <c r="G42" s="22"/>
      <c r="H42" s="22"/>
      <c r="I42" s="22"/>
      <c r="J42" s="22"/>
      <c r="K42" s="22"/>
      <c r="L42" s="22"/>
      <c r="AW42" s="197"/>
      <c r="AY42" s="22"/>
    </row>
    <row r="43" spans="2:53" ht="13.5" customHeight="1">
      <c r="B43" s="4" t="s">
        <v>299</v>
      </c>
      <c r="C43" s="62">
        <f t="shared" ref="C43:M43" si="161">C3</f>
        <v>42735</v>
      </c>
      <c r="D43" s="62">
        <f t="shared" si="161"/>
        <v>43100</v>
      </c>
      <c r="E43" s="62">
        <f t="shared" si="161"/>
        <v>43465</v>
      </c>
      <c r="F43" s="62">
        <f t="shared" si="161"/>
        <v>43830</v>
      </c>
      <c r="G43" s="62">
        <f t="shared" si="161"/>
        <v>44196</v>
      </c>
      <c r="H43" s="62">
        <f t="shared" si="161"/>
        <v>44561</v>
      </c>
      <c r="I43" s="62">
        <f t="shared" si="161"/>
        <v>44926</v>
      </c>
      <c r="J43" s="62">
        <f t="shared" si="161"/>
        <v>45291</v>
      </c>
      <c r="K43" s="62">
        <f t="shared" si="161"/>
        <v>45657</v>
      </c>
      <c r="L43" s="62">
        <f t="shared" si="161"/>
        <v>46022</v>
      </c>
      <c r="M43" s="62">
        <f t="shared" si="161"/>
        <v>46203</v>
      </c>
      <c r="N43" s="193"/>
      <c r="O43" s="62">
        <f t="shared" ref="O43:AT43" si="162">O3</f>
        <v>43190</v>
      </c>
      <c r="P43" s="62">
        <f t="shared" si="162"/>
        <v>43281</v>
      </c>
      <c r="Q43" s="62">
        <f t="shared" si="162"/>
        <v>43373</v>
      </c>
      <c r="R43" s="62">
        <f t="shared" si="162"/>
        <v>43465</v>
      </c>
      <c r="S43" s="62">
        <f t="shared" si="162"/>
        <v>43555</v>
      </c>
      <c r="T43" s="62">
        <f t="shared" si="162"/>
        <v>43646</v>
      </c>
      <c r="U43" s="62">
        <f t="shared" si="162"/>
        <v>43738</v>
      </c>
      <c r="V43" s="62">
        <f t="shared" si="162"/>
        <v>43830</v>
      </c>
      <c r="W43" s="62">
        <f t="shared" si="162"/>
        <v>43921</v>
      </c>
      <c r="X43" s="62">
        <f t="shared" si="162"/>
        <v>44012</v>
      </c>
      <c r="Y43" s="62">
        <f t="shared" si="162"/>
        <v>44104</v>
      </c>
      <c r="Z43" s="62">
        <f t="shared" si="162"/>
        <v>44196</v>
      </c>
      <c r="AA43" s="62">
        <f t="shared" si="162"/>
        <v>44286</v>
      </c>
      <c r="AB43" s="62">
        <f t="shared" si="162"/>
        <v>44348</v>
      </c>
      <c r="AC43" s="62">
        <f t="shared" si="162"/>
        <v>44469</v>
      </c>
      <c r="AD43" s="62">
        <f t="shared" si="162"/>
        <v>44561</v>
      </c>
      <c r="AE43" s="62">
        <f t="shared" si="162"/>
        <v>44651</v>
      </c>
      <c r="AF43" s="62">
        <f t="shared" si="162"/>
        <v>44742</v>
      </c>
      <c r="AG43" s="62">
        <f t="shared" si="162"/>
        <v>44834</v>
      </c>
      <c r="AH43" s="62">
        <f t="shared" si="162"/>
        <v>44926</v>
      </c>
      <c r="AI43" s="62">
        <f t="shared" si="162"/>
        <v>45016</v>
      </c>
      <c r="AJ43" s="62">
        <f t="shared" si="162"/>
        <v>45107</v>
      </c>
      <c r="AK43" s="62">
        <f t="shared" si="162"/>
        <v>45199</v>
      </c>
      <c r="AL43" s="62">
        <f t="shared" si="162"/>
        <v>45291</v>
      </c>
      <c r="AM43" s="62">
        <f t="shared" si="162"/>
        <v>45382</v>
      </c>
      <c r="AN43" s="62">
        <f t="shared" si="162"/>
        <v>45473</v>
      </c>
      <c r="AO43" s="62">
        <f t="shared" si="162"/>
        <v>45565</v>
      </c>
      <c r="AP43" s="62">
        <f t="shared" si="162"/>
        <v>45657</v>
      </c>
      <c r="AQ43" s="62">
        <f t="shared" si="162"/>
        <v>45747</v>
      </c>
      <c r="AR43" s="62">
        <f t="shared" si="162"/>
        <v>45838</v>
      </c>
      <c r="AS43" s="62">
        <f t="shared" si="162"/>
        <v>45930</v>
      </c>
      <c r="AT43" s="62">
        <f t="shared" si="162"/>
        <v>46022</v>
      </c>
      <c r="AU43" s="62">
        <f t="shared" ref="AU43:AV43" si="163">AU3</f>
        <v>46112</v>
      </c>
      <c r="AV43" s="62">
        <f t="shared" si="163"/>
        <v>46203</v>
      </c>
      <c r="AW43" s="193"/>
      <c r="AY43" s="62">
        <f>AY3</f>
        <v>44104</v>
      </c>
    </row>
    <row r="44" spans="2:53" s="2" customFormat="1" ht="13.5" customHeight="1">
      <c r="B44" s="27" t="str">
        <f>B18</f>
        <v>Operating profit</v>
      </c>
      <c r="C44" s="6">
        <f t="shared" ref="C44:F44" si="164">C18</f>
        <v>24703</v>
      </c>
      <c r="D44" s="6">
        <f t="shared" si="164"/>
        <v>9511</v>
      </c>
      <c r="E44" s="6">
        <f t="shared" si="164"/>
        <v>13773</v>
      </c>
      <c r="F44" s="6">
        <f t="shared" si="164"/>
        <v>39401</v>
      </c>
      <c r="G44" s="6">
        <f t="shared" ref="G44:M44" si="165">G18</f>
        <v>36182</v>
      </c>
      <c r="H44" s="6">
        <f t="shared" si="165"/>
        <v>40871</v>
      </c>
      <c r="I44" s="6">
        <f t="shared" si="165"/>
        <v>-5065</v>
      </c>
      <c r="J44" s="6">
        <f t="shared" si="165"/>
        <v>40694</v>
      </c>
      <c r="K44" s="6">
        <f t="shared" si="165"/>
        <v>50487</v>
      </c>
      <c r="L44" s="6">
        <f t="shared" ref="L44" si="166">L18</f>
        <v>50348</v>
      </c>
      <c r="M44" s="6">
        <f t="shared" si="165"/>
        <v>48924</v>
      </c>
      <c r="N44" s="6"/>
      <c r="O44" s="6">
        <f t="shared" ref="O44:W44" si="167">O18</f>
        <v>6946</v>
      </c>
      <c r="P44" s="6">
        <f t="shared" si="167"/>
        <v>7922</v>
      </c>
      <c r="Q44" s="6">
        <f t="shared" si="167"/>
        <v>6690</v>
      </c>
      <c r="R44" s="6">
        <f t="shared" si="167"/>
        <v>-7785</v>
      </c>
      <c r="S44" s="6">
        <f t="shared" si="167"/>
        <v>10305</v>
      </c>
      <c r="T44" s="6">
        <f t="shared" si="167"/>
        <v>10066</v>
      </c>
      <c r="U44" s="6">
        <f t="shared" si="167"/>
        <v>8369</v>
      </c>
      <c r="V44" s="6">
        <f t="shared" si="167"/>
        <v>10661</v>
      </c>
      <c r="W44" s="6">
        <f t="shared" si="167"/>
        <v>11118</v>
      </c>
      <c r="X44" s="6">
        <f t="shared" ref="X44:AB44" si="168">X18</f>
        <v>10798</v>
      </c>
      <c r="Y44" s="6">
        <f t="shared" si="168"/>
        <v>11833</v>
      </c>
      <c r="Z44" s="6">
        <f t="shared" si="168"/>
        <v>2433</v>
      </c>
      <c r="AA44" s="6">
        <f t="shared" si="168"/>
        <v>10176</v>
      </c>
      <c r="AB44" s="6">
        <f t="shared" si="168"/>
        <v>9448</v>
      </c>
      <c r="AC44" s="6">
        <f t="shared" ref="AC44" si="169">AC18</f>
        <v>11226</v>
      </c>
      <c r="AD44" s="6">
        <f>AD18</f>
        <v>10021</v>
      </c>
      <c r="AE44" s="6">
        <f t="shared" ref="AE44:AG44" si="170">AE18</f>
        <v>8132</v>
      </c>
      <c r="AF44" s="6">
        <f t="shared" si="170"/>
        <v>-4440</v>
      </c>
      <c r="AG44" s="6">
        <f t="shared" si="170"/>
        <v>12476</v>
      </c>
      <c r="AH44" s="6">
        <f>AH18</f>
        <v>-21233</v>
      </c>
      <c r="AI44" s="6">
        <f t="shared" ref="AI44:AK44" si="171">AI18</f>
        <v>12664</v>
      </c>
      <c r="AJ44" s="6">
        <f t="shared" si="171"/>
        <v>13034</v>
      </c>
      <c r="AK44" s="6">
        <f t="shared" si="171"/>
        <v>14071</v>
      </c>
      <c r="AL44" s="6">
        <f>AL18</f>
        <v>925</v>
      </c>
      <c r="AM44" s="6">
        <f t="shared" ref="AM44:AO44" si="172">AM18</f>
        <v>15603</v>
      </c>
      <c r="AN44" s="6">
        <f t="shared" si="172"/>
        <v>12514</v>
      </c>
      <c r="AO44" s="6">
        <f t="shared" si="172"/>
        <v>13738</v>
      </c>
      <c r="AP44" s="6">
        <f>AP18</f>
        <v>8632</v>
      </c>
      <c r="AQ44" s="6">
        <f t="shared" ref="AQ44:AS44" si="173">AQ18</f>
        <v>14728</v>
      </c>
      <c r="AR44" s="6">
        <f t="shared" si="173"/>
        <v>13818</v>
      </c>
      <c r="AS44" s="6">
        <f t="shared" si="173"/>
        <v>11352</v>
      </c>
      <c r="AT44" s="6">
        <f>AT18</f>
        <v>10450</v>
      </c>
      <c r="AU44" s="6">
        <f t="shared" ref="AU44:AV44" si="174">AU18</f>
        <v>13761</v>
      </c>
      <c r="AV44" s="6">
        <f t="shared" si="174"/>
        <v>13361</v>
      </c>
      <c r="AW44" s="6"/>
      <c r="AX44" s="204"/>
      <c r="AY44" s="6">
        <f t="shared" ref="AY44" si="175">AY18</f>
        <v>11833</v>
      </c>
    </row>
    <row r="45" spans="2:53" ht="13.5" customHeight="1">
      <c r="B45" s="59" t="s">
        <v>300</v>
      </c>
      <c r="C45" s="15">
        <v>34455</v>
      </c>
      <c r="D45" s="15">
        <v>51915</v>
      </c>
      <c r="E45" s="15">
        <v>47240</v>
      </c>
      <c r="F45" s="15">
        <v>39656</v>
      </c>
      <c r="G45" s="15">
        <v>47480</v>
      </c>
      <c r="H45" s="15">
        <v>52169</v>
      </c>
      <c r="I45" s="15">
        <v>98714</v>
      </c>
      <c r="J45" s="15">
        <v>58462</v>
      </c>
      <c r="K45" s="15">
        <v>55988</v>
      </c>
      <c r="L45" s="15">
        <v>59487</v>
      </c>
      <c r="M45" s="12">
        <f>SUM(AS45:AV45)</f>
        <v>61997</v>
      </c>
      <c r="N45" s="12"/>
      <c r="O45" s="15">
        <v>9373</v>
      </c>
      <c r="P45" s="15">
        <v>8516</v>
      </c>
      <c r="Q45" s="11">
        <v>9611</v>
      </c>
      <c r="R45" s="12" t="e">
        <f>#REF!-Q45-P45-O45</f>
        <v>#REF!</v>
      </c>
      <c r="S45" s="15">
        <v>9346</v>
      </c>
      <c r="T45" s="15">
        <v>9557</v>
      </c>
      <c r="U45" s="15">
        <v>9710</v>
      </c>
      <c r="V45" s="12">
        <f>F45-U45-T45-S45</f>
        <v>11043</v>
      </c>
      <c r="W45" s="15">
        <v>10286</v>
      </c>
      <c r="X45" s="15">
        <v>10611</v>
      </c>
      <c r="Y45" s="15">
        <v>10690</v>
      </c>
      <c r="Z45" s="12">
        <f>G45-Y45-X45-W45</f>
        <v>15893</v>
      </c>
      <c r="AA45" s="15">
        <v>11721</v>
      </c>
      <c r="AB45" s="15">
        <v>12633</v>
      </c>
      <c r="AC45" s="15">
        <v>12839</v>
      </c>
      <c r="AD45" s="12">
        <f>H45-AC45-AB45-AA45</f>
        <v>14976</v>
      </c>
      <c r="AE45" s="15">
        <v>12564</v>
      </c>
      <c r="AF45" s="15">
        <v>28151</v>
      </c>
      <c r="AG45" s="15">
        <v>12061</v>
      </c>
      <c r="AH45" s="12">
        <f>I45-AG45-AF45-AE45</f>
        <v>45938</v>
      </c>
      <c r="AI45" s="15">
        <v>11688</v>
      </c>
      <c r="AJ45" s="15">
        <v>12271</v>
      </c>
      <c r="AK45" s="15">
        <v>12094</v>
      </c>
      <c r="AL45" s="12">
        <f>J45-AK45-AJ45-AI45</f>
        <v>22409</v>
      </c>
      <c r="AM45" s="15">
        <v>11642</v>
      </c>
      <c r="AN45" s="15">
        <v>12639</v>
      </c>
      <c r="AO45" s="15">
        <v>12881</v>
      </c>
      <c r="AP45" s="12">
        <f>K45-AO45-AN45-AM45</f>
        <v>18826</v>
      </c>
      <c r="AQ45" s="15">
        <v>13001</v>
      </c>
      <c r="AR45" s="15">
        <f>26043-AQ45</f>
        <v>13042</v>
      </c>
      <c r="AS45" s="15">
        <f>41820-AR45-AQ45</f>
        <v>15777</v>
      </c>
      <c r="AT45" s="12">
        <f>L45-AS45-AR45-AQ45</f>
        <v>17667</v>
      </c>
      <c r="AU45" s="15">
        <v>14280</v>
      </c>
      <c r="AV45" s="15">
        <f>28553-AU45</f>
        <v>14273</v>
      </c>
      <c r="AW45" s="15"/>
      <c r="AY45" s="15">
        <v>10690</v>
      </c>
      <c r="BA45" s="12"/>
    </row>
    <row r="46" spans="2:53" s="2" customFormat="1" ht="13.5" customHeight="1">
      <c r="B46" s="2" t="s">
        <v>299</v>
      </c>
      <c r="C46" s="6">
        <f t="shared" ref="C46:U46" si="176">C44+C45</f>
        <v>59158</v>
      </c>
      <c r="D46" s="6">
        <f t="shared" si="176"/>
        <v>61426</v>
      </c>
      <c r="E46" s="6">
        <f t="shared" si="176"/>
        <v>61013</v>
      </c>
      <c r="F46" s="6">
        <f t="shared" si="176"/>
        <v>79057</v>
      </c>
      <c r="G46" s="6">
        <f t="shared" ref="G46:H46" si="177">G44+G45</f>
        <v>83662</v>
      </c>
      <c r="H46" s="6">
        <f t="shared" si="177"/>
        <v>93040</v>
      </c>
      <c r="I46" s="6">
        <f t="shared" ref="I46:J46" si="178">I44+I45</f>
        <v>93649</v>
      </c>
      <c r="J46" s="6">
        <f t="shared" si="178"/>
        <v>99156</v>
      </c>
      <c r="K46" s="6">
        <f t="shared" ref="K46:L46" si="179">K44+K45</f>
        <v>106475</v>
      </c>
      <c r="L46" s="6">
        <f t="shared" si="179"/>
        <v>109835</v>
      </c>
      <c r="M46" s="6">
        <f t="shared" ref="M46" si="180">M44+M45</f>
        <v>110921</v>
      </c>
      <c r="N46" s="6"/>
      <c r="O46" s="6">
        <f t="shared" si="176"/>
        <v>16319</v>
      </c>
      <c r="P46" s="6">
        <f t="shared" si="176"/>
        <v>16438</v>
      </c>
      <c r="Q46" s="6">
        <f t="shared" si="176"/>
        <v>16301</v>
      </c>
      <c r="R46" s="6" t="e">
        <f t="shared" si="176"/>
        <v>#REF!</v>
      </c>
      <c r="S46" s="6">
        <f t="shared" si="176"/>
        <v>19651</v>
      </c>
      <c r="T46" s="6">
        <f t="shared" si="176"/>
        <v>19623</v>
      </c>
      <c r="U46" s="6">
        <f t="shared" si="176"/>
        <v>18079</v>
      </c>
      <c r="V46" s="6">
        <f>V44+V45</f>
        <v>21704</v>
      </c>
      <c r="W46" s="6">
        <f>W44+W45</f>
        <v>21404</v>
      </c>
      <c r="X46" s="6">
        <f>X44+X45</f>
        <v>21409</v>
      </c>
      <c r="Y46" s="6">
        <f t="shared" ref="Y46" si="181">Y44+Y45</f>
        <v>22523</v>
      </c>
      <c r="Z46" s="6">
        <f>Z44+Z45</f>
        <v>18326</v>
      </c>
      <c r="AA46" s="6">
        <f>AA44+AA45</f>
        <v>21897</v>
      </c>
      <c r="AB46" s="6">
        <f>AB44+AB45</f>
        <v>22081</v>
      </c>
      <c r="AC46" s="6">
        <f t="shared" ref="AC46" si="182">AC44+AC45</f>
        <v>24065</v>
      </c>
      <c r="AD46" s="6">
        <f>AD44+AD45</f>
        <v>24997</v>
      </c>
      <c r="AE46" s="6">
        <f t="shared" ref="AE46:AG46" si="183">AE44+AE45</f>
        <v>20696</v>
      </c>
      <c r="AF46" s="6">
        <f t="shared" si="183"/>
        <v>23711</v>
      </c>
      <c r="AG46" s="6">
        <f t="shared" si="183"/>
        <v>24537</v>
      </c>
      <c r="AH46" s="6">
        <f>AH44+AH45</f>
        <v>24705</v>
      </c>
      <c r="AI46" s="6">
        <f t="shared" ref="AI46:AK46" si="184">AI44+AI45</f>
        <v>24352</v>
      </c>
      <c r="AJ46" s="6">
        <f t="shared" si="184"/>
        <v>25305</v>
      </c>
      <c r="AK46" s="6">
        <f t="shared" si="184"/>
        <v>26165</v>
      </c>
      <c r="AL46" s="6">
        <f>AL44+AL45</f>
        <v>23334</v>
      </c>
      <c r="AM46" s="6">
        <f t="shared" ref="AM46:AO46" si="185">AM44+AM45</f>
        <v>27245</v>
      </c>
      <c r="AN46" s="6">
        <f t="shared" si="185"/>
        <v>25153</v>
      </c>
      <c r="AO46" s="6">
        <f t="shared" si="185"/>
        <v>26619</v>
      </c>
      <c r="AP46" s="6">
        <f>AP44+AP45</f>
        <v>27458</v>
      </c>
      <c r="AQ46" s="6">
        <f t="shared" ref="AQ46:AS46" si="186">AQ44+AQ45</f>
        <v>27729</v>
      </c>
      <c r="AR46" s="6">
        <f t="shared" si="186"/>
        <v>26860</v>
      </c>
      <c r="AS46" s="6">
        <f t="shared" si="186"/>
        <v>27129</v>
      </c>
      <c r="AT46" s="6">
        <f>AT44+AT45</f>
        <v>28117</v>
      </c>
      <c r="AU46" s="6">
        <f t="shared" ref="AU46:AV46" si="187">AU44+AU45</f>
        <v>28041</v>
      </c>
      <c r="AV46" s="6">
        <f t="shared" si="187"/>
        <v>27634</v>
      </c>
      <c r="AW46" s="6"/>
      <c r="AY46" s="6">
        <f t="shared" ref="AY46" si="188">AY44+AY45</f>
        <v>22523</v>
      </c>
    </row>
    <row r="47" spans="2:53" s="7" customFormat="1" ht="13.5" customHeight="1">
      <c r="B47" s="8" t="s">
        <v>275</v>
      </c>
      <c r="C47" s="10"/>
      <c r="D47" s="10">
        <f t="shared" ref="D47" si="189">(D46-C46)/C46</f>
        <v>3.833801007471517E-2</v>
      </c>
      <c r="E47" s="10">
        <f t="shared" ref="E47" si="190">(E46-D46)/D46</f>
        <v>-6.7235372643506004E-3</v>
      </c>
      <c r="F47" s="10">
        <f t="shared" ref="F47" si="191">(F46-E46)/E46</f>
        <v>0.2957402520774261</v>
      </c>
      <c r="G47" s="10">
        <f t="shared" ref="G47:L47" si="192">(G46-F46)/F46</f>
        <v>5.8249111400634983E-2</v>
      </c>
      <c r="H47" s="10">
        <f t="shared" si="192"/>
        <v>0.11209390165188497</v>
      </c>
      <c r="I47" s="10">
        <f t="shared" si="192"/>
        <v>6.5455717970765263E-3</v>
      </c>
      <c r="J47" s="10">
        <f t="shared" si="192"/>
        <v>5.8804685581266218E-2</v>
      </c>
      <c r="K47" s="10">
        <f t="shared" si="192"/>
        <v>7.3812981564403565E-2</v>
      </c>
      <c r="L47" s="10">
        <f t="shared" si="192"/>
        <v>3.1556703451514442E-2</v>
      </c>
      <c r="M47" s="10"/>
      <c r="N47" s="196"/>
      <c r="O47" s="10"/>
      <c r="P47" s="10"/>
      <c r="Q47" s="10"/>
      <c r="R47" s="10"/>
      <c r="S47" s="10">
        <f t="shared" ref="S47" si="193">S46/O46-1</f>
        <v>0.20417917764568916</v>
      </c>
      <c r="T47" s="10">
        <f t="shared" ref="T47" si="194">T46/P46-1</f>
        <v>0.19375836476456998</v>
      </c>
      <c r="U47" s="10">
        <f t="shared" ref="U47" si="195">U46/Q46-1</f>
        <v>0.10907306300226982</v>
      </c>
      <c r="V47" s="10" t="e">
        <f t="shared" ref="V47" si="196">V46/R46-1</f>
        <v>#REF!</v>
      </c>
      <c r="W47" s="10">
        <f>W46/S46-1</f>
        <v>8.9206656149814156E-2</v>
      </c>
      <c r="X47" s="10">
        <f>X46/T46-1</f>
        <v>9.1015644906487392E-2</v>
      </c>
      <c r="Y47" s="10">
        <f>Y46/U46-1</f>
        <v>0.24581005586592175</v>
      </c>
      <c r="Z47" s="10">
        <f t="shared" ref="Z47" si="197">Z46/V46-1</f>
        <v>-0.15563951345374127</v>
      </c>
      <c r="AA47" s="10">
        <f>AA46/W46-1</f>
        <v>2.3033077929359047E-2</v>
      </c>
      <c r="AB47" s="10">
        <f>AB46/X46-1</f>
        <v>3.1388668317062995E-2</v>
      </c>
      <c r="AC47" s="10">
        <f t="shared" ref="AC47" si="198">AC46/Y46-1</f>
        <v>6.8463348577010086E-2</v>
      </c>
      <c r="AD47" s="10">
        <f>AD46/Z46-1</f>
        <v>0.36401833460656996</v>
      </c>
      <c r="AE47" s="10">
        <f t="shared" ref="AE47:AV47" si="199">AE46/AA46-1</f>
        <v>-5.4847696031419813E-2</v>
      </c>
      <c r="AF47" s="10">
        <f t="shared" si="199"/>
        <v>7.3819120510846492E-2</v>
      </c>
      <c r="AG47" s="10">
        <f t="shared" si="199"/>
        <v>1.9613546644504432E-2</v>
      </c>
      <c r="AH47" s="10">
        <f>AH46/AD46-1</f>
        <v>-1.1681401768212196E-2</v>
      </c>
      <c r="AI47" s="10">
        <f t="shared" si="199"/>
        <v>0.17665249323540788</v>
      </c>
      <c r="AJ47" s="10">
        <f t="shared" si="199"/>
        <v>6.7226181940871266E-2</v>
      </c>
      <c r="AK47" s="10">
        <f t="shared" si="199"/>
        <v>6.6348779394383994E-2</v>
      </c>
      <c r="AL47" s="10">
        <f>AL46/AH46-1</f>
        <v>-5.549483910139652E-2</v>
      </c>
      <c r="AM47" s="10">
        <f t="shared" si="199"/>
        <v>0.11879927726675432</v>
      </c>
      <c r="AN47" s="10">
        <f t="shared" si="199"/>
        <v>-6.0067180399130393E-3</v>
      </c>
      <c r="AO47" s="10">
        <f t="shared" si="199"/>
        <v>1.7351423657557818E-2</v>
      </c>
      <c r="AP47" s="10">
        <f>AP46/AL46-1</f>
        <v>0.17673780749121448</v>
      </c>
      <c r="AQ47" s="10">
        <f t="shared" si="199"/>
        <v>1.7764727472930897E-2</v>
      </c>
      <c r="AR47" s="10">
        <f t="shared" si="199"/>
        <v>6.7864668230429803E-2</v>
      </c>
      <c r="AS47" s="10">
        <f t="shared" si="199"/>
        <v>1.9159247154288295E-2</v>
      </c>
      <c r="AT47" s="10">
        <f>AT46/AP46-1</f>
        <v>2.4000291354068004E-2</v>
      </c>
      <c r="AU47" s="10">
        <f t="shared" si="199"/>
        <v>1.1251758087201136E-2</v>
      </c>
      <c r="AV47" s="10">
        <f t="shared" si="199"/>
        <v>2.8816083395383441E-2</v>
      </c>
      <c r="AW47" s="196"/>
      <c r="AY47" s="10">
        <f>AY46/U46-1</f>
        <v>0.24581005586592175</v>
      </c>
    </row>
    <row r="48" spans="2:53" s="7" customFormat="1" ht="13.5" customHeight="1">
      <c r="B48" s="8" t="s">
        <v>285</v>
      </c>
      <c r="C48" s="10">
        <f t="shared" ref="C48:M48" si="200">C46/C10</f>
        <v>0.35796492841669592</v>
      </c>
      <c r="D48" s="10">
        <f t="shared" si="200"/>
        <v>0.38648990455097432</v>
      </c>
      <c r="E48" s="10">
        <f t="shared" si="200"/>
        <v>0.37451047792086622</v>
      </c>
      <c r="F48" s="10">
        <f t="shared" si="200"/>
        <v>0.46727585452783016</v>
      </c>
      <c r="G48" s="10">
        <f t="shared" si="200"/>
        <v>0.462210779872268</v>
      </c>
      <c r="H48" s="10">
        <f t="shared" si="200"/>
        <v>0.48411434755913541</v>
      </c>
      <c r="I48" s="10">
        <f t="shared" si="200"/>
        <v>0.45825055538700932</v>
      </c>
      <c r="J48" s="10">
        <f t="shared" si="200"/>
        <v>0.47003834977459436</v>
      </c>
      <c r="K48" s="10">
        <f t="shared" si="200"/>
        <v>0.49104610460584874</v>
      </c>
      <c r="L48" s="10">
        <f t="shared" si="200"/>
        <v>0.50293514295657271</v>
      </c>
      <c r="M48" s="10">
        <f t="shared" si="200"/>
        <v>0.502314101983516</v>
      </c>
      <c r="N48" s="196"/>
      <c r="O48" s="10">
        <f t="shared" ref="O48:AT48" si="201">O46/O10</f>
        <v>0.4028686399881502</v>
      </c>
      <c r="P48" s="10">
        <f t="shared" si="201"/>
        <v>0.39389437362216045</v>
      </c>
      <c r="Q48" s="10">
        <f t="shared" si="201"/>
        <v>0.40337028605364744</v>
      </c>
      <c r="R48" s="10" t="e">
        <f t="shared" si="201"/>
        <v>#REF!</v>
      </c>
      <c r="S48" s="10">
        <f t="shared" si="201"/>
        <v>0.48380028558767046</v>
      </c>
      <c r="T48" s="10">
        <f t="shared" si="201"/>
        <v>0.47437509065416045</v>
      </c>
      <c r="U48" s="10">
        <f t="shared" si="201"/>
        <v>0.42586921699802127</v>
      </c>
      <c r="V48" s="10">
        <f t="shared" si="201"/>
        <v>0.48499474872069898</v>
      </c>
      <c r="W48" s="10">
        <f t="shared" si="201"/>
        <v>0.49040003665857124</v>
      </c>
      <c r="X48" s="10">
        <f t="shared" si="201"/>
        <v>0.49685534591194969</v>
      </c>
      <c r="Y48" s="10">
        <f t="shared" si="201"/>
        <v>0.48450104330242866</v>
      </c>
      <c r="Z48" s="10">
        <f t="shared" si="201"/>
        <v>0.38353354819806623</v>
      </c>
      <c r="AA48" s="10">
        <f t="shared" si="201"/>
        <v>0.45691094232534846</v>
      </c>
      <c r="AB48" s="10">
        <f t="shared" si="201"/>
        <v>0.46292375102203398</v>
      </c>
      <c r="AC48" s="10">
        <f t="shared" si="201"/>
        <v>0.4989322662907138</v>
      </c>
      <c r="AD48" s="10">
        <f t="shared" si="201"/>
        <v>0.51721498034347191</v>
      </c>
      <c r="AE48" s="10">
        <f t="shared" si="201"/>
        <v>0.41537380832915205</v>
      </c>
      <c r="AF48" s="10">
        <f t="shared" si="201"/>
        <v>0.4652682390800989</v>
      </c>
      <c r="AG48" s="10">
        <f t="shared" si="201"/>
        <v>0.4778662823533994</v>
      </c>
      <c r="AH48" s="10">
        <f t="shared" si="201"/>
        <v>0.47302213372137553</v>
      </c>
      <c r="AI48" s="10">
        <f t="shared" si="201"/>
        <v>0.46507008899583668</v>
      </c>
      <c r="AJ48" s="10">
        <f t="shared" si="201"/>
        <v>0.48968573418995276</v>
      </c>
      <c r="AK48" s="10">
        <f t="shared" si="201"/>
        <v>0.50011468328300013</v>
      </c>
      <c r="AL48" s="10">
        <f t="shared" si="201"/>
        <v>0.42738612011648991</v>
      </c>
      <c r="AM48" s="10">
        <f t="shared" si="201"/>
        <v>0.5024527884331661</v>
      </c>
      <c r="AN48" s="10">
        <f t="shared" si="201"/>
        <v>0.47139189265166137</v>
      </c>
      <c r="AO48" s="10">
        <f t="shared" si="201"/>
        <v>0.49886617065537209</v>
      </c>
      <c r="AP48" s="10">
        <f t="shared" si="201"/>
        <v>0.49127766545597679</v>
      </c>
      <c r="AQ48" s="10">
        <f t="shared" si="201"/>
        <v>0.50163720896575426</v>
      </c>
      <c r="AR48" s="10">
        <f t="shared" si="201"/>
        <v>0.49468663093725251</v>
      </c>
      <c r="AS48" s="10">
        <f t="shared" si="201"/>
        <v>0.5051108752723007</v>
      </c>
      <c r="AT48" s="10">
        <f t="shared" si="201"/>
        <v>0.51024407948462025</v>
      </c>
      <c r="AU48" s="10">
        <f t="shared" ref="AU48:AV48" si="202">AU46/AU10</f>
        <v>0.4961867181002601</v>
      </c>
      <c r="AV48" s="10">
        <f t="shared" si="202"/>
        <v>0.49797271727965692</v>
      </c>
      <c r="AW48" s="196"/>
      <c r="AY48" s="10">
        <f>AY46/AY10</f>
        <v>0.48450104330242866</v>
      </c>
    </row>
    <row r="49" spans="2:53" s="7" customFormat="1" ht="13.5" customHeight="1">
      <c r="B49" s="2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96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96"/>
      <c r="AY49" s="13"/>
    </row>
    <row r="50" spans="2:53" ht="13.5" customHeight="1">
      <c r="B50" s="247" t="s">
        <v>301</v>
      </c>
      <c r="C50" s="248">
        <f t="shared" ref="C50:H50" si="203">C51-C46</f>
        <v>-4629</v>
      </c>
      <c r="D50" s="248">
        <f t="shared" si="203"/>
        <v>-2268</v>
      </c>
      <c r="E50" s="248">
        <f t="shared" si="203"/>
        <v>-4307</v>
      </c>
      <c r="F50" s="248">
        <f t="shared" si="203"/>
        <v>-532</v>
      </c>
      <c r="G50" s="248">
        <f t="shared" si="203"/>
        <v>1112</v>
      </c>
      <c r="H50" s="248">
        <f t="shared" si="203"/>
        <v>3129</v>
      </c>
      <c r="I50" s="248">
        <f t="shared" ref="I50:J50" si="204">I51-I46</f>
        <v>6613</v>
      </c>
      <c r="J50" s="248">
        <f t="shared" si="204"/>
        <v>5141</v>
      </c>
      <c r="K50" s="248">
        <f t="shared" ref="K50:L50" si="205">K51-K46</f>
        <v>2040</v>
      </c>
      <c r="L50" s="248">
        <f t="shared" si="205"/>
        <v>1396</v>
      </c>
      <c r="M50" s="248">
        <f t="shared" ref="M50" si="206">M51-M46</f>
        <v>828</v>
      </c>
      <c r="N50" s="196"/>
      <c r="O50" s="248">
        <f t="shared" ref="O50:R50" si="207">O51-O46</f>
        <v>-1425</v>
      </c>
      <c r="P50" s="248">
        <f t="shared" si="207"/>
        <v>-1599</v>
      </c>
      <c r="Q50" s="248">
        <f t="shared" si="207"/>
        <v>-1637</v>
      </c>
      <c r="R50" s="248" t="e">
        <f t="shared" si="207"/>
        <v>#REF!</v>
      </c>
      <c r="S50" s="248">
        <f t="shared" ref="S50:W50" si="208">S51-S46</f>
        <v>125</v>
      </c>
      <c r="T50" s="248">
        <f t="shared" si="208"/>
        <v>-89</v>
      </c>
      <c r="U50" s="248">
        <f t="shared" si="208"/>
        <v>-222</v>
      </c>
      <c r="V50" s="248">
        <f t="shared" si="208"/>
        <v>-346</v>
      </c>
      <c r="W50" s="248">
        <f t="shared" si="208"/>
        <v>-130</v>
      </c>
      <c r="X50" s="248">
        <f>X51-X46</f>
        <v>31</v>
      </c>
      <c r="Y50" s="248">
        <f t="shared" ref="Y50:AB50" si="209">Y51-Y46</f>
        <v>-168</v>
      </c>
      <c r="Z50" s="248">
        <f t="shared" si="209"/>
        <v>1379</v>
      </c>
      <c r="AA50" s="248">
        <f t="shared" si="209"/>
        <v>1175</v>
      </c>
      <c r="AB50" s="248">
        <f t="shared" si="209"/>
        <v>1174</v>
      </c>
      <c r="AC50" s="248">
        <f t="shared" ref="AC50" si="210">AC51-AC46</f>
        <v>424</v>
      </c>
      <c r="AD50" s="248">
        <f>AD51-AD46</f>
        <v>356</v>
      </c>
      <c r="AE50" s="248">
        <f t="shared" ref="AE50:AG50" si="211">AE51-AE46</f>
        <v>211</v>
      </c>
      <c r="AF50" s="248">
        <f t="shared" si="211"/>
        <v>118</v>
      </c>
      <c r="AG50" s="248">
        <f t="shared" si="211"/>
        <v>69</v>
      </c>
      <c r="AH50" s="248">
        <f>AH51-AH46</f>
        <v>6215</v>
      </c>
      <c r="AI50" s="248">
        <f t="shared" ref="AI50:AK50" si="212">AI51-AI46</f>
        <v>1669</v>
      </c>
      <c r="AJ50" s="248">
        <f t="shared" si="212"/>
        <v>802</v>
      </c>
      <c r="AK50" s="248">
        <f t="shared" si="212"/>
        <v>71</v>
      </c>
      <c r="AL50" s="248">
        <f>AL51-AL46</f>
        <v>2599</v>
      </c>
      <c r="AM50" s="248">
        <f t="shared" ref="AM50:AO50" si="213">AM51-AM46</f>
        <v>70</v>
      </c>
      <c r="AN50" s="248">
        <f t="shared" si="213"/>
        <v>1468</v>
      </c>
      <c r="AO50" s="248">
        <f t="shared" si="213"/>
        <v>163</v>
      </c>
      <c r="AP50" s="248">
        <f>AP51-AP46</f>
        <v>339</v>
      </c>
      <c r="AQ50" s="248">
        <f t="shared" ref="AQ50:AS50" si="214">AQ51-AQ46</f>
        <v>136</v>
      </c>
      <c r="AR50" s="248">
        <f t="shared" si="214"/>
        <v>807</v>
      </c>
      <c r="AS50" s="248">
        <f t="shared" si="214"/>
        <v>184</v>
      </c>
      <c r="AT50" s="248">
        <f>AT51-AT46</f>
        <v>269</v>
      </c>
      <c r="AU50" s="248">
        <f t="shared" ref="AU50:AV50" si="215">AU51-AU46</f>
        <v>247</v>
      </c>
      <c r="AV50" s="248">
        <f t="shared" si="215"/>
        <v>128</v>
      </c>
      <c r="AW50" s="12"/>
      <c r="AY50" s="12">
        <f t="shared" ref="AY50" si="216">AY51-AY46</f>
        <v>-168</v>
      </c>
    </row>
    <row r="51" spans="2:53" s="2" customFormat="1" ht="13.5" customHeight="1">
      <c r="B51" s="2" t="s">
        <v>302</v>
      </c>
      <c r="C51" s="14">
        <f>61161-6632</f>
        <v>54529</v>
      </c>
      <c r="D51" s="14">
        <f>66174-7016</f>
        <v>59158</v>
      </c>
      <c r="E51" s="14">
        <f>64027-7321</f>
        <v>56706</v>
      </c>
      <c r="F51" s="14">
        <f>79815-1290</f>
        <v>78525</v>
      </c>
      <c r="G51" s="14">
        <f>86158-1384</f>
        <v>84774</v>
      </c>
      <c r="H51" s="14">
        <v>96169</v>
      </c>
      <c r="I51" s="14">
        <v>100262</v>
      </c>
      <c r="J51" s="14">
        <v>104297</v>
      </c>
      <c r="K51" s="14">
        <v>108515</v>
      </c>
      <c r="L51" s="14">
        <v>111231</v>
      </c>
      <c r="M51" s="6">
        <f>SUM(AS51:AV51)</f>
        <v>111749</v>
      </c>
      <c r="N51" s="196"/>
      <c r="O51" s="14">
        <f>16533-O54</f>
        <v>14894</v>
      </c>
      <c r="P51" s="14">
        <f>33185-16533-P54</f>
        <v>14839</v>
      </c>
      <c r="Q51" s="14">
        <f>49699-5302-P51-O51</f>
        <v>14664</v>
      </c>
      <c r="R51" s="6">
        <f>E51-Q51-P51-O51</f>
        <v>12309</v>
      </c>
      <c r="S51" s="14">
        <f>19847-71</f>
        <v>19776</v>
      </c>
      <c r="T51" s="14">
        <f>39666 -19847-T54</f>
        <v>19534</v>
      </c>
      <c r="U51" s="14">
        <f>57935-768-T51-S51</f>
        <v>17857</v>
      </c>
      <c r="V51" s="6">
        <f>F51-U51-T51-S51</f>
        <v>21358</v>
      </c>
      <c r="W51" s="14">
        <f>21612-338</f>
        <v>21274</v>
      </c>
      <c r="X51" s="14">
        <f>43165-21612-X54</f>
        <v>21440</v>
      </c>
      <c r="Y51" s="14">
        <f>65864-795-X51-W51</f>
        <v>22355</v>
      </c>
      <c r="Z51" s="6">
        <f>G51-Y51-X51-W51</f>
        <v>19705</v>
      </c>
      <c r="AA51" s="14">
        <f>23072</f>
        <v>23072</v>
      </c>
      <c r="AB51" s="14">
        <f>46327-AA51</f>
        <v>23255</v>
      </c>
      <c r="AC51" s="14">
        <f>70816-AB51-AA51</f>
        <v>24489</v>
      </c>
      <c r="AD51" s="6">
        <f>H51-AC51-AB51-AA51</f>
        <v>25353</v>
      </c>
      <c r="AE51" s="14">
        <f>20907</f>
        <v>20907</v>
      </c>
      <c r="AF51" s="14">
        <f>44736-AE51</f>
        <v>23829</v>
      </c>
      <c r="AG51" s="14">
        <f>69342-AF51-AE51</f>
        <v>24606</v>
      </c>
      <c r="AH51" s="6">
        <f>I51-AG51-AF51-AE51</f>
        <v>30920</v>
      </c>
      <c r="AI51" s="14">
        <v>26021</v>
      </c>
      <c r="AJ51" s="14">
        <v>26107</v>
      </c>
      <c r="AK51" s="14">
        <v>26236</v>
      </c>
      <c r="AL51" s="6">
        <f>J51-AK51-AJ51-AI51</f>
        <v>25933</v>
      </c>
      <c r="AM51" s="14">
        <v>27315</v>
      </c>
      <c r="AN51" s="14">
        <v>26621</v>
      </c>
      <c r="AO51" s="14">
        <f>80718-AN51-AM51</f>
        <v>26782</v>
      </c>
      <c r="AP51" s="6">
        <f>K51-AO51-AN51-AM51</f>
        <v>27797</v>
      </c>
      <c r="AQ51" s="14">
        <v>27865</v>
      </c>
      <c r="AR51" s="14">
        <f>55532-AQ51</f>
        <v>27667</v>
      </c>
      <c r="AS51" s="14">
        <f>82845-AR51-AQ51</f>
        <v>27313</v>
      </c>
      <c r="AT51" s="6">
        <f>L51-AS51-AR51-AQ51</f>
        <v>28386</v>
      </c>
      <c r="AU51" s="14">
        <v>28288</v>
      </c>
      <c r="AV51" s="14">
        <f>56050-AU51</f>
        <v>27762</v>
      </c>
      <c r="AW51" s="14"/>
      <c r="AY51" s="14">
        <f>65864-795-X51-W51</f>
        <v>22355</v>
      </c>
    </row>
    <row r="52" spans="2:53" s="7" customFormat="1" ht="13.5" customHeight="1">
      <c r="B52" s="8" t="s">
        <v>275</v>
      </c>
      <c r="C52" s="10"/>
      <c r="D52" s="10">
        <f t="shared" ref="D52" si="217">(D51-C51)/C51</f>
        <v>8.4890608666947864E-2</v>
      </c>
      <c r="E52" s="10">
        <f t="shared" ref="E52" si="218">(E51-D51)/D51</f>
        <v>-4.1448324825044798E-2</v>
      </c>
      <c r="F52" s="10">
        <f t="shared" ref="F52" si="219">(F51-E51)/E51</f>
        <v>0.38477409797904982</v>
      </c>
      <c r="G52" s="10">
        <f t="shared" ref="G52:L52" si="220">(G51-F51)/F51</f>
        <v>7.9579751671442212E-2</v>
      </c>
      <c r="H52" s="10">
        <f t="shared" si="220"/>
        <v>0.13441621251798902</v>
      </c>
      <c r="I52" s="10">
        <f t="shared" si="220"/>
        <v>4.2560492466387295E-2</v>
      </c>
      <c r="J52" s="10">
        <f t="shared" si="220"/>
        <v>4.0244559254752552E-2</v>
      </c>
      <c r="K52" s="10">
        <f t="shared" si="220"/>
        <v>4.0442198720960332E-2</v>
      </c>
      <c r="L52" s="10">
        <f t="shared" si="220"/>
        <v>2.5028797862046721E-2</v>
      </c>
      <c r="M52" s="10"/>
      <c r="N52" s="196"/>
      <c r="O52" s="10"/>
      <c r="P52" s="10"/>
      <c r="Q52" s="10"/>
      <c r="R52" s="10"/>
      <c r="S52" s="10">
        <f t="shared" ref="S52:AC52" si="221">S51/O51-1</f>
        <v>0.32778299986571779</v>
      </c>
      <c r="T52" s="10">
        <f t="shared" si="221"/>
        <v>0.31639598355684351</v>
      </c>
      <c r="U52" s="10">
        <f t="shared" si="221"/>
        <v>0.21774413529732684</v>
      </c>
      <c r="V52" s="10">
        <f t="shared" si="221"/>
        <v>0.73515313997887732</v>
      </c>
      <c r="W52" s="10">
        <f t="shared" si="221"/>
        <v>7.5748381877022597E-2</v>
      </c>
      <c r="X52" s="10">
        <f>X51/T51-1</f>
        <v>9.7573461656598859E-2</v>
      </c>
      <c r="Y52" s="10">
        <f t="shared" si="221"/>
        <v>0.25189001512012088</v>
      </c>
      <c r="Z52" s="10">
        <f t="shared" si="221"/>
        <v>-7.7394887161719272E-2</v>
      </c>
      <c r="AA52" s="10">
        <f t="shared" si="221"/>
        <v>8.4516310989940724E-2</v>
      </c>
      <c r="AB52" s="10">
        <f>AB51/X51-1</f>
        <v>8.4654850746268551E-2</v>
      </c>
      <c r="AC52" s="10">
        <f t="shared" si="221"/>
        <v>9.5459628718407519E-2</v>
      </c>
      <c r="AD52" s="10">
        <f>AD51/Z51-1</f>
        <v>0.28662775945191576</v>
      </c>
      <c r="AE52" s="10">
        <f t="shared" ref="AE52:AV52" si="222">AE51/AA51-1</f>
        <v>-9.3836685159500721E-2</v>
      </c>
      <c r="AF52" s="10">
        <f t="shared" si="222"/>
        <v>2.4682863900236551E-2</v>
      </c>
      <c r="AG52" s="10">
        <f t="shared" si="222"/>
        <v>4.7776552737963662E-3</v>
      </c>
      <c r="AH52" s="10">
        <f>AH51/AD51-1</f>
        <v>0.21957953693842946</v>
      </c>
      <c r="AI52" s="10">
        <f t="shared" si="222"/>
        <v>0.24460706940259236</v>
      </c>
      <c r="AJ52" s="10">
        <f t="shared" si="222"/>
        <v>9.5597800998783011E-2</v>
      </c>
      <c r="AK52" s="10">
        <f t="shared" si="222"/>
        <v>6.6244005527107186E-2</v>
      </c>
      <c r="AL52" s="10">
        <f>AL51/AH51-1</f>
        <v>-0.16128719275549808</v>
      </c>
      <c r="AM52" s="10">
        <f t="shared" si="222"/>
        <v>4.9729064985972959E-2</v>
      </c>
      <c r="AN52" s="10">
        <f t="shared" si="222"/>
        <v>1.9688206228214655E-2</v>
      </c>
      <c r="AO52" s="10">
        <f t="shared" si="222"/>
        <v>2.0811099252934895E-2</v>
      </c>
      <c r="AP52" s="10">
        <f>AP51/AL51-1</f>
        <v>7.1877530559518732E-2</v>
      </c>
      <c r="AQ52" s="10">
        <f t="shared" si="222"/>
        <v>2.0135456708768151E-2</v>
      </c>
      <c r="AR52" s="10">
        <f t="shared" si="222"/>
        <v>3.9292288043274004E-2</v>
      </c>
      <c r="AS52" s="10">
        <f t="shared" si="222"/>
        <v>1.9826749309237446E-2</v>
      </c>
      <c r="AT52" s="10">
        <f>AT51/AP51-1</f>
        <v>2.1189336978810758E-2</v>
      </c>
      <c r="AU52" s="10">
        <f t="shared" si="222"/>
        <v>1.518033375201866E-2</v>
      </c>
      <c r="AV52" s="10">
        <f t="shared" si="222"/>
        <v>3.4336935699570414E-3</v>
      </c>
      <c r="AW52" s="196"/>
      <c r="AY52" s="10">
        <f>AY51/U51-1</f>
        <v>0.25189001512012088</v>
      </c>
    </row>
    <row r="53" spans="2:53" s="7" customFormat="1" ht="13.5" customHeight="1">
      <c r="B53" s="8" t="s">
        <v>285</v>
      </c>
      <c r="C53" s="10">
        <f t="shared" ref="C53:M53" si="223">C51/C10</f>
        <v>0.32995485955634085</v>
      </c>
      <c r="D53" s="10">
        <f t="shared" si="223"/>
        <v>0.37221974039375083</v>
      </c>
      <c r="E53" s="10">
        <f t="shared" si="223"/>
        <v>0.34807321654369788</v>
      </c>
      <c r="F53" s="10">
        <f t="shared" si="223"/>
        <v>0.46413140489517518</v>
      </c>
      <c r="G53" s="10">
        <f t="shared" si="223"/>
        <v>0.46835429051291683</v>
      </c>
      <c r="H53" s="10">
        <f t="shared" si="223"/>
        <v>0.50039545024091248</v>
      </c>
      <c r="I53" s="10">
        <f t="shared" si="223"/>
        <v>0.49060980025640777</v>
      </c>
      <c r="J53" s="10">
        <f t="shared" si="223"/>
        <v>0.49440870715277813</v>
      </c>
      <c r="K53" s="10">
        <f t="shared" si="223"/>
        <v>0.5004542666476044</v>
      </c>
      <c r="L53" s="10">
        <f t="shared" si="223"/>
        <v>0.50932743557338311</v>
      </c>
      <c r="M53" s="10">
        <f t="shared" si="223"/>
        <v>0.50606376234036776</v>
      </c>
      <c r="N53" s="196"/>
      <c r="O53" s="10">
        <f t="shared" ref="O53:AT53" si="224">O51/O10</f>
        <v>0.3676895351420742</v>
      </c>
      <c r="P53" s="10">
        <f t="shared" si="224"/>
        <v>0.35557845298571839</v>
      </c>
      <c r="Q53" s="10">
        <f t="shared" si="224"/>
        <v>0.3628625160843314</v>
      </c>
      <c r="R53" s="10">
        <f t="shared" si="224"/>
        <v>0.30571492437225245</v>
      </c>
      <c r="S53" s="10">
        <f t="shared" si="224"/>
        <v>0.48687773893347774</v>
      </c>
      <c r="T53" s="10">
        <f t="shared" si="224"/>
        <v>0.47222356524682108</v>
      </c>
      <c r="U53" s="10">
        <f t="shared" si="224"/>
        <v>0.42063978140016961</v>
      </c>
      <c r="V53" s="10">
        <f t="shared" si="224"/>
        <v>0.47726307792004646</v>
      </c>
      <c r="W53" s="10">
        <f t="shared" si="224"/>
        <v>0.4874215277459561</v>
      </c>
      <c r="X53" s="10">
        <f t="shared" si="224"/>
        <v>0.4975747870686254</v>
      </c>
      <c r="Y53" s="10">
        <f t="shared" si="224"/>
        <v>0.48088712973519476</v>
      </c>
      <c r="Z53" s="10">
        <f t="shared" si="224"/>
        <v>0.41239378845590391</v>
      </c>
      <c r="AA53" s="10">
        <f t="shared" si="224"/>
        <v>0.4814289291378015</v>
      </c>
      <c r="AB53" s="10">
        <f t="shared" si="224"/>
        <v>0.48753642634017486</v>
      </c>
      <c r="AC53" s="10">
        <f t="shared" si="224"/>
        <v>0.50772292828561361</v>
      </c>
      <c r="AD53" s="10">
        <f t="shared" si="224"/>
        <v>0.52458100558659215</v>
      </c>
      <c r="AE53" s="10">
        <f t="shared" si="224"/>
        <v>0.41960863020572003</v>
      </c>
      <c r="AF53" s="10">
        <f t="shared" si="224"/>
        <v>0.46758368980809228</v>
      </c>
      <c r="AG53" s="10">
        <f t="shared" si="224"/>
        <v>0.47921008043313146</v>
      </c>
      <c r="AH53" s="10">
        <f t="shared" si="224"/>
        <v>0.59201960634142603</v>
      </c>
      <c r="AI53" s="10">
        <f t="shared" si="224"/>
        <v>0.49694434895534928</v>
      </c>
      <c r="AJ53" s="10">
        <f t="shared" si="224"/>
        <v>0.50520551126248159</v>
      </c>
      <c r="AK53" s="10">
        <f t="shared" si="224"/>
        <v>0.50147176879850153</v>
      </c>
      <c r="AL53" s="10">
        <f t="shared" si="224"/>
        <v>0.47498946828580324</v>
      </c>
      <c r="AM53" s="10">
        <f t="shared" si="224"/>
        <v>0.5037437297137799</v>
      </c>
      <c r="AN53" s="10">
        <f t="shared" si="224"/>
        <v>0.49890365261717801</v>
      </c>
      <c r="AO53" s="10">
        <f t="shared" si="224"/>
        <v>0.50192095054255137</v>
      </c>
      <c r="AP53" s="10">
        <f t="shared" si="224"/>
        <v>0.49734304270812835</v>
      </c>
      <c r="AQ53" s="10">
        <f t="shared" si="224"/>
        <v>0.50409754509108673</v>
      </c>
      <c r="AR53" s="10">
        <f t="shared" si="224"/>
        <v>0.50954933053391527</v>
      </c>
      <c r="AS53" s="10">
        <f t="shared" si="224"/>
        <v>0.50853674430728557</v>
      </c>
      <c r="AT53" s="10">
        <f t="shared" si="224"/>
        <v>0.51512566917702562</v>
      </c>
      <c r="AU53" s="10">
        <f t="shared" ref="AU53:AV53" si="225">AU51/AU10</f>
        <v>0.50055739387397591</v>
      </c>
      <c r="AV53" s="10">
        <f t="shared" si="225"/>
        <v>0.50027931450813612</v>
      </c>
      <c r="AW53" s="196"/>
      <c r="AY53" s="10">
        <f>AY51/AY10</f>
        <v>0.48088712973519476</v>
      </c>
    </row>
    <row r="54" spans="2:53" ht="13.5" customHeight="1">
      <c r="B54" s="1" t="s">
        <v>303</v>
      </c>
      <c r="C54" s="15">
        <v>6632</v>
      </c>
      <c r="D54" s="15">
        <v>7016</v>
      </c>
      <c r="E54" s="15">
        <v>7321</v>
      </c>
      <c r="F54" s="15">
        <v>1290</v>
      </c>
      <c r="G54" s="15">
        <v>1384</v>
      </c>
      <c r="H54" s="15">
        <v>2231</v>
      </c>
      <c r="I54" s="15">
        <v>2031</v>
      </c>
      <c r="J54" s="15">
        <v>1372</v>
      </c>
      <c r="K54" s="15">
        <v>1398</v>
      </c>
      <c r="L54" s="15">
        <v>1413</v>
      </c>
      <c r="M54" s="12">
        <f>SUM(AS54:AV54)</f>
        <v>1475</v>
      </c>
      <c r="N54" s="12"/>
      <c r="O54" s="15">
        <v>1639</v>
      </c>
      <c r="P54" s="15">
        <f>3452-O54</f>
        <v>1813</v>
      </c>
      <c r="Q54" s="15">
        <f>5302-P54-O54</f>
        <v>1850</v>
      </c>
      <c r="R54" s="12">
        <f>E54-Q54-P54-O54</f>
        <v>2019</v>
      </c>
      <c r="S54" s="15">
        <v>71</v>
      </c>
      <c r="T54" s="15">
        <f>356-S54</f>
        <v>285</v>
      </c>
      <c r="U54" s="15">
        <f>768-T54-S54</f>
        <v>412</v>
      </c>
      <c r="V54" s="12">
        <f>F54-U54-T54-S54</f>
        <v>522</v>
      </c>
      <c r="W54" s="15">
        <v>338</v>
      </c>
      <c r="X54" s="15">
        <f>451-W54</f>
        <v>113</v>
      </c>
      <c r="Y54" s="15">
        <f>795-X54-W54</f>
        <v>344</v>
      </c>
      <c r="Z54" s="12">
        <f>G54-Y54-X54-W54</f>
        <v>589</v>
      </c>
      <c r="AA54" s="15">
        <v>523</v>
      </c>
      <c r="AB54" s="15">
        <f>964-AA54</f>
        <v>441</v>
      </c>
      <c r="AC54" s="15">
        <f>1624-AB54-AA54</f>
        <v>660</v>
      </c>
      <c r="AD54" s="12">
        <f>H54-AC54-AB54-AA54</f>
        <v>607</v>
      </c>
      <c r="AE54" s="15">
        <v>392</v>
      </c>
      <c r="AF54" s="15">
        <f>1110-AE54</f>
        <v>718</v>
      </c>
      <c r="AG54" s="15">
        <v>1450</v>
      </c>
      <c r="AH54" s="12">
        <f>I54-AG54-AF54-AE54</f>
        <v>-529</v>
      </c>
      <c r="AI54" s="15">
        <v>460</v>
      </c>
      <c r="AJ54" s="15">
        <f>1032-AI54</f>
        <v>572</v>
      </c>
      <c r="AK54" s="15">
        <v>1196</v>
      </c>
      <c r="AL54" s="12">
        <f>J54-AK54-AJ54-AI54</f>
        <v>-856</v>
      </c>
      <c r="AM54" s="15">
        <v>372</v>
      </c>
      <c r="AN54" s="15">
        <f>621-AM54</f>
        <v>249</v>
      </c>
      <c r="AO54" s="15">
        <v>905</v>
      </c>
      <c r="AP54" s="12">
        <f>K54-AO54-AN54-AM54</f>
        <v>-128</v>
      </c>
      <c r="AQ54" s="15">
        <v>313</v>
      </c>
      <c r="AR54" s="15">
        <f>592-AQ54</f>
        <v>279</v>
      </c>
      <c r="AS54" s="15">
        <v>1000</v>
      </c>
      <c r="AT54" s="12">
        <f>L54-AS54-AR54-AQ54</f>
        <v>-179</v>
      </c>
      <c r="AU54" s="15">
        <v>326</v>
      </c>
      <c r="AV54" s="15">
        <f>654-AU54</f>
        <v>328</v>
      </c>
      <c r="AW54" s="15"/>
      <c r="AX54" s="1"/>
      <c r="AY54" s="15">
        <f>795-X54-W54</f>
        <v>344</v>
      </c>
    </row>
    <row r="55" spans="2:53" s="2" customFormat="1" ht="13.5" customHeight="1">
      <c r="B55" s="2" t="s">
        <v>304</v>
      </c>
      <c r="C55" s="6">
        <f t="shared" ref="C55:F55" si="226">C54+C51</f>
        <v>61161</v>
      </c>
      <c r="D55" s="6">
        <f t="shared" si="226"/>
        <v>66174</v>
      </c>
      <c r="E55" s="6">
        <f t="shared" si="226"/>
        <v>64027</v>
      </c>
      <c r="F55" s="6">
        <f t="shared" si="226"/>
        <v>79815</v>
      </c>
      <c r="G55" s="6">
        <f t="shared" ref="G55:H55" si="227">G54+G51</f>
        <v>86158</v>
      </c>
      <c r="H55" s="6">
        <f t="shared" si="227"/>
        <v>98400</v>
      </c>
      <c r="I55" s="6">
        <f t="shared" ref="I55:J55" si="228">I54+I51</f>
        <v>102293</v>
      </c>
      <c r="J55" s="6">
        <f t="shared" si="228"/>
        <v>105669</v>
      </c>
      <c r="K55" s="6">
        <f t="shared" ref="K55:L55" si="229">K54+K51</f>
        <v>109913</v>
      </c>
      <c r="L55" s="6">
        <f t="shared" si="229"/>
        <v>112644</v>
      </c>
      <c r="M55" s="6">
        <f t="shared" ref="M55" si="230">M54+M51</f>
        <v>113224</v>
      </c>
      <c r="N55" s="6"/>
      <c r="O55" s="6">
        <f>O51+O54</f>
        <v>16533</v>
      </c>
      <c r="P55" s="6">
        <f>P51+P54</f>
        <v>16652</v>
      </c>
      <c r="Q55" s="6">
        <f>Q51+Q54</f>
        <v>16514</v>
      </c>
      <c r="R55" s="6">
        <f>R51+R54</f>
        <v>14328</v>
      </c>
      <c r="S55" s="6">
        <f t="shared" ref="S55:U55" si="231">S51+S54</f>
        <v>19847</v>
      </c>
      <c r="T55" s="6">
        <f t="shared" si="231"/>
        <v>19819</v>
      </c>
      <c r="U55" s="6">
        <f t="shared" si="231"/>
        <v>18269</v>
      </c>
      <c r="V55" s="6">
        <f>V51+V54</f>
        <v>21880</v>
      </c>
      <c r="W55" s="6">
        <f>W51+W54</f>
        <v>21612</v>
      </c>
      <c r="X55" s="6">
        <f>X51+X54</f>
        <v>21553</v>
      </c>
      <c r="Y55" s="6">
        <f t="shared" ref="Y55" si="232">Y51+Y54</f>
        <v>22699</v>
      </c>
      <c r="Z55" s="6">
        <f>Z51+Z54</f>
        <v>20294</v>
      </c>
      <c r="AA55" s="6">
        <f>AA51+AA54</f>
        <v>23595</v>
      </c>
      <c r="AB55" s="6">
        <f>AB51+AB54</f>
        <v>23696</v>
      </c>
      <c r="AC55" s="6">
        <f t="shared" ref="AC55" si="233">AC51+AC54</f>
        <v>25149</v>
      </c>
      <c r="AD55" s="6">
        <f>AD51+AD54</f>
        <v>25960</v>
      </c>
      <c r="AE55" s="6">
        <f t="shared" ref="AE55:AG55" si="234">AE51+AE54</f>
        <v>21299</v>
      </c>
      <c r="AF55" s="6">
        <f t="shared" si="234"/>
        <v>24547</v>
      </c>
      <c r="AG55" s="6">
        <f t="shared" si="234"/>
        <v>26056</v>
      </c>
      <c r="AH55" s="6">
        <f>AH51+AH54</f>
        <v>30391</v>
      </c>
      <c r="AI55" s="6">
        <f t="shared" ref="AI55:AK55" si="235">AI51+AI54</f>
        <v>26481</v>
      </c>
      <c r="AJ55" s="6">
        <f t="shared" si="235"/>
        <v>26679</v>
      </c>
      <c r="AK55" s="6">
        <f t="shared" si="235"/>
        <v>27432</v>
      </c>
      <c r="AL55" s="6">
        <f>AL51+AL54</f>
        <v>25077</v>
      </c>
      <c r="AM55" s="6">
        <f t="shared" ref="AM55:AO55" si="236">AM51+AM54</f>
        <v>27687</v>
      </c>
      <c r="AN55" s="6">
        <f t="shared" si="236"/>
        <v>26870</v>
      </c>
      <c r="AO55" s="6">
        <f t="shared" si="236"/>
        <v>27687</v>
      </c>
      <c r="AP55" s="6">
        <f>AP51+AP54</f>
        <v>27669</v>
      </c>
      <c r="AQ55" s="6">
        <f t="shared" ref="AQ55:AS55" si="237">AQ51+AQ54</f>
        <v>28178</v>
      </c>
      <c r="AR55" s="6">
        <f t="shared" si="237"/>
        <v>27946</v>
      </c>
      <c r="AS55" s="6">
        <f t="shared" si="237"/>
        <v>28313</v>
      </c>
      <c r="AT55" s="6">
        <f>AT51+AT54</f>
        <v>28207</v>
      </c>
      <c r="AU55" s="6">
        <f t="shared" ref="AU55:AV55" si="238">AU51+AU54</f>
        <v>28614</v>
      </c>
      <c r="AV55" s="6">
        <f t="shared" si="238"/>
        <v>28090</v>
      </c>
      <c r="AW55" s="6"/>
      <c r="AY55" s="6">
        <f t="shared" ref="AY55" si="239">AY51+AY54</f>
        <v>22699</v>
      </c>
    </row>
    <row r="56" spans="2:53" s="7" customFormat="1" ht="13.5" customHeight="1">
      <c r="B56" s="8" t="s">
        <v>305</v>
      </c>
      <c r="C56" s="9">
        <f t="shared" ref="C56:M56" si="240">C54/C7</f>
        <v>4.2185611602315376E-2</v>
      </c>
      <c r="D56" s="9">
        <f t="shared" si="240"/>
        <v>4.6719761340329756E-2</v>
      </c>
      <c r="E56" s="9">
        <f t="shared" si="240"/>
        <v>4.804783125176381E-2</v>
      </c>
      <c r="F56" s="9">
        <f t="shared" si="240"/>
        <v>7.9947940875708841E-3</v>
      </c>
      <c r="G56" s="9">
        <f t="shared" si="240"/>
        <v>7.9707891311609474E-3</v>
      </c>
      <c r="H56" s="9">
        <f t="shared" si="240"/>
        <v>1.208035520901018E-2</v>
      </c>
      <c r="I56" s="9">
        <f t="shared" si="240"/>
        <v>1.0397043164878368E-2</v>
      </c>
      <c r="J56" s="9">
        <f t="shared" si="240"/>
        <v>6.7977327678465259E-3</v>
      </c>
      <c r="K56" s="9">
        <f t="shared" si="240"/>
        <v>6.7088328166540296E-3</v>
      </c>
      <c r="L56" s="9">
        <f t="shared" si="240"/>
        <v>6.6592517885251615E-3</v>
      </c>
      <c r="M56" s="9">
        <f t="shared" si="240"/>
        <v>6.8729322957923672E-3</v>
      </c>
      <c r="N56" s="197"/>
      <c r="O56" s="10">
        <f t="shared" ref="O56:AT56" si="241">O54/O7</f>
        <v>4.3422969929792027E-2</v>
      </c>
      <c r="P56" s="10">
        <f t="shared" si="241"/>
        <v>4.6949451004764865E-2</v>
      </c>
      <c r="Q56" s="10">
        <f t="shared" si="241"/>
        <v>4.8665000657635141E-2</v>
      </c>
      <c r="R56" s="10">
        <f t="shared" si="241"/>
        <v>5.314136814676388E-2</v>
      </c>
      <c r="S56" s="10">
        <f t="shared" si="241"/>
        <v>1.8302742833573933E-3</v>
      </c>
      <c r="T56" s="10">
        <f t="shared" si="241"/>
        <v>7.2035183500151652E-3</v>
      </c>
      <c r="U56" s="10">
        <f t="shared" si="241"/>
        <v>1.0134802715733544E-2</v>
      </c>
      <c r="V56" s="10">
        <f t="shared" si="241"/>
        <v>1.2326729166174699E-2</v>
      </c>
      <c r="W56" s="10">
        <f t="shared" si="241"/>
        <v>8.0867047874249344E-3</v>
      </c>
      <c r="X56" s="10">
        <f t="shared" si="241"/>
        <v>2.7108072448122824E-3</v>
      </c>
      <c r="Y56" s="10">
        <f t="shared" si="241"/>
        <v>7.7535104920323662E-3</v>
      </c>
      <c r="Z56" s="10">
        <f t="shared" si="241"/>
        <v>1.2864475264824725E-2</v>
      </c>
      <c r="AA56" s="10">
        <f t="shared" si="241"/>
        <v>1.1449963876787005E-2</v>
      </c>
      <c r="AB56" s="10">
        <f t="shared" si="241"/>
        <v>9.6044951650840673E-3</v>
      </c>
      <c r="AC56" s="10">
        <f t="shared" si="241"/>
        <v>1.4082403396846395E-2</v>
      </c>
      <c r="AD56" s="10">
        <f t="shared" si="241"/>
        <v>1.3132842925140631E-2</v>
      </c>
      <c r="AE56" s="10">
        <f t="shared" si="241"/>
        <v>8.2264800318985962E-3</v>
      </c>
      <c r="AF56" s="10">
        <f t="shared" si="241"/>
        <v>1.4698356158775001E-2</v>
      </c>
      <c r="AG56" s="10">
        <f t="shared" si="241"/>
        <v>2.9462562226963324E-2</v>
      </c>
      <c r="AH56" s="10">
        <f t="shared" si="241"/>
        <v>-1.0659090451147515E-2</v>
      </c>
      <c r="AI56" s="10">
        <f t="shared" si="241"/>
        <v>9.2506938020351526E-3</v>
      </c>
      <c r="AJ56" s="10">
        <f t="shared" si="241"/>
        <v>1.1549722362443211E-2</v>
      </c>
      <c r="AK56" s="10">
        <f t="shared" si="241"/>
        <v>2.3682699352488068E-2</v>
      </c>
      <c r="AL56" s="10">
        <f t="shared" si="241"/>
        <v>-1.6436251920122887E-2</v>
      </c>
      <c r="AM56" s="10">
        <f t="shared" si="241"/>
        <v>7.1271194558865788E-3</v>
      </c>
      <c r="AN56" s="10">
        <f t="shared" si="241"/>
        <v>4.8587261941929437E-3</v>
      </c>
      <c r="AO56" s="10">
        <f t="shared" si="241"/>
        <v>1.7555090006207325E-2</v>
      </c>
      <c r="AP56" s="10">
        <f t="shared" si="241"/>
        <v>-2.3975874276509265E-3</v>
      </c>
      <c r="AQ56" s="10">
        <f t="shared" si="241"/>
        <v>5.8591190730237176E-3</v>
      </c>
      <c r="AR56" s="10">
        <f t="shared" si="241"/>
        <v>5.2753984911225824E-3</v>
      </c>
      <c r="AS56" s="10">
        <f t="shared" si="241"/>
        <v>1.901321418385778E-2</v>
      </c>
      <c r="AT56" s="10">
        <f t="shared" si="241"/>
        <v>-3.3594204530525682E-3</v>
      </c>
      <c r="AU56" s="10">
        <f t="shared" ref="AU56:AV56" si="242">AU54/AU7</f>
        <v>5.937528458246061E-3</v>
      </c>
      <c r="AV56" s="10">
        <f t="shared" si="242"/>
        <v>6.0935961506307246E-3</v>
      </c>
      <c r="AW56" s="196"/>
      <c r="AY56" s="10">
        <f>AY54/AY7</f>
        <v>7.7535104920323662E-3</v>
      </c>
    </row>
    <row r="57" spans="2:53" s="7" customFormat="1" ht="13.5" customHeight="1">
      <c r="B57" s="23"/>
      <c r="C57" s="13"/>
      <c r="D57" s="13"/>
      <c r="E57" s="13"/>
      <c r="F57" s="13"/>
      <c r="G57" s="13"/>
      <c r="H57" s="13"/>
      <c r="I57" s="13"/>
      <c r="J57" s="13"/>
      <c r="K57" s="13"/>
      <c r="AW57" s="196"/>
      <c r="AY57" s="13"/>
    </row>
    <row r="58" spans="2:53" ht="13.5" customHeight="1">
      <c r="B58" s="4" t="s">
        <v>306</v>
      </c>
      <c r="C58" s="62">
        <f t="shared" ref="C58:M58" si="243">C43</f>
        <v>42735</v>
      </c>
      <c r="D58" s="62">
        <f t="shared" si="243"/>
        <v>43100</v>
      </c>
      <c r="E58" s="62">
        <f t="shared" si="243"/>
        <v>43465</v>
      </c>
      <c r="F58" s="62">
        <f t="shared" si="243"/>
        <v>43830</v>
      </c>
      <c r="G58" s="62">
        <f t="shared" si="243"/>
        <v>44196</v>
      </c>
      <c r="H58" s="62">
        <f t="shared" si="243"/>
        <v>44561</v>
      </c>
      <c r="I58" s="62">
        <f t="shared" si="243"/>
        <v>44926</v>
      </c>
      <c r="J58" s="62">
        <f t="shared" si="243"/>
        <v>45291</v>
      </c>
      <c r="K58" s="62">
        <f t="shared" si="243"/>
        <v>45657</v>
      </c>
      <c r="L58" s="62">
        <f t="shared" si="243"/>
        <v>46022</v>
      </c>
      <c r="M58" s="62">
        <f t="shared" si="243"/>
        <v>46203</v>
      </c>
      <c r="N58" s="193"/>
      <c r="O58" s="62">
        <f t="shared" ref="O58:AU58" si="244">O43</f>
        <v>43190</v>
      </c>
      <c r="P58" s="62">
        <f t="shared" si="244"/>
        <v>43281</v>
      </c>
      <c r="Q58" s="62">
        <f t="shared" si="244"/>
        <v>43373</v>
      </c>
      <c r="R58" s="62">
        <f t="shared" si="244"/>
        <v>43465</v>
      </c>
      <c r="S58" s="62">
        <f t="shared" si="244"/>
        <v>43555</v>
      </c>
      <c r="T58" s="62">
        <f t="shared" si="244"/>
        <v>43646</v>
      </c>
      <c r="U58" s="62">
        <f t="shared" si="244"/>
        <v>43738</v>
      </c>
      <c r="V58" s="62">
        <f t="shared" si="244"/>
        <v>43830</v>
      </c>
      <c r="W58" s="62">
        <f t="shared" si="244"/>
        <v>43921</v>
      </c>
      <c r="X58" s="62">
        <f t="shared" si="244"/>
        <v>44012</v>
      </c>
      <c r="Y58" s="62">
        <f t="shared" si="244"/>
        <v>44104</v>
      </c>
      <c r="Z58" s="62">
        <f t="shared" si="244"/>
        <v>44196</v>
      </c>
      <c r="AA58" s="62">
        <f t="shared" si="244"/>
        <v>44286</v>
      </c>
      <c r="AB58" s="62">
        <f t="shared" si="244"/>
        <v>44348</v>
      </c>
      <c r="AC58" s="62">
        <f t="shared" si="244"/>
        <v>44469</v>
      </c>
      <c r="AD58" s="62">
        <f t="shared" si="244"/>
        <v>44561</v>
      </c>
      <c r="AE58" s="62">
        <f t="shared" si="244"/>
        <v>44651</v>
      </c>
      <c r="AF58" s="62">
        <f t="shared" si="244"/>
        <v>44742</v>
      </c>
      <c r="AG58" s="62">
        <f t="shared" si="244"/>
        <v>44834</v>
      </c>
      <c r="AH58" s="62">
        <f t="shared" si="244"/>
        <v>44926</v>
      </c>
      <c r="AI58" s="62">
        <f t="shared" si="244"/>
        <v>45016</v>
      </c>
      <c r="AJ58" s="62">
        <f t="shared" si="244"/>
        <v>45107</v>
      </c>
      <c r="AK58" s="62">
        <f t="shared" si="244"/>
        <v>45199</v>
      </c>
      <c r="AL58" s="62">
        <f t="shared" si="244"/>
        <v>45291</v>
      </c>
      <c r="AM58" s="62">
        <f t="shared" si="244"/>
        <v>45382</v>
      </c>
      <c r="AN58" s="62">
        <f t="shared" si="244"/>
        <v>45473</v>
      </c>
      <c r="AO58" s="62">
        <f t="shared" si="244"/>
        <v>45565</v>
      </c>
      <c r="AP58" s="62">
        <f t="shared" si="244"/>
        <v>45657</v>
      </c>
      <c r="AQ58" s="62">
        <f t="shared" si="244"/>
        <v>45747</v>
      </c>
      <c r="AR58" s="62">
        <f t="shared" si="244"/>
        <v>45838</v>
      </c>
      <c r="AS58" s="62">
        <f t="shared" si="244"/>
        <v>45930</v>
      </c>
      <c r="AT58" s="62">
        <f t="shared" si="244"/>
        <v>46022</v>
      </c>
      <c r="AU58" s="62">
        <f t="shared" si="244"/>
        <v>46112</v>
      </c>
      <c r="AV58" s="62">
        <f t="shared" ref="AV58" si="245">AV43</f>
        <v>46203</v>
      </c>
      <c r="AW58" s="193"/>
      <c r="AY58" s="62">
        <f>AY43</f>
        <v>44104</v>
      </c>
    </row>
    <row r="59" spans="2:53" s="2" customFormat="1" ht="13.5" customHeight="1">
      <c r="B59" s="2" t="s">
        <v>307</v>
      </c>
      <c r="C59" s="6">
        <f t="shared" ref="C59:M59" si="246">C51</f>
        <v>54529</v>
      </c>
      <c r="D59" s="6">
        <f t="shared" si="246"/>
        <v>59158</v>
      </c>
      <c r="E59" s="6">
        <f t="shared" si="246"/>
        <v>56706</v>
      </c>
      <c r="F59" s="6">
        <f t="shared" si="246"/>
        <v>78525</v>
      </c>
      <c r="G59" s="6">
        <f t="shared" si="246"/>
        <v>84774</v>
      </c>
      <c r="H59" s="6">
        <f t="shared" si="246"/>
        <v>96169</v>
      </c>
      <c r="I59" s="6">
        <f t="shared" si="246"/>
        <v>100262</v>
      </c>
      <c r="J59" s="6">
        <f t="shared" si="246"/>
        <v>104297</v>
      </c>
      <c r="K59" s="6">
        <f t="shared" si="246"/>
        <v>108515</v>
      </c>
      <c r="L59" s="6">
        <f t="shared" si="246"/>
        <v>111231</v>
      </c>
      <c r="M59" s="6">
        <f t="shared" si="246"/>
        <v>111749</v>
      </c>
      <c r="N59" s="6"/>
      <c r="O59" s="6">
        <f t="shared" ref="O59:AU59" si="247">O51</f>
        <v>14894</v>
      </c>
      <c r="P59" s="6">
        <f t="shared" si="247"/>
        <v>14839</v>
      </c>
      <c r="Q59" s="6">
        <f t="shared" si="247"/>
        <v>14664</v>
      </c>
      <c r="R59" s="6">
        <f t="shared" si="247"/>
        <v>12309</v>
      </c>
      <c r="S59" s="6">
        <f t="shared" si="247"/>
        <v>19776</v>
      </c>
      <c r="T59" s="6">
        <f t="shared" si="247"/>
        <v>19534</v>
      </c>
      <c r="U59" s="6">
        <f t="shared" si="247"/>
        <v>17857</v>
      </c>
      <c r="V59" s="6">
        <f t="shared" si="247"/>
        <v>21358</v>
      </c>
      <c r="W59" s="6">
        <f t="shared" si="247"/>
        <v>21274</v>
      </c>
      <c r="X59" s="6">
        <f t="shared" si="247"/>
        <v>21440</v>
      </c>
      <c r="Y59" s="6">
        <f t="shared" si="247"/>
        <v>22355</v>
      </c>
      <c r="Z59" s="6">
        <f t="shared" si="247"/>
        <v>19705</v>
      </c>
      <c r="AA59" s="6">
        <f t="shared" si="247"/>
        <v>23072</v>
      </c>
      <c r="AB59" s="6">
        <f t="shared" si="247"/>
        <v>23255</v>
      </c>
      <c r="AC59" s="6">
        <f t="shared" si="247"/>
        <v>24489</v>
      </c>
      <c r="AD59" s="6">
        <f t="shared" si="247"/>
        <v>25353</v>
      </c>
      <c r="AE59" s="6">
        <f t="shared" si="247"/>
        <v>20907</v>
      </c>
      <c r="AF59" s="6">
        <f t="shared" si="247"/>
        <v>23829</v>
      </c>
      <c r="AG59" s="6">
        <f t="shared" si="247"/>
        <v>24606</v>
      </c>
      <c r="AH59" s="6">
        <f t="shared" si="247"/>
        <v>30920</v>
      </c>
      <c r="AI59" s="6">
        <f t="shared" si="247"/>
        <v>26021</v>
      </c>
      <c r="AJ59" s="6">
        <f t="shared" si="247"/>
        <v>26107</v>
      </c>
      <c r="AK59" s="6">
        <f t="shared" si="247"/>
        <v>26236</v>
      </c>
      <c r="AL59" s="6">
        <f t="shared" si="247"/>
        <v>25933</v>
      </c>
      <c r="AM59" s="6">
        <f t="shared" si="247"/>
        <v>27315</v>
      </c>
      <c r="AN59" s="6">
        <f t="shared" si="247"/>
        <v>26621</v>
      </c>
      <c r="AO59" s="6">
        <f t="shared" si="247"/>
        <v>26782</v>
      </c>
      <c r="AP59" s="6">
        <f t="shared" si="247"/>
        <v>27797</v>
      </c>
      <c r="AQ59" s="6">
        <f t="shared" si="247"/>
        <v>27865</v>
      </c>
      <c r="AR59" s="6">
        <f t="shared" si="247"/>
        <v>27667</v>
      </c>
      <c r="AS59" s="6">
        <f t="shared" si="247"/>
        <v>27313</v>
      </c>
      <c r="AT59" s="6">
        <f t="shared" si="247"/>
        <v>28386</v>
      </c>
      <c r="AU59" s="6">
        <f t="shared" si="247"/>
        <v>28288</v>
      </c>
      <c r="AV59" s="6">
        <f t="shared" ref="AV59" si="248">AV51</f>
        <v>27762</v>
      </c>
      <c r="AW59" s="6"/>
      <c r="AX59" s="204"/>
      <c r="AY59" s="6">
        <f>AY51</f>
        <v>22355</v>
      </c>
    </row>
    <row r="60" spans="2:53" ht="13.5" customHeight="1">
      <c r="B60" s="16" t="s">
        <v>308</v>
      </c>
      <c r="C60" s="15">
        <f>-5634-99-7060-917+1-5863-10+1358+755</f>
        <v>-17469</v>
      </c>
      <c r="D60" s="15">
        <f>-212+162-10674-542+13-5841+38+4622-1392</f>
        <v>-13826</v>
      </c>
      <c r="E60" s="15">
        <f>-4318-12175+26+390-250-5733-11+7729+5184</f>
        <v>-9158</v>
      </c>
      <c r="F60" s="15">
        <f>-28898-198-1560+12+337+12-7965-1559+18768+4375</f>
        <v>-16676</v>
      </c>
      <c r="G60" s="15">
        <f>-18894+324+1196-1017+160+166-249+371+5220+7924+7178</f>
        <v>2379</v>
      </c>
      <c r="H60" s="15">
        <f>-34002-38-3713-120+57-101-3846-95+29382-301</f>
        <v>-12777</v>
      </c>
      <c r="I60" s="15">
        <f>12218-209-8366+208+850+44-6847-68-18306-507</f>
        <v>-20983</v>
      </c>
      <c r="J60" s="15">
        <f>10264+101+952+156+1629-75-5174-57-21285-4414</f>
        <v>-17903</v>
      </c>
      <c r="K60" s="15">
        <f>85013-115098</f>
        <v>-30085</v>
      </c>
      <c r="L60" s="15">
        <f>101394-119282</f>
        <v>-17888</v>
      </c>
      <c r="M60" s="12">
        <f>SUM(AS60:AV60)</f>
        <v>-20036</v>
      </c>
      <c r="N60" s="12"/>
      <c r="O60" s="15">
        <f>947-326-5154-1077+486+7-3475+14+4534+2380</f>
        <v>-1664</v>
      </c>
      <c r="P60" s="15">
        <f>1034+22-8461-1539-28+15-4361+34+14470+3348-O60</f>
        <v>6198</v>
      </c>
      <c r="Q60" s="15">
        <f>837+243-12385-1686+356+20-4849+30+4977+1624-P60-O60</f>
        <v>-15367</v>
      </c>
      <c r="R60" s="12">
        <f>E60-Q60-P60-O60</f>
        <v>1675</v>
      </c>
      <c r="S60" s="15">
        <f>-4653+159+774+149+246+2-2570-29+2430-1337</f>
        <v>-4829</v>
      </c>
      <c r="T60" s="15">
        <f>-12435-461+2995+227+320+5-3267-1885+5773+2442-S60</f>
        <v>-1457</v>
      </c>
      <c r="U60" s="15">
        <f>-17412+157+1656-36+388+11-5945+78+12409+4664-T60-S60</f>
        <v>2256</v>
      </c>
      <c r="V60" s="12">
        <f>F60-U60-T60-S60</f>
        <v>-12646</v>
      </c>
      <c r="W60" s="15">
        <f>-2129+429-2776+596-6-0-1392-473-564+154</f>
        <v>-6161</v>
      </c>
      <c r="X60" s="15">
        <f>-431+452-9484+589-83+8-1530-1777-2913+1075-W60</f>
        <v>-7933</v>
      </c>
      <c r="Y60" s="15">
        <f>-8475+571-9676-820+31+108-1683+51+6063+3883-X60-W60</f>
        <v>4147</v>
      </c>
      <c r="Z60" s="12">
        <f>G60-Y60-X60-W60</f>
        <v>12326</v>
      </c>
      <c r="AA60" s="15">
        <f>-10652-53-1239-243-79-0-2240-1+9251-1611</f>
        <v>-6867</v>
      </c>
      <c r="AB60" s="15">
        <f>-29724+13-1484-569-171-97-2440+131+28153-1263-AA60</f>
        <v>-584</v>
      </c>
      <c r="AC60" s="15">
        <f>-32221-284-2733-1210-7-103-2764+120+29184+2587-AB60-AA60</f>
        <v>20</v>
      </c>
      <c r="AD60" s="12">
        <f>H60-AC60-AB60-AA60</f>
        <v>-5346</v>
      </c>
      <c r="AE60" s="15">
        <f>-4990-38-3166-1511+247+2-2525+34+6016+3867</f>
        <v>-2064</v>
      </c>
      <c r="AF60" s="15">
        <f>-764-1475+3221+117-71+7-7956-155-5084+4014-AE60</f>
        <v>-6082</v>
      </c>
      <c r="AG60" s="15">
        <f>56897-73258-AF60-AE60</f>
        <v>-8215</v>
      </c>
      <c r="AH60" s="12">
        <f>I60-AG60-AF60-AE60</f>
        <v>-4622</v>
      </c>
      <c r="AI60" s="15">
        <f>26632-24794</f>
        <v>1838</v>
      </c>
      <c r="AJ60" s="15">
        <f>44277-53802-AI60</f>
        <v>-11363</v>
      </c>
      <c r="AK60" s="15">
        <f>68199-81311-AJ60-AI60</f>
        <v>-3587</v>
      </c>
      <c r="AL60" s="12">
        <f>J60-AK60-AJ60-AI60</f>
        <v>-4791</v>
      </c>
      <c r="AM60" s="15">
        <f>24529-28421</f>
        <v>-3892</v>
      </c>
      <c r="AN60" s="15">
        <f>53138-56085-AM60</f>
        <v>945</v>
      </c>
      <c r="AO60" s="15">
        <f>70684-85719-AN60-AM60</f>
        <v>-12088</v>
      </c>
      <c r="AP60" s="12">
        <f>K60-AO60-AN60-AM60</f>
        <v>-15050</v>
      </c>
      <c r="AQ60" s="15">
        <f>25444-29865</f>
        <v>-4421</v>
      </c>
      <c r="AR60" s="15">
        <f>49677-58990-AQ60</f>
        <v>-4892</v>
      </c>
      <c r="AS60" s="15">
        <f>79422-88688-AR60-AQ60</f>
        <v>47</v>
      </c>
      <c r="AT60" s="12">
        <f>L60-AS60-AR60-AQ60</f>
        <v>-8622</v>
      </c>
      <c r="AU60" s="15">
        <f>23568-30392</f>
        <v>-6824</v>
      </c>
      <c r="AV60" s="15">
        <f>48653-60114-AU60</f>
        <v>-4637</v>
      </c>
      <c r="AW60" s="6"/>
      <c r="AX60" s="171"/>
      <c r="AY60" s="15">
        <f>-8475+571-9676-820+31+108-1683+54+6429+3880-X60-W60</f>
        <v>4513</v>
      </c>
    </row>
    <row r="61" spans="2:53" ht="13.5" customHeight="1">
      <c r="B61" s="16" t="s">
        <v>309</v>
      </c>
      <c r="C61" s="25">
        <v>-6965</v>
      </c>
      <c r="D61" s="25">
        <v>-4550</v>
      </c>
      <c r="E61" s="25">
        <v>-2444</v>
      </c>
      <c r="F61" s="25">
        <v>-2097</v>
      </c>
      <c r="G61" s="25">
        <v>-2248</v>
      </c>
      <c r="H61" s="25">
        <v>-2122</v>
      </c>
      <c r="I61" s="25">
        <v>-4188</v>
      </c>
      <c r="J61" s="25">
        <v>-2058</v>
      </c>
      <c r="K61" s="25">
        <v>-3282</v>
      </c>
      <c r="L61" s="25">
        <v>-2656</v>
      </c>
      <c r="M61" s="12">
        <f t="shared" ref="M61:M62" si="249">SUM(AS61:AV61)</f>
        <v>-2561</v>
      </c>
      <c r="N61" s="12"/>
      <c r="O61" s="25">
        <v>-183</v>
      </c>
      <c r="P61" s="25">
        <f>-667-O61</f>
        <v>-484</v>
      </c>
      <c r="Q61" s="25">
        <f>-1686-P61-O61</f>
        <v>-1019</v>
      </c>
      <c r="R61" s="12">
        <f>E61-Q61-P61-O61</f>
        <v>-758</v>
      </c>
      <c r="S61" s="25">
        <v>-554</v>
      </c>
      <c r="T61" s="25">
        <f>-1176-S61</f>
        <v>-622</v>
      </c>
      <c r="U61" s="25">
        <f>-1532-T61-S61</f>
        <v>-356</v>
      </c>
      <c r="V61" s="12">
        <f>F61-U61-T61-S61</f>
        <v>-565</v>
      </c>
      <c r="W61" s="25">
        <v>-372</v>
      </c>
      <c r="X61" s="25">
        <f>-849-W61</f>
        <v>-477</v>
      </c>
      <c r="Y61" s="25">
        <f>-1112-X61-W61</f>
        <v>-263</v>
      </c>
      <c r="Z61" s="12">
        <f>G61-Y61-X61-W61</f>
        <v>-1136</v>
      </c>
      <c r="AA61" s="25">
        <v>-300</v>
      </c>
      <c r="AB61" s="25">
        <f>-310-AA61</f>
        <v>-10</v>
      </c>
      <c r="AC61" s="25">
        <f>-1764-AB61-AA61</f>
        <v>-1454</v>
      </c>
      <c r="AD61" s="12">
        <f>H61-AC61-AB61-AA61</f>
        <v>-358</v>
      </c>
      <c r="AE61" s="25">
        <v>-360</v>
      </c>
      <c r="AF61" s="25">
        <f>-2154-AE61</f>
        <v>-1794</v>
      </c>
      <c r="AG61" s="25">
        <f>-3614-AF61-AE61</f>
        <v>-1460</v>
      </c>
      <c r="AH61" s="12">
        <f>I61-AG61-AF61-AE61</f>
        <v>-574</v>
      </c>
      <c r="AI61" s="25">
        <v>0</v>
      </c>
      <c r="AJ61" s="25">
        <f>-1372-AI61</f>
        <v>-1372</v>
      </c>
      <c r="AK61" s="25">
        <f>-2361-AJ61-AI61</f>
        <v>-989</v>
      </c>
      <c r="AL61" s="12">
        <f>J61-AK61-AJ61-AI61</f>
        <v>303</v>
      </c>
      <c r="AM61" s="25">
        <v>-762</v>
      </c>
      <c r="AN61" s="25">
        <f>-2109-AM61</f>
        <v>-1347</v>
      </c>
      <c r="AO61" s="25">
        <f>-2566-AN61-AM61</f>
        <v>-457</v>
      </c>
      <c r="AP61" s="12">
        <f>K61-AO61-AN61-AM61</f>
        <v>-716</v>
      </c>
      <c r="AQ61" s="25">
        <v>-899</v>
      </c>
      <c r="AR61" s="25">
        <f>-2972-AQ61</f>
        <v>-2073</v>
      </c>
      <c r="AS61" s="25">
        <f>-3657-AR61-AQ61</f>
        <v>-685</v>
      </c>
      <c r="AT61" s="12">
        <f t="shared" ref="AT61:AT62" si="250">L61-AS61-AR61-AQ61</f>
        <v>1001</v>
      </c>
      <c r="AU61" s="25">
        <v>-817</v>
      </c>
      <c r="AV61" s="25">
        <f>-2877-AU61</f>
        <v>-2060</v>
      </c>
      <c r="AW61" s="6"/>
      <c r="AY61" s="25">
        <f>-1112-X61-W61</f>
        <v>-263</v>
      </c>
      <c r="BA61" s="12"/>
    </row>
    <row r="62" spans="2:53" ht="13.5" customHeight="1">
      <c r="B62" s="16" t="s">
        <v>310</v>
      </c>
      <c r="C62" s="25">
        <v>-6512</v>
      </c>
      <c r="D62" s="25">
        <v>-7076</v>
      </c>
      <c r="E62" s="25">
        <v>-6614</v>
      </c>
      <c r="F62" s="25">
        <v>-7143</v>
      </c>
      <c r="G62" s="25">
        <v>-8348</v>
      </c>
      <c r="H62" s="25">
        <v>-8922</v>
      </c>
      <c r="I62" s="25">
        <v>-9013</v>
      </c>
      <c r="J62" s="25">
        <v>-9715</v>
      </c>
      <c r="K62" s="25">
        <v>-10740</v>
      </c>
      <c r="L62" s="25">
        <v>-13233</v>
      </c>
      <c r="M62" s="12">
        <f t="shared" si="249"/>
        <v>-13113</v>
      </c>
      <c r="N62" s="12"/>
      <c r="O62" s="25">
        <v>-1513</v>
      </c>
      <c r="P62" s="25">
        <f>-3111-O62</f>
        <v>-1598</v>
      </c>
      <c r="Q62" s="25">
        <f>-4802-P62-O62</f>
        <v>-1691</v>
      </c>
      <c r="R62" s="12">
        <f>E62-Q62-P62-O62</f>
        <v>-1812</v>
      </c>
      <c r="S62" s="25">
        <v>-1703</v>
      </c>
      <c r="T62" s="25">
        <f>-3529-S62</f>
        <v>-1826</v>
      </c>
      <c r="U62" s="25">
        <f>-5252-T62-S62</f>
        <v>-1723</v>
      </c>
      <c r="V62" s="12">
        <f>F62-U62-T62-S62</f>
        <v>-1891</v>
      </c>
      <c r="W62" s="25">
        <v>-1955</v>
      </c>
      <c r="X62" s="25">
        <f>-4086-W62</f>
        <v>-2131</v>
      </c>
      <c r="Y62" s="25">
        <f>-8498-X62-W62</f>
        <v>-4412</v>
      </c>
      <c r="Z62" s="12">
        <f>G62-Y62-X62-W62</f>
        <v>150</v>
      </c>
      <c r="AA62" s="25">
        <v>-2116</v>
      </c>
      <c r="AB62" s="25">
        <f>-4316-AA62</f>
        <v>-2200</v>
      </c>
      <c r="AC62" s="25">
        <f>-6637-AB62-AA62</f>
        <v>-2321</v>
      </c>
      <c r="AD62" s="12">
        <f>H62-AC62-AB62-AA62</f>
        <v>-2285</v>
      </c>
      <c r="AE62" s="25">
        <v>-2070</v>
      </c>
      <c r="AF62" s="25">
        <f>-4430-AE62</f>
        <v>-2360</v>
      </c>
      <c r="AG62" s="25">
        <f>-6590-AF62-AE62</f>
        <v>-2160</v>
      </c>
      <c r="AH62" s="12">
        <f>I62-AG62-AF62-AE62</f>
        <v>-2423</v>
      </c>
      <c r="AI62" s="25">
        <v>-2203</v>
      </c>
      <c r="AJ62" s="25">
        <f>-4479-AI62</f>
        <v>-2276</v>
      </c>
      <c r="AK62" s="25">
        <f>-6831-AJ62-AI62</f>
        <v>-2352</v>
      </c>
      <c r="AL62" s="12">
        <f>J62-AK62-AJ62-AI62</f>
        <v>-2884</v>
      </c>
      <c r="AM62" s="25">
        <v>-2140</v>
      </c>
      <c r="AN62" s="25">
        <f>-4858-AM62</f>
        <v>-2718</v>
      </c>
      <c r="AO62" s="25">
        <f>-7285-AN62-AM62</f>
        <v>-2427</v>
      </c>
      <c r="AP62" s="12">
        <f>K62-AO62-AN62-AM62</f>
        <v>-3455</v>
      </c>
      <c r="AQ62" s="25">
        <v>-2808</v>
      </c>
      <c r="AR62" s="25">
        <f>-6494-AQ62</f>
        <v>-3686</v>
      </c>
      <c r="AS62" s="25">
        <f>-9430-AR62-AQ62</f>
        <v>-2936</v>
      </c>
      <c r="AT62" s="12">
        <f t="shared" si="250"/>
        <v>-3803</v>
      </c>
      <c r="AU62" s="25">
        <v>-3090</v>
      </c>
      <c r="AV62" s="25">
        <f>-6374-AU62</f>
        <v>-3284</v>
      </c>
      <c r="AW62" s="25"/>
      <c r="AY62" s="25">
        <f>-6052-X62-W62</f>
        <v>-1966</v>
      </c>
      <c r="BA62" s="12"/>
    </row>
    <row r="63" spans="2:53" s="2" customFormat="1" ht="13.5" customHeight="1">
      <c r="B63" s="2" t="s">
        <v>311</v>
      </c>
      <c r="C63" s="26">
        <f t="shared" ref="C63:F63" si="251">SUM(C59:C62)</f>
        <v>23583</v>
      </c>
      <c r="D63" s="26">
        <f t="shared" si="251"/>
        <v>33706</v>
      </c>
      <c r="E63" s="26">
        <f t="shared" si="251"/>
        <v>38490</v>
      </c>
      <c r="F63" s="26">
        <f t="shared" si="251"/>
        <v>52609</v>
      </c>
      <c r="G63" s="26">
        <f t="shared" ref="G63:H63" si="252">SUM(G59:G62)</f>
        <v>76557</v>
      </c>
      <c r="H63" s="26">
        <f t="shared" si="252"/>
        <v>72348</v>
      </c>
      <c r="I63" s="26">
        <f t="shared" ref="I63:J63" si="253">SUM(I59:I62)</f>
        <v>66078</v>
      </c>
      <c r="J63" s="26">
        <f t="shared" si="253"/>
        <v>74621</v>
      </c>
      <c r="K63" s="26">
        <f t="shared" ref="K63:M63" si="254">SUM(K59:K62)</f>
        <v>64408</v>
      </c>
      <c r="L63" s="26">
        <f t="shared" ref="L63" si="255">SUM(L59:L62)</f>
        <v>77454</v>
      </c>
      <c r="M63" s="26">
        <f t="shared" si="254"/>
        <v>76039</v>
      </c>
      <c r="N63" s="26"/>
      <c r="O63" s="26">
        <f t="shared" ref="O63:U63" si="256">SUM(O59:O62)</f>
        <v>11534</v>
      </c>
      <c r="P63" s="26">
        <f t="shared" si="256"/>
        <v>18955</v>
      </c>
      <c r="Q63" s="26">
        <f t="shared" si="256"/>
        <v>-3413</v>
      </c>
      <c r="R63" s="26">
        <f t="shared" si="256"/>
        <v>11414</v>
      </c>
      <c r="S63" s="26">
        <f t="shared" si="256"/>
        <v>12690</v>
      </c>
      <c r="T63" s="26">
        <f t="shared" si="256"/>
        <v>15629</v>
      </c>
      <c r="U63" s="26">
        <f t="shared" si="256"/>
        <v>18034</v>
      </c>
      <c r="V63" s="26">
        <f>SUM(V59:V62)</f>
        <v>6256</v>
      </c>
      <c r="W63" s="26">
        <f t="shared" ref="W63:X63" si="257">SUM(W59:W62)</f>
        <v>12786</v>
      </c>
      <c r="X63" s="26">
        <f t="shared" si="257"/>
        <v>10899</v>
      </c>
      <c r="Y63" s="26">
        <f>SUM(Y59:Y62)</f>
        <v>21827</v>
      </c>
      <c r="Z63" s="26">
        <f>SUM(Z59:Z62)</f>
        <v>31045</v>
      </c>
      <c r="AA63" s="26">
        <f t="shared" ref="AA63:AC63" si="258">SUM(AA59:AA62)</f>
        <v>13789</v>
      </c>
      <c r="AB63" s="26">
        <f t="shared" si="258"/>
        <v>20461</v>
      </c>
      <c r="AC63" s="26">
        <f t="shared" si="258"/>
        <v>20734</v>
      </c>
      <c r="AD63" s="26">
        <f>SUM(AD59:AD62)</f>
        <v>17364</v>
      </c>
      <c r="AE63" s="26">
        <f t="shared" ref="AE63:AG63" si="259">SUM(AE59:AE62)</f>
        <v>16413</v>
      </c>
      <c r="AF63" s="26">
        <f t="shared" si="259"/>
        <v>13593</v>
      </c>
      <c r="AG63" s="26">
        <f t="shared" si="259"/>
        <v>12771</v>
      </c>
      <c r="AH63" s="26">
        <f>SUM(AH59:AH62)</f>
        <v>23301</v>
      </c>
      <c r="AI63" s="26">
        <f>SUM(AI59:AI62)</f>
        <v>25656</v>
      </c>
      <c r="AJ63" s="26">
        <f t="shared" ref="AJ63:AK63" si="260">SUM(AJ59:AJ62)</f>
        <v>11096</v>
      </c>
      <c r="AK63" s="26">
        <f t="shared" si="260"/>
        <v>19308</v>
      </c>
      <c r="AL63" s="26">
        <f>SUM(AL59:AL62)</f>
        <v>18561</v>
      </c>
      <c r="AM63" s="26">
        <f>SUM(AM59:AM62)</f>
        <v>20521</v>
      </c>
      <c r="AN63" s="26">
        <f t="shared" ref="AN63:AO63" si="261">SUM(AN59:AN62)</f>
        <v>23501</v>
      </c>
      <c r="AO63" s="26">
        <f t="shared" si="261"/>
        <v>11810</v>
      </c>
      <c r="AP63" s="26">
        <f>SUM(AP59:AP62)</f>
        <v>8576</v>
      </c>
      <c r="AQ63" s="26">
        <f>SUM(AQ59:AQ62)</f>
        <v>19737</v>
      </c>
      <c r="AR63" s="26">
        <f t="shared" ref="AR63:AS63" si="262">SUM(AR59:AR62)</f>
        <v>17016</v>
      </c>
      <c r="AS63" s="26">
        <f t="shared" si="262"/>
        <v>23739</v>
      </c>
      <c r="AT63" s="26">
        <f>SUM(AT59:AT62)</f>
        <v>16962</v>
      </c>
      <c r="AU63" s="26">
        <f>SUM(AU59:AU62)</f>
        <v>17557</v>
      </c>
      <c r="AV63" s="26">
        <f t="shared" ref="AV63" si="263">SUM(AV59:AV62)</f>
        <v>17781</v>
      </c>
      <c r="AW63" s="26"/>
      <c r="AY63" s="26">
        <f>SUM(AY59:AY62)</f>
        <v>24639</v>
      </c>
      <c r="BA63" s="6"/>
    </row>
    <row r="64" spans="2:53" ht="13.5" customHeight="1">
      <c r="B64" s="16" t="s">
        <v>312</v>
      </c>
      <c r="C64" s="25">
        <f>1889-566-42259</f>
        <v>-40936</v>
      </c>
      <c r="D64" s="25">
        <f>484-816-36616</f>
        <v>-36948</v>
      </c>
      <c r="E64" s="25">
        <f>345-1524-47247</f>
        <v>-48426</v>
      </c>
      <c r="F64" s="25">
        <f>224-1455-88246</f>
        <v>-89477</v>
      </c>
      <c r="G64" s="25">
        <f>151-1597-76503</f>
        <v>-77949</v>
      </c>
      <c r="H64" s="25">
        <f>1217-1582-102395</f>
        <v>-102760</v>
      </c>
      <c r="I64" s="25">
        <f>60833-1748-93803</f>
        <v>-34718</v>
      </c>
      <c r="J64" s="25">
        <f>23971-2169-76266</f>
        <v>-54464</v>
      </c>
      <c r="K64" s="25">
        <f>4827-2589-65668</f>
        <v>-63430</v>
      </c>
      <c r="L64" s="25">
        <f>-60140+1220-2724</f>
        <v>-61644</v>
      </c>
      <c r="M64" s="12">
        <f t="shared" ref="M64:M65" si="264">SUM(AS64:AV64)</f>
        <v>-51971</v>
      </c>
      <c r="N64" s="12"/>
      <c r="O64" s="25">
        <f>22-304-12640</f>
        <v>-12922</v>
      </c>
      <c r="P64" s="25">
        <f>59-706-31303-O64</f>
        <v>-19028</v>
      </c>
      <c r="Q64" s="25">
        <f>276-1120-39364-P64-O64</f>
        <v>-8258</v>
      </c>
      <c r="R64" s="12">
        <f>E64-Q64-P64-O64</f>
        <v>-8218</v>
      </c>
      <c r="S64" s="25">
        <f>37-358-18580</f>
        <v>-18901</v>
      </c>
      <c r="T64" s="25">
        <f>74-768-40193-S64</f>
        <v>-21986</v>
      </c>
      <c r="U64" s="25">
        <f>172-1152-60005-T64-S64</f>
        <v>-20098</v>
      </c>
      <c r="V64" s="12">
        <f>F64-U64-T64-S64</f>
        <v>-28492</v>
      </c>
      <c r="W64" s="25">
        <f>33-391-16683</f>
        <v>-17041</v>
      </c>
      <c r="X64" s="25">
        <f>57-819-40227-W64</f>
        <v>-23948</v>
      </c>
      <c r="Y64" s="25">
        <f>61-1247-59016-X64-W64</f>
        <v>-19213</v>
      </c>
      <c r="Z64" s="12">
        <f>G64-Y64-X64-W64</f>
        <v>-17747</v>
      </c>
      <c r="AA64" s="25">
        <f>22-376-19629</f>
        <v>-19983</v>
      </c>
      <c r="AB64" s="25">
        <f>730-808-54331-AA64</f>
        <v>-34426</v>
      </c>
      <c r="AC64" s="25">
        <f>1149-1208-83322-AB64-AA64</f>
        <v>-28972</v>
      </c>
      <c r="AD64" s="12">
        <f>H64-AC64-AB64-AA64</f>
        <v>-19379</v>
      </c>
      <c r="AE64" s="25">
        <f>194-421-22168</f>
        <v>-22395</v>
      </c>
      <c r="AF64" s="25">
        <f>39490-945-48103-AE64</f>
        <v>12837</v>
      </c>
      <c r="AG64" s="25">
        <f>54513-1387-77829-AF64-AE64</f>
        <v>-15145</v>
      </c>
      <c r="AH64" s="12">
        <f>I64-AG64-AF64-AE64</f>
        <v>-10015</v>
      </c>
      <c r="AI64" s="25">
        <f>5753-479-21009</f>
        <v>-15735</v>
      </c>
      <c r="AJ64" s="25">
        <f>9673-988-55556-AI64</f>
        <v>-31136</v>
      </c>
      <c r="AK64" s="25">
        <f>14263-1628-65199-AJ64-AI64</f>
        <v>-5693</v>
      </c>
      <c r="AL64" s="12">
        <f>J64-AK64-AJ64-AI64</f>
        <v>-1900</v>
      </c>
      <c r="AM64" s="25">
        <f>1580-774-17980</f>
        <v>-17174</v>
      </c>
      <c r="AN64" s="25">
        <f>1737-1422-36035-AM64</f>
        <v>-18546</v>
      </c>
      <c r="AO64" s="25">
        <f>3480-2126-46550-AN64-AM64</f>
        <v>-9476</v>
      </c>
      <c r="AP64" s="12">
        <f t="shared" ref="AP64:AP65" si="265">K64-AO64-AN64-AM64</f>
        <v>-18234</v>
      </c>
      <c r="AQ64" s="25">
        <f>65-608-15534</f>
        <v>-16077</v>
      </c>
      <c r="AR64" s="25">
        <f>-32802+1063-1276-AQ64</f>
        <v>-16938</v>
      </c>
      <c r="AS64" s="25">
        <f>1083-2065-50028-AR64-AQ64</f>
        <v>-17995</v>
      </c>
      <c r="AT64" s="12">
        <f t="shared" ref="AT64:AT65" si="266">L64-AS64-AR64-AQ64</f>
        <v>-10634</v>
      </c>
      <c r="AU64" s="25">
        <f>383-638-11750</f>
        <v>-12005</v>
      </c>
      <c r="AV64" s="25">
        <f>-22466+394-1270-AU64</f>
        <v>-11337</v>
      </c>
      <c r="AW64" s="25"/>
      <c r="AY64" s="25">
        <f>61-1247-61828-X64-W64</f>
        <v>-22025</v>
      </c>
    </row>
    <row r="65" spans="2:51" ht="13.5" customHeight="1">
      <c r="B65" s="16" t="s">
        <v>313</v>
      </c>
      <c r="C65" s="25">
        <f>0+17000-21524-22-159</f>
        <v>-4705</v>
      </c>
      <c r="D65" s="25">
        <f>290+14884-5633-266-137</f>
        <v>9138</v>
      </c>
      <c r="E65" s="25">
        <f>11643+1710-111-2814-21</f>
        <v>10407</v>
      </c>
      <c r="F65" s="25">
        <f>1023+11-20-80</f>
        <v>934</v>
      </c>
      <c r="G65" s="25">
        <f>2020+0-579-0</f>
        <v>1441</v>
      </c>
      <c r="H65" s="25">
        <f>359+482-1754</f>
        <v>-913</v>
      </c>
      <c r="I65" s="25">
        <f>2458-3514</f>
        <v>-1056</v>
      </c>
      <c r="J65" s="25">
        <f>-1636</f>
        <v>-1636</v>
      </c>
      <c r="K65" s="25">
        <f>-3770-29</f>
        <v>-3799</v>
      </c>
      <c r="L65" s="25">
        <f>-186+175</f>
        <v>-11</v>
      </c>
      <c r="M65" s="12">
        <f t="shared" si="264"/>
        <v>-166</v>
      </c>
      <c r="N65" s="12"/>
      <c r="O65" s="25">
        <f>-60+1710</f>
        <v>1650</v>
      </c>
      <c r="P65" s="25">
        <f>1710-111-O65</f>
        <v>-51</v>
      </c>
      <c r="Q65" s="25">
        <f>-12-111-P65-O65</f>
        <v>-1722</v>
      </c>
      <c r="R65" s="12">
        <f>E65-Q65-P65-O65</f>
        <v>10530</v>
      </c>
      <c r="S65" s="25">
        <v>0</v>
      </c>
      <c r="T65" s="25">
        <f>-70-S65</f>
        <v>-70</v>
      </c>
      <c r="U65" s="25">
        <f>-70-0-T65-S65</f>
        <v>0</v>
      </c>
      <c r="V65" s="12">
        <f>F65-U65-T65-S65</f>
        <v>1004</v>
      </c>
      <c r="W65" s="25">
        <f>0+0</f>
        <v>0</v>
      </c>
      <c r="X65" s="25">
        <f>-60-W65</f>
        <v>-60</v>
      </c>
      <c r="Y65" s="25">
        <f>-60-0-X65-W65</f>
        <v>0</v>
      </c>
      <c r="Z65" s="12">
        <f>G65-Y65-X65-W65</f>
        <v>1501</v>
      </c>
      <c r="AA65" s="25">
        <v>-507</v>
      </c>
      <c r="AB65" s="25">
        <f>-1725+365-AA65</f>
        <v>-853</v>
      </c>
      <c r="AC65" s="25">
        <f>-1727+359-AB65-AA65</f>
        <v>-8</v>
      </c>
      <c r="AD65" s="12">
        <f>H65-AC65-AB65-AA65</f>
        <v>455</v>
      </c>
      <c r="AE65" s="25">
        <v>-51</v>
      </c>
      <c r="AF65" s="25">
        <f>-3303+32-AE65</f>
        <v>-3220</v>
      </c>
      <c r="AG65" s="25">
        <f>-3303+32-AF65-AE65</f>
        <v>0</v>
      </c>
      <c r="AH65" s="12">
        <f>I65-AG65-AF65-AE65</f>
        <v>2215</v>
      </c>
      <c r="AI65" s="25">
        <v>-71</v>
      </c>
      <c r="AJ65" s="25">
        <f>-71-AI65</f>
        <v>0</v>
      </c>
      <c r="AK65" s="25">
        <f>-72-AJ65-AI65</f>
        <v>-1</v>
      </c>
      <c r="AL65" s="12">
        <f>J65-AK65-AJ65-AI65</f>
        <v>-1564</v>
      </c>
      <c r="AM65" s="25">
        <v>-81</v>
      </c>
      <c r="AN65" s="25">
        <f>-2976-AM65</f>
        <v>-2895</v>
      </c>
      <c r="AO65" s="25">
        <f>-3692-AN65-AM65</f>
        <v>-716</v>
      </c>
      <c r="AP65" s="12">
        <f t="shared" si="265"/>
        <v>-107</v>
      </c>
      <c r="AQ65" s="25">
        <v>-8</v>
      </c>
      <c r="AR65" s="25">
        <f>-115-AQ65</f>
        <v>-107</v>
      </c>
      <c r="AS65" s="25">
        <f>-184-AR65-AQ65</f>
        <v>-69</v>
      </c>
      <c r="AT65" s="12">
        <f t="shared" si="266"/>
        <v>173</v>
      </c>
      <c r="AU65" s="25">
        <v>0</v>
      </c>
      <c r="AV65" s="25">
        <f>-270-AU65</f>
        <v>-270</v>
      </c>
      <c r="AW65" s="25"/>
      <c r="AY65" s="25">
        <f>-60-0-X65-W65</f>
        <v>0</v>
      </c>
    </row>
    <row r="66" spans="2:51" s="2" customFormat="1" ht="13.5" customHeight="1">
      <c r="B66" s="27" t="s">
        <v>314</v>
      </c>
      <c r="C66" s="6">
        <f t="shared" ref="C66:F66" si="267">SUM(C63:C65)</f>
        <v>-22058</v>
      </c>
      <c r="D66" s="6">
        <f t="shared" si="267"/>
        <v>5896</v>
      </c>
      <c r="E66" s="6">
        <f t="shared" si="267"/>
        <v>471</v>
      </c>
      <c r="F66" s="6">
        <f t="shared" si="267"/>
        <v>-35934</v>
      </c>
      <c r="G66" s="6">
        <f t="shared" ref="G66:H66" si="268">SUM(G63:G65)</f>
        <v>49</v>
      </c>
      <c r="H66" s="6">
        <f t="shared" si="268"/>
        <v>-31325</v>
      </c>
      <c r="I66" s="6">
        <f t="shared" ref="I66:J66" si="269">SUM(I63:I65)</f>
        <v>30304</v>
      </c>
      <c r="J66" s="6">
        <f t="shared" si="269"/>
        <v>18521</v>
      </c>
      <c r="K66" s="6">
        <f t="shared" ref="K66:M66" si="270">SUM(K63:K65)</f>
        <v>-2821</v>
      </c>
      <c r="L66" s="6">
        <f t="shared" ref="L66" si="271">SUM(L63:L65)</f>
        <v>15799</v>
      </c>
      <c r="M66" s="6">
        <f t="shared" si="270"/>
        <v>23902</v>
      </c>
      <c r="N66" s="6"/>
      <c r="O66" s="6">
        <f t="shared" ref="O66:U66" si="272">SUM(O63:O65)</f>
        <v>262</v>
      </c>
      <c r="P66" s="6">
        <f t="shared" si="272"/>
        <v>-124</v>
      </c>
      <c r="Q66" s="6">
        <f t="shared" si="272"/>
        <v>-13393</v>
      </c>
      <c r="R66" s="6">
        <f t="shared" si="272"/>
        <v>13726</v>
      </c>
      <c r="S66" s="6">
        <f t="shared" si="272"/>
        <v>-6211</v>
      </c>
      <c r="T66" s="6">
        <f t="shared" si="272"/>
        <v>-6427</v>
      </c>
      <c r="U66" s="6">
        <f t="shared" si="272"/>
        <v>-2064</v>
      </c>
      <c r="V66" s="6">
        <f>SUM(V63:V65)</f>
        <v>-21232</v>
      </c>
      <c r="W66" s="6">
        <f t="shared" ref="W66:Y66" si="273">SUM(W63:W65)</f>
        <v>-4255</v>
      </c>
      <c r="X66" s="6">
        <f t="shared" si="273"/>
        <v>-13109</v>
      </c>
      <c r="Y66" s="6">
        <f t="shared" si="273"/>
        <v>2614</v>
      </c>
      <c r="Z66" s="6">
        <f>SUM(Z63:Z65)</f>
        <v>14799</v>
      </c>
      <c r="AA66" s="6">
        <f t="shared" ref="AA66:AC66" si="274">SUM(AA63:AA65)</f>
        <v>-6701</v>
      </c>
      <c r="AB66" s="6">
        <f t="shared" si="274"/>
        <v>-14818</v>
      </c>
      <c r="AC66" s="6">
        <f t="shared" si="274"/>
        <v>-8246</v>
      </c>
      <c r="AD66" s="6">
        <f>SUM(AD63:AD65)</f>
        <v>-1560</v>
      </c>
      <c r="AE66" s="6">
        <f t="shared" ref="AE66:AG66" si="275">SUM(AE63:AE65)</f>
        <v>-6033</v>
      </c>
      <c r="AF66" s="6">
        <f t="shared" si="275"/>
        <v>23210</v>
      </c>
      <c r="AG66" s="6">
        <f t="shared" si="275"/>
        <v>-2374</v>
      </c>
      <c r="AH66" s="6">
        <f>SUM(AH63:AH65)</f>
        <v>15501</v>
      </c>
      <c r="AI66" s="6">
        <f t="shared" ref="AI66:AK66" si="276">SUM(AI63:AI65)</f>
        <v>9850</v>
      </c>
      <c r="AJ66" s="6">
        <f t="shared" si="276"/>
        <v>-20040</v>
      </c>
      <c r="AK66" s="6">
        <f t="shared" si="276"/>
        <v>13614</v>
      </c>
      <c r="AL66" s="6">
        <f>SUM(AL63:AL65)</f>
        <v>15097</v>
      </c>
      <c r="AM66" s="6">
        <f t="shared" ref="AM66:AO66" si="277">SUM(AM63:AM65)</f>
        <v>3266</v>
      </c>
      <c r="AN66" s="6">
        <f t="shared" si="277"/>
        <v>2060</v>
      </c>
      <c r="AO66" s="6">
        <f t="shared" si="277"/>
        <v>1618</v>
      </c>
      <c r="AP66" s="6">
        <f>SUM(AP63:AP65)</f>
        <v>-9765</v>
      </c>
      <c r="AQ66" s="6">
        <f t="shared" ref="AQ66:AS66" si="278">SUM(AQ63:AQ65)</f>
        <v>3652</v>
      </c>
      <c r="AR66" s="6">
        <f t="shared" si="278"/>
        <v>-29</v>
      </c>
      <c r="AS66" s="6">
        <f t="shared" si="278"/>
        <v>5675</v>
      </c>
      <c r="AT66" s="6">
        <f>SUM(AT63:AT65)</f>
        <v>6501</v>
      </c>
      <c r="AU66" s="6">
        <f t="shared" ref="AU66:AV66" si="279">SUM(AU63:AU65)</f>
        <v>5552</v>
      </c>
      <c r="AV66" s="6">
        <f t="shared" si="279"/>
        <v>6174</v>
      </c>
      <c r="AW66" s="6"/>
      <c r="AY66" s="6">
        <f t="shared" ref="AY66" si="280">SUM(AY63:AY65)</f>
        <v>2614</v>
      </c>
    </row>
    <row r="67" spans="2:51" ht="13.5" customHeight="1">
      <c r="B67" s="16" t="s">
        <v>315</v>
      </c>
      <c r="C67" s="15">
        <f>947+1557+2502+609-21524-2734-3500-6-20+4409-105</f>
        <v>-17865</v>
      </c>
      <c r="D67" s="15">
        <f>1217+2001+20254+456+833-18424-76-511+1000</f>
        <v>6750</v>
      </c>
      <c r="E67" s="15">
        <f>1115+11707+6102+105-5992-72</f>
        <v>12965</v>
      </c>
      <c r="F67" s="15">
        <f>1723+1771+1415-572-145+35</f>
        <v>4227</v>
      </c>
      <c r="G67" s="15">
        <f>1106+0+4375-5147-0+20+2534+316+150-1194</f>
        <v>2160</v>
      </c>
      <c r="H67" s="15">
        <f>2518+993+170+714-404-3847-111</f>
        <v>33</v>
      </c>
      <c r="I67" s="15">
        <f>182+636+0-200-6368-9-173+8700</f>
        <v>2768</v>
      </c>
      <c r="J67" s="15">
        <f>973-449+18+440</f>
        <v>982</v>
      </c>
      <c r="K67" s="15">
        <f>881-37+626+21-166+200</f>
        <v>1525</v>
      </c>
      <c r="L67" s="15">
        <f>600+126+25+686-217-544</f>
        <v>676</v>
      </c>
      <c r="M67" s="12">
        <f t="shared" ref="M67:M70" si="281">SUM(AS67:AV67)</f>
        <v>356</v>
      </c>
      <c r="N67" s="12"/>
      <c r="O67" s="15">
        <f>352+0+4852-7413-2629-51</f>
        <v>-4889</v>
      </c>
      <c r="P67" s="15">
        <f>426+0+11707+3060+10059+105+0+0-6102-162-O67</f>
        <v>23982</v>
      </c>
      <c r="Q67" s="15">
        <f>904+11707+5249+11400+1710+105-P67-O67</f>
        <v>11982</v>
      </c>
      <c r="R67" s="12">
        <f>E67-Q67-P67-O67</f>
        <v>-18110</v>
      </c>
      <c r="S67" s="15">
        <f>577+1167+0-105-61-69-82</f>
        <v>1427</v>
      </c>
      <c r="T67" s="15">
        <f>1065+2+1771+1263+681-2-82-125-751-S67</f>
        <v>2395</v>
      </c>
      <c r="U67" s="15">
        <f>1363+1771+1283+1021-552-2251-129-T67-S67</f>
        <v>-1316</v>
      </c>
      <c r="V67" s="12">
        <f>F67-U67-T67-S67</f>
        <v>1721</v>
      </c>
      <c r="W67" s="15">
        <f>380+303+150-2943-88</f>
        <v>-2198</v>
      </c>
      <c r="X67" s="15">
        <f>742+316+150+2826+2940+0-0-0-4943-498-62-W67</f>
        <v>3669</v>
      </c>
      <c r="Y67" s="15">
        <f>1055+2826+4375+1508-4685-0+17+150-X67-W67</f>
        <v>3775</v>
      </c>
      <c r="Z67" s="12">
        <f>G67-Y67-X67-W67</f>
        <v>-3086</v>
      </c>
      <c r="AA67" s="15">
        <f>232+0+0-6-46-100</f>
        <v>80</v>
      </c>
      <c r="AB67" s="15">
        <f>389+0+0+170+261-1676-100-195-AA67</f>
        <v>-1231</v>
      </c>
      <c r="AC67" s="15">
        <f>605+170+1941+0-1615-108+7+0-AB67-AA67</f>
        <v>2151</v>
      </c>
      <c r="AD67" s="12">
        <f>H67-AC67-AB67-AA67</f>
        <v>-967</v>
      </c>
      <c r="AE67" s="15">
        <f>155+0+0-140-898+41</f>
        <v>-842</v>
      </c>
      <c r="AF67" s="15">
        <f>262+2775-6767-175-53-AE67</f>
        <v>-3116</v>
      </c>
      <c r="AG67" s="15">
        <f>7454+182+474-281-6466+186-AF67-AE67</f>
        <v>5507</v>
      </c>
      <c r="AH67" s="12">
        <f>I67-AG67-AF67-AE67</f>
        <v>1219</v>
      </c>
      <c r="AI67" s="15">
        <f>461+285-340-127</f>
        <v>279</v>
      </c>
      <c r="AJ67" s="15">
        <f>440+471-324-248-AI67</f>
        <v>60</v>
      </c>
      <c r="AK67" s="15">
        <f>440+706-329-39-AJ67-AI67</f>
        <v>439</v>
      </c>
      <c r="AL67" s="12">
        <f>J67-AK67-AJ67-AI67</f>
        <v>204</v>
      </c>
      <c r="AM67" s="15">
        <f>200+39+272-24+61</f>
        <v>548</v>
      </c>
      <c r="AN67" s="15">
        <f>200+21+480-20+79-AM67</f>
        <v>212</v>
      </c>
      <c r="AO67" s="15">
        <f>21+700-3+915-AN67-AM67</f>
        <v>873</v>
      </c>
      <c r="AP67" s="12">
        <f t="shared" ref="AP67:AP70" si="282">K67-AO67-AN67-AM67</f>
        <v>-108</v>
      </c>
      <c r="AQ67" s="15">
        <f>0+36+198-0+0</f>
        <v>234</v>
      </c>
      <c r="AR67" s="15">
        <f>126+25+361+148-AQ67</f>
        <v>426</v>
      </c>
      <c r="AS67" s="15">
        <f>600+126+25+534+325-AR67-AQ67</f>
        <v>950</v>
      </c>
      <c r="AT67" s="12">
        <f t="shared" ref="AT67:AT70" si="283">L67-AS67-AR67-AQ67</f>
        <v>-934</v>
      </c>
      <c r="AU67" s="15">
        <f>47+145-40+24</f>
        <v>176</v>
      </c>
      <c r="AV67" s="15">
        <f>47+305-40+28-AU67</f>
        <v>164</v>
      </c>
      <c r="AW67" s="15"/>
      <c r="AX67" s="1"/>
      <c r="AY67" s="15">
        <f>1055+2826+4375+1508-4685-0+17+150-X67-W67</f>
        <v>3775</v>
      </c>
    </row>
    <row r="68" spans="2:51" ht="13.5" customHeight="1">
      <c r="B68" s="16" t="s">
        <v>316</v>
      </c>
      <c r="C68" s="15">
        <f>-22987+5</f>
        <v>-22982</v>
      </c>
      <c r="D68" s="15">
        <v>-16617</v>
      </c>
      <c r="E68" s="15">
        <f>-13928</f>
        <v>-13928</v>
      </c>
      <c r="F68" s="15">
        <f>-15592</f>
        <v>-15592</v>
      </c>
      <c r="G68" s="15">
        <v>-16721</v>
      </c>
      <c r="H68" s="15">
        <v>-17712</v>
      </c>
      <c r="I68" s="15">
        <v>-25235</v>
      </c>
      <c r="J68" s="15">
        <v>-23328</v>
      </c>
      <c r="K68" s="15">
        <v>-20750</v>
      </c>
      <c r="L68" s="15">
        <f>-20590</f>
        <v>-20590</v>
      </c>
      <c r="M68" s="12">
        <f t="shared" si="281"/>
        <v>-20311</v>
      </c>
      <c r="N68" s="12"/>
      <c r="O68" s="15">
        <v>-16</v>
      </c>
      <c r="P68" s="15">
        <f>-6054-O68</f>
        <v>-6038</v>
      </c>
      <c r="Q68" s="15">
        <f>-13798-P68-O68</f>
        <v>-7744</v>
      </c>
      <c r="R68" s="12">
        <f>E68-Q68-P68-O68</f>
        <v>-130</v>
      </c>
      <c r="S68" s="15">
        <v>-15</v>
      </c>
      <c r="T68" s="15">
        <f>-7796-S68</f>
        <v>-7781</v>
      </c>
      <c r="U68" s="15">
        <f>-15556-T68-S68</f>
        <v>-7760</v>
      </c>
      <c r="V68" s="12">
        <f>F68-U68-T68-S68</f>
        <v>-36</v>
      </c>
      <c r="W68" s="15">
        <v>-18</v>
      </c>
      <c r="X68" s="15">
        <f>-8448-W68</f>
        <v>-8430</v>
      </c>
      <c r="Y68" s="15">
        <f>-17020-X68-W68</f>
        <v>-8572</v>
      </c>
      <c r="Z68" s="12">
        <f>G68-Y68-X68-W68</f>
        <v>299</v>
      </c>
      <c r="AA68" s="15">
        <v>-25</v>
      </c>
      <c r="AB68" s="15">
        <f>-8705-AA68</f>
        <v>-8680</v>
      </c>
      <c r="AC68" s="15">
        <f>-17717-AB68-AA68</f>
        <v>-9012</v>
      </c>
      <c r="AD68" s="12">
        <f>H68-AC68-AB68-AA68</f>
        <v>5</v>
      </c>
      <c r="AE68" s="15">
        <v>-15</v>
      </c>
      <c r="AF68" s="15">
        <f>-9064-AE68</f>
        <v>-9049</v>
      </c>
      <c r="AG68" s="15">
        <f>-25231-AF68-AE68</f>
        <v>-16167</v>
      </c>
      <c r="AH68" s="12">
        <f>I68-AG68-AF68-AE68</f>
        <v>-4</v>
      </c>
      <c r="AI68" s="15">
        <v>-25</v>
      </c>
      <c r="AJ68" s="15">
        <f>-12736-AI68</f>
        <v>-12711</v>
      </c>
      <c r="AK68" s="15">
        <f>-23313-AJ68-AI68</f>
        <v>-10577</v>
      </c>
      <c r="AL68" s="12">
        <f>J68-AK68-AJ68-AI68</f>
        <v>-15</v>
      </c>
      <c r="AM68" s="15">
        <v>-7</v>
      </c>
      <c r="AN68" s="15">
        <f>-10032-AM68</f>
        <v>-10025</v>
      </c>
      <c r="AO68" s="15">
        <f>-20744-AN68-AM68</f>
        <v>-10712</v>
      </c>
      <c r="AP68" s="12">
        <f t="shared" si="282"/>
        <v>-6</v>
      </c>
      <c r="AQ68" s="15">
        <v>-39</v>
      </c>
      <c r="AR68" s="15">
        <f>-10213-AQ68</f>
        <v>-10174</v>
      </c>
      <c r="AS68" s="15">
        <f>-20576-AR68-AQ68</f>
        <v>-10363</v>
      </c>
      <c r="AT68" s="12">
        <f t="shared" si="283"/>
        <v>-14</v>
      </c>
      <c r="AU68" s="15">
        <v>-19</v>
      </c>
      <c r="AV68" s="15">
        <f>-9934-AU68</f>
        <v>-9915</v>
      </c>
      <c r="AW68" s="15"/>
      <c r="AY68" s="15">
        <f>-17020-X68-W68</f>
        <v>-8572</v>
      </c>
    </row>
    <row r="69" spans="2:51" ht="13.5" customHeight="1">
      <c r="B69" s="16" t="s">
        <v>317</v>
      </c>
      <c r="C69" s="25">
        <f>40569-19650</f>
        <v>20919</v>
      </c>
      <c r="D69" s="25">
        <f>26255-39199</f>
        <v>-12944</v>
      </c>
      <c r="E69" s="25">
        <f>20500-18740</f>
        <v>1760</v>
      </c>
      <c r="F69" s="25">
        <f>37500-5399-20494</f>
        <v>11607</v>
      </c>
      <c r="G69" s="25">
        <f>61271-2541-28365-10000</f>
        <v>20365</v>
      </c>
      <c r="H69" s="25">
        <f>51500-6547-22565</f>
        <v>22388</v>
      </c>
      <c r="I69" s="25">
        <f>16000+5000-6000-8331-22353</f>
        <v>-15684</v>
      </c>
      <c r="J69" s="25">
        <f>38000-10000-10707-22611</f>
        <v>-5318</v>
      </c>
      <c r="K69" s="25">
        <f>37000-0-12079-12059-4200</f>
        <v>8662</v>
      </c>
      <c r="L69" s="25">
        <f>36150+1322-1022-14328-23712</f>
        <v>-1590</v>
      </c>
      <c r="M69" s="12">
        <f t="shared" si="281"/>
        <v>-12575</v>
      </c>
      <c r="N69" s="12"/>
      <c r="O69" s="25">
        <f>4500-0-6402</f>
        <v>-1902</v>
      </c>
      <c r="P69" s="25">
        <f>17500-0-8504-O69</f>
        <v>10898</v>
      </c>
      <c r="Q69" s="25">
        <f>20500+0-16458-P69-O69</f>
        <v>-4954</v>
      </c>
      <c r="R69" s="12">
        <f>E69-Q69-P69-O69</f>
        <v>-2282</v>
      </c>
      <c r="S69" s="25">
        <f>4000+0-1313-6320</f>
        <v>-3633</v>
      </c>
      <c r="T69" s="25">
        <f>6000-3147-8921-S69</f>
        <v>-2435</v>
      </c>
      <c r="U69" s="25">
        <f>18000-4363-15626-T69-S69</f>
        <v>4079</v>
      </c>
      <c r="V69" s="12">
        <f>F69-U69-T69-S69</f>
        <v>13596</v>
      </c>
      <c r="W69" s="25">
        <f>12000+4000-1788-3119</f>
        <v>11093</v>
      </c>
      <c r="X69" s="25">
        <f>47541+10000-3018-3733-10000-W69</f>
        <v>29697</v>
      </c>
      <c r="Y69" s="25">
        <f>47541-4313-14963-X69-W69</f>
        <v>-12525</v>
      </c>
      <c r="Z69" s="12">
        <f>G69-Y69-X69-W69</f>
        <v>-7900</v>
      </c>
      <c r="AA69" s="25">
        <f>12000+0-1924-13634</f>
        <v>-3558</v>
      </c>
      <c r="AB69" s="25">
        <f>27000+0-3426-14444-0-AA69</f>
        <v>12688</v>
      </c>
      <c r="AC69" s="25">
        <f>37000-4971-15798-AB69-AA69</f>
        <v>7101</v>
      </c>
      <c r="AD69" s="12">
        <f>H69-AC69-AB69-AA69</f>
        <v>6157</v>
      </c>
      <c r="AE69" s="25">
        <f>5000-2261-5797</f>
        <v>-3058</v>
      </c>
      <c r="AF69" s="25">
        <f>10000+5000-3743-11896-AE69</f>
        <v>2419</v>
      </c>
      <c r="AG69" s="25">
        <f>10000+5000-2000-5927-15544-AF69-AE69</f>
        <v>-7832</v>
      </c>
      <c r="AH69" s="12">
        <f>I69-AG69-AF69-AE69</f>
        <v>-7213</v>
      </c>
      <c r="AI69" s="25">
        <f>3000-3215-2048-4000</f>
        <v>-6263</v>
      </c>
      <c r="AJ69" s="25">
        <f>25500-5570-2687-4000-AI69</f>
        <v>19506</v>
      </c>
      <c r="AK69" s="25">
        <f>35000-4000-7993-8975-AJ69-AI69</f>
        <v>789</v>
      </c>
      <c r="AL69" s="12">
        <f>J69-AK69-AJ69-AI69</f>
        <v>-19350</v>
      </c>
      <c r="AM69" s="25">
        <f>4200-3139-4720-4200</f>
        <v>-7859</v>
      </c>
      <c r="AN69" s="25">
        <f>14200-6146-7966-AM69</f>
        <v>7947</v>
      </c>
      <c r="AO69" s="25">
        <f>25300-0-8994-10084-AN69-AM69</f>
        <v>6134</v>
      </c>
      <c r="AP69" s="12">
        <f t="shared" si="282"/>
        <v>2440</v>
      </c>
      <c r="AQ69" s="25">
        <f>5800+1022-1022-3829-4016</f>
        <v>-2045</v>
      </c>
      <c r="AR69" s="25">
        <f>18900+1022-1022-6944-7719-AQ69</f>
        <v>6282</v>
      </c>
      <c r="AS69" s="25">
        <f>33150+1122-1022-10693-17522-AR69-AQ69</f>
        <v>798</v>
      </c>
      <c r="AT69" s="12">
        <f t="shared" si="283"/>
        <v>-6625</v>
      </c>
      <c r="AU69" s="25">
        <f>150-1083-4530</f>
        <v>-5463</v>
      </c>
      <c r="AV69" s="25">
        <f>8150-7063-7835-AU69</f>
        <v>-1285</v>
      </c>
      <c r="AW69" s="25"/>
      <c r="AY69" s="25">
        <f>47541-4313-14963-X69-W69</f>
        <v>-12525</v>
      </c>
    </row>
    <row r="70" spans="2:51" ht="13.5" customHeight="1">
      <c r="B70" s="16" t="s">
        <v>318</v>
      </c>
      <c r="C70" s="15">
        <f>-185-6040-541</f>
        <v>-6766</v>
      </c>
      <c r="D70" s="15">
        <f>218+4165-153-177-7735</f>
        <v>-3682</v>
      </c>
      <c r="E70" s="15">
        <f>886-38-236+26</f>
        <v>638</v>
      </c>
      <c r="F70" s="15">
        <f>-50-195-236-4</f>
        <v>-485</v>
      </c>
      <c r="G70" s="15">
        <f>-430-927-236-0+10000</f>
        <v>8407</v>
      </c>
      <c r="H70" s="15">
        <f>-25-397-236-8922</f>
        <v>-9580</v>
      </c>
      <c r="I70" s="15">
        <f>7839+87-0-62-236-9013</f>
        <v>-1385</v>
      </c>
      <c r="J70" s="15">
        <f>-214-236-607</f>
        <v>-1057</v>
      </c>
      <c r="K70" s="15">
        <f>-219-59-0+704+71</f>
        <v>497</v>
      </c>
      <c r="L70" s="15">
        <f>-243-271</f>
        <v>-514</v>
      </c>
      <c r="M70" s="12">
        <f t="shared" si="281"/>
        <v>793</v>
      </c>
      <c r="N70" s="12"/>
      <c r="O70" s="15">
        <f>218+66-59-23-1463</f>
        <v>-1261</v>
      </c>
      <c r="P70" s="15">
        <f>596+66-38-118-11938+35-O70</f>
        <v>-10136</v>
      </c>
      <c r="Q70" s="15">
        <f>709+-38+0-177+26-P70-O70</f>
        <v>11917</v>
      </c>
      <c r="R70" s="12">
        <f>E70-Q70-P70-O70</f>
        <v>118</v>
      </c>
      <c r="S70" s="15">
        <f>25-59+0</f>
        <v>-34</v>
      </c>
      <c r="T70" s="15">
        <f>25-1-30-118-S70</f>
        <v>-90</v>
      </c>
      <c r="U70" s="15">
        <f>-54-160-177-T70-S70</f>
        <v>-267</v>
      </c>
      <c r="V70" s="12">
        <f>F70-U70-T70-S70</f>
        <v>-94</v>
      </c>
      <c r="W70" s="15">
        <f>-41-59-124</f>
        <v>-224</v>
      </c>
      <c r="X70" s="15">
        <f>0+0-661-118-81-W70</f>
        <v>-636</v>
      </c>
      <c r="Y70" s="15">
        <f>-808-350-177-X70-W70</f>
        <v>-475</v>
      </c>
      <c r="Z70" s="12">
        <f>G70-Y70-X70-W70</f>
        <v>9742</v>
      </c>
      <c r="AA70" s="15">
        <f>-91-59-90</f>
        <v>-240</v>
      </c>
      <c r="AB70" s="15">
        <f>0+0-187-118-159-AA70</f>
        <v>-224</v>
      </c>
      <c r="AC70" s="15">
        <f>-263-10-177-AB70-AA70</f>
        <v>14</v>
      </c>
      <c r="AD70" s="12">
        <f>H70-AC70-AB70-AA70</f>
        <v>-9130</v>
      </c>
      <c r="AE70" s="15">
        <f>-30-52-59</f>
        <v>-141</v>
      </c>
      <c r="AF70" s="15">
        <f>-52-118+157+7839-AE70</f>
        <v>7967</v>
      </c>
      <c r="AG70" s="15">
        <f>7839+855-52-177-AF70-AE70</f>
        <v>639</v>
      </c>
      <c r="AH70" s="12">
        <f>I70-AG70-AF70-AE70</f>
        <v>-9850</v>
      </c>
      <c r="AI70" s="15">
        <f>-22-59-1247</f>
        <v>-1328</v>
      </c>
      <c r="AJ70" s="15">
        <f>-142-118-800-AI70</f>
        <v>268</v>
      </c>
      <c r="AK70" s="15">
        <f>-199-177-1042-AJ70-AI70</f>
        <v>-358</v>
      </c>
      <c r="AL70" s="12">
        <f>J70-AK70-AJ70-AI70</f>
        <v>361</v>
      </c>
      <c r="AM70" s="15">
        <f>-31-59-472</f>
        <v>-562</v>
      </c>
      <c r="AN70" s="15">
        <f>319-59-99-4200-AM70</f>
        <v>-3477</v>
      </c>
      <c r="AO70" s="15">
        <f>-150-59-0-AN70-AM70</f>
        <v>3830</v>
      </c>
      <c r="AP70" s="12">
        <f t="shared" si="282"/>
        <v>706</v>
      </c>
      <c r="AQ70" s="15">
        <f>-12-14</f>
        <v>-26</v>
      </c>
      <c r="AR70" s="15">
        <f>-142-712-AQ70</f>
        <v>-828</v>
      </c>
      <c r="AS70" s="15">
        <f>-249-944-AR70-AQ70</f>
        <v>-339</v>
      </c>
      <c r="AT70" s="12">
        <f t="shared" si="283"/>
        <v>679</v>
      </c>
      <c r="AU70" s="15">
        <f>213-1</f>
        <v>212</v>
      </c>
      <c r="AV70" s="15">
        <f>514-61-AU70</f>
        <v>241</v>
      </c>
      <c r="AW70" s="15"/>
      <c r="AY70" s="15">
        <f>-808-350-177-X70-W70</f>
        <v>-475</v>
      </c>
    </row>
    <row r="71" spans="2:51" ht="13.5" customHeight="1">
      <c r="B71" s="27" t="s">
        <v>319</v>
      </c>
      <c r="C71" s="6">
        <f t="shared" ref="C71:E71" si="284">SUM(C66:C70)</f>
        <v>-48752</v>
      </c>
      <c r="D71" s="6">
        <f t="shared" si="284"/>
        <v>-20597</v>
      </c>
      <c r="E71" s="6">
        <f t="shared" si="284"/>
        <v>1906</v>
      </c>
      <c r="F71" s="6">
        <f t="shared" ref="F71:J71" si="285">SUM(F66:F70)</f>
        <v>-36177</v>
      </c>
      <c r="G71" s="6">
        <f t="shared" si="285"/>
        <v>14260</v>
      </c>
      <c r="H71" s="6">
        <f t="shared" si="285"/>
        <v>-36196</v>
      </c>
      <c r="I71" s="6">
        <f t="shared" si="285"/>
        <v>-9232</v>
      </c>
      <c r="J71" s="6">
        <f t="shared" si="285"/>
        <v>-10200</v>
      </c>
      <c r="K71" s="6">
        <f t="shared" ref="K71:M71" si="286">SUM(K66:K70)</f>
        <v>-12887</v>
      </c>
      <c r="L71" s="6">
        <f t="shared" ref="L71" si="287">SUM(L66:L70)</f>
        <v>-6219</v>
      </c>
      <c r="M71" s="6">
        <f t="shared" si="286"/>
        <v>-7835</v>
      </c>
      <c r="N71" s="6"/>
      <c r="O71" s="6">
        <f t="shared" ref="O71:U71" si="288">SUM(O66:O70)</f>
        <v>-7806</v>
      </c>
      <c r="P71" s="6">
        <f t="shared" si="288"/>
        <v>18582</v>
      </c>
      <c r="Q71" s="6">
        <f t="shared" si="288"/>
        <v>-2192</v>
      </c>
      <c r="R71" s="6">
        <f t="shared" si="288"/>
        <v>-6678</v>
      </c>
      <c r="S71" s="6">
        <f t="shared" si="288"/>
        <v>-8466</v>
      </c>
      <c r="T71" s="6">
        <f t="shared" si="288"/>
        <v>-14338</v>
      </c>
      <c r="U71" s="6">
        <f t="shared" si="288"/>
        <v>-7328</v>
      </c>
      <c r="V71" s="6">
        <f>SUM(V66:V70)</f>
        <v>-6045</v>
      </c>
      <c r="W71" s="6">
        <f t="shared" ref="W71:Y71" si="289">SUM(W66:W70)</f>
        <v>4398</v>
      </c>
      <c r="X71" s="6">
        <f t="shared" si="289"/>
        <v>11191</v>
      </c>
      <c r="Y71" s="6">
        <f t="shared" si="289"/>
        <v>-15183</v>
      </c>
      <c r="Z71" s="6">
        <f>SUM(Z66:Z70)</f>
        <v>13854</v>
      </c>
      <c r="AA71" s="6">
        <f t="shared" ref="AA71" si="290">SUM(AA66:AA70)</f>
        <v>-10444</v>
      </c>
      <c r="AB71" s="6">
        <f>SUM(AB66:AB70)</f>
        <v>-12265</v>
      </c>
      <c r="AC71" s="6">
        <f t="shared" ref="AC71" si="291">SUM(AC66:AC70)</f>
        <v>-7992</v>
      </c>
      <c r="AD71" s="6">
        <f>SUM(AD66:AD70)</f>
        <v>-5495</v>
      </c>
      <c r="AE71" s="6">
        <f t="shared" ref="AE71:AG71" si="292">SUM(AE66:AE70)</f>
        <v>-10089</v>
      </c>
      <c r="AF71" s="6">
        <f t="shared" si="292"/>
        <v>21431</v>
      </c>
      <c r="AG71" s="6">
        <f t="shared" si="292"/>
        <v>-20227</v>
      </c>
      <c r="AH71" s="6">
        <f>SUM(AH66:AH70)</f>
        <v>-347</v>
      </c>
      <c r="AI71" s="6">
        <f t="shared" ref="AI71:AK71" si="293">SUM(AI66:AI70)</f>
        <v>2513</v>
      </c>
      <c r="AJ71" s="6">
        <f t="shared" si="293"/>
        <v>-12917</v>
      </c>
      <c r="AK71" s="6">
        <f t="shared" si="293"/>
        <v>3907</v>
      </c>
      <c r="AL71" s="6">
        <f>SUM(AL66:AL70)</f>
        <v>-3703</v>
      </c>
      <c r="AM71" s="6">
        <f t="shared" ref="AM71:AO71" si="294">SUM(AM66:AM70)</f>
        <v>-4614</v>
      </c>
      <c r="AN71" s="6">
        <f t="shared" si="294"/>
        <v>-3283</v>
      </c>
      <c r="AO71" s="6">
        <f t="shared" si="294"/>
        <v>1743</v>
      </c>
      <c r="AP71" s="6">
        <f>SUM(AP66:AP70)</f>
        <v>-6733</v>
      </c>
      <c r="AQ71" s="6">
        <f t="shared" ref="AQ71:AS71" si="295">SUM(AQ66:AQ70)</f>
        <v>1776</v>
      </c>
      <c r="AR71" s="6">
        <f t="shared" si="295"/>
        <v>-4323</v>
      </c>
      <c r="AS71" s="6">
        <f t="shared" si="295"/>
        <v>-3279</v>
      </c>
      <c r="AT71" s="6">
        <f>SUM(AT66:AT70)</f>
        <v>-393</v>
      </c>
      <c r="AU71" s="6">
        <f>SUM(AU66:AU70)</f>
        <v>458</v>
      </c>
      <c r="AV71" s="6">
        <f t="shared" ref="AV71" si="296">SUM(AV66:AV70)</f>
        <v>-4621</v>
      </c>
      <c r="AW71" s="6"/>
      <c r="AY71" s="6">
        <f t="shared" ref="AY71" si="297">SUM(AY66:AY70)</f>
        <v>-15183</v>
      </c>
    </row>
    <row r="72" spans="2:51" ht="13.5" customHeight="1">
      <c r="B72" s="16" t="s">
        <v>320</v>
      </c>
      <c r="C72" s="11">
        <f>-7733-C71-C73</f>
        <v>40405</v>
      </c>
      <c r="D72" s="11">
        <f>-5817-D71-D73</f>
        <v>15332</v>
      </c>
      <c r="E72" s="11">
        <f>18749-E71-E73</f>
        <v>16012</v>
      </c>
      <c r="F72" s="11">
        <f>-27285-F71-F73</f>
        <v>9640</v>
      </c>
      <c r="G72" s="11">
        <f>15868-G71-G73</f>
        <v>2610</v>
      </c>
      <c r="H72" s="11">
        <f>-16330-H71-H73</f>
        <v>19622</v>
      </c>
      <c r="I72" s="11">
        <f>1304-I71-I73</f>
        <v>10122</v>
      </c>
      <c r="J72" s="11">
        <f>-9034-J71-J73</f>
        <v>1429</v>
      </c>
      <c r="K72" s="11">
        <f>-6166-K71-K73</f>
        <v>6583</v>
      </c>
      <c r="L72" s="11">
        <f>1855-L71-L73</f>
        <v>8051</v>
      </c>
      <c r="M72" s="12">
        <f>SUM(AS72:AV72)</f>
        <v>10279</v>
      </c>
      <c r="N72" s="12"/>
      <c r="O72" s="11">
        <f>-3685-O71-O73</f>
        <v>3269</v>
      </c>
      <c r="P72" s="11">
        <f>19459+3685-P71-P73</f>
        <v>4013</v>
      </c>
      <c r="Q72" s="11">
        <f>12301-19459-Q71-Q73</f>
        <v>-5270</v>
      </c>
      <c r="R72" s="12">
        <f>E72-Q72-P72-O72</f>
        <v>14000</v>
      </c>
      <c r="S72" s="11">
        <f>-6368-S71-S73</f>
        <v>2084</v>
      </c>
      <c r="T72" s="11">
        <f>-19553+6368-T71-T73</f>
        <v>1896</v>
      </c>
      <c r="U72" s="11">
        <f>-24516+19553-U71-U73</f>
        <v>2096</v>
      </c>
      <c r="V72" s="12">
        <f>F72-U72-T72-S72</f>
        <v>3564</v>
      </c>
      <c r="W72" s="11">
        <f>6575-W71-W73</f>
        <v>2179</v>
      </c>
      <c r="X72" s="11">
        <f>21402-6575-X71-X73</f>
        <v>3940</v>
      </c>
      <c r="Y72" s="11">
        <f>9302-21402-Y71-Y73</f>
        <v>3753</v>
      </c>
      <c r="Z72" s="12">
        <f>G72-Y72-X72-W72</f>
        <v>-7262</v>
      </c>
      <c r="AA72" s="11">
        <f>-8756-AA71-AA73</f>
        <v>1603</v>
      </c>
      <c r="AB72" s="15">
        <f>-17067+8756-AB71-AB73</f>
        <v>3955</v>
      </c>
      <c r="AC72" s="11">
        <f>-22149+17067-AC71-AC73</f>
        <v>2677</v>
      </c>
      <c r="AD72" s="12">
        <f>H72-AC72-AB72-AA72</f>
        <v>11387</v>
      </c>
      <c r="AE72" s="11">
        <f>1923-AE71-AE73</f>
        <v>11903</v>
      </c>
      <c r="AF72" s="11">
        <f>14956-AF71-AF73-1923</f>
        <v>-8673</v>
      </c>
      <c r="AG72" s="11">
        <f>-4097-AG71-AG73-14956-(23907-23833)</f>
        <v>538</v>
      </c>
      <c r="AH72" s="12">
        <f>I72-AG72-AF72-AE72</f>
        <v>6354</v>
      </c>
      <c r="AI72" s="11">
        <f>875-AI71-AI73</f>
        <v>-1227</v>
      </c>
      <c r="AJ72" s="11">
        <f>-9026-AJ71-AJ73-875</f>
        <v>2901</v>
      </c>
      <c r="AK72" s="11">
        <f>-3739-AK71-AK73+9026</f>
        <v>1569</v>
      </c>
      <c r="AL72" s="12">
        <f>J72-AK72-AJ72-AI72</f>
        <v>-1814</v>
      </c>
      <c r="AM72" s="11">
        <f>-2120-AM71-AM73</f>
        <v>1106</v>
      </c>
      <c r="AN72" s="11">
        <f>-4211-AN71-AN73+2120</f>
        <v>1043</v>
      </c>
      <c r="AO72" s="11">
        <f>-3871-AO71-AO73+4211</f>
        <v>-2753</v>
      </c>
      <c r="AP72" s="12">
        <f>K72-AO72-AN72-AM72</f>
        <v>7187</v>
      </c>
      <c r="AQ72" s="11">
        <f>3748-AQ71-AQ73</f>
        <v>2000</v>
      </c>
      <c r="AR72" s="11">
        <f>826-AR71-AR73-AQ71-AQ72-AQ73</f>
        <v>-164</v>
      </c>
      <c r="AS72" s="11">
        <f>81-AS71-AS73-AR71-AQ71-AR73-AQ73-AQ72-AR72</f>
        <v>2470</v>
      </c>
      <c r="AT72" s="12">
        <f>L72-AS72-AR72-AQ72</f>
        <v>3745</v>
      </c>
      <c r="AU72" s="11">
        <f>2668-AU71-AU73</f>
        <v>2104</v>
      </c>
      <c r="AV72" s="11">
        <f>30-AV71-AV73-AU71-AU72-AU73</f>
        <v>1960</v>
      </c>
      <c r="AW72" s="11"/>
      <c r="AY72" s="11">
        <f>9302-21402-AY71-AY73</f>
        <v>3753</v>
      </c>
    </row>
    <row r="73" spans="2:51" ht="13.5" customHeight="1">
      <c r="B73" s="16" t="s">
        <v>321</v>
      </c>
      <c r="C73" s="24">
        <v>614</v>
      </c>
      <c r="D73" s="24">
        <v>-552</v>
      </c>
      <c r="E73" s="24">
        <v>831</v>
      </c>
      <c r="F73" s="24">
        <v>-748</v>
      </c>
      <c r="G73" s="24">
        <v>-1002</v>
      </c>
      <c r="H73" s="24">
        <v>244</v>
      </c>
      <c r="I73" s="24">
        <v>414</v>
      </c>
      <c r="J73" s="24">
        <v>-263</v>
      </c>
      <c r="K73" s="24">
        <v>138</v>
      </c>
      <c r="L73" s="24">
        <v>23</v>
      </c>
      <c r="M73" s="12">
        <f>SUM(AS73:AV73)</f>
        <v>-1385</v>
      </c>
      <c r="N73" s="12"/>
      <c r="O73" s="24">
        <v>852</v>
      </c>
      <c r="P73" s="24">
        <f>1401-O73</f>
        <v>549</v>
      </c>
      <c r="Q73" s="24">
        <f>1705-P73-O73</f>
        <v>304</v>
      </c>
      <c r="R73" s="12">
        <f>E73-Q73-P73-O73</f>
        <v>-874</v>
      </c>
      <c r="S73" s="24">
        <v>14</v>
      </c>
      <c r="T73" s="24">
        <f>-729-S73</f>
        <v>-743</v>
      </c>
      <c r="U73" s="24">
        <f>-474-T73</f>
        <v>269</v>
      </c>
      <c r="V73" s="12">
        <f>F73-U73-T73-S73</f>
        <v>-288</v>
      </c>
      <c r="W73" s="24">
        <v>-2</v>
      </c>
      <c r="X73" s="24">
        <f>-306-W73</f>
        <v>-304</v>
      </c>
      <c r="Y73" s="24">
        <f>-974-X73</f>
        <v>-670</v>
      </c>
      <c r="Z73" s="12">
        <f>G73-Y73-X73-W73</f>
        <v>-26</v>
      </c>
      <c r="AA73" s="24">
        <v>85</v>
      </c>
      <c r="AB73" s="24">
        <f>84-AA73</f>
        <v>-1</v>
      </c>
      <c r="AC73" s="24">
        <f>232-AB73</f>
        <v>233</v>
      </c>
      <c r="AD73" s="12">
        <f>H73-AC73-AB73-AA73</f>
        <v>-73</v>
      </c>
      <c r="AE73" s="24">
        <v>109</v>
      </c>
      <c r="AF73" s="24">
        <f>384-AE73</f>
        <v>275</v>
      </c>
      <c r="AG73" s="24">
        <f>837-AF73</f>
        <v>562</v>
      </c>
      <c r="AH73" s="12">
        <f>I73-AG73-AF73-AE73</f>
        <v>-532</v>
      </c>
      <c r="AI73" s="24">
        <v>-411</v>
      </c>
      <c r="AJ73" s="24">
        <f>-296-AI73</f>
        <v>115</v>
      </c>
      <c r="AK73" s="24">
        <v>-189</v>
      </c>
      <c r="AL73" s="12">
        <f>J73-AK73-AJ73-AI73</f>
        <v>222</v>
      </c>
      <c r="AM73" s="24">
        <v>1388</v>
      </c>
      <c r="AN73" s="24">
        <f>1537-AM73</f>
        <v>149</v>
      </c>
      <c r="AO73" s="24">
        <v>1350</v>
      </c>
      <c r="AP73" s="12">
        <f>K73-AO73-AN73-AM73</f>
        <v>-2749</v>
      </c>
      <c r="AQ73" s="24">
        <v>-28</v>
      </c>
      <c r="AR73" s="24">
        <f>1537-AQ73</f>
        <v>1565</v>
      </c>
      <c r="AS73" s="24">
        <v>64</v>
      </c>
      <c r="AT73" s="12">
        <f>L73-AS73-AR73-AQ73</f>
        <v>-1578</v>
      </c>
      <c r="AU73" s="24">
        <v>106</v>
      </c>
      <c r="AV73" s="24">
        <f>129-AU73</f>
        <v>23</v>
      </c>
      <c r="AW73" s="24"/>
      <c r="AY73" s="24">
        <f>-974-X73</f>
        <v>-670</v>
      </c>
    </row>
    <row r="74" spans="2:51" ht="13.5" customHeight="1">
      <c r="B74" s="27" t="s">
        <v>322</v>
      </c>
      <c r="C74" s="6">
        <f t="shared" ref="C74:H74" si="298">SUM(C71:C73)</f>
        <v>-7733</v>
      </c>
      <c r="D74" s="6">
        <f t="shared" si="298"/>
        <v>-5817</v>
      </c>
      <c r="E74" s="6">
        <f t="shared" si="298"/>
        <v>18749</v>
      </c>
      <c r="F74" s="6">
        <f t="shared" si="298"/>
        <v>-27285</v>
      </c>
      <c r="G74" s="6">
        <f t="shared" si="298"/>
        <v>15868</v>
      </c>
      <c r="H74" s="6">
        <f t="shared" si="298"/>
        <v>-16330</v>
      </c>
      <c r="I74" s="6">
        <f t="shared" ref="I74:J74" si="299">SUM(I71:I73)</f>
        <v>1304</v>
      </c>
      <c r="J74" s="6">
        <f t="shared" si="299"/>
        <v>-9034</v>
      </c>
      <c r="K74" s="6">
        <f t="shared" ref="K74" si="300">SUM(K71:K73)</f>
        <v>-6166</v>
      </c>
      <c r="L74" s="6">
        <f t="shared" ref="L74" si="301">SUM(L71:L73)</f>
        <v>1855</v>
      </c>
      <c r="M74" s="6">
        <f>SUM(M71:M73)</f>
        <v>1059</v>
      </c>
      <c r="N74" s="6"/>
      <c r="O74" s="6">
        <f t="shared" ref="O74:U74" si="302">SUM(O71:O73)</f>
        <v>-3685</v>
      </c>
      <c r="P74" s="6">
        <f t="shared" si="302"/>
        <v>23144</v>
      </c>
      <c r="Q74" s="6">
        <f t="shared" si="302"/>
        <v>-7158</v>
      </c>
      <c r="R74" s="6">
        <f t="shared" si="302"/>
        <v>6448</v>
      </c>
      <c r="S74" s="6">
        <f t="shared" si="302"/>
        <v>-6368</v>
      </c>
      <c r="T74" s="6">
        <f t="shared" si="302"/>
        <v>-13185</v>
      </c>
      <c r="U74" s="6">
        <f t="shared" si="302"/>
        <v>-4963</v>
      </c>
      <c r="V74" s="6">
        <f>SUM(V71:V73)</f>
        <v>-2769</v>
      </c>
      <c r="W74" s="6">
        <f>SUM(W71:W73)</f>
        <v>6575</v>
      </c>
      <c r="X74" s="6">
        <f t="shared" ref="X74" si="303">SUM(X71:X73)</f>
        <v>14827</v>
      </c>
      <c r="Y74" s="6">
        <f t="shared" ref="Y74" si="304">SUM(Y71:Y73)</f>
        <v>-12100</v>
      </c>
      <c r="Z74" s="6">
        <f>SUM(Z71:Z73)</f>
        <v>6566</v>
      </c>
      <c r="AA74" s="6">
        <f>SUM(AA71:AA73)</f>
        <v>-8756</v>
      </c>
      <c r="AB74" s="6">
        <f>SUM(AB71:AB73)</f>
        <v>-8311</v>
      </c>
      <c r="AC74" s="6">
        <f t="shared" ref="AC74" si="305">SUM(AC71:AC73)</f>
        <v>-5082</v>
      </c>
      <c r="AD74" s="6">
        <f>SUM(AD71:AD73)</f>
        <v>5819</v>
      </c>
      <c r="AE74" s="6">
        <f>SUM(AE71:AE73)</f>
        <v>1923</v>
      </c>
      <c r="AF74" s="6">
        <f t="shared" ref="AF74:AG74" si="306">SUM(AF71:AF73)</f>
        <v>13033</v>
      </c>
      <c r="AG74" s="6">
        <f t="shared" si="306"/>
        <v>-19127</v>
      </c>
      <c r="AH74" s="6">
        <f>SUM(AH71:AH73)</f>
        <v>5475</v>
      </c>
      <c r="AI74" s="6">
        <f>SUM(AI71:AI73)</f>
        <v>875</v>
      </c>
      <c r="AJ74" s="6">
        <f t="shared" ref="AJ74:AK74" si="307">SUM(AJ71:AJ73)</f>
        <v>-9901</v>
      </c>
      <c r="AK74" s="6">
        <f t="shared" si="307"/>
        <v>5287</v>
      </c>
      <c r="AL74" s="6">
        <f>SUM(AL71:AL73)</f>
        <v>-5295</v>
      </c>
      <c r="AM74" s="6">
        <f>SUM(AM71:AM73)</f>
        <v>-2120</v>
      </c>
      <c r="AN74" s="6">
        <f t="shared" ref="AN74:AO74" si="308">SUM(AN71:AN73)</f>
        <v>-2091</v>
      </c>
      <c r="AO74" s="6">
        <f t="shared" si="308"/>
        <v>340</v>
      </c>
      <c r="AP74" s="6">
        <f>SUM(AP71:AP73)</f>
        <v>-2295</v>
      </c>
      <c r="AQ74" s="6">
        <f>SUM(AQ71:AQ73)</f>
        <v>3748</v>
      </c>
      <c r="AR74" s="6">
        <f t="shared" ref="AR74:AS74" si="309">SUM(AR71:AR73)</f>
        <v>-2922</v>
      </c>
      <c r="AS74" s="6">
        <f t="shared" si="309"/>
        <v>-745</v>
      </c>
      <c r="AT74" s="6">
        <f>SUM(AT71:AT73)</f>
        <v>1774</v>
      </c>
      <c r="AU74" s="6">
        <f>SUM(AU71:AU73)</f>
        <v>2668</v>
      </c>
      <c r="AV74" s="6">
        <f t="shared" ref="AV74" si="310">SUM(AV71:AV73)</f>
        <v>-2638</v>
      </c>
      <c r="AW74" s="6"/>
      <c r="AY74" s="6">
        <f t="shared" ref="AY74" si="311">SUM(AY71:AY73)</f>
        <v>-12100</v>
      </c>
    </row>
    <row r="75" spans="2:51" s="2" customFormat="1" ht="13.5" customHeight="1">
      <c r="B75" s="27" t="s">
        <v>323</v>
      </c>
      <c r="C75" s="5">
        <v>38722</v>
      </c>
      <c r="D75" s="49">
        <f t="shared" ref="D75:J75" si="312">C75+D74</f>
        <v>32905</v>
      </c>
      <c r="E75" s="49">
        <f t="shared" si="312"/>
        <v>51654</v>
      </c>
      <c r="F75" s="49">
        <f t="shared" si="312"/>
        <v>24369</v>
      </c>
      <c r="G75" s="49">
        <f t="shared" si="312"/>
        <v>40237</v>
      </c>
      <c r="H75" s="49">
        <f t="shared" si="312"/>
        <v>23907</v>
      </c>
      <c r="I75" s="49">
        <f t="shared" si="312"/>
        <v>25211</v>
      </c>
      <c r="J75" s="49">
        <f t="shared" si="312"/>
        <v>16177</v>
      </c>
      <c r="K75" s="49">
        <f>J75+K74</f>
        <v>10011</v>
      </c>
      <c r="L75" s="49">
        <f>K75+L74</f>
        <v>11866</v>
      </c>
      <c r="M75" s="49">
        <f>AR75+M74</f>
        <v>11896</v>
      </c>
      <c r="N75" s="6"/>
      <c r="O75" s="49">
        <f>32905+O74</f>
        <v>29220</v>
      </c>
      <c r="P75" s="49">
        <f t="shared" ref="P75:X75" si="313">O75+P74</f>
        <v>52364</v>
      </c>
      <c r="Q75" s="49">
        <f t="shared" si="313"/>
        <v>45206</v>
      </c>
      <c r="R75" s="49">
        <f t="shared" si="313"/>
        <v>51654</v>
      </c>
      <c r="S75" s="49">
        <f>E75+S74</f>
        <v>45286</v>
      </c>
      <c r="T75" s="49">
        <f t="shared" si="313"/>
        <v>32101</v>
      </c>
      <c r="U75" s="49">
        <f t="shared" si="313"/>
        <v>27138</v>
      </c>
      <c r="V75" s="49">
        <f t="shared" si="313"/>
        <v>24369</v>
      </c>
      <c r="W75" s="49">
        <f>F75+W74</f>
        <v>30944</v>
      </c>
      <c r="X75" s="49">
        <f t="shared" si="313"/>
        <v>45771</v>
      </c>
      <c r="Y75" s="49">
        <f t="shared" ref="Y75:AD75" si="314">X75+Y74</f>
        <v>33671</v>
      </c>
      <c r="Z75" s="49">
        <f t="shared" si="314"/>
        <v>40237</v>
      </c>
      <c r="AA75" s="49">
        <f t="shared" si="314"/>
        <v>31481</v>
      </c>
      <c r="AB75" s="49">
        <f t="shared" si="314"/>
        <v>23170</v>
      </c>
      <c r="AC75" s="49">
        <f t="shared" si="314"/>
        <v>18088</v>
      </c>
      <c r="AD75" s="49">
        <f t="shared" si="314"/>
        <v>23907</v>
      </c>
      <c r="AE75" s="49">
        <f>AD75+AE74</f>
        <v>25830</v>
      </c>
      <c r="AF75" s="49">
        <f t="shared" ref="AF75:AO75" si="315">AE75+AF74</f>
        <v>38863</v>
      </c>
      <c r="AG75" s="49">
        <f t="shared" si="315"/>
        <v>19736</v>
      </c>
      <c r="AH75" s="49">
        <f t="shared" si="315"/>
        <v>25211</v>
      </c>
      <c r="AI75" s="49">
        <f>AH75+AI74</f>
        <v>26086</v>
      </c>
      <c r="AJ75" s="49">
        <f t="shared" si="315"/>
        <v>16185</v>
      </c>
      <c r="AK75" s="49">
        <f t="shared" si="315"/>
        <v>21472</v>
      </c>
      <c r="AL75" s="49">
        <f t="shared" si="315"/>
        <v>16177</v>
      </c>
      <c r="AM75" s="49">
        <f>AL75+AM74</f>
        <v>14057</v>
      </c>
      <c r="AN75" s="49">
        <f t="shared" si="315"/>
        <v>11966</v>
      </c>
      <c r="AO75" s="49">
        <f t="shared" si="315"/>
        <v>12306</v>
      </c>
      <c r="AP75" s="49">
        <f>AO75+AP74</f>
        <v>10011</v>
      </c>
      <c r="AQ75" s="49">
        <f>AP75+AQ74</f>
        <v>13759</v>
      </c>
      <c r="AR75" s="49">
        <f t="shared" ref="AR75:AS75" si="316">AQ75+AR74</f>
        <v>10837</v>
      </c>
      <c r="AS75" s="49">
        <f t="shared" si="316"/>
        <v>10092</v>
      </c>
      <c r="AT75" s="49">
        <f>AS75+AT74</f>
        <v>11866</v>
      </c>
      <c r="AU75" s="49">
        <f>AT75+AU74</f>
        <v>14534</v>
      </c>
      <c r="AV75" s="49">
        <f>AU75+AV74</f>
        <v>11896</v>
      </c>
      <c r="AW75" s="49"/>
      <c r="AX75" s="204"/>
      <c r="AY75" s="49">
        <f>X75+AY74</f>
        <v>33671</v>
      </c>
    </row>
    <row r="76" spans="2:51" ht="13.5" customHeight="1">
      <c r="B76" s="16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11"/>
      <c r="N76" s="11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Y76" s="24"/>
    </row>
    <row r="77" spans="2:51" s="29" customFormat="1" ht="13.5" customHeight="1">
      <c r="B77" s="30" t="s">
        <v>294</v>
      </c>
      <c r="C77" s="31">
        <f t="shared" ref="C77:H77" si="317">C75-C119</f>
        <v>0</v>
      </c>
      <c r="D77" s="31">
        <f t="shared" si="317"/>
        <v>0</v>
      </c>
      <c r="E77" s="31">
        <f t="shared" si="317"/>
        <v>0</v>
      </c>
      <c r="F77" s="31">
        <f t="shared" si="317"/>
        <v>0</v>
      </c>
      <c r="G77" s="31">
        <f t="shared" si="317"/>
        <v>0</v>
      </c>
      <c r="H77" s="31">
        <f t="shared" si="317"/>
        <v>0</v>
      </c>
      <c r="I77" s="31">
        <f>I75-I120</f>
        <v>0</v>
      </c>
      <c r="J77" s="31">
        <f t="shared" ref="J77:M77" si="318">J75-J120</f>
        <v>0</v>
      </c>
      <c r="K77" s="31">
        <f t="shared" si="318"/>
        <v>0</v>
      </c>
      <c r="L77" s="31">
        <f t="shared" si="318"/>
        <v>0</v>
      </c>
      <c r="M77" s="31">
        <f t="shared" si="318"/>
        <v>0</v>
      </c>
      <c r="N77" s="198"/>
      <c r="O77" s="31">
        <f t="shared" ref="O77:AH77" si="319">O75-O119</f>
        <v>0</v>
      </c>
      <c r="P77" s="31">
        <f t="shared" si="319"/>
        <v>0</v>
      </c>
      <c r="Q77" s="31">
        <f t="shared" si="319"/>
        <v>0</v>
      </c>
      <c r="R77" s="31">
        <f t="shared" si="319"/>
        <v>0</v>
      </c>
      <c r="S77" s="31">
        <f t="shared" si="319"/>
        <v>0</v>
      </c>
      <c r="T77" s="31">
        <f t="shared" si="319"/>
        <v>0</v>
      </c>
      <c r="U77" s="31">
        <f t="shared" si="319"/>
        <v>0</v>
      </c>
      <c r="V77" s="31">
        <f t="shared" si="319"/>
        <v>0</v>
      </c>
      <c r="W77" s="31">
        <f t="shared" si="319"/>
        <v>0</v>
      </c>
      <c r="X77" s="31">
        <f t="shared" si="319"/>
        <v>0</v>
      </c>
      <c r="Y77" s="31">
        <f t="shared" si="319"/>
        <v>0</v>
      </c>
      <c r="Z77" s="31">
        <f t="shared" si="319"/>
        <v>0</v>
      </c>
      <c r="AA77" s="31">
        <f t="shared" si="319"/>
        <v>0</v>
      </c>
      <c r="AB77" s="31">
        <f t="shared" si="319"/>
        <v>0</v>
      </c>
      <c r="AC77" s="31">
        <f t="shared" si="319"/>
        <v>0</v>
      </c>
      <c r="AD77" s="31">
        <f t="shared" si="319"/>
        <v>0</v>
      </c>
      <c r="AE77" s="31">
        <f t="shared" si="319"/>
        <v>0</v>
      </c>
      <c r="AF77" s="31">
        <f t="shared" si="319"/>
        <v>0</v>
      </c>
      <c r="AG77" s="31">
        <f t="shared" si="319"/>
        <v>0</v>
      </c>
      <c r="AH77" s="31">
        <f t="shared" si="319"/>
        <v>-383</v>
      </c>
      <c r="AI77" s="31">
        <f t="shared" ref="AI77:AL77" si="320">AI75-AI119</f>
        <v>0</v>
      </c>
      <c r="AJ77" s="31">
        <f t="shared" si="320"/>
        <v>0</v>
      </c>
      <c r="AK77" s="31">
        <f t="shared" si="320"/>
        <v>0</v>
      </c>
      <c r="AL77" s="31">
        <f t="shared" si="320"/>
        <v>-391</v>
      </c>
      <c r="AM77" s="31">
        <f t="shared" ref="AM77:AO77" si="321">AM75-AM119</f>
        <v>0</v>
      </c>
      <c r="AN77" s="31">
        <f t="shared" si="321"/>
        <v>0</v>
      </c>
      <c r="AO77" s="31">
        <f t="shared" si="321"/>
        <v>0</v>
      </c>
      <c r="AP77" s="31">
        <f>AP75-AP120</f>
        <v>0</v>
      </c>
      <c r="AQ77" s="31">
        <f t="shared" ref="AQ77:AU77" si="322">AQ75-AQ120</f>
        <v>0</v>
      </c>
      <c r="AR77" s="31">
        <f t="shared" si="322"/>
        <v>0</v>
      </c>
      <c r="AS77" s="31">
        <f t="shared" si="322"/>
        <v>0</v>
      </c>
      <c r="AT77" s="31">
        <f t="shared" si="322"/>
        <v>0</v>
      </c>
      <c r="AU77" s="31">
        <f t="shared" si="322"/>
        <v>0</v>
      </c>
      <c r="AV77" s="31">
        <f t="shared" ref="AV77" si="323">AV75-AV120</f>
        <v>0</v>
      </c>
      <c r="AW77" s="24"/>
      <c r="AX77"/>
      <c r="AY77" s="31">
        <f>AY75-AY119</f>
        <v>0</v>
      </c>
    </row>
    <row r="78" spans="2:51" s="17" customFormat="1" ht="13.5" customHeight="1"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24"/>
      <c r="AX78"/>
      <c r="AY78" s="19"/>
    </row>
    <row r="79" spans="2:51" ht="13.5" customHeight="1">
      <c r="B79" s="4" t="s">
        <v>324</v>
      </c>
      <c r="C79" s="62">
        <f>C58</f>
        <v>42735</v>
      </c>
      <c r="D79" s="62">
        <f t="shared" ref="D79:W79" si="324">D58</f>
        <v>43100</v>
      </c>
      <c r="E79" s="62">
        <f t="shared" si="324"/>
        <v>43465</v>
      </c>
      <c r="F79" s="62">
        <f t="shared" si="324"/>
        <v>43830</v>
      </c>
      <c r="G79" s="62">
        <f t="shared" ref="G79:H79" si="325">G58</f>
        <v>44196</v>
      </c>
      <c r="H79" s="62">
        <f t="shared" si="325"/>
        <v>44561</v>
      </c>
      <c r="I79" s="62">
        <f t="shared" ref="I79:J79" si="326">I58</f>
        <v>44926</v>
      </c>
      <c r="J79" s="62">
        <f t="shared" si="326"/>
        <v>45291</v>
      </c>
      <c r="K79" s="62">
        <f t="shared" ref="K79:L79" si="327">K58</f>
        <v>45657</v>
      </c>
      <c r="L79" s="62">
        <f t="shared" si="327"/>
        <v>46022</v>
      </c>
      <c r="M79" s="62">
        <f t="shared" ref="M79" si="328">M58</f>
        <v>46203</v>
      </c>
      <c r="N79" s="193"/>
      <c r="O79" s="62">
        <f t="shared" si="324"/>
        <v>43190</v>
      </c>
      <c r="P79" s="62">
        <f t="shared" si="324"/>
        <v>43281</v>
      </c>
      <c r="Q79" s="62">
        <f t="shared" si="324"/>
        <v>43373</v>
      </c>
      <c r="R79" s="62">
        <f t="shared" si="324"/>
        <v>43465</v>
      </c>
      <c r="S79" s="62">
        <f t="shared" si="324"/>
        <v>43555</v>
      </c>
      <c r="T79" s="62">
        <f t="shared" si="324"/>
        <v>43646</v>
      </c>
      <c r="U79" s="62">
        <f t="shared" si="324"/>
        <v>43738</v>
      </c>
      <c r="V79" s="62">
        <f t="shared" si="324"/>
        <v>43830</v>
      </c>
      <c r="W79" s="62">
        <f t="shared" si="324"/>
        <v>43921</v>
      </c>
      <c r="X79" s="62">
        <f t="shared" ref="X79:AB79" si="329">X58</f>
        <v>44012</v>
      </c>
      <c r="Y79" s="62">
        <f t="shared" si="329"/>
        <v>44104</v>
      </c>
      <c r="Z79" s="62">
        <f t="shared" si="329"/>
        <v>44196</v>
      </c>
      <c r="AA79" s="62">
        <f t="shared" si="329"/>
        <v>44286</v>
      </c>
      <c r="AB79" s="62">
        <f t="shared" si="329"/>
        <v>44348</v>
      </c>
      <c r="AC79" s="62">
        <f t="shared" ref="AC79" si="330">AC58</f>
        <v>44469</v>
      </c>
      <c r="AD79" s="62">
        <f>AD58</f>
        <v>44561</v>
      </c>
      <c r="AE79" s="62">
        <f t="shared" ref="AE79:AG79" si="331">AE58</f>
        <v>44651</v>
      </c>
      <c r="AF79" s="62">
        <f t="shared" si="331"/>
        <v>44742</v>
      </c>
      <c r="AG79" s="62">
        <f t="shared" si="331"/>
        <v>44834</v>
      </c>
      <c r="AH79" s="62">
        <f>AH58</f>
        <v>44926</v>
      </c>
      <c r="AI79" s="62">
        <f t="shared" ref="AI79:AK79" si="332">AI58</f>
        <v>45016</v>
      </c>
      <c r="AJ79" s="62">
        <f t="shared" si="332"/>
        <v>45107</v>
      </c>
      <c r="AK79" s="62">
        <f t="shared" si="332"/>
        <v>45199</v>
      </c>
      <c r="AL79" s="62">
        <f>AL58</f>
        <v>45291</v>
      </c>
      <c r="AM79" s="62">
        <f t="shared" ref="AM79:AO79" si="333">AM58</f>
        <v>45382</v>
      </c>
      <c r="AN79" s="62">
        <f t="shared" si="333"/>
        <v>45473</v>
      </c>
      <c r="AO79" s="62">
        <f t="shared" si="333"/>
        <v>45565</v>
      </c>
      <c r="AP79" s="62">
        <f>AP58</f>
        <v>45657</v>
      </c>
      <c r="AQ79" s="62">
        <f t="shared" ref="AQ79:AS79" si="334">AQ58</f>
        <v>45747</v>
      </c>
      <c r="AR79" s="62">
        <f t="shared" si="334"/>
        <v>45838</v>
      </c>
      <c r="AS79" s="62">
        <f t="shared" si="334"/>
        <v>45930</v>
      </c>
      <c r="AT79" s="62">
        <f>AT58</f>
        <v>46022</v>
      </c>
      <c r="AU79" s="62">
        <f>AU58</f>
        <v>46112</v>
      </c>
      <c r="AV79" s="62">
        <f t="shared" ref="AV79" si="335">AV58</f>
        <v>46203</v>
      </c>
      <c r="AW79" s="193"/>
      <c r="AY79" s="62">
        <f t="shared" ref="AY79" si="336">AY58</f>
        <v>44104</v>
      </c>
    </row>
    <row r="80" spans="2:51" ht="13.5" customHeight="1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Y80" s="12"/>
    </row>
    <row r="81" spans="2:51" ht="13.5" customHeight="1">
      <c r="B81" s="1" t="s">
        <v>325</v>
      </c>
      <c r="C81" s="12">
        <f t="shared" ref="C81:M81" si="337">C10</f>
        <v>165262</v>
      </c>
      <c r="D81" s="12">
        <f t="shared" si="337"/>
        <v>158933</v>
      </c>
      <c r="E81" s="12">
        <f t="shared" si="337"/>
        <v>162914</v>
      </c>
      <c r="F81" s="12">
        <f t="shared" si="337"/>
        <v>169187</v>
      </c>
      <c r="G81" s="12">
        <f t="shared" si="337"/>
        <v>181004</v>
      </c>
      <c r="H81" s="12">
        <f t="shared" si="337"/>
        <v>192186</v>
      </c>
      <c r="I81" s="12">
        <f t="shared" si="337"/>
        <v>204362</v>
      </c>
      <c r="J81" s="12">
        <f t="shared" si="337"/>
        <v>210953</v>
      </c>
      <c r="K81" s="12">
        <f t="shared" si="337"/>
        <v>216833</v>
      </c>
      <c r="L81" s="12">
        <f t="shared" si="337"/>
        <v>218388</v>
      </c>
      <c r="M81" s="12">
        <f t="shared" si="337"/>
        <v>220820</v>
      </c>
      <c r="N81" s="12"/>
      <c r="O81" s="63"/>
      <c r="P81" s="63"/>
      <c r="Q81" s="63"/>
      <c r="R81" s="12">
        <f t="shared" ref="R81:AV81" si="338">SUM(O10:R10)</f>
        <v>162914</v>
      </c>
      <c r="S81" s="12">
        <f t="shared" si="338"/>
        <v>163025</v>
      </c>
      <c r="T81" s="12">
        <f t="shared" si="338"/>
        <v>162659</v>
      </c>
      <c r="U81" s="12">
        <f t="shared" si="338"/>
        <v>164699</v>
      </c>
      <c r="V81" s="12">
        <f t="shared" si="338"/>
        <v>169187</v>
      </c>
      <c r="W81" s="12">
        <f t="shared" si="338"/>
        <v>172215</v>
      </c>
      <c r="X81" s="12">
        <f t="shared" si="338"/>
        <v>173938</v>
      </c>
      <c r="Y81" s="12">
        <f t="shared" si="338"/>
        <v>177973</v>
      </c>
      <c r="Z81" s="12">
        <f t="shared" si="338"/>
        <v>181004</v>
      </c>
      <c r="AA81" s="12">
        <f t="shared" si="338"/>
        <v>185282</v>
      </c>
      <c r="AB81" s="12">
        <f t="shared" si="338"/>
        <v>189892</v>
      </c>
      <c r="AC81" s="12">
        <f t="shared" si="338"/>
        <v>191638</v>
      </c>
      <c r="AD81" s="12">
        <f t="shared" si="338"/>
        <v>192186</v>
      </c>
      <c r="AE81" s="12">
        <f t="shared" si="338"/>
        <v>194087</v>
      </c>
      <c r="AF81" s="12">
        <f t="shared" si="338"/>
        <v>197350</v>
      </c>
      <c r="AG81" s="12">
        <f t="shared" si="338"/>
        <v>200464</v>
      </c>
      <c r="AH81" s="12">
        <f t="shared" si="338"/>
        <v>204362</v>
      </c>
      <c r="AI81" s="12">
        <f t="shared" si="338"/>
        <v>206899</v>
      </c>
      <c r="AJ81" s="12">
        <f t="shared" si="338"/>
        <v>207613</v>
      </c>
      <c r="AK81" s="12">
        <f t="shared" si="338"/>
        <v>208584</v>
      </c>
      <c r="AL81" s="12">
        <f t="shared" si="338"/>
        <v>210953</v>
      </c>
      <c r="AM81" s="12">
        <f t="shared" si="338"/>
        <v>212815</v>
      </c>
      <c r="AN81" s="12">
        <f t="shared" si="338"/>
        <v>214498</v>
      </c>
      <c r="AO81" s="12">
        <f t="shared" si="338"/>
        <v>215539</v>
      </c>
      <c r="AP81" s="12">
        <f t="shared" si="338"/>
        <v>216833</v>
      </c>
      <c r="AQ81" s="12">
        <f t="shared" si="338"/>
        <v>217886</v>
      </c>
      <c r="AR81" s="12">
        <f t="shared" si="338"/>
        <v>218824</v>
      </c>
      <c r="AS81" s="12">
        <f t="shared" si="338"/>
        <v>219174</v>
      </c>
      <c r="AT81" s="12">
        <f t="shared" si="338"/>
        <v>218388</v>
      </c>
      <c r="AU81" s="12">
        <f>SUM(AR10:AU10)</f>
        <v>219624</v>
      </c>
      <c r="AV81" s="12">
        <f t="shared" si="338"/>
        <v>220820</v>
      </c>
      <c r="AW81" s="12"/>
      <c r="AY81" s="12">
        <f>SUM(V10:X10,AY10)</f>
        <v>177973</v>
      </c>
    </row>
    <row r="82" spans="2:51" ht="13.5" customHeight="1">
      <c r="B82" s="1" t="s">
        <v>326</v>
      </c>
      <c r="C82" s="12">
        <f t="shared" ref="C82:M82" si="339">+C18</f>
        <v>24703</v>
      </c>
      <c r="D82" s="12">
        <f t="shared" si="339"/>
        <v>9511</v>
      </c>
      <c r="E82" s="12">
        <f t="shared" si="339"/>
        <v>13773</v>
      </c>
      <c r="F82" s="12">
        <f t="shared" si="339"/>
        <v>39401</v>
      </c>
      <c r="G82" s="12">
        <f t="shared" si="339"/>
        <v>36182</v>
      </c>
      <c r="H82" s="12">
        <f t="shared" si="339"/>
        <v>40871</v>
      </c>
      <c r="I82" s="12">
        <f t="shared" si="339"/>
        <v>-5065</v>
      </c>
      <c r="J82" s="12">
        <f t="shared" si="339"/>
        <v>40694</v>
      </c>
      <c r="K82" s="12">
        <f t="shared" si="339"/>
        <v>50487</v>
      </c>
      <c r="L82" s="12">
        <f t="shared" si="339"/>
        <v>50348</v>
      </c>
      <c r="M82" s="12">
        <f t="shared" si="339"/>
        <v>48924</v>
      </c>
      <c r="N82" s="12"/>
      <c r="O82" s="63"/>
      <c r="P82" s="63"/>
      <c r="Q82" s="63"/>
      <c r="R82" s="12">
        <f t="shared" ref="R82:AV82" si="340">SUM(O18:R18)</f>
        <v>13773</v>
      </c>
      <c r="S82" s="12">
        <f t="shared" si="340"/>
        <v>17132</v>
      </c>
      <c r="T82" s="12">
        <f t="shared" si="340"/>
        <v>19276</v>
      </c>
      <c r="U82" s="12">
        <f t="shared" si="340"/>
        <v>20955</v>
      </c>
      <c r="V82" s="12">
        <f t="shared" si="340"/>
        <v>39401</v>
      </c>
      <c r="W82" s="12">
        <f t="shared" si="340"/>
        <v>40214</v>
      </c>
      <c r="X82" s="12">
        <f t="shared" si="340"/>
        <v>40946</v>
      </c>
      <c r="Y82" s="12">
        <f t="shared" si="340"/>
        <v>44410</v>
      </c>
      <c r="Z82" s="12">
        <f t="shared" si="340"/>
        <v>36182</v>
      </c>
      <c r="AA82" s="12">
        <f t="shared" si="340"/>
        <v>35240</v>
      </c>
      <c r="AB82" s="12">
        <f t="shared" si="340"/>
        <v>33890</v>
      </c>
      <c r="AC82" s="12">
        <f t="shared" si="340"/>
        <v>33283</v>
      </c>
      <c r="AD82" s="12">
        <f t="shared" si="340"/>
        <v>40871</v>
      </c>
      <c r="AE82" s="12">
        <f t="shared" si="340"/>
        <v>38827</v>
      </c>
      <c r="AF82" s="12">
        <f t="shared" si="340"/>
        <v>24939</v>
      </c>
      <c r="AG82" s="12">
        <f t="shared" si="340"/>
        <v>26189</v>
      </c>
      <c r="AH82" s="12">
        <f t="shared" si="340"/>
        <v>-5065</v>
      </c>
      <c r="AI82" s="12">
        <f t="shared" si="340"/>
        <v>-533</v>
      </c>
      <c r="AJ82" s="12">
        <f t="shared" si="340"/>
        <v>16941</v>
      </c>
      <c r="AK82" s="12">
        <f t="shared" si="340"/>
        <v>18536</v>
      </c>
      <c r="AL82" s="12">
        <f t="shared" si="340"/>
        <v>40694</v>
      </c>
      <c r="AM82" s="12">
        <f t="shared" si="340"/>
        <v>43633</v>
      </c>
      <c r="AN82" s="12">
        <f t="shared" si="340"/>
        <v>43113</v>
      </c>
      <c r="AO82" s="12">
        <f t="shared" si="340"/>
        <v>42780</v>
      </c>
      <c r="AP82" s="12">
        <f t="shared" si="340"/>
        <v>50487</v>
      </c>
      <c r="AQ82" s="12">
        <f t="shared" si="340"/>
        <v>49612</v>
      </c>
      <c r="AR82" s="12">
        <f t="shared" si="340"/>
        <v>50916</v>
      </c>
      <c r="AS82" s="12">
        <f t="shared" si="340"/>
        <v>48530</v>
      </c>
      <c r="AT82" s="12">
        <f t="shared" si="340"/>
        <v>50348</v>
      </c>
      <c r="AU82" s="12">
        <f>SUM(AR18:AU18)</f>
        <v>49381</v>
      </c>
      <c r="AV82" s="12">
        <f t="shared" si="340"/>
        <v>48924</v>
      </c>
      <c r="AW82" s="12"/>
      <c r="AY82" s="12">
        <f>SUM(V18:X18,AY18)</f>
        <v>44410</v>
      </c>
    </row>
    <row r="83" spans="2:51" ht="13.5" customHeight="1">
      <c r="B83" s="1" t="s">
        <v>327</v>
      </c>
      <c r="C83" s="12">
        <f t="shared" ref="C83:M83" si="341">+C46</f>
        <v>59158</v>
      </c>
      <c r="D83" s="12">
        <f t="shared" si="341"/>
        <v>61426</v>
      </c>
      <c r="E83" s="12">
        <f t="shared" si="341"/>
        <v>61013</v>
      </c>
      <c r="F83" s="12">
        <f t="shared" si="341"/>
        <v>79057</v>
      </c>
      <c r="G83" s="12">
        <f t="shared" si="341"/>
        <v>83662</v>
      </c>
      <c r="H83" s="12">
        <f t="shared" si="341"/>
        <v>93040</v>
      </c>
      <c r="I83" s="12">
        <f t="shared" si="341"/>
        <v>93649</v>
      </c>
      <c r="J83" s="12">
        <f t="shared" si="341"/>
        <v>99156</v>
      </c>
      <c r="K83" s="12">
        <f t="shared" si="341"/>
        <v>106475</v>
      </c>
      <c r="L83" s="12">
        <f t="shared" si="341"/>
        <v>109835</v>
      </c>
      <c r="M83" s="12">
        <f t="shared" si="341"/>
        <v>110921</v>
      </c>
      <c r="N83" s="12"/>
      <c r="O83" s="63"/>
      <c r="P83" s="63"/>
      <c r="Q83" s="63"/>
      <c r="R83" s="12" t="e">
        <f t="shared" ref="R83:AV83" si="342">SUM(O46:R46)</f>
        <v>#REF!</v>
      </c>
      <c r="S83" s="12" t="e">
        <f t="shared" si="342"/>
        <v>#REF!</v>
      </c>
      <c r="T83" s="12" t="e">
        <f t="shared" si="342"/>
        <v>#REF!</v>
      </c>
      <c r="U83" s="12" t="e">
        <f t="shared" si="342"/>
        <v>#REF!</v>
      </c>
      <c r="V83" s="12">
        <f t="shared" si="342"/>
        <v>79057</v>
      </c>
      <c r="W83" s="12">
        <f t="shared" si="342"/>
        <v>80810</v>
      </c>
      <c r="X83" s="12">
        <f t="shared" si="342"/>
        <v>82596</v>
      </c>
      <c r="Y83" s="12">
        <f t="shared" si="342"/>
        <v>87040</v>
      </c>
      <c r="Z83" s="12">
        <f t="shared" si="342"/>
        <v>83662</v>
      </c>
      <c r="AA83" s="12">
        <f t="shared" si="342"/>
        <v>84155</v>
      </c>
      <c r="AB83" s="12">
        <f t="shared" si="342"/>
        <v>84827</v>
      </c>
      <c r="AC83" s="12">
        <f t="shared" si="342"/>
        <v>86369</v>
      </c>
      <c r="AD83" s="12">
        <f t="shared" si="342"/>
        <v>93040</v>
      </c>
      <c r="AE83" s="12">
        <f t="shared" si="342"/>
        <v>91839</v>
      </c>
      <c r="AF83" s="12">
        <f t="shared" si="342"/>
        <v>93469</v>
      </c>
      <c r="AG83" s="12">
        <f t="shared" si="342"/>
        <v>93941</v>
      </c>
      <c r="AH83" s="12">
        <f t="shared" si="342"/>
        <v>93649</v>
      </c>
      <c r="AI83" s="12">
        <f t="shared" si="342"/>
        <v>97305</v>
      </c>
      <c r="AJ83" s="12">
        <f t="shared" si="342"/>
        <v>98899</v>
      </c>
      <c r="AK83" s="12">
        <f t="shared" si="342"/>
        <v>100527</v>
      </c>
      <c r="AL83" s="12">
        <f t="shared" si="342"/>
        <v>99156</v>
      </c>
      <c r="AM83" s="12">
        <f t="shared" si="342"/>
        <v>102049</v>
      </c>
      <c r="AN83" s="12">
        <f t="shared" si="342"/>
        <v>101897</v>
      </c>
      <c r="AO83" s="12">
        <f t="shared" si="342"/>
        <v>102351</v>
      </c>
      <c r="AP83" s="12">
        <f t="shared" si="342"/>
        <v>106475</v>
      </c>
      <c r="AQ83" s="12">
        <f t="shared" si="342"/>
        <v>106959</v>
      </c>
      <c r="AR83" s="12">
        <f t="shared" si="342"/>
        <v>108666</v>
      </c>
      <c r="AS83" s="12">
        <f t="shared" si="342"/>
        <v>109176</v>
      </c>
      <c r="AT83" s="12">
        <f t="shared" si="342"/>
        <v>109835</v>
      </c>
      <c r="AU83" s="12">
        <f>SUM(AR46:AU46)</f>
        <v>110147</v>
      </c>
      <c r="AV83" s="12">
        <f t="shared" si="342"/>
        <v>110921</v>
      </c>
      <c r="AW83" s="12"/>
      <c r="AY83" s="12">
        <f>SUM(V46:X46,AY46)</f>
        <v>87040</v>
      </c>
    </row>
    <row r="84" spans="2:51" s="2" customFormat="1" ht="13.5" customHeight="1">
      <c r="B84" s="1" t="s">
        <v>328</v>
      </c>
      <c r="C84" s="12">
        <f t="shared" ref="C84:M84" si="343">+C51</f>
        <v>54529</v>
      </c>
      <c r="D84" s="12">
        <f t="shared" si="343"/>
        <v>59158</v>
      </c>
      <c r="E84" s="12">
        <f t="shared" si="343"/>
        <v>56706</v>
      </c>
      <c r="F84" s="12">
        <f t="shared" si="343"/>
        <v>78525</v>
      </c>
      <c r="G84" s="12">
        <f t="shared" si="343"/>
        <v>84774</v>
      </c>
      <c r="H84" s="12">
        <f t="shared" si="343"/>
        <v>96169</v>
      </c>
      <c r="I84" s="12">
        <f t="shared" si="343"/>
        <v>100262</v>
      </c>
      <c r="J84" s="12">
        <f t="shared" si="343"/>
        <v>104297</v>
      </c>
      <c r="K84" s="12">
        <f t="shared" si="343"/>
        <v>108515</v>
      </c>
      <c r="L84" s="12">
        <f t="shared" si="343"/>
        <v>111231</v>
      </c>
      <c r="M84" s="12">
        <f t="shared" si="343"/>
        <v>111749</v>
      </c>
      <c r="N84" s="12"/>
      <c r="O84" s="63"/>
      <c r="P84" s="63"/>
      <c r="Q84" s="63"/>
      <c r="R84" s="12">
        <f t="shared" ref="R84:AV84" si="344">SUM(O51:R51)</f>
        <v>56706</v>
      </c>
      <c r="S84" s="12">
        <f t="shared" si="344"/>
        <v>61588</v>
      </c>
      <c r="T84" s="12">
        <f t="shared" si="344"/>
        <v>66283</v>
      </c>
      <c r="U84" s="12">
        <f t="shared" si="344"/>
        <v>69476</v>
      </c>
      <c r="V84" s="12">
        <f t="shared" si="344"/>
        <v>78525</v>
      </c>
      <c r="W84" s="12">
        <f t="shared" si="344"/>
        <v>80023</v>
      </c>
      <c r="X84" s="12">
        <f t="shared" si="344"/>
        <v>81929</v>
      </c>
      <c r="Y84" s="12">
        <f t="shared" si="344"/>
        <v>86427</v>
      </c>
      <c r="Z84" s="12">
        <f t="shared" si="344"/>
        <v>84774</v>
      </c>
      <c r="AA84" s="12">
        <f t="shared" si="344"/>
        <v>86572</v>
      </c>
      <c r="AB84" s="12">
        <f t="shared" si="344"/>
        <v>88387</v>
      </c>
      <c r="AC84" s="12">
        <f t="shared" si="344"/>
        <v>90521</v>
      </c>
      <c r="AD84" s="12">
        <f t="shared" si="344"/>
        <v>96169</v>
      </c>
      <c r="AE84" s="12">
        <f t="shared" si="344"/>
        <v>94004</v>
      </c>
      <c r="AF84" s="12">
        <f t="shared" si="344"/>
        <v>94578</v>
      </c>
      <c r="AG84" s="12">
        <f t="shared" si="344"/>
        <v>94695</v>
      </c>
      <c r="AH84" s="12">
        <f t="shared" si="344"/>
        <v>100262</v>
      </c>
      <c r="AI84" s="12">
        <f t="shared" si="344"/>
        <v>105376</v>
      </c>
      <c r="AJ84" s="12">
        <f t="shared" si="344"/>
        <v>107654</v>
      </c>
      <c r="AK84" s="12">
        <f t="shared" si="344"/>
        <v>109284</v>
      </c>
      <c r="AL84" s="12">
        <f t="shared" si="344"/>
        <v>104297</v>
      </c>
      <c r="AM84" s="12">
        <f t="shared" si="344"/>
        <v>105591</v>
      </c>
      <c r="AN84" s="12">
        <f t="shared" si="344"/>
        <v>106105</v>
      </c>
      <c r="AO84" s="12">
        <f t="shared" si="344"/>
        <v>106651</v>
      </c>
      <c r="AP84" s="12">
        <f t="shared" si="344"/>
        <v>108515</v>
      </c>
      <c r="AQ84" s="12">
        <f t="shared" si="344"/>
        <v>109065</v>
      </c>
      <c r="AR84" s="12">
        <f t="shared" si="344"/>
        <v>110111</v>
      </c>
      <c r="AS84" s="12">
        <f t="shared" si="344"/>
        <v>110642</v>
      </c>
      <c r="AT84" s="12">
        <f t="shared" si="344"/>
        <v>111231</v>
      </c>
      <c r="AU84" s="12">
        <f>SUM(AR51:AU51)</f>
        <v>111654</v>
      </c>
      <c r="AV84" s="12">
        <f t="shared" si="344"/>
        <v>111749</v>
      </c>
      <c r="AW84" s="12"/>
      <c r="AY84" s="12">
        <f>SUM(V51:X51,AY51)</f>
        <v>86427</v>
      </c>
    </row>
    <row r="85" spans="2:51" ht="13.5" customHeight="1">
      <c r="B85" s="1" t="s">
        <v>310</v>
      </c>
      <c r="C85" s="12">
        <f>-C62</f>
        <v>6512</v>
      </c>
      <c r="D85" s="12">
        <f t="shared" ref="D85:F85" si="345">-D62</f>
        <v>7076</v>
      </c>
      <c r="E85" s="12">
        <f t="shared" si="345"/>
        <v>6614</v>
      </c>
      <c r="F85" s="12">
        <f t="shared" si="345"/>
        <v>7143</v>
      </c>
      <c r="G85" s="12">
        <f t="shared" ref="G85:H85" si="346">-G62</f>
        <v>8348</v>
      </c>
      <c r="H85" s="12">
        <f t="shared" si="346"/>
        <v>8922</v>
      </c>
      <c r="I85" s="12">
        <f t="shared" ref="I85" si="347">-I62</f>
        <v>9013</v>
      </c>
      <c r="J85" s="12">
        <f t="shared" ref="J85:K85" si="348">-J62</f>
        <v>9715</v>
      </c>
      <c r="K85" s="12">
        <f t="shared" si="348"/>
        <v>10740</v>
      </c>
      <c r="L85" s="12">
        <f t="shared" ref="L85" si="349">-L62</f>
        <v>13233</v>
      </c>
      <c r="M85" s="12">
        <f t="shared" ref="M85" si="350">-M62</f>
        <v>13113</v>
      </c>
      <c r="N85" s="12"/>
      <c r="O85" s="63"/>
      <c r="P85" s="63"/>
      <c r="Q85" s="63"/>
      <c r="R85" s="12">
        <f t="shared" ref="R85:AC85" si="351">-SUM(O62:R62)</f>
        <v>6614</v>
      </c>
      <c r="S85" s="12">
        <f t="shared" si="351"/>
        <v>6804</v>
      </c>
      <c r="T85" s="12">
        <f t="shared" si="351"/>
        <v>7032</v>
      </c>
      <c r="U85" s="12">
        <f t="shared" si="351"/>
        <v>7064</v>
      </c>
      <c r="V85" s="12">
        <f t="shared" si="351"/>
        <v>7143</v>
      </c>
      <c r="W85" s="12">
        <f t="shared" si="351"/>
        <v>7395</v>
      </c>
      <c r="X85" s="12">
        <f t="shared" si="351"/>
        <v>7700</v>
      </c>
      <c r="Y85" s="12">
        <f>-SUM(V62:Y62)</f>
        <v>10389</v>
      </c>
      <c r="Z85" s="12">
        <f t="shared" si="351"/>
        <v>8348</v>
      </c>
      <c r="AA85" s="12">
        <f t="shared" si="351"/>
        <v>8509</v>
      </c>
      <c r="AB85" s="12">
        <f t="shared" si="351"/>
        <v>8578</v>
      </c>
      <c r="AC85" s="12">
        <f t="shared" si="351"/>
        <v>6487</v>
      </c>
      <c r="AD85" s="12">
        <f>-SUM(AA62:AD62)</f>
        <v>8922</v>
      </c>
      <c r="AE85" s="12">
        <f t="shared" ref="AE85:AF85" si="352">-SUM(AB62:AE62)</f>
        <v>8876</v>
      </c>
      <c r="AF85" s="12">
        <f t="shared" si="352"/>
        <v>9036</v>
      </c>
      <c r="AG85" s="12">
        <f t="shared" ref="AG85" si="353">-SUM(AD62:AG62)</f>
        <v>8875</v>
      </c>
      <c r="AH85" s="12">
        <f>-SUM(AE62:AH62)</f>
        <v>9013</v>
      </c>
      <c r="AI85" s="12">
        <f t="shared" ref="AI85:AV85" si="354">-SUM(AF62:AI62)</f>
        <v>9146</v>
      </c>
      <c r="AJ85" s="12">
        <f t="shared" si="354"/>
        <v>9062</v>
      </c>
      <c r="AK85" s="12">
        <f t="shared" si="354"/>
        <v>9254</v>
      </c>
      <c r="AL85" s="12">
        <f>-SUM(AI62:AL62)</f>
        <v>9715</v>
      </c>
      <c r="AM85" s="12">
        <f t="shared" si="354"/>
        <v>9652</v>
      </c>
      <c r="AN85" s="12">
        <f t="shared" si="354"/>
        <v>10094</v>
      </c>
      <c r="AO85" s="12">
        <f t="shared" si="354"/>
        <v>10169</v>
      </c>
      <c r="AP85" s="12">
        <f t="shared" si="354"/>
        <v>10740</v>
      </c>
      <c r="AQ85" s="12">
        <f t="shared" si="354"/>
        <v>11408</v>
      </c>
      <c r="AR85" s="12">
        <f t="shared" si="354"/>
        <v>12376</v>
      </c>
      <c r="AS85" s="12">
        <f t="shared" si="354"/>
        <v>12885</v>
      </c>
      <c r="AT85" s="12">
        <f t="shared" si="354"/>
        <v>13233</v>
      </c>
      <c r="AU85" s="12">
        <f>-SUM(AR62:AU62)</f>
        <v>13515</v>
      </c>
      <c r="AV85" s="12">
        <f t="shared" si="354"/>
        <v>13113</v>
      </c>
      <c r="AW85" s="12"/>
      <c r="AY85" s="12">
        <f>-SUM(V62:X62,AY62)</f>
        <v>7943</v>
      </c>
    </row>
    <row r="86" spans="2:51" ht="13.5" customHeight="1">
      <c r="B86" s="1" t="s">
        <v>329</v>
      </c>
      <c r="C86" s="12">
        <f t="shared" ref="C86:M86" si="355">+C25</f>
        <v>20162</v>
      </c>
      <c r="D86" s="12">
        <f t="shared" si="355"/>
        <v>13466</v>
      </c>
      <c r="E86" s="12">
        <f t="shared" si="355"/>
        <v>18973</v>
      </c>
      <c r="F86" s="12">
        <f t="shared" si="355"/>
        <v>22786</v>
      </c>
      <c r="G86" s="12">
        <f t="shared" si="355"/>
        <v>24580</v>
      </c>
      <c r="H86" s="12">
        <f t="shared" si="355"/>
        <v>26676</v>
      </c>
      <c r="I86" s="12">
        <f t="shared" si="355"/>
        <v>10735</v>
      </c>
      <c r="J86" s="12">
        <f t="shared" si="355"/>
        <v>26824</v>
      </c>
      <c r="K86" s="12">
        <f t="shared" si="355"/>
        <v>32555</v>
      </c>
      <c r="L86" s="12">
        <f t="shared" si="355"/>
        <v>30218</v>
      </c>
      <c r="M86" s="12">
        <f t="shared" si="355"/>
        <v>28574</v>
      </c>
      <c r="N86" s="12"/>
      <c r="O86" s="63"/>
      <c r="P86" s="63"/>
      <c r="Q86" s="63"/>
      <c r="R86" s="12">
        <f t="shared" ref="R86:AV86" si="356">SUM(O25:R25)</f>
        <v>18973</v>
      </c>
      <c r="S86" s="12">
        <f t="shared" si="356"/>
        <v>18772</v>
      </c>
      <c r="T86" s="12">
        <f t="shared" si="356"/>
        <v>19403</v>
      </c>
      <c r="U86" s="12">
        <f t="shared" si="356"/>
        <v>18683</v>
      </c>
      <c r="V86" s="12">
        <f t="shared" si="356"/>
        <v>22786</v>
      </c>
      <c r="W86" s="12">
        <f t="shared" si="356"/>
        <v>22038</v>
      </c>
      <c r="X86" s="12">
        <f t="shared" si="356"/>
        <v>22974</v>
      </c>
      <c r="Y86" s="12">
        <f t="shared" si="356"/>
        <v>26650</v>
      </c>
      <c r="Z86" s="12">
        <f t="shared" si="356"/>
        <v>24580</v>
      </c>
      <c r="AA86" s="12">
        <f t="shared" si="356"/>
        <v>24479</v>
      </c>
      <c r="AB86" s="12">
        <f t="shared" si="356"/>
        <v>25225</v>
      </c>
      <c r="AC86" s="12">
        <f t="shared" si="356"/>
        <v>23749</v>
      </c>
      <c r="AD86" s="12">
        <f t="shared" si="356"/>
        <v>26797</v>
      </c>
      <c r="AE86" s="12">
        <f t="shared" si="356"/>
        <v>30077</v>
      </c>
      <c r="AF86" s="12">
        <f t="shared" si="356"/>
        <v>30706</v>
      </c>
      <c r="AG86" s="12">
        <f t="shared" si="356"/>
        <v>35501</v>
      </c>
      <c r="AH86" s="12">
        <f t="shared" si="356"/>
        <v>10735</v>
      </c>
      <c r="AI86" s="12">
        <f t="shared" si="356"/>
        <v>10630</v>
      </c>
      <c r="AJ86" s="12">
        <f t="shared" si="356"/>
        <v>12265</v>
      </c>
      <c r="AK86" s="12">
        <f t="shared" si="356"/>
        <v>10960</v>
      </c>
      <c r="AL86" s="12">
        <f t="shared" si="356"/>
        <v>26824</v>
      </c>
      <c r="AM86" s="12">
        <f t="shared" si="356"/>
        <v>27668</v>
      </c>
      <c r="AN86" s="12">
        <f t="shared" si="356"/>
        <v>26834</v>
      </c>
      <c r="AO86" s="12">
        <f t="shared" si="356"/>
        <v>27050</v>
      </c>
      <c r="AP86" s="12">
        <f t="shared" si="356"/>
        <v>32555</v>
      </c>
      <c r="AQ86" s="12">
        <f t="shared" si="356"/>
        <v>31726</v>
      </c>
      <c r="AR86" s="12">
        <f t="shared" si="356"/>
        <v>32216</v>
      </c>
      <c r="AS86" s="12">
        <f t="shared" si="356"/>
        <v>29466</v>
      </c>
      <c r="AT86" s="12">
        <f t="shared" si="356"/>
        <v>30218</v>
      </c>
      <c r="AU86" s="12">
        <f>SUM(AR25:AU25)</f>
        <v>30072</v>
      </c>
      <c r="AV86" s="12">
        <f t="shared" si="356"/>
        <v>28574</v>
      </c>
      <c r="AW86" s="12"/>
      <c r="AY86" s="12">
        <f>SUM(V25:X25,AY25)</f>
        <v>26650</v>
      </c>
    </row>
    <row r="87" spans="2:51" ht="13.5" customHeight="1">
      <c r="B87" s="1" t="s">
        <v>330</v>
      </c>
      <c r="C87" s="12">
        <f>-C64</f>
        <v>40936</v>
      </c>
      <c r="D87" s="12">
        <f t="shared" ref="D87:F87" si="357">-D64</f>
        <v>36948</v>
      </c>
      <c r="E87" s="12">
        <f t="shared" si="357"/>
        <v>48426</v>
      </c>
      <c r="F87" s="12">
        <f t="shared" si="357"/>
        <v>89477</v>
      </c>
      <c r="G87" s="12">
        <f t="shared" ref="G87:H87" si="358">-G64</f>
        <v>77949</v>
      </c>
      <c r="H87" s="12">
        <f t="shared" si="358"/>
        <v>102760</v>
      </c>
      <c r="I87" s="12">
        <f t="shared" ref="I87" si="359">-I64</f>
        <v>34718</v>
      </c>
      <c r="J87" s="12">
        <f t="shared" ref="J87:K87" si="360">-J64</f>
        <v>54464</v>
      </c>
      <c r="K87" s="12">
        <f t="shared" si="360"/>
        <v>63430</v>
      </c>
      <c r="L87" s="12">
        <f t="shared" ref="L87" si="361">-L64</f>
        <v>61644</v>
      </c>
      <c r="M87" s="12">
        <f t="shared" ref="M87" si="362">-M64</f>
        <v>51971</v>
      </c>
      <c r="N87" s="12"/>
      <c r="O87" s="63"/>
      <c r="P87" s="63"/>
      <c r="Q87" s="63"/>
      <c r="R87" s="12">
        <f t="shared" ref="R87:AC87" si="363">-SUM(O64:R64)</f>
        <v>48426</v>
      </c>
      <c r="S87" s="12">
        <f t="shared" si="363"/>
        <v>54405</v>
      </c>
      <c r="T87" s="12">
        <f t="shared" si="363"/>
        <v>57363</v>
      </c>
      <c r="U87" s="12">
        <f t="shared" si="363"/>
        <v>69203</v>
      </c>
      <c r="V87" s="12">
        <f t="shared" si="363"/>
        <v>89477</v>
      </c>
      <c r="W87" s="12">
        <f t="shared" si="363"/>
        <v>87617</v>
      </c>
      <c r="X87" s="12">
        <f t="shared" si="363"/>
        <v>89579</v>
      </c>
      <c r="Y87" s="12">
        <f>-SUM(V64:Y64)</f>
        <v>88694</v>
      </c>
      <c r="Z87" s="12">
        <f t="shared" si="363"/>
        <v>77949</v>
      </c>
      <c r="AA87" s="12">
        <f t="shared" si="363"/>
        <v>80891</v>
      </c>
      <c r="AB87" s="12">
        <f t="shared" si="363"/>
        <v>91369</v>
      </c>
      <c r="AC87" s="12">
        <f t="shared" si="363"/>
        <v>101128</v>
      </c>
      <c r="AD87" s="12">
        <f>-SUM(AA64:AD64)</f>
        <v>102760</v>
      </c>
      <c r="AE87" s="12">
        <f t="shared" ref="AE87:AF87" si="364">-SUM(AB64:AE64)</f>
        <v>105172</v>
      </c>
      <c r="AF87" s="12">
        <f t="shared" si="364"/>
        <v>57909</v>
      </c>
      <c r="AG87" s="12">
        <f t="shared" ref="AG87" si="365">-SUM(AD64:AG64)</f>
        <v>44082</v>
      </c>
      <c r="AH87" s="12">
        <f>-SUM(AE64:AH64)</f>
        <v>34718</v>
      </c>
      <c r="AI87" s="12">
        <f t="shared" ref="AI87:AV87" si="366">-SUM(AF64:AI64)</f>
        <v>28058</v>
      </c>
      <c r="AJ87" s="12">
        <f t="shared" si="366"/>
        <v>72031</v>
      </c>
      <c r="AK87" s="12">
        <f t="shared" si="366"/>
        <v>62579</v>
      </c>
      <c r="AL87" s="12">
        <f>-SUM(AI64:AL64)</f>
        <v>54464</v>
      </c>
      <c r="AM87" s="12">
        <f t="shared" si="366"/>
        <v>55903</v>
      </c>
      <c r="AN87" s="12">
        <f t="shared" si="366"/>
        <v>43313</v>
      </c>
      <c r="AO87" s="12">
        <f t="shared" si="366"/>
        <v>47096</v>
      </c>
      <c r="AP87" s="12">
        <f t="shared" si="366"/>
        <v>63430</v>
      </c>
      <c r="AQ87" s="12">
        <f t="shared" si="366"/>
        <v>62333</v>
      </c>
      <c r="AR87" s="12">
        <f t="shared" si="366"/>
        <v>60725</v>
      </c>
      <c r="AS87" s="12">
        <f t="shared" si="366"/>
        <v>69244</v>
      </c>
      <c r="AT87" s="12">
        <f t="shared" si="366"/>
        <v>61644</v>
      </c>
      <c r="AU87" s="12">
        <f>-SUM(AR64:AU64)</f>
        <v>57572</v>
      </c>
      <c r="AV87" s="12">
        <f t="shared" si="366"/>
        <v>51971</v>
      </c>
      <c r="AW87" s="12"/>
      <c r="AY87" s="12">
        <f>-SUM(V64:X64,AY64)</f>
        <v>91506</v>
      </c>
    </row>
    <row r="88" spans="2:51" ht="13.5" customHeight="1">
      <c r="B88" s="1" t="s">
        <v>314</v>
      </c>
      <c r="C88" s="12">
        <f>+C66</f>
        <v>-22058</v>
      </c>
      <c r="D88" s="12">
        <f t="shared" ref="D88:F88" si="367">+D66</f>
        <v>5896</v>
      </c>
      <c r="E88" s="12">
        <f t="shared" si="367"/>
        <v>471</v>
      </c>
      <c r="F88" s="12">
        <f t="shared" si="367"/>
        <v>-35934</v>
      </c>
      <c r="G88" s="12">
        <f t="shared" ref="G88:H88" si="368">+G66</f>
        <v>49</v>
      </c>
      <c r="H88" s="12">
        <f t="shared" si="368"/>
        <v>-31325</v>
      </c>
      <c r="I88" s="12">
        <f t="shared" ref="I88" si="369">+I66</f>
        <v>30304</v>
      </c>
      <c r="J88" s="12">
        <f t="shared" ref="J88:K88" si="370">+J66</f>
        <v>18521</v>
      </c>
      <c r="K88" s="12">
        <f t="shared" si="370"/>
        <v>-2821</v>
      </c>
      <c r="L88" s="12">
        <f t="shared" ref="L88" si="371">+L66</f>
        <v>15799</v>
      </c>
      <c r="M88" s="12">
        <f t="shared" ref="M88" si="372">+M66</f>
        <v>23902</v>
      </c>
      <c r="N88" s="12"/>
      <c r="O88" s="63"/>
      <c r="P88" s="63"/>
      <c r="Q88" s="63"/>
      <c r="R88" s="12">
        <f t="shared" ref="R88:AC88" si="373">SUM(O66:R66)</f>
        <v>471</v>
      </c>
      <c r="S88" s="12">
        <f t="shared" si="373"/>
        <v>-6002</v>
      </c>
      <c r="T88" s="12">
        <f t="shared" si="373"/>
        <v>-12305</v>
      </c>
      <c r="U88" s="12">
        <f t="shared" si="373"/>
        <v>-976</v>
      </c>
      <c r="V88" s="12">
        <f t="shared" si="373"/>
        <v>-35934</v>
      </c>
      <c r="W88" s="12">
        <f t="shared" si="373"/>
        <v>-33978</v>
      </c>
      <c r="X88" s="12">
        <f t="shared" si="373"/>
        <v>-40660</v>
      </c>
      <c r="Y88" s="12">
        <f>SUM(V66:Y66)</f>
        <v>-35982</v>
      </c>
      <c r="Z88" s="12">
        <f t="shared" si="373"/>
        <v>49</v>
      </c>
      <c r="AA88" s="12">
        <f t="shared" si="373"/>
        <v>-2397</v>
      </c>
      <c r="AB88" s="12">
        <f t="shared" si="373"/>
        <v>-4106</v>
      </c>
      <c r="AC88" s="12">
        <f t="shared" si="373"/>
        <v>-14966</v>
      </c>
      <c r="AD88" s="12">
        <f>SUM(AA66:AD66)</f>
        <v>-31325</v>
      </c>
      <c r="AE88" s="12">
        <f t="shared" ref="AE88:AV88" si="374">SUM(AB66:AE66)</f>
        <v>-30657</v>
      </c>
      <c r="AF88" s="12">
        <f t="shared" si="374"/>
        <v>7371</v>
      </c>
      <c r="AG88" s="12">
        <f t="shared" si="374"/>
        <v>13243</v>
      </c>
      <c r="AH88" s="12">
        <f>SUM(AE66:AH66)</f>
        <v>30304</v>
      </c>
      <c r="AI88" s="12">
        <f t="shared" si="374"/>
        <v>46187</v>
      </c>
      <c r="AJ88" s="12">
        <f t="shared" si="374"/>
        <v>2937</v>
      </c>
      <c r="AK88" s="12">
        <f t="shared" si="374"/>
        <v>18925</v>
      </c>
      <c r="AL88" s="12">
        <f>SUM(AI66:AL66)</f>
        <v>18521</v>
      </c>
      <c r="AM88" s="12">
        <f t="shared" si="374"/>
        <v>11937</v>
      </c>
      <c r="AN88" s="12">
        <f t="shared" si="374"/>
        <v>34037</v>
      </c>
      <c r="AO88" s="12">
        <f t="shared" si="374"/>
        <v>22041</v>
      </c>
      <c r="AP88" s="12">
        <f t="shared" si="374"/>
        <v>-2821</v>
      </c>
      <c r="AQ88" s="12">
        <f t="shared" si="374"/>
        <v>-2435</v>
      </c>
      <c r="AR88" s="12">
        <f t="shared" si="374"/>
        <v>-4524</v>
      </c>
      <c r="AS88" s="12">
        <f t="shared" si="374"/>
        <v>-467</v>
      </c>
      <c r="AT88" s="12">
        <f t="shared" si="374"/>
        <v>15799</v>
      </c>
      <c r="AU88" s="12">
        <f>SUM(AR66:AU66)</f>
        <v>17699</v>
      </c>
      <c r="AV88" s="12">
        <f t="shared" si="374"/>
        <v>23902</v>
      </c>
      <c r="AW88" s="12"/>
      <c r="AY88" s="12">
        <f>SUM(V66:X66,AY66)</f>
        <v>-35982</v>
      </c>
    </row>
    <row r="89" spans="2:51" ht="13.5" customHeight="1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Y89" s="12"/>
    </row>
    <row r="90" spans="2:51" ht="13.5" customHeight="1">
      <c r="B90" s="4" t="s">
        <v>331</v>
      </c>
      <c r="C90" s="62">
        <f>C79</f>
        <v>42735</v>
      </c>
      <c r="D90" s="62">
        <f t="shared" ref="D90:W90" si="375">D79</f>
        <v>43100</v>
      </c>
      <c r="E90" s="62">
        <f t="shared" si="375"/>
        <v>43465</v>
      </c>
      <c r="F90" s="62">
        <f t="shared" si="375"/>
        <v>43830</v>
      </c>
      <c r="G90" s="62">
        <f t="shared" ref="G90:H90" si="376">G79</f>
        <v>44196</v>
      </c>
      <c r="H90" s="62">
        <f t="shared" si="376"/>
        <v>44561</v>
      </c>
      <c r="I90" s="62">
        <f t="shared" ref="I90:J90" si="377">I79</f>
        <v>44926</v>
      </c>
      <c r="J90" s="62">
        <f t="shared" si="377"/>
        <v>45291</v>
      </c>
      <c r="K90" s="62">
        <f t="shared" ref="K90:L90" si="378">K79</f>
        <v>45657</v>
      </c>
      <c r="L90" s="62">
        <f t="shared" si="378"/>
        <v>46022</v>
      </c>
      <c r="M90" s="62">
        <f t="shared" ref="M90" si="379">M79</f>
        <v>46203</v>
      </c>
      <c r="N90" s="193"/>
      <c r="O90" s="62">
        <f t="shared" si="375"/>
        <v>43190</v>
      </c>
      <c r="P90" s="62">
        <f t="shared" si="375"/>
        <v>43281</v>
      </c>
      <c r="Q90" s="62">
        <f t="shared" si="375"/>
        <v>43373</v>
      </c>
      <c r="R90" s="62">
        <f t="shared" si="375"/>
        <v>43465</v>
      </c>
      <c r="S90" s="62">
        <f t="shared" si="375"/>
        <v>43555</v>
      </c>
      <c r="T90" s="62">
        <f t="shared" si="375"/>
        <v>43646</v>
      </c>
      <c r="U90" s="62">
        <f t="shared" si="375"/>
        <v>43738</v>
      </c>
      <c r="V90" s="62">
        <f t="shared" si="375"/>
        <v>43830</v>
      </c>
      <c r="W90" s="62">
        <f t="shared" si="375"/>
        <v>43921</v>
      </c>
      <c r="X90" s="62">
        <f t="shared" ref="X90:AB90" si="380">X79</f>
        <v>44012</v>
      </c>
      <c r="Y90" s="62">
        <f t="shared" si="380"/>
        <v>44104</v>
      </c>
      <c r="Z90" s="62">
        <f t="shared" si="380"/>
        <v>44196</v>
      </c>
      <c r="AA90" s="62">
        <f t="shared" si="380"/>
        <v>44286</v>
      </c>
      <c r="AB90" s="62">
        <f t="shared" si="380"/>
        <v>44348</v>
      </c>
      <c r="AC90" s="62">
        <f t="shared" ref="AC90" si="381">AC79</f>
        <v>44469</v>
      </c>
      <c r="AD90" s="62">
        <f>AD79</f>
        <v>44561</v>
      </c>
      <c r="AE90" s="62">
        <f t="shared" ref="AE90:AG90" si="382">AE79</f>
        <v>44651</v>
      </c>
      <c r="AF90" s="62">
        <f t="shared" si="382"/>
        <v>44742</v>
      </c>
      <c r="AG90" s="62">
        <f t="shared" si="382"/>
        <v>44834</v>
      </c>
      <c r="AH90" s="62">
        <f>AH79</f>
        <v>44926</v>
      </c>
      <c r="AI90" s="62">
        <f t="shared" ref="AI90:AK90" si="383">AI79</f>
        <v>45016</v>
      </c>
      <c r="AJ90" s="62">
        <f t="shared" si="383"/>
        <v>45107</v>
      </c>
      <c r="AK90" s="62">
        <f t="shared" si="383"/>
        <v>45199</v>
      </c>
      <c r="AL90" s="62">
        <f>AL79</f>
        <v>45291</v>
      </c>
      <c r="AM90" s="62">
        <f t="shared" ref="AM90:AO90" si="384">AM79</f>
        <v>45382</v>
      </c>
      <c r="AN90" s="62">
        <f t="shared" si="384"/>
        <v>45473</v>
      </c>
      <c r="AO90" s="62">
        <f t="shared" si="384"/>
        <v>45565</v>
      </c>
      <c r="AP90" s="62">
        <f>AP79</f>
        <v>45657</v>
      </c>
      <c r="AQ90" s="62">
        <f t="shared" ref="AQ90:AS90" si="385">AQ79</f>
        <v>45747</v>
      </c>
      <c r="AR90" s="62">
        <f t="shared" si="385"/>
        <v>45838</v>
      </c>
      <c r="AS90" s="62">
        <f t="shared" si="385"/>
        <v>45930</v>
      </c>
      <c r="AT90" s="62">
        <f>AT79</f>
        <v>46022</v>
      </c>
      <c r="AU90" s="62">
        <f t="shared" ref="AU90:AV90" si="386">AU79</f>
        <v>46112</v>
      </c>
      <c r="AV90" s="62">
        <f t="shared" si="386"/>
        <v>46203</v>
      </c>
      <c r="AW90" s="193"/>
      <c r="AY90" s="62">
        <f t="shared" ref="AY90" si="387">AY79</f>
        <v>44104</v>
      </c>
    </row>
    <row r="91" spans="2:51" ht="13.5" customHeight="1">
      <c r="C91" s="11"/>
      <c r="D91" s="11"/>
      <c r="E91" s="11"/>
      <c r="F91" s="11"/>
      <c r="G91" s="11"/>
      <c r="H91" s="11"/>
      <c r="I91" s="11"/>
      <c r="J91" s="11"/>
      <c r="K91" s="11"/>
      <c r="AX91" s="1"/>
      <c r="AY91" s="11"/>
    </row>
    <row r="92" spans="2:51" s="2" customFormat="1" ht="13.5" customHeight="1">
      <c r="B92" s="1" t="s">
        <v>332</v>
      </c>
      <c r="C92" s="24">
        <v>203188</v>
      </c>
      <c r="D92" s="24">
        <v>186907</v>
      </c>
      <c r="E92" s="24">
        <f>195964</f>
        <v>195964</v>
      </c>
      <c r="F92" s="24">
        <f>232134+15890</f>
        <v>248024</v>
      </c>
      <c r="G92" s="24">
        <f>260868+18303</f>
        <v>279171</v>
      </c>
      <c r="H92" s="24">
        <f>302736+20081</f>
        <v>322817</v>
      </c>
      <c r="I92" s="24">
        <f>292745+28863</f>
        <v>321608</v>
      </c>
      <c r="J92" s="24">
        <f>287103+32717</f>
        <v>319820</v>
      </c>
      <c r="K92" s="24">
        <f>318069+39111</f>
        <v>357180</v>
      </c>
      <c r="L92" s="24">
        <f>327989+48777</f>
        <v>376766</v>
      </c>
      <c r="M92" s="12">
        <f>AV92</f>
        <v>375456</v>
      </c>
      <c r="N92" s="12"/>
      <c r="O92" s="11">
        <v>184455</v>
      </c>
      <c r="P92" s="11">
        <v>190726</v>
      </c>
      <c r="Q92" s="11">
        <v>194748</v>
      </c>
      <c r="R92" s="12">
        <f>E92</f>
        <v>195964</v>
      </c>
      <c r="S92" s="11">
        <f>200062 +15615</f>
        <v>215677</v>
      </c>
      <c r="T92" s="11">
        <f>211957+20220</f>
        <v>232177</v>
      </c>
      <c r="U92" s="11">
        <f>224021+18836</f>
        <v>242857</v>
      </c>
      <c r="V92" s="12">
        <f>F92</f>
        <v>248024</v>
      </c>
      <c r="W92" s="11">
        <f>242512+16065</f>
        <v>258577</v>
      </c>
      <c r="X92" s="11">
        <f>245064+16155</f>
        <v>261219</v>
      </c>
      <c r="Y92" s="11">
        <f>247148+17746</f>
        <v>264894</v>
      </c>
      <c r="Z92" s="12">
        <f>G92</f>
        <v>279171</v>
      </c>
      <c r="AA92" s="11">
        <f>270964+19257</f>
        <v>290221</v>
      </c>
      <c r="AB92" s="11">
        <f>280177+19870</f>
        <v>300047</v>
      </c>
      <c r="AC92" s="11">
        <f>290676+20187</f>
        <v>310863</v>
      </c>
      <c r="AD92" s="12">
        <f>H92</f>
        <v>322817</v>
      </c>
      <c r="AE92" s="11">
        <f>307125+20189</f>
        <v>327314</v>
      </c>
      <c r="AF92" s="11">
        <f>292135+20515</f>
        <v>312650</v>
      </c>
      <c r="AG92" s="11">
        <f>298008+25038</f>
        <v>323046</v>
      </c>
      <c r="AH92" s="12">
        <f>I92</f>
        <v>321608</v>
      </c>
      <c r="AI92" s="11">
        <f>301712+26983</f>
        <v>328695</v>
      </c>
      <c r="AJ92" s="11">
        <f>313415+28213</f>
        <v>341628</v>
      </c>
      <c r="AK92" s="11">
        <f>315436+29950</f>
        <v>345386</v>
      </c>
      <c r="AL92" s="12">
        <f>J92</f>
        <v>319820</v>
      </c>
      <c r="AM92" s="24">
        <f>296691+34753</f>
        <v>331444</v>
      </c>
      <c r="AN92" s="24">
        <f>305639+37101</f>
        <v>342740</v>
      </c>
      <c r="AO92" s="11">
        <f>308216+37310</f>
        <v>345526</v>
      </c>
      <c r="AP92" s="12">
        <f>K92</f>
        <v>357180</v>
      </c>
      <c r="AQ92" s="24">
        <f>318342+39603</f>
        <v>357945</v>
      </c>
      <c r="AR92" s="24">
        <f>326937+40473</f>
        <v>367410</v>
      </c>
      <c r="AS92" s="11">
        <f>325310+45667</f>
        <v>370977</v>
      </c>
      <c r="AT92" s="12">
        <f>L92</f>
        <v>376766</v>
      </c>
      <c r="AU92" s="24">
        <f>327288+47348</f>
        <v>374636</v>
      </c>
      <c r="AV92" s="24">
        <f>327142+48314</f>
        <v>375456</v>
      </c>
      <c r="AW92" s="24"/>
      <c r="AY92" s="11">
        <f>247148+17746</f>
        <v>264894</v>
      </c>
    </row>
    <row r="93" spans="2:51" s="2" customFormat="1" ht="13.5" customHeight="1">
      <c r="B93" s="1" t="s">
        <v>333</v>
      </c>
      <c r="C93" s="24">
        <v>11206</v>
      </c>
      <c r="D93" s="24">
        <v>8997</v>
      </c>
      <c r="E93" s="24">
        <v>7182</v>
      </c>
      <c r="F93" s="24">
        <v>8985</v>
      </c>
      <c r="G93" s="24">
        <v>13342</v>
      </c>
      <c r="H93" s="24">
        <v>7760</v>
      </c>
      <c r="I93" s="24">
        <v>1745</v>
      </c>
      <c r="J93" s="24">
        <v>5661</v>
      </c>
      <c r="K93" s="24">
        <v>3548</v>
      </c>
      <c r="L93" s="24">
        <v>3810</v>
      </c>
      <c r="M93" s="12">
        <f t="shared" ref="M93:M96" si="388">AV93</f>
        <v>4025</v>
      </c>
      <c r="N93" s="12"/>
      <c r="O93" s="24">
        <v>7777</v>
      </c>
      <c r="P93" s="24">
        <v>8425</v>
      </c>
      <c r="Q93" s="24">
        <v>8741</v>
      </c>
      <c r="R93" s="12">
        <f>E93</f>
        <v>7182</v>
      </c>
      <c r="S93" s="24">
        <v>5910</v>
      </c>
      <c r="T93" s="24">
        <v>6223</v>
      </c>
      <c r="U93" s="24">
        <v>4735</v>
      </c>
      <c r="V93" s="12">
        <f>F93</f>
        <v>8985</v>
      </c>
      <c r="W93" s="24">
        <v>9504</v>
      </c>
      <c r="X93" s="24">
        <v>9967</v>
      </c>
      <c r="Y93" s="24">
        <v>10123</v>
      </c>
      <c r="Z93" s="12">
        <f>G93</f>
        <v>13342</v>
      </c>
      <c r="AA93" s="24">
        <v>11659</v>
      </c>
      <c r="AB93" s="24">
        <v>12028</v>
      </c>
      <c r="AC93" s="24">
        <v>12274</v>
      </c>
      <c r="AD93" s="12">
        <f>H93</f>
        <v>7760</v>
      </c>
      <c r="AE93" s="24">
        <v>7868</v>
      </c>
      <c r="AF93" s="24">
        <v>3252</v>
      </c>
      <c r="AG93" s="24">
        <v>3247</v>
      </c>
      <c r="AH93" s="12">
        <f>I93</f>
        <v>1745</v>
      </c>
      <c r="AI93" s="24">
        <v>2081</v>
      </c>
      <c r="AJ93" s="24">
        <v>2172</v>
      </c>
      <c r="AK93" s="24">
        <v>2348</v>
      </c>
      <c r="AL93" s="12">
        <f>J93</f>
        <v>5661</v>
      </c>
      <c r="AM93" s="24">
        <v>5936</v>
      </c>
      <c r="AN93" s="24">
        <v>4064</v>
      </c>
      <c r="AO93" s="24">
        <v>4578</v>
      </c>
      <c r="AP93" s="12">
        <f t="shared" ref="AP93:AP96" si="389">K93</f>
        <v>3548</v>
      </c>
      <c r="AQ93" s="24">
        <v>3606</v>
      </c>
      <c r="AR93" s="24">
        <v>3879</v>
      </c>
      <c r="AS93" s="24">
        <v>2555</v>
      </c>
      <c r="AT93" s="12">
        <f t="shared" ref="AT93:AT96" si="390">L93</f>
        <v>3810</v>
      </c>
      <c r="AU93" s="24">
        <v>3898</v>
      </c>
      <c r="AV93" s="24">
        <v>4025</v>
      </c>
      <c r="AW93" s="24"/>
      <c r="AY93" s="24">
        <v>10123</v>
      </c>
    </row>
    <row r="94" spans="2:51" s="2" customFormat="1" ht="13.5" customHeight="1">
      <c r="B94" s="16" t="s">
        <v>334</v>
      </c>
      <c r="C94" s="11">
        <v>3744</v>
      </c>
      <c r="D94" s="11">
        <v>3933</v>
      </c>
      <c r="E94" s="11">
        <v>2878</v>
      </c>
      <c r="F94" s="11">
        <v>3412</v>
      </c>
      <c r="G94" s="11">
        <v>4085</v>
      </c>
      <c r="H94" s="11">
        <v>3662</v>
      </c>
      <c r="I94" s="11">
        <v>3568</v>
      </c>
      <c r="J94" s="11">
        <v>3340</v>
      </c>
      <c r="K94" s="11">
        <v>3306</v>
      </c>
      <c r="L94" s="24">
        <v>1843</v>
      </c>
      <c r="M94" s="12">
        <f t="shared" si="388"/>
        <v>2787</v>
      </c>
      <c r="N94" s="12"/>
      <c r="O94" s="11">
        <v>4902</v>
      </c>
      <c r="P94" s="11">
        <v>5234</v>
      </c>
      <c r="Q94" s="24">
        <v>5218</v>
      </c>
      <c r="R94" s="12">
        <f>E94</f>
        <v>2878</v>
      </c>
      <c r="S94" s="24">
        <v>2685</v>
      </c>
      <c r="T94" s="24">
        <v>2645</v>
      </c>
      <c r="U94" s="24">
        <v>3179</v>
      </c>
      <c r="V94" s="12">
        <f>F94</f>
        <v>3412</v>
      </c>
      <c r="W94" s="24">
        <v>2868</v>
      </c>
      <c r="X94" s="24">
        <v>2785</v>
      </c>
      <c r="Y94" s="24">
        <v>4179</v>
      </c>
      <c r="Z94" s="12">
        <f>G94</f>
        <v>4085</v>
      </c>
      <c r="AA94" s="24">
        <v>4124</v>
      </c>
      <c r="AB94" s="24">
        <v>4210</v>
      </c>
      <c r="AC94" s="24">
        <v>4848</v>
      </c>
      <c r="AD94" s="12">
        <f>H94</f>
        <v>3662</v>
      </c>
      <c r="AE94" s="24">
        <v>3955</v>
      </c>
      <c r="AF94" s="24">
        <v>4065</v>
      </c>
      <c r="AG94" s="24">
        <v>4906</v>
      </c>
      <c r="AH94" s="12">
        <f>I94</f>
        <v>3568</v>
      </c>
      <c r="AI94" s="24">
        <v>4162</v>
      </c>
      <c r="AJ94" s="24">
        <v>2991</v>
      </c>
      <c r="AK94" s="24">
        <v>2465</v>
      </c>
      <c r="AL94" s="12">
        <f>J94</f>
        <v>3340</v>
      </c>
      <c r="AM94" s="11">
        <v>2367</v>
      </c>
      <c r="AN94" s="11">
        <v>2017</v>
      </c>
      <c r="AO94" s="24">
        <v>1985</v>
      </c>
      <c r="AP94" s="12">
        <f t="shared" si="389"/>
        <v>3306</v>
      </c>
      <c r="AQ94" s="11">
        <v>2747</v>
      </c>
      <c r="AR94" s="11">
        <v>2473</v>
      </c>
      <c r="AS94" s="24">
        <v>2172</v>
      </c>
      <c r="AT94" s="12">
        <f t="shared" si="390"/>
        <v>1843</v>
      </c>
      <c r="AU94" s="11">
        <v>2328</v>
      </c>
      <c r="AV94" s="11">
        <v>2787</v>
      </c>
      <c r="AW94" s="11"/>
      <c r="AY94" s="24">
        <v>4179</v>
      </c>
    </row>
    <row r="95" spans="2:51" s="2" customFormat="1" ht="13.5" customHeight="1">
      <c r="B95" s="16" t="s">
        <v>335</v>
      </c>
      <c r="C95" s="11">
        <v>24436</v>
      </c>
      <c r="D95" s="11">
        <v>33761</v>
      </c>
      <c r="E95" s="11">
        <v>24056</v>
      </c>
      <c r="F95" s="11">
        <v>22436</v>
      </c>
      <c r="G95" s="11">
        <v>22053</v>
      </c>
      <c r="H95" s="11">
        <v>21790</v>
      </c>
      <c r="I95" s="11">
        <v>26255</v>
      </c>
      <c r="J95" s="11">
        <v>26086</v>
      </c>
      <c r="K95" s="11">
        <v>31612</v>
      </c>
      <c r="L95" s="11">
        <v>31367</v>
      </c>
      <c r="M95" s="12">
        <f t="shared" si="388"/>
        <v>35393</v>
      </c>
      <c r="N95" s="12"/>
      <c r="O95" s="11">
        <v>34013</v>
      </c>
      <c r="P95" s="11">
        <v>36201</v>
      </c>
      <c r="Q95" s="11">
        <v>38959</v>
      </c>
      <c r="R95" s="12">
        <f>E95</f>
        <v>24056</v>
      </c>
      <c r="S95" s="11">
        <v>22177</v>
      </c>
      <c r="T95" s="11">
        <v>20841</v>
      </c>
      <c r="U95" s="11">
        <v>20622</v>
      </c>
      <c r="V95" s="12">
        <f>F95</f>
        <v>22436</v>
      </c>
      <c r="W95" s="11">
        <v>24434</v>
      </c>
      <c r="X95" s="11">
        <v>29041</v>
      </c>
      <c r="Y95" s="11">
        <v>24978</v>
      </c>
      <c r="Z95" s="12">
        <f>G95</f>
        <v>22053</v>
      </c>
      <c r="AA95" s="11">
        <v>22081</v>
      </c>
      <c r="AB95" s="11">
        <v>20889</v>
      </c>
      <c r="AC95" s="11">
        <v>21505</v>
      </c>
      <c r="AD95" s="12">
        <f>H95</f>
        <v>21790</v>
      </c>
      <c r="AE95" s="11">
        <v>24262</v>
      </c>
      <c r="AF95" s="11">
        <v>25326</v>
      </c>
      <c r="AG95" s="11">
        <v>25261</v>
      </c>
      <c r="AH95" s="12">
        <f>I95</f>
        <v>26255</v>
      </c>
      <c r="AI95" s="11">
        <v>24601</v>
      </c>
      <c r="AJ95" s="11">
        <v>25095</v>
      </c>
      <c r="AK95" s="11">
        <v>25269</v>
      </c>
      <c r="AL95" s="12">
        <f>J95</f>
        <v>26086</v>
      </c>
      <c r="AM95" s="11">
        <v>28131</v>
      </c>
      <c r="AN95" s="11">
        <v>27950</v>
      </c>
      <c r="AO95" s="11">
        <v>28596</v>
      </c>
      <c r="AP95" s="12">
        <f t="shared" si="389"/>
        <v>31612</v>
      </c>
      <c r="AQ95" s="11">
        <v>31362</v>
      </c>
      <c r="AR95" s="11">
        <v>31215</v>
      </c>
      <c r="AS95" s="11">
        <v>30015</v>
      </c>
      <c r="AT95" s="12">
        <f t="shared" si="390"/>
        <v>31367</v>
      </c>
      <c r="AU95" s="11">
        <v>32259</v>
      </c>
      <c r="AV95" s="11">
        <v>35393</v>
      </c>
      <c r="AW95" s="11"/>
      <c r="AY95" s="11">
        <v>24978</v>
      </c>
    </row>
    <row r="96" spans="2:51" s="2" customFormat="1" ht="13.5" customHeight="1">
      <c r="B96" s="16" t="s">
        <v>336</v>
      </c>
      <c r="C96" s="11">
        <v>52950</v>
      </c>
      <c r="D96" s="11">
        <v>60445</v>
      </c>
      <c r="E96" s="11">
        <v>74610</v>
      </c>
      <c r="F96" s="11">
        <v>77845</v>
      </c>
      <c r="G96" s="11">
        <v>82413</v>
      </c>
      <c r="H96" s="11">
        <v>99718</v>
      </c>
      <c r="I96" s="11">
        <v>105187</v>
      </c>
      <c r="J96" s="11">
        <v>81014</v>
      </c>
      <c r="K96" s="11">
        <v>66722</v>
      </c>
      <c r="L96" s="11">
        <v>56379</v>
      </c>
      <c r="M96" s="12">
        <f t="shared" si="388"/>
        <v>53345</v>
      </c>
      <c r="N96" s="12"/>
      <c r="O96" s="11">
        <v>59757</v>
      </c>
      <c r="P96" s="11">
        <v>52364</v>
      </c>
      <c r="Q96" s="11">
        <v>63102</v>
      </c>
      <c r="R96" s="12">
        <f>E96</f>
        <v>74610</v>
      </c>
      <c r="S96" s="11">
        <v>70928</v>
      </c>
      <c r="T96" s="11">
        <v>72897</v>
      </c>
      <c r="U96" s="11">
        <v>79430</v>
      </c>
      <c r="V96" s="12">
        <f>F96</f>
        <v>77845</v>
      </c>
      <c r="W96" s="11">
        <v>80545</v>
      </c>
      <c r="X96" s="11">
        <v>63362</v>
      </c>
      <c r="Y96" s="11">
        <v>62266</v>
      </c>
      <c r="Z96" s="12">
        <f>G96</f>
        <v>82413</v>
      </c>
      <c r="AA96" s="11">
        <v>92377</v>
      </c>
      <c r="AB96" s="11">
        <v>94450</v>
      </c>
      <c r="AC96" s="11">
        <v>93292</v>
      </c>
      <c r="AD96" s="12">
        <f>H96</f>
        <v>99718</v>
      </c>
      <c r="AE96" s="11">
        <v>99686</v>
      </c>
      <c r="AF96" s="11">
        <v>110712</v>
      </c>
      <c r="AG96" s="11">
        <v>107230</v>
      </c>
      <c r="AH96" s="12">
        <f>I96</f>
        <v>105187</v>
      </c>
      <c r="AI96" s="11">
        <v>91283</v>
      </c>
      <c r="AJ96" s="11">
        <v>84691</v>
      </c>
      <c r="AK96" s="11">
        <v>87379</v>
      </c>
      <c r="AL96" s="12">
        <f>J96</f>
        <v>81014</v>
      </c>
      <c r="AM96" s="11">
        <v>84655</v>
      </c>
      <c r="AN96" s="11">
        <v>90880</v>
      </c>
      <c r="AO96" s="11">
        <v>74954</v>
      </c>
      <c r="AP96" s="12">
        <f t="shared" si="389"/>
        <v>66722</v>
      </c>
      <c r="AQ96" s="11">
        <v>60011</v>
      </c>
      <c r="AR96" s="11">
        <v>60398</v>
      </c>
      <c r="AS96" s="11">
        <v>55029</v>
      </c>
      <c r="AT96" s="12">
        <f t="shared" si="390"/>
        <v>56379</v>
      </c>
      <c r="AU96" s="11">
        <v>53731</v>
      </c>
      <c r="AV96" s="11">
        <v>53345</v>
      </c>
      <c r="AW96" s="11"/>
      <c r="AY96" s="11">
        <v>62266</v>
      </c>
    </row>
    <row r="97" spans="2:51" s="2" customFormat="1" ht="13.5" customHeight="1">
      <c r="B97" s="2" t="s">
        <v>337</v>
      </c>
      <c r="C97" s="6">
        <f t="shared" ref="C97:S97" si="391">C94+C95-C96</f>
        <v>-24770</v>
      </c>
      <c r="D97" s="6">
        <f t="shared" si="391"/>
        <v>-22751</v>
      </c>
      <c r="E97" s="6">
        <f t="shared" si="391"/>
        <v>-47676</v>
      </c>
      <c r="F97" s="6">
        <f t="shared" si="391"/>
        <v>-51997</v>
      </c>
      <c r="G97" s="6">
        <f t="shared" ref="G97:H97" si="392">G94+G95-G96</f>
        <v>-56275</v>
      </c>
      <c r="H97" s="6">
        <f t="shared" si="392"/>
        <v>-74266</v>
      </c>
      <c r="I97" s="6">
        <f t="shared" ref="I97:J97" si="393">I94+I95-I96</f>
        <v>-75364</v>
      </c>
      <c r="J97" s="6">
        <f t="shared" si="393"/>
        <v>-51588</v>
      </c>
      <c r="K97" s="6">
        <f t="shared" ref="K97:L97" si="394">K94+K95-K96</f>
        <v>-31804</v>
      </c>
      <c r="L97" s="6">
        <f t="shared" si="394"/>
        <v>-23169</v>
      </c>
      <c r="M97" s="6">
        <f t="shared" ref="M97" si="395">M94+M95-M96</f>
        <v>-15165</v>
      </c>
      <c r="N97" s="6"/>
      <c r="O97" s="6">
        <f t="shared" si="391"/>
        <v>-20842</v>
      </c>
      <c r="P97" s="6">
        <f t="shared" si="391"/>
        <v>-10929</v>
      </c>
      <c r="Q97" s="6">
        <f t="shared" si="391"/>
        <v>-18925</v>
      </c>
      <c r="R97" s="6">
        <f t="shared" si="391"/>
        <v>-47676</v>
      </c>
      <c r="S97" s="6">
        <f t="shared" si="391"/>
        <v>-46066</v>
      </c>
      <c r="T97" s="6">
        <f t="shared" ref="T97:Y97" si="396">T94+T95-T96</f>
        <v>-49411</v>
      </c>
      <c r="U97" s="6">
        <f t="shared" si="396"/>
        <v>-55629</v>
      </c>
      <c r="V97" s="6">
        <f t="shared" si="396"/>
        <v>-51997</v>
      </c>
      <c r="W97" s="6">
        <f t="shared" si="396"/>
        <v>-53243</v>
      </c>
      <c r="X97" s="6">
        <f>X94+X95-X96</f>
        <v>-31536</v>
      </c>
      <c r="Y97" s="6">
        <f t="shared" si="396"/>
        <v>-33109</v>
      </c>
      <c r="Z97" s="6">
        <f t="shared" ref="Z97:AA97" si="397">Z94+Z95-Z96</f>
        <v>-56275</v>
      </c>
      <c r="AA97" s="6">
        <f t="shared" si="397"/>
        <v>-66172</v>
      </c>
      <c r="AB97" s="6">
        <f>AB94+AB95-AB96</f>
        <v>-69351</v>
      </c>
      <c r="AC97" s="6">
        <f t="shared" ref="AC97" si="398">AC94+AC95-AC96</f>
        <v>-66939</v>
      </c>
      <c r="AD97" s="6">
        <f>AD94+AD95-AD96</f>
        <v>-74266</v>
      </c>
      <c r="AE97" s="6">
        <f t="shared" ref="AE97:AG97" si="399">AE94+AE95-AE96</f>
        <v>-71469</v>
      </c>
      <c r="AF97" s="6">
        <f t="shared" si="399"/>
        <v>-81321</v>
      </c>
      <c r="AG97" s="6">
        <f t="shared" si="399"/>
        <v>-77063</v>
      </c>
      <c r="AH97" s="6">
        <f>AH94+AH95-AH96</f>
        <v>-75364</v>
      </c>
      <c r="AI97" s="6">
        <f t="shared" ref="AI97:AK97" si="400">AI94+AI95-AI96</f>
        <v>-62520</v>
      </c>
      <c r="AJ97" s="6">
        <f t="shared" si="400"/>
        <v>-56605</v>
      </c>
      <c r="AK97" s="6">
        <f t="shared" si="400"/>
        <v>-59645</v>
      </c>
      <c r="AL97" s="6">
        <f>AL94+AL95-AL96</f>
        <v>-51588</v>
      </c>
      <c r="AM97" s="6">
        <f t="shared" ref="AM97:AO97" si="401">AM94+AM95-AM96</f>
        <v>-54157</v>
      </c>
      <c r="AN97" s="6">
        <f t="shared" si="401"/>
        <v>-60913</v>
      </c>
      <c r="AO97" s="6">
        <f t="shared" si="401"/>
        <v>-44373</v>
      </c>
      <c r="AP97" s="6">
        <f>AP94+AP95-AP96</f>
        <v>-31804</v>
      </c>
      <c r="AQ97" s="6">
        <f t="shared" ref="AQ97:AS97" si="402">AQ94+AQ95-AQ96</f>
        <v>-25902</v>
      </c>
      <c r="AR97" s="6">
        <f t="shared" si="402"/>
        <v>-26710</v>
      </c>
      <c r="AS97" s="6">
        <f t="shared" si="402"/>
        <v>-22842</v>
      </c>
      <c r="AT97" s="6">
        <f>AT94+AT95-AT96</f>
        <v>-23169</v>
      </c>
      <c r="AU97" s="6">
        <f t="shared" ref="AU97:AV97" si="403">AU94+AU95-AU96</f>
        <v>-19144</v>
      </c>
      <c r="AV97" s="6">
        <f t="shared" si="403"/>
        <v>-15165</v>
      </c>
      <c r="AW97" s="6"/>
      <c r="AY97" s="6">
        <f t="shared" ref="AY97" si="404">AY94+AY95-AY96</f>
        <v>-33109</v>
      </c>
    </row>
    <row r="98" spans="2:51" s="7" customFormat="1" ht="13.5" customHeight="1">
      <c r="B98" s="32" t="s">
        <v>338</v>
      </c>
      <c r="C98" s="33">
        <f t="shared" ref="C98:F98" si="405">C97/C81</f>
        <v>-0.14988321574227589</v>
      </c>
      <c r="D98" s="33">
        <f t="shared" si="405"/>
        <v>-0.14314837069708619</v>
      </c>
      <c r="E98" s="33">
        <f t="shared" si="405"/>
        <v>-0.29264519930761013</v>
      </c>
      <c r="F98" s="33">
        <f t="shared" si="405"/>
        <v>-0.30733448787436385</v>
      </c>
      <c r="G98" s="33">
        <f t="shared" ref="G98:H98" si="406">G97/G81</f>
        <v>-0.31090473138715169</v>
      </c>
      <c r="H98" s="33">
        <f t="shared" si="406"/>
        <v>-0.38642773146847326</v>
      </c>
      <c r="I98" s="33">
        <f t="shared" ref="I98:J98" si="407">I97/I81</f>
        <v>-0.36877697419285388</v>
      </c>
      <c r="J98" s="33">
        <f t="shared" si="407"/>
        <v>-0.24454736363076135</v>
      </c>
      <c r="K98" s="33">
        <f t="shared" ref="K98:L98" si="408">K97/K81</f>
        <v>-0.14667509096862563</v>
      </c>
      <c r="L98" s="33">
        <f t="shared" si="408"/>
        <v>-0.10609099401065993</v>
      </c>
      <c r="M98" s="33">
        <f t="shared" ref="M98" si="409">M97/M81</f>
        <v>-6.8675844579295348E-2</v>
      </c>
      <c r="N98" s="200"/>
      <c r="O98" s="33"/>
      <c r="P98" s="33"/>
      <c r="Q98" s="33"/>
      <c r="R98" s="33">
        <f t="shared" ref="R98:S98" si="410">R97/R81</f>
        <v>-0.29264519930761013</v>
      </c>
      <c r="S98" s="33">
        <f t="shared" si="410"/>
        <v>-0.28257015795123447</v>
      </c>
      <c r="T98" s="33">
        <f>T97/T81</f>
        <v>-0.30377046459156887</v>
      </c>
      <c r="U98" s="33">
        <f>U97/U81</f>
        <v>-0.33776161361028301</v>
      </c>
      <c r="V98" s="33">
        <f>V97/V81</f>
        <v>-0.30733448787436385</v>
      </c>
      <c r="W98" s="33">
        <f t="shared" ref="W98" si="411">W97/W81</f>
        <v>-0.30916586824608772</v>
      </c>
      <c r="X98" s="33">
        <f t="shared" ref="X98:AC98" si="412">X97/X81</f>
        <v>-0.18130598259149813</v>
      </c>
      <c r="Y98" s="33">
        <f t="shared" si="412"/>
        <v>-0.18603383659319112</v>
      </c>
      <c r="Z98" s="33">
        <f t="shared" si="412"/>
        <v>-0.31090473138715169</v>
      </c>
      <c r="AA98" s="33">
        <f t="shared" si="412"/>
        <v>-0.35714208611737785</v>
      </c>
      <c r="AB98" s="33">
        <f t="shared" si="412"/>
        <v>-0.36521285783497986</v>
      </c>
      <c r="AC98" s="33">
        <f t="shared" si="412"/>
        <v>-0.34929919953245181</v>
      </c>
      <c r="AD98" s="33">
        <f t="shared" ref="AD98:AG98" si="413">AD97/AD81</f>
        <v>-0.38642773146847326</v>
      </c>
      <c r="AE98" s="33">
        <f t="shared" si="413"/>
        <v>-0.36823177234951338</v>
      </c>
      <c r="AF98" s="33">
        <f t="shared" si="413"/>
        <v>-0.41206485938687609</v>
      </c>
      <c r="AG98" s="33">
        <f t="shared" si="413"/>
        <v>-0.38442313831909969</v>
      </c>
      <c r="AH98" s="33">
        <f t="shared" ref="AH98:AK98" si="414">AH97/AH81</f>
        <v>-0.36877697419285388</v>
      </c>
      <c r="AI98" s="33">
        <f t="shared" si="414"/>
        <v>-0.30217642424564645</v>
      </c>
      <c r="AJ98" s="33">
        <f t="shared" si="414"/>
        <v>-0.2726467032411265</v>
      </c>
      <c r="AK98" s="33">
        <f t="shared" si="414"/>
        <v>-0.28595194262263646</v>
      </c>
      <c r="AL98" s="33">
        <f t="shared" ref="AL98:AO98" si="415">AL97/AL81</f>
        <v>-0.24454736363076135</v>
      </c>
      <c r="AM98" s="33">
        <f t="shared" si="415"/>
        <v>-0.25447924253459575</v>
      </c>
      <c r="AN98" s="33">
        <f t="shared" si="415"/>
        <v>-0.28397933780268347</v>
      </c>
      <c r="AO98" s="33">
        <f t="shared" si="415"/>
        <v>-0.20586993537132492</v>
      </c>
      <c r="AP98" s="33">
        <f t="shared" ref="AP98:AS98" si="416">AP97/AP81</f>
        <v>-0.14667509096862563</v>
      </c>
      <c r="AQ98" s="33">
        <f t="shared" si="416"/>
        <v>-0.1188786796765281</v>
      </c>
      <c r="AR98" s="33">
        <f t="shared" si="416"/>
        <v>-0.12206156545899902</v>
      </c>
      <c r="AS98" s="33">
        <f t="shared" si="416"/>
        <v>-0.10421856607079306</v>
      </c>
      <c r="AT98" s="33">
        <f t="shared" ref="AT98:AV98" si="417">AT97/AT81</f>
        <v>-0.10609099401065993</v>
      </c>
      <c r="AU98" s="33">
        <f t="shared" si="417"/>
        <v>-8.7167158416202234E-2</v>
      </c>
      <c r="AV98" s="33">
        <f t="shared" si="417"/>
        <v>-6.8675844579295348E-2</v>
      </c>
      <c r="AW98" s="200"/>
      <c r="AY98" s="33">
        <f t="shared" ref="AY98" si="418">AY97/AY81</f>
        <v>-0.18603383659319112</v>
      </c>
    </row>
    <row r="99" spans="2:51" ht="13.5" customHeight="1"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Y99" s="34"/>
    </row>
    <row r="100" spans="2:51" ht="13.5" customHeight="1">
      <c r="B100" s="7" t="s">
        <v>339</v>
      </c>
      <c r="C100" s="249"/>
      <c r="D100" s="249"/>
      <c r="E100" s="249"/>
      <c r="F100" s="250">
        <f t="shared" ref="F100:M100" si="419">IFERROR((F94/F13)*365,"-")</f>
        <v>92.73810410306055</v>
      </c>
      <c r="G100" s="250">
        <f t="shared" si="419"/>
        <v>121.27084180561204</v>
      </c>
      <c r="H100" s="250">
        <f t="shared" si="419"/>
        <v>103.47836184872649</v>
      </c>
      <c r="I100" s="250">
        <f t="shared" si="419"/>
        <v>91.893875246965848</v>
      </c>
      <c r="J100" s="250">
        <f t="shared" si="419"/>
        <v>80.777895573813936</v>
      </c>
      <c r="K100" s="250">
        <f t="shared" si="419"/>
        <v>86.124473627863821</v>
      </c>
      <c r="L100" s="250">
        <f t="shared" si="419"/>
        <v>52.620071964956189</v>
      </c>
      <c r="M100" s="250">
        <f t="shared" si="419"/>
        <v>74.447819086651052</v>
      </c>
      <c r="N100" s="250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  <c r="AA100" s="250">
        <f t="shared" ref="AA100:AL100" si="420">IFERROR((AA94/AA13)*(365/4),"-")</f>
        <v>104.88154960981048</v>
      </c>
      <c r="AB100" s="250">
        <f t="shared" si="420"/>
        <v>123.56465101318751</v>
      </c>
      <c r="AC100" s="250">
        <f t="shared" si="420"/>
        <v>155.11220196353437</v>
      </c>
      <c r="AD100" s="250">
        <f t="shared" si="420"/>
        <v>99.215409738717341</v>
      </c>
      <c r="AE100" s="250">
        <f t="shared" si="420"/>
        <v>115.70815966655979</v>
      </c>
      <c r="AF100" s="250">
        <f t="shared" si="420"/>
        <v>112.88230371272063</v>
      </c>
      <c r="AG100" s="250">
        <f t="shared" si="420"/>
        <v>122.5157361795293</v>
      </c>
      <c r="AH100" s="250">
        <f t="shared" si="420"/>
        <v>79.15876489180647</v>
      </c>
      <c r="AI100" s="250">
        <f t="shared" si="420"/>
        <v>93.842970101309618</v>
      </c>
      <c r="AJ100" s="250">
        <f t="shared" si="420"/>
        <v>74.918679659621191</v>
      </c>
      <c r="AK100" s="250">
        <f t="shared" si="420"/>
        <v>70.028409090909093</v>
      </c>
      <c r="AL100" s="250">
        <f t="shared" si="420"/>
        <v>72.738663484486878</v>
      </c>
      <c r="AM100" s="250">
        <f t="shared" ref="AM100:AT100" si="421">IFERROR((AM94/AM13)*(365/4),"-")</f>
        <v>66.396787580694749</v>
      </c>
      <c r="AN100" s="250">
        <f t="shared" si="421"/>
        <v>51.239212138084632</v>
      </c>
      <c r="AO100" s="250">
        <f t="shared" si="421"/>
        <v>57.067186515437939</v>
      </c>
      <c r="AP100" s="250">
        <f t="shared" si="421"/>
        <v>75.569263527054105</v>
      </c>
      <c r="AQ100" s="250">
        <f t="shared" si="421"/>
        <v>74.469325609031486</v>
      </c>
      <c r="AR100" s="250">
        <f t="shared" si="421"/>
        <v>87.060667438271608</v>
      </c>
      <c r="AS100" s="250">
        <f t="shared" si="421"/>
        <v>68.746097814776277</v>
      </c>
      <c r="AT100" s="250">
        <f t="shared" si="421"/>
        <v>42.651217347197566</v>
      </c>
      <c r="AU100" s="250">
        <f>IFERROR((AU94/AU13)*(365/4),"-")</f>
        <v>61.681184668989545</v>
      </c>
      <c r="AV100" s="250">
        <f t="shared" ref="AV100" si="422">IFERROR((AV94/AV13)*(365/4),"-")</f>
        <v>74.93039186800236</v>
      </c>
      <c r="AW100" s="164"/>
      <c r="AY100" s="34"/>
    </row>
    <row r="101" spans="2:51" ht="13.5" customHeight="1">
      <c r="B101" s="7" t="s">
        <v>340</v>
      </c>
      <c r="C101" s="249"/>
      <c r="D101" s="249"/>
      <c r="E101" s="249"/>
      <c r="F101" s="250">
        <f t="shared" ref="F101:M101" si="423">IFERROR((F95/F10)*365,"-")</f>
        <v>48.402891475113343</v>
      </c>
      <c r="G101" s="250">
        <f t="shared" si="423"/>
        <v>44.470536562727894</v>
      </c>
      <c r="H101" s="250">
        <f t="shared" si="423"/>
        <v>41.38360754685565</v>
      </c>
      <c r="I101" s="250">
        <f t="shared" si="423"/>
        <v>46.89264638239986</v>
      </c>
      <c r="J101" s="250">
        <f t="shared" si="423"/>
        <v>45.135124885638035</v>
      </c>
      <c r="K101" s="250">
        <f t="shared" si="423"/>
        <v>53.213210166349214</v>
      </c>
      <c r="L101" s="250">
        <f t="shared" si="423"/>
        <v>52.424835613678404</v>
      </c>
      <c r="M101" s="250">
        <f t="shared" si="423"/>
        <v>58.502151073272351</v>
      </c>
      <c r="N101" s="250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  <c r="AA101" s="250">
        <f t="shared" ref="AA101:AL101" si="424">IFERROR((AA95/AA10)*(365/4),"-")</f>
        <v>42.043469868959185</v>
      </c>
      <c r="AB101" s="250">
        <f t="shared" si="424"/>
        <v>39.961450973814962</v>
      </c>
      <c r="AC101" s="250">
        <f t="shared" si="424"/>
        <v>40.684412124479088</v>
      </c>
      <c r="AD101" s="250">
        <f t="shared" si="424"/>
        <v>41.140854541692526</v>
      </c>
      <c r="AE101" s="250">
        <f t="shared" si="424"/>
        <v>44.43366783743101</v>
      </c>
      <c r="AF101" s="250">
        <f t="shared" si="424"/>
        <v>45.347464777677487</v>
      </c>
      <c r="AG101" s="250">
        <f t="shared" si="424"/>
        <v>44.891936237754884</v>
      </c>
      <c r="AH101" s="250">
        <f t="shared" si="424"/>
        <v>45.871347744504867</v>
      </c>
      <c r="AI101" s="250">
        <f t="shared" si="424"/>
        <v>42.871571941484284</v>
      </c>
      <c r="AJ101" s="250">
        <f t="shared" si="424"/>
        <v>44.313003134917565</v>
      </c>
      <c r="AK101" s="250">
        <f t="shared" si="424"/>
        <v>44.0727139798922</v>
      </c>
      <c r="AL101" s="250">
        <f t="shared" si="424"/>
        <v>43.598503580782825</v>
      </c>
      <c r="AM101" s="250">
        <f t="shared" ref="AM101:AT101" si="425">IFERROR((AM95/AM10)*(365/4),"-")</f>
        <v>47.339808018589558</v>
      </c>
      <c r="AN101" s="250">
        <f t="shared" si="425"/>
        <v>47.797700481643204</v>
      </c>
      <c r="AO101" s="250">
        <f t="shared" si="425"/>
        <v>48.902434453419289</v>
      </c>
      <c r="AP101" s="250">
        <f t="shared" si="425"/>
        <v>51.61108228516219</v>
      </c>
      <c r="AQ101" s="250">
        <f t="shared" si="425"/>
        <v>51.77166814407439</v>
      </c>
      <c r="AR101" s="250">
        <f t="shared" si="425"/>
        <v>52.459044698602135</v>
      </c>
      <c r="AS101" s="250">
        <f t="shared" si="425"/>
        <v>50.994595877785841</v>
      </c>
      <c r="AT101" s="250">
        <f t="shared" si="425"/>
        <v>51.94154341711279</v>
      </c>
      <c r="AU101" s="250">
        <f>IFERROR((AU95/AU10)*(365/4),"-")</f>
        <v>52.087727602498546</v>
      </c>
      <c r="AV101" s="250">
        <f t="shared" ref="AV101" si="426">IFERROR((AV95/AV10)*(365/4),"-")</f>
        <v>58.198534049339557</v>
      </c>
      <c r="AW101" s="164"/>
      <c r="AY101" s="34"/>
    </row>
    <row r="102" spans="2:51" ht="13.5" customHeight="1">
      <c r="B102" s="7" t="s">
        <v>341</v>
      </c>
      <c r="C102" s="249"/>
      <c r="D102" s="249"/>
      <c r="E102" s="249"/>
      <c r="F102" s="250">
        <f t="shared" ref="F102:M102" si="427">IFERROR((F96/F13)*365,"-")</f>
        <v>2115.8258247077224</v>
      </c>
      <c r="G102" s="250">
        <f t="shared" si="427"/>
        <v>2446.5835705571371</v>
      </c>
      <c r="H102" s="250">
        <f t="shared" si="427"/>
        <v>2817.7649609042351</v>
      </c>
      <c r="I102" s="250">
        <f t="shared" si="427"/>
        <v>2709.092224103867</v>
      </c>
      <c r="J102" s="250">
        <f t="shared" si="427"/>
        <v>1959.3234826398091</v>
      </c>
      <c r="K102" s="250">
        <f t="shared" si="427"/>
        <v>1738.1721504532152</v>
      </c>
      <c r="L102" s="250">
        <f t="shared" si="427"/>
        <v>1609.6945400500624</v>
      </c>
      <c r="M102" s="250">
        <f t="shared" si="427"/>
        <v>1424.9798741217799</v>
      </c>
      <c r="N102" s="250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  <c r="AA102" s="250">
        <f t="shared" ref="AA102:AL102" si="428">IFERROR((AA96/AA13)*(365/4),"-")</f>
        <v>2349.3314520624303</v>
      </c>
      <c r="AB102" s="250">
        <f t="shared" si="428"/>
        <v>2772.1333226117722</v>
      </c>
      <c r="AC102" s="250">
        <f t="shared" si="428"/>
        <v>2984.886044880785</v>
      </c>
      <c r="AD102" s="250">
        <f t="shared" si="428"/>
        <v>2701.6827494061758</v>
      </c>
      <c r="AE102" s="250">
        <f t="shared" si="428"/>
        <v>2916.430747034306</v>
      </c>
      <c r="AF102" s="250">
        <f t="shared" si="428"/>
        <v>3074.3974437005477</v>
      </c>
      <c r="AG102" s="250">
        <f t="shared" si="428"/>
        <v>2677.8154077723043</v>
      </c>
      <c r="AH102" s="250">
        <f t="shared" si="428"/>
        <v>2333.6527473863362</v>
      </c>
      <c r="AI102" s="250">
        <f t="shared" si="428"/>
        <v>2058.2094761551766</v>
      </c>
      <c r="AJ102" s="250">
        <f t="shared" si="428"/>
        <v>2121.343329673346</v>
      </c>
      <c r="AK102" s="250">
        <f t="shared" si="428"/>
        <v>2482.3579545454545</v>
      </c>
      <c r="AL102" s="250">
        <f t="shared" si="428"/>
        <v>1764.3263723150358</v>
      </c>
      <c r="AM102" s="250">
        <f t="shared" ref="AM102:AT102" si="429">IFERROR((AM96/AM13)*(365/4),"-")</f>
        <v>2374.6599292960345</v>
      </c>
      <c r="AN102" s="250">
        <f t="shared" si="429"/>
        <v>2308.6859688195991</v>
      </c>
      <c r="AO102" s="250">
        <f t="shared" si="429"/>
        <v>2154.8684625078763</v>
      </c>
      <c r="AP102" s="250">
        <f t="shared" si="429"/>
        <v>1525.1459168336673</v>
      </c>
      <c r="AQ102" s="250">
        <f t="shared" si="429"/>
        <v>1626.8579174093882</v>
      </c>
      <c r="AR102" s="250">
        <f t="shared" si="429"/>
        <v>2126.279899691358</v>
      </c>
      <c r="AS102" s="250">
        <f t="shared" si="429"/>
        <v>1741.7260665972944</v>
      </c>
      <c r="AT102" s="250">
        <f t="shared" si="429"/>
        <v>1304.7384605630232</v>
      </c>
      <c r="AU102" s="250">
        <f>IFERROR((AU96/AU13)*(365/4),"-")</f>
        <v>1423.6218786295005</v>
      </c>
      <c r="AV102" s="250">
        <f t="shared" ref="AV102" si="430">IFERROR((AV96/AV13)*(365/4),"-")</f>
        <v>1434.2166322922806</v>
      </c>
      <c r="AW102" s="164"/>
      <c r="AY102" s="34"/>
    </row>
    <row r="103" spans="2:51" ht="13.5" customHeight="1">
      <c r="B103" s="2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Y103" s="34"/>
    </row>
    <row r="104" spans="2:51" ht="13.5" customHeight="1">
      <c r="B104" s="58" t="s">
        <v>342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13"/>
      <c r="M104" s="13"/>
      <c r="N104" s="196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7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34"/>
      <c r="AY104" s="34"/>
    </row>
    <row r="105" spans="2:51" ht="13.5" customHeight="1">
      <c r="B105" s="64" t="s">
        <v>36</v>
      </c>
      <c r="C105" s="11">
        <v>33273</v>
      </c>
      <c r="D105" s="11">
        <v>14957</v>
      </c>
      <c r="E105" s="11">
        <v>20441</v>
      </c>
      <c r="F105" s="11">
        <v>19722</v>
      </c>
      <c r="G105" s="11">
        <v>17570</v>
      </c>
      <c r="H105" s="11">
        <v>11482</v>
      </c>
      <c r="I105" s="11">
        <v>32292</v>
      </c>
      <c r="J105" s="11">
        <v>11646</v>
      </c>
      <c r="K105" s="11">
        <v>23340</v>
      </c>
      <c r="L105" s="11">
        <v>16180</v>
      </c>
      <c r="M105" s="12">
        <f t="shared" ref="M105:M106" si="431">AV105</f>
        <v>30917</v>
      </c>
      <c r="N105" s="12"/>
      <c r="O105" s="11">
        <v>11840</v>
      </c>
      <c r="P105" s="11">
        <v>10950</v>
      </c>
      <c r="Q105" s="11">
        <v>14258</v>
      </c>
      <c r="R105" s="12">
        <f>E105</f>
        <v>20441</v>
      </c>
      <c r="S105" s="11">
        <v>17292</v>
      </c>
      <c r="T105" s="11">
        <v>15192</v>
      </c>
      <c r="U105" s="11">
        <v>17140</v>
      </c>
      <c r="V105" s="12">
        <f>F105</f>
        <v>19722</v>
      </c>
      <c r="W105" s="11">
        <v>39263</v>
      </c>
      <c r="X105" s="11">
        <v>35571</v>
      </c>
      <c r="Y105" s="11">
        <v>25335</v>
      </c>
      <c r="Z105" s="12">
        <f>G105</f>
        <v>17570</v>
      </c>
      <c r="AA105" s="11">
        <v>5317</v>
      </c>
      <c r="AB105" s="11">
        <v>7328</v>
      </c>
      <c r="AC105" s="11">
        <v>10494</v>
      </c>
      <c r="AD105" s="12">
        <f>H105</f>
        <v>11482</v>
      </c>
      <c r="AE105" s="11">
        <v>14213</v>
      </c>
      <c r="AF105" s="11">
        <v>15827</v>
      </c>
      <c r="AG105" s="11">
        <v>19592</v>
      </c>
      <c r="AH105" s="12">
        <f>I105</f>
        <v>32292</v>
      </c>
      <c r="AI105" s="11">
        <v>30850</v>
      </c>
      <c r="AJ105" s="11">
        <v>33446</v>
      </c>
      <c r="AK105" s="11">
        <v>29344</v>
      </c>
      <c r="AL105" s="12">
        <f>J105</f>
        <v>11646</v>
      </c>
      <c r="AM105" s="11">
        <v>10908</v>
      </c>
      <c r="AN105" s="11">
        <v>11424</v>
      </c>
      <c r="AO105" s="11">
        <v>19107</v>
      </c>
      <c r="AP105" s="12">
        <f>K105</f>
        <v>23340</v>
      </c>
      <c r="AQ105" s="11">
        <v>20165</v>
      </c>
      <c r="AR105" s="11">
        <v>22529</v>
      </c>
      <c r="AS105" s="11">
        <v>17406</v>
      </c>
      <c r="AT105" s="12">
        <f t="shared" ref="AT105:AT106" si="432">L105</f>
        <v>16180</v>
      </c>
      <c r="AU105" s="11">
        <v>29070</v>
      </c>
      <c r="AV105" s="11">
        <v>30917</v>
      </c>
      <c r="AW105" s="11"/>
      <c r="AY105" s="11">
        <v>25335</v>
      </c>
    </row>
    <row r="106" spans="2:51" ht="13.5" customHeight="1">
      <c r="B106" s="64" t="s">
        <v>343</v>
      </c>
      <c r="C106" s="11">
        <v>151759</v>
      </c>
      <c r="D106" s="11">
        <v>157654</v>
      </c>
      <c r="E106" s="11">
        <v>155835</v>
      </c>
      <c r="F106" s="11">
        <v>172834</v>
      </c>
      <c r="G106" s="11">
        <v>205195</v>
      </c>
      <c r="H106" s="11">
        <v>241075</v>
      </c>
      <c r="I106" s="11">
        <v>217288</v>
      </c>
      <c r="J106" s="11">
        <v>243152</v>
      </c>
      <c r="K106" s="11">
        <v>258246</v>
      </c>
      <c r="L106" s="11">
        <v>278868</v>
      </c>
      <c r="M106" s="12">
        <f t="shared" si="431"/>
        <v>267008</v>
      </c>
      <c r="N106" s="12"/>
      <c r="O106" s="11">
        <v>160399</v>
      </c>
      <c r="P106" s="11">
        <v>172860</v>
      </c>
      <c r="Q106" s="11">
        <v>164965</v>
      </c>
      <c r="R106" s="12">
        <f>E106</f>
        <v>155835</v>
      </c>
      <c r="S106" s="11">
        <v>156694</v>
      </c>
      <c r="T106" s="11">
        <v>157651</v>
      </c>
      <c r="U106" s="11">
        <v>161244</v>
      </c>
      <c r="V106" s="12">
        <f>F106</f>
        <v>172834</v>
      </c>
      <c r="W106" s="11">
        <v>166075</v>
      </c>
      <c r="X106" s="11">
        <v>199729</v>
      </c>
      <c r="Y106" s="11">
        <v>197487</v>
      </c>
      <c r="Z106" s="12">
        <f>G106</f>
        <v>205195</v>
      </c>
      <c r="AA106" s="11">
        <v>216212</v>
      </c>
      <c r="AB106" s="11">
        <v>228455</v>
      </c>
      <c r="AC106" s="11">
        <v>235465</v>
      </c>
      <c r="AD106" s="12">
        <f>H106</f>
        <v>241075</v>
      </c>
      <c r="AE106" s="11">
        <v>242620</v>
      </c>
      <c r="AF106" s="11">
        <v>243374</v>
      </c>
      <c r="AG106" s="11">
        <v>236882</v>
      </c>
      <c r="AH106" s="12">
        <f>I106</f>
        <v>217288</v>
      </c>
      <c r="AI106" s="11">
        <v>214619</v>
      </c>
      <c r="AJ106" s="11">
        <v>234623</v>
      </c>
      <c r="AK106" s="11">
        <v>242910</v>
      </c>
      <c r="AL106" s="12">
        <f>J106</f>
        <v>243152</v>
      </c>
      <c r="AM106" s="11">
        <v>244031</v>
      </c>
      <c r="AN106" s="11">
        <v>251950</v>
      </c>
      <c r="AO106" s="11">
        <v>251476</v>
      </c>
      <c r="AP106" s="12">
        <f>K106</f>
        <v>258246</v>
      </c>
      <c r="AQ106" s="11">
        <v>262901</v>
      </c>
      <c r="AR106" s="11">
        <v>269284</v>
      </c>
      <c r="AS106" s="11">
        <v>280130</v>
      </c>
      <c r="AT106" s="12">
        <f t="shared" si="432"/>
        <v>278868</v>
      </c>
      <c r="AU106" s="11">
        <v>266392</v>
      </c>
      <c r="AV106" s="11">
        <v>267008</v>
      </c>
      <c r="AW106" s="11"/>
      <c r="AY106" s="11">
        <v>197487</v>
      </c>
    </row>
    <row r="107" spans="2:51" ht="13.5" customHeight="1">
      <c r="B107" s="58" t="s">
        <v>37</v>
      </c>
      <c r="C107" s="6">
        <f t="shared" ref="C107:H107" si="433">C105+C106</f>
        <v>185032</v>
      </c>
      <c r="D107" s="6">
        <f t="shared" si="433"/>
        <v>172611</v>
      </c>
      <c r="E107" s="6">
        <f t="shared" si="433"/>
        <v>176276</v>
      </c>
      <c r="F107" s="6">
        <f t="shared" si="433"/>
        <v>192556</v>
      </c>
      <c r="G107" s="6">
        <f t="shared" si="433"/>
        <v>222765</v>
      </c>
      <c r="H107" s="6">
        <f t="shared" si="433"/>
        <v>252557</v>
      </c>
      <c r="I107" s="6">
        <f t="shared" ref="I107:J107" si="434">I105+I106</f>
        <v>249580</v>
      </c>
      <c r="J107" s="6">
        <f t="shared" si="434"/>
        <v>254798</v>
      </c>
      <c r="K107" s="6">
        <f t="shared" ref="K107:L107" si="435">K105+K106</f>
        <v>281586</v>
      </c>
      <c r="L107" s="6">
        <f t="shared" si="435"/>
        <v>295048</v>
      </c>
      <c r="M107" s="6">
        <f t="shared" ref="M107" si="436">SUM(M105:M106)</f>
        <v>297925</v>
      </c>
      <c r="N107" s="6"/>
      <c r="O107" s="12">
        <f>O105+O106</f>
        <v>172239</v>
      </c>
      <c r="P107" s="12">
        <f>P105+P106</f>
        <v>183810</v>
      </c>
      <c r="Q107" s="12">
        <f>Q105+Q106</f>
        <v>179223</v>
      </c>
      <c r="R107" s="12">
        <f>E107</f>
        <v>176276</v>
      </c>
      <c r="S107" s="12">
        <f>S105+S106</f>
        <v>173986</v>
      </c>
      <c r="T107" s="12">
        <f>T105+T106</f>
        <v>172843</v>
      </c>
      <c r="U107" s="12">
        <f>U105+U106</f>
        <v>178384</v>
      </c>
      <c r="V107" s="12">
        <f>F107</f>
        <v>192556</v>
      </c>
      <c r="W107" s="12">
        <f>W105+W106</f>
        <v>205338</v>
      </c>
      <c r="X107" s="12">
        <f>X105+X106</f>
        <v>235300</v>
      </c>
      <c r="Y107" s="12">
        <f>Y105+Y106</f>
        <v>222822</v>
      </c>
      <c r="Z107" s="12">
        <f>G107</f>
        <v>222765</v>
      </c>
      <c r="AA107" s="12">
        <f>AA105+AA106</f>
        <v>221529</v>
      </c>
      <c r="AB107" s="12">
        <f>AB105+AB106</f>
        <v>235783</v>
      </c>
      <c r="AC107" s="12">
        <f>AC105+AC106</f>
        <v>245959</v>
      </c>
      <c r="AD107" s="12">
        <f>H107</f>
        <v>252557</v>
      </c>
      <c r="AE107" s="12">
        <f t="shared" ref="AE107:AF107" si="437">AE105+AE106</f>
        <v>256833</v>
      </c>
      <c r="AF107" s="12">
        <f t="shared" si="437"/>
        <v>259201</v>
      </c>
      <c r="AG107" s="12">
        <f>AG105+AG106</f>
        <v>256474</v>
      </c>
      <c r="AH107" s="12">
        <f>I107</f>
        <v>249580</v>
      </c>
      <c r="AI107" s="6">
        <f t="shared" ref="AI107:AJ107" si="438">AI105+AI106</f>
        <v>245469</v>
      </c>
      <c r="AJ107" s="6">
        <f t="shared" si="438"/>
        <v>268069</v>
      </c>
      <c r="AK107" s="6">
        <f>AK105+AK106</f>
        <v>272254</v>
      </c>
      <c r="AL107" s="6">
        <f>J107</f>
        <v>254798</v>
      </c>
      <c r="AM107" s="6">
        <f t="shared" ref="AM107:AN107" si="439">AM105+AM106</f>
        <v>254939</v>
      </c>
      <c r="AN107" s="6">
        <f t="shared" si="439"/>
        <v>263374</v>
      </c>
      <c r="AO107" s="6">
        <f>AO105+AO106</f>
        <v>270583</v>
      </c>
      <c r="AP107" s="6">
        <f>AP105+AP106</f>
        <v>281586</v>
      </c>
      <c r="AQ107" s="6">
        <f t="shared" ref="AQ107:AR107" si="440">AQ105+AQ106</f>
        <v>283066</v>
      </c>
      <c r="AR107" s="6">
        <f t="shared" si="440"/>
        <v>291813</v>
      </c>
      <c r="AS107" s="6">
        <f>AS105+AS106</f>
        <v>297536</v>
      </c>
      <c r="AT107" s="6">
        <f>AT105+AT106</f>
        <v>295048</v>
      </c>
      <c r="AU107" s="6">
        <f t="shared" ref="AU107:AV107" si="441">AU105+AU106</f>
        <v>295462</v>
      </c>
      <c r="AV107" s="6">
        <f t="shared" si="441"/>
        <v>297925</v>
      </c>
      <c r="AW107" s="6"/>
      <c r="AY107" s="12">
        <f>AY105+AY106</f>
        <v>222822</v>
      </c>
    </row>
    <row r="108" spans="2:51" ht="13.5" customHeight="1">
      <c r="C108" s="11"/>
      <c r="D108" s="11"/>
      <c r="E108" s="11"/>
      <c r="F108" s="11"/>
      <c r="G108" s="11"/>
      <c r="H108" s="11"/>
      <c r="I108" s="11"/>
      <c r="J108" s="11"/>
      <c r="K108"/>
      <c r="L108"/>
      <c r="M108"/>
      <c r="N108" s="3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/>
      <c r="AR108" s="11"/>
      <c r="AS108" s="11"/>
      <c r="AT108" s="11"/>
      <c r="AU108"/>
      <c r="AV108" s="11"/>
      <c r="AW108" s="11"/>
      <c r="AY108" s="11"/>
    </row>
    <row r="109" spans="2:51" ht="13.5" customHeight="1">
      <c r="B109" s="58" t="s">
        <v>344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34"/>
      <c r="N109" s="3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Y109" s="11"/>
    </row>
    <row r="110" spans="2:51" ht="13.5" customHeight="1">
      <c r="B110" s="64" t="s">
        <v>36</v>
      </c>
      <c r="C110" s="11">
        <v>0</v>
      </c>
      <c r="D110" s="11">
        <v>0</v>
      </c>
      <c r="E110" s="11">
        <v>0</v>
      </c>
      <c r="F110" s="11">
        <v>3215</v>
      </c>
      <c r="G110" s="11">
        <v>4043</v>
      </c>
      <c r="H110" s="11">
        <v>4555</v>
      </c>
      <c r="I110" s="11">
        <v>10477</v>
      </c>
      <c r="J110" s="11">
        <v>5921</v>
      </c>
      <c r="K110" s="11">
        <v>7335</v>
      </c>
      <c r="L110" s="11">
        <v>8897</v>
      </c>
      <c r="M110" s="12">
        <f t="shared" ref="M110:M111" si="442">AV110</f>
        <v>10187</v>
      </c>
      <c r="N110" s="12"/>
      <c r="O110" s="11">
        <v>0</v>
      </c>
      <c r="P110" s="11">
        <v>0</v>
      </c>
      <c r="Q110" s="11">
        <v>0</v>
      </c>
      <c r="R110" s="12">
        <f>E110</f>
        <v>0</v>
      </c>
      <c r="S110" s="11">
        <v>8156</v>
      </c>
      <c r="T110" s="11">
        <v>4601</v>
      </c>
      <c r="U110" s="11">
        <v>4476</v>
      </c>
      <c r="V110" s="12">
        <f>F110</f>
        <v>3215</v>
      </c>
      <c r="W110" s="11">
        <v>3657</v>
      </c>
      <c r="X110" s="11">
        <v>3570</v>
      </c>
      <c r="Y110" s="11">
        <v>3867</v>
      </c>
      <c r="Z110" s="12">
        <f>G110</f>
        <v>4043</v>
      </c>
      <c r="AA110" s="11">
        <v>4220</v>
      </c>
      <c r="AB110" s="11">
        <v>4272</v>
      </c>
      <c r="AC110" s="11">
        <v>4462</v>
      </c>
      <c r="AD110" s="12">
        <f>H110</f>
        <v>4555</v>
      </c>
      <c r="AE110" s="11">
        <v>4652</v>
      </c>
      <c r="AF110" s="11">
        <v>5412</v>
      </c>
      <c r="AG110" s="11">
        <v>13521</v>
      </c>
      <c r="AH110" s="12">
        <f>I110</f>
        <v>10477</v>
      </c>
      <c r="AI110" s="11">
        <v>12462</v>
      </c>
      <c r="AJ110" s="11">
        <v>10250</v>
      </c>
      <c r="AK110" s="11">
        <v>11121</v>
      </c>
      <c r="AL110" s="12">
        <f>J110</f>
        <v>5921</v>
      </c>
      <c r="AM110" s="11">
        <v>6389</v>
      </c>
      <c r="AN110" s="11">
        <v>6958</v>
      </c>
      <c r="AO110" s="11">
        <v>7098</v>
      </c>
      <c r="AP110" s="12">
        <f>K110</f>
        <v>7335</v>
      </c>
      <c r="AQ110" s="11">
        <v>7584</v>
      </c>
      <c r="AR110" s="11">
        <v>7869</v>
      </c>
      <c r="AS110" s="11">
        <v>8667</v>
      </c>
      <c r="AT110" s="12">
        <f t="shared" ref="AT110:AT111" si="443">L110</f>
        <v>8897</v>
      </c>
      <c r="AU110" s="11">
        <v>9679</v>
      </c>
      <c r="AV110" s="11">
        <v>10187</v>
      </c>
      <c r="AW110" s="11"/>
      <c r="AY110" s="11">
        <v>3867</v>
      </c>
    </row>
    <row r="111" spans="2:51" ht="13.5" customHeight="1">
      <c r="B111" s="64" t="s">
        <v>343</v>
      </c>
      <c r="C111" s="11">
        <v>0</v>
      </c>
      <c r="D111" s="11">
        <v>0</v>
      </c>
      <c r="E111" s="11">
        <v>0</v>
      </c>
      <c r="F111" s="11">
        <v>13100</v>
      </c>
      <c r="G111" s="11">
        <v>15982</v>
      </c>
      <c r="H111" s="11">
        <v>17131</v>
      </c>
      <c r="I111" s="11">
        <v>31958</v>
      </c>
      <c r="J111" s="11">
        <v>41625</v>
      </c>
      <c r="K111" s="11">
        <v>46703</v>
      </c>
      <c r="L111" s="11">
        <v>55276</v>
      </c>
      <c r="M111" s="12">
        <f t="shared" si="442"/>
        <v>52905</v>
      </c>
      <c r="N111" s="12"/>
      <c r="O111" s="11">
        <v>0</v>
      </c>
      <c r="P111" s="11">
        <v>0</v>
      </c>
      <c r="Q111" s="11">
        <v>0</v>
      </c>
      <c r="R111" s="12">
        <f>E111</f>
        <v>0</v>
      </c>
      <c r="S111" s="11">
        <v>9002</v>
      </c>
      <c r="T111" s="11">
        <v>17757</v>
      </c>
      <c r="U111" s="11">
        <v>17101</v>
      </c>
      <c r="V111" s="12">
        <f>F111</f>
        <v>13100</v>
      </c>
      <c r="W111" s="11">
        <v>12676</v>
      </c>
      <c r="X111" s="11">
        <v>13036</v>
      </c>
      <c r="Y111" s="11">
        <v>14224</v>
      </c>
      <c r="Z111" s="12">
        <f>G111</f>
        <v>15982</v>
      </c>
      <c r="AA111" s="11">
        <v>16248</v>
      </c>
      <c r="AB111" s="11">
        <v>16953</v>
      </c>
      <c r="AC111" s="11">
        <v>17231</v>
      </c>
      <c r="AD111" s="12">
        <f>H111</f>
        <v>17131</v>
      </c>
      <c r="AE111" s="11">
        <v>16581</v>
      </c>
      <c r="AF111" s="11">
        <v>28963</v>
      </c>
      <c r="AG111" s="11">
        <v>24001</v>
      </c>
      <c r="AH111" s="12">
        <f>I111</f>
        <v>31958</v>
      </c>
      <c r="AI111" s="11">
        <v>28285</v>
      </c>
      <c r="AJ111" s="11">
        <v>32269</v>
      </c>
      <c r="AK111" s="11">
        <v>32839</v>
      </c>
      <c r="AL111" s="12">
        <f>J111</f>
        <v>41625</v>
      </c>
      <c r="AM111" s="11">
        <v>43152</v>
      </c>
      <c r="AN111" s="11">
        <v>44917</v>
      </c>
      <c r="AO111" s="11">
        <v>45477</v>
      </c>
      <c r="AP111" s="12">
        <f>K111</f>
        <v>46703</v>
      </c>
      <c r="AQ111" s="11">
        <v>46231</v>
      </c>
      <c r="AR111" s="11">
        <v>47896</v>
      </c>
      <c r="AS111" s="11">
        <v>52088</v>
      </c>
      <c r="AT111" s="12">
        <f t="shared" si="443"/>
        <v>55276</v>
      </c>
      <c r="AU111" s="11">
        <v>52157</v>
      </c>
      <c r="AV111" s="11">
        <v>52905</v>
      </c>
      <c r="AW111" s="11"/>
      <c r="AY111" s="11">
        <v>14224</v>
      </c>
    </row>
    <row r="112" spans="2:51" ht="13.5" customHeight="1">
      <c r="B112" s="58" t="s">
        <v>345</v>
      </c>
      <c r="C112" s="6">
        <f t="shared" ref="C112:H112" si="444">C110+C111</f>
        <v>0</v>
      </c>
      <c r="D112" s="6">
        <f t="shared" si="444"/>
        <v>0</v>
      </c>
      <c r="E112" s="6">
        <f t="shared" si="444"/>
        <v>0</v>
      </c>
      <c r="F112" s="6">
        <f t="shared" si="444"/>
        <v>16315</v>
      </c>
      <c r="G112" s="6">
        <f t="shared" si="444"/>
        <v>20025</v>
      </c>
      <c r="H112" s="6">
        <f t="shared" si="444"/>
        <v>21686</v>
      </c>
      <c r="I112" s="6">
        <f t="shared" ref="I112:J112" si="445">I110+I111</f>
        <v>42435</v>
      </c>
      <c r="J112" s="6">
        <f t="shared" si="445"/>
        <v>47546</v>
      </c>
      <c r="K112" s="6">
        <f t="shared" ref="K112:L112" si="446">K110+K111</f>
        <v>54038</v>
      </c>
      <c r="L112" s="6">
        <f t="shared" si="446"/>
        <v>64173</v>
      </c>
      <c r="M112" s="6">
        <f t="shared" ref="M112" si="447">SUM(M110:M111)</f>
        <v>63092</v>
      </c>
      <c r="N112" s="6"/>
      <c r="O112" s="6">
        <f t="shared" ref="O112:W112" si="448">SUM(O110:O111)</f>
        <v>0</v>
      </c>
      <c r="P112" s="6">
        <f t="shared" si="448"/>
        <v>0</v>
      </c>
      <c r="Q112" s="6">
        <f t="shared" si="448"/>
        <v>0</v>
      </c>
      <c r="R112" s="6">
        <f t="shared" si="448"/>
        <v>0</v>
      </c>
      <c r="S112" s="6">
        <f t="shared" si="448"/>
        <v>17158</v>
      </c>
      <c r="T112" s="6">
        <f t="shared" si="448"/>
        <v>22358</v>
      </c>
      <c r="U112" s="6">
        <f t="shared" si="448"/>
        <v>21577</v>
      </c>
      <c r="V112" s="6">
        <f t="shared" si="448"/>
        <v>16315</v>
      </c>
      <c r="W112" s="6">
        <f t="shared" si="448"/>
        <v>16333</v>
      </c>
      <c r="X112" s="6">
        <f t="shared" ref="X112:AB112" si="449">SUM(X110:X111)</f>
        <v>16606</v>
      </c>
      <c r="Y112" s="6">
        <f t="shared" si="449"/>
        <v>18091</v>
      </c>
      <c r="Z112" s="6">
        <f t="shared" si="449"/>
        <v>20025</v>
      </c>
      <c r="AA112" s="6">
        <f t="shared" si="449"/>
        <v>20468</v>
      </c>
      <c r="AB112" s="6">
        <f t="shared" si="449"/>
        <v>21225</v>
      </c>
      <c r="AC112" s="6">
        <f t="shared" ref="AC112" si="450">SUM(AC110:AC111)</f>
        <v>21693</v>
      </c>
      <c r="AD112" s="6">
        <f>SUM(AD110:AD111)</f>
        <v>21686</v>
      </c>
      <c r="AE112" s="6">
        <f t="shared" ref="AE112:AG112" si="451">SUM(AE110:AE111)</f>
        <v>21233</v>
      </c>
      <c r="AF112" s="6">
        <f t="shared" si="451"/>
        <v>34375</v>
      </c>
      <c r="AG112" s="6">
        <f t="shared" si="451"/>
        <v>37522</v>
      </c>
      <c r="AH112" s="6">
        <f>SUM(AH110:AH111)</f>
        <v>42435</v>
      </c>
      <c r="AI112" s="6">
        <f t="shared" ref="AI112:AK112" si="452">SUM(AI110:AI111)</f>
        <v>40747</v>
      </c>
      <c r="AJ112" s="6">
        <f t="shared" si="452"/>
        <v>42519</v>
      </c>
      <c r="AK112" s="6">
        <f t="shared" si="452"/>
        <v>43960</v>
      </c>
      <c r="AL112" s="6">
        <f>SUM(AL110:AL111)</f>
        <v>47546</v>
      </c>
      <c r="AM112" s="6">
        <f t="shared" ref="AM112" si="453">AM110+AM111</f>
        <v>49541</v>
      </c>
      <c r="AN112" s="6">
        <f t="shared" ref="AN112:AO112" si="454">SUM(AN110:AN111)</f>
        <v>51875</v>
      </c>
      <c r="AO112" s="6">
        <f t="shared" si="454"/>
        <v>52575</v>
      </c>
      <c r="AP112" s="6">
        <f>SUM(AP110:AP111)</f>
        <v>54038</v>
      </c>
      <c r="AQ112" s="6">
        <f>SUM(AQ110:AQ111)</f>
        <v>53815</v>
      </c>
      <c r="AR112" s="6">
        <f t="shared" ref="AR112:AS112" si="455">SUM(AR110:AR111)</f>
        <v>55765</v>
      </c>
      <c r="AS112" s="6">
        <f t="shared" si="455"/>
        <v>60755</v>
      </c>
      <c r="AT112" s="6">
        <f>SUM(AT110:AT111)</f>
        <v>64173</v>
      </c>
      <c r="AU112" s="6">
        <f t="shared" ref="AU112:AV112" si="456">SUM(AU110:AU111)</f>
        <v>61836</v>
      </c>
      <c r="AV112" s="6">
        <f t="shared" si="456"/>
        <v>63092</v>
      </c>
      <c r="AW112" s="6"/>
      <c r="AY112" s="6">
        <f t="shared" ref="AY112" si="457">SUM(AY110:AY111)</f>
        <v>18091</v>
      </c>
    </row>
    <row r="113" spans="2:51" ht="13.5" customHeight="1">
      <c r="B113" s="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34"/>
      <c r="N113" s="3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Y113" s="11"/>
    </row>
    <row r="114" spans="2:51" ht="13.5" customHeight="1">
      <c r="B114" s="58" t="s">
        <v>346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34"/>
      <c r="N114" s="3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Y114" s="11"/>
    </row>
    <row r="115" spans="2:51" ht="13.5" customHeight="1">
      <c r="B115" s="64" t="s">
        <v>36</v>
      </c>
      <c r="C115" s="61">
        <f t="shared" ref="C115:C116" si="458">C105+C110</f>
        <v>33273</v>
      </c>
      <c r="D115" s="61">
        <f t="shared" ref="D115:F115" si="459">D105+D110</f>
        <v>14957</v>
      </c>
      <c r="E115" s="61">
        <f t="shared" si="459"/>
        <v>20441</v>
      </c>
      <c r="F115" s="61">
        <f t="shared" si="459"/>
        <v>22937</v>
      </c>
      <c r="G115" s="61">
        <f t="shared" ref="G115:H115" si="460">G105+G110</f>
        <v>21613</v>
      </c>
      <c r="H115" s="61">
        <f t="shared" si="460"/>
        <v>16037</v>
      </c>
      <c r="I115" s="61">
        <f t="shared" ref="I115:J115" si="461">I105+I110</f>
        <v>42769</v>
      </c>
      <c r="J115" s="61">
        <f t="shared" si="461"/>
        <v>17567</v>
      </c>
      <c r="K115" s="61">
        <f t="shared" ref="K115:M115" si="462">K105+K110</f>
        <v>30675</v>
      </c>
      <c r="L115" s="61">
        <f t="shared" ref="L115" si="463">L105+L110</f>
        <v>25077</v>
      </c>
      <c r="M115" s="61">
        <f t="shared" si="462"/>
        <v>41104</v>
      </c>
      <c r="N115" s="12"/>
      <c r="O115" s="61">
        <f t="shared" ref="O115:Q115" si="464">O105+O110</f>
        <v>11840</v>
      </c>
      <c r="P115" s="61">
        <f t="shared" si="464"/>
        <v>10950</v>
      </c>
      <c r="Q115" s="61">
        <f t="shared" si="464"/>
        <v>14258</v>
      </c>
      <c r="R115" s="12">
        <f>E115</f>
        <v>20441</v>
      </c>
      <c r="S115" s="61">
        <f t="shared" ref="S115:U115" si="465">S105+S110</f>
        <v>25448</v>
      </c>
      <c r="T115" s="61">
        <f t="shared" si="465"/>
        <v>19793</v>
      </c>
      <c r="U115" s="61">
        <f t="shared" si="465"/>
        <v>21616</v>
      </c>
      <c r="V115" s="12">
        <f>F115</f>
        <v>22937</v>
      </c>
      <c r="W115" s="61">
        <f t="shared" ref="W115:Y115" si="466">W105+W110</f>
        <v>42920</v>
      </c>
      <c r="X115" s="61">
        <f t="shared" si="466"/>
        <v>39141</v>
      </c>
      <c r="Y115" s="61">
        <f t="shared" si="466"/>
        <v>29202</v>
      </c>
      <c r="Z115" s="12">
        <f>G115</f>
        <v>21613</v>
      </c>
      <c r="AA115" s="61">
        <f t="shared" ref="AA115:AC115" si="467">AA105+AA110</f>
        <v>9537</v>
      </c>
      <c r="AB115" s="61">
        <f t="shared" si="467"/>
        <v>11600</v>
      </c>
      <c r="AC115" s="61">
        <f t="shared" si="467"/>
        <v>14956</v>
      </c>
      <c r="AD115" s="12">
        <f>H115</f>
        <v>16037</v>
      </c>
      <c r="AE115" s="61">
        <f t="shared" ref="AE115:AG115" si="468">AE105+AE110</f>
        <v>18865</v>
      </c>
      <c r="AF115" s="61">
        <f t="shared" si="468"/>
        <v>21239</v>
      </c>
      <c r="AG115" s="61">
        <f t="shared" si="468"/>
        <v>33113</v>
      </c>
      <c r="AH115" s="12">
        <f>I115</f>
        <v>42769</v>
      </c>
      <c r="AI115" s="61">
        <f t="shared" ref="AI115:AK115" si="469">AI105+AI110</f>
        <v>43312</v>
      </c>
      <c r="AJ115" s="61">
        <f t="shared" si="469"/>
        <v>43696</v>
      </c>
      <c r="AK115" s="61">
        <f t="shared" si="469"/>
        <v>40465</v>
      </c>
      <c r="AL115" s="12">
        <f>J115</f>
        <v>17567</v>
      </c>
      <c r="AM115" s="61">
        <f t="shared" ref="AM115:AO115" si="470">AM105+AM110</f>
        <v>17297</v>
      </c>
      <c r="AN115" s="61">
        <f t="shared" si="470"/>
        <v>18382</v>
      </c>
      <c r="AO115" s="61">
        <f t="shared" si="470"/>
        <v>26205</v>
      </c>
      <c r="AP115" s="61">
        <f t="shared" ref="AP115:AS116" si="471">AP105+AP110</f>
        <v>30675</v>
      </c>
      <c r="AQ115" s="61">
        <f t="shared" si="471"/>
        <v>27749</v>
      </c>
      <c r="AR115" s="61">
        <f t="shared" si="471"/>
        <v>30398</v>
      </c>
      <c r="AS115" s="61">
        <f t="shared" si="471"/>
        <v>26073</v>
      </c>
      <c r="AT115" s="61">
        <f t="shared" ref="AT115:AV116" si="472">AT105+AT110</f>
        <v>25077</v>
      </c>
      <c r="AU115" s="61">
        <f t="shared" si="472"/>
        <v>38749</v>
      </c>
      <c r="AV115" s="61">
        <f t="shared" si="472"/>
        <v>41104</v>
      </c>
      <c r="AW115" s="61"/>
      <c r="AY115" s="61">
        <f t="shared" ref="AY115" si="473">AY105+AY110</f>
        <v>29202</v>
      </c>
    </row>
    <row r="116" spans="2:51" ht="13.5" customHeight="1">
      <c r="B116" s="64" t="s">
        <v>343</v>
      </c>
      <c r="C116" s="61">
        <f t="shared" si="458"/>
        <v>151759</v>
      </c>
      <c r="D116" s="61">
        <f t="shared" ref="D116:F116" si="474">D106+D111</f>
        <v>157654</v>
      </c>
      <c r="E116" s="61">
        <f t="shared" si="474"/>
        <v>155835</v>
      </c>
      <c r="F116" s="61">
        <f t="shared" si="474"/>
        <v>185934</v>
      </c>
      <c r="G116" s="61">
        <f t="shared" ref="G116:H116" si="475">G106+G111</f>
        <v>221177</v>
      </c>
      <c r="H116" s="61">
        <f t="shared" si="475"/>
        <v>258206</v>
      </c>
      <c r="I116" s="61">
        <f t="shared" ref="I116:J116" si="476">I106+I111</f>
        <v>249246</v>
      </c>
      <c r="J116" s="61">
        <f t="shared" si="476"/>
        <v>284777</v>
      </c>
      <c r="K116" s="61">
        <f t="shared" ref="K116:M116" si="477">K106+K111</f>
        <v>304949</v>
      </c>
      <c r="L116" s="61">
        <f t="shared" ref="L116" si="478">L106+L111</f>
        <v>334144</v>
      </c>
      <c r="M116" s="61">
        <f t="shared" si="477"/>
        <v>319913</v>
      </c>
      <c r="N116" s="12"/>
      <c r="O116" s="61">
        <f t="shared" ref="O116:Q116" si="479">O106+O111</f>
        <v>160399</v>
      </c>
      <c r="P116" s="61">
        <f t="shared" si="479"/>
        <v>172860</v>
      </c>
      <c r="Q116" s="61">
        <f t="shared" si="479"/>
        <v>164965</v>
      </c>
      <c r="R116" s="12">
        <f t="shared" ref="R116" si="480">AA116</f>
        <v>232460</v>
      </c>
      <c r="S116" s="61">
        <f t="shared" ref="S116:U116" si="481">S106+S111</f>
        <v>165696</v>
      </c>
      <c r="T116" s="61">
        <f t="shared" si="481"/>
        <v>175408</v>
      </c>
      <c r="U116" s="61">
        <f t="shared" si="481"/>
        <v>178345</v>
      </c>
      <c r="V116" s="12">
        <f>F116</f>
        <v>185934</v>
      </c>
      <c r="W116" s="61">
        <f t="shared" ref="W116:Y116" si="482">W106+W111</f>
        <v>178751</v>
      </c>
      <c r="X116" s="61">
        <f t="shared" si="482"/>
        <v>212765</v>
      </c>
      <c r="Y116" s="61">
        <f t="shared" si="482"/>
        <v>211711</v>
      </c>
      <c r="Z116" s="12">
        <f>G116</f>
        <v>221177</v>
      </c>
      <c r="AA116" s="61">
        <f t="shared" ref="AA116:AC116" si="483">AA106+AA111</f>
        <v>232460</v>
      </c>
      <c r="AB116" s="61">
        <f t="shared" si="483"/>
        <v>245408</v>
      </c>
      <c r="AC116" s="61">
        <f t="shared" si="483"/>
        <v>252696</v>
      </c>
      <c r="AD116" s="12">
        <f>H116</f>
        <v>258206</v>
      </c>
      <c r="AE116" s="61">
        <f t="shared" ref="AE116:AG116" si="484">AE106+AE111</f>
        <v>259201</v>
      </c>
      <c r="AF116" s="61">
        <f t="shared" si="484"/>
        <v>272337</v>
      </c>
      <c r="AG116" s="61">
        <f t="shared" si="484"/>
        <v>260883</v>
      </c>
      <c r="AH116" s="12">
        <f>I116</f>
        <v>249246</v>
      </c>
      <c r="AI116" s="61">
        <f t="shared" ref="AI116:AK116" si="485">AI106+AI111</f>
        <v>242904</v>
      </c>
      <c r="AJ116" s="61">
        <f t="shared" si="485"/>
        <v>266892</v>
      </c>
      <c r="AK116" s="61">
        <f t="shared" si="485"/>
        <v>275749</v>
      </c>
      <c r="AL116" s="12">
        <f>J116</f>
        <v>284777</v>
      </c>
      <c r="AM116" s="61">
        <f t="shared" ref="AM116:AO116" si="486">AM106+AM111</f>
        <v>287183</v>
      </c>
      <c r="AN116" s="61">
        <f t="shared" si="486"/>
        <v>296867</v>
      </c>
      <c r="AO116" s="61">
        <f t="shared" si="486"/>
        <v>296953</v>
      </c>
      <c r="AP116" s="61">
        <f t="shared" ref="AP116" si="487">AP106+AP111</f>
        <v>304949</v>
      </c>
      <c r="AQ116" s="61">
        <f t="shared" si="471"/>
        <v>309132</v>
      </c>
      <c r="AR116" s="61">
        <f t="shared" si="471"/>
        <v>317180</v>
      </c>
      <c r="AS116" s="61">
        <f t="shared" si="471"/>
        <v>332218</v>
      </c>
      <c r="AT116" s="61">
        <f t="shared" si="472"/>
        <v>334144</v>
      </c>
      <c r="AU116" s="61">
        <f t="shared" si="472"/>
        <v>318549</v>
      </c>
      <c r="AV116" s="61">
        <f t="shared" si="472"/>
        <v>319913</v>
      </c>
      <c r="AW116" s="61"/>
      <c r="AY116" s="61">
        <f t="shared" ref="AY116" si="488">AY106+AY111</f>
        <v>211711</v>
      </c>
    </row>
    <row r="117" spans="2:51" ht="13.5" customHeight="1">
      <c r="B117" s="58" t="s">
        <v>37</v>
      </c>
      <c r="C117" s="65">
        <f t="shared" ref="C117:V117" si="489">SUM(C115:C116)</f>
        <v>185032</v>
      </c>
      <c r="D117" s="65">
        <f t="shared" si="489"/>
        <v>172611</v>
      </c>
      <c r="E117" s="65">
        <f t="shared" si="489"/>
        <v>176276</v>
      </c>
      <c r="F117" s="65">
        <f t="shared" si="489"/>
        <v>208871</v>
      </c>
      <c r="G117" s="65">
        <f t="shared" ref="G117:H117" si="490">SUM(G115:G116)</f>
        <v>242790</v>
      </c>
      <c r="H117" s="65">
        <f t="shared" si="490"/>
        <v>274243</v>
      </c>
      <c r="I117" s="65">
        <f t="shared" ref="I117:J117" si="491">SUM(I115:I116)</f>
        <v>292015</v>
      </c>
      <c r="J117" s="65">
        <f t="shared" si="491"/>
        <v>302344</v>
      </c>
      <c r="K117" s="65">
        <f t="shared" ref="K117:L117" si="492">SUM(K115:K116)</f>
        <v>335624</v>
      </c>
      <c r="L117" s="65">
        <f t="shared" si="492"/>
        <v>359221</v>
      </c>
      <c r="M117" s="65">
        <f t="shared" ref="M117" si="493">SUM(M115:M116)</f>
        <v>361017</v>
      </c>
      <c r="N117" s="65"/>
      <c r="O117" s="65">
        <f t="shared" si="489"/>
        <v>172239</v>
      </c>
      <c r="P117" s="65">
        <f t="shared" si="489"/>
        <v>183810</v>
      </c>
      <c r="Q117" s="65">
        <f t="shared" si="489"/>
        <v>179223</v>
      </c>
      <c r="R117" s="65">
        <f t="shared" si="489"/>
        <v>252901</v>
      </c>
      <c r="S117" s="65">
        <f t="shared" si="489"/>
        <v>191144</v>
      </c>
      <c r="T117" s="65">
        <f t="shared" si="489"/>
        <v>195201</v>
      </c>
      <c r="U117" s="65">
        <f t="shared" si="489"/>
        <v>199961</v>
      </c>
      <c r="V117" s="65">
        <f t="shared" si="489"/>
        <v>208871</v>
      </c>
      <c r="W117" s="65">
        <f>SUM(W115:W116)</f>
        <v>221671</v>
      </c>
      <c r="X117" s="65">
        <f t="shared" ref="X117:Z117" si="494">SUM(X115:X116)</f>
        <v>251906</v>
      </c>
      <c r="Y117" s="65">
        <f t="shared" si="494"/>
        <v>240913</v>
      </c>
      <c r="Z117" s="65">
        <f t="shared" si="494"/>
        <v>242790</v>
      </c>
      <c r="AA117" s="65">
        <f>SUM(AA115:AA116)</f>
        <v>241997</v>
      </c>
      <c r="AB117" s="65">
        <f t="shared" ref="AB117:AC117" si="495">SUM(AB115:AB116)</f>
        <v>257008</v>
      </c>
      <c r="AC117" s="65">
        <f t="shared" si="495"/>
        <v>267652</v>
      </c>
      <c r="AD117" s="65">
        <f>SUM(AD115:AD116)</f>
        <v>274243</v>
      </c>
      <c r="AE117" s="65">
        <f t="shared" ref="AE117:AG117" si="496">SUM(AE115:AE116)</f>
        <v>278066</v>
      </c>
      <c r="AF117" s="65">
        <f t="shared" si="496"/>
        <v>293576</v>
      </c>
      <c r="AG117" s="65">
        <f t="shared" si="496"/>
        <v>293996</v>
      </c>
      <c r="AH117" s="65">
        <f>SUM(AH115:AH116)</f>
        <v>292015</v>
      </c>
      <c r="AI117" s="65">
        <f t="shared" ref="AI117:AK117" si="497">SUM(AI115:AI116)</f>
        <v>286216</v>
      </c>
      <c r="AJ117" s="65">
        <f t="shared" si="497"/>
        <v>310588</v>
      </c>
      <c r="AK117" s="65">
        <f t="shared" si="497"/>
        <v>316214</v>
      </c>
      <c r="AL117" s="65">
        <f>SUM(AL115:AL116)</f>
        <v>302344</v>
      </c>
      <c r="AM117" s="65">
        <f t="shared" ref="AM117:AO117" si="498">SUM(AM115:AM116)</f>
        <v>304480</v>
      </c>
      <c r="AN117" s="65">
        <f t="shared" si="498"/>
        <v>315249</v>
      </c>
      <c r="AO117" s="65">
        <f t="shared" si="498"/>
        <v>323158</v>
      </c>
      <c r="AP117" s="65">
        <f>SUM(AP115:AP116)</f>
        <v>335624</v>
      </c>
      <c r="AQ117" s="65">
        <f t="shared" ref="AQ117:AS117" si="499">SUM(AQ115:AQ116)</f>
        <v>336881</v>
      </c>
      <c r="AR117" s="65">
        <f t="shared" si="499"/>
        <v>347578</v>
      </c>
      <c r="AS117" s="65">
        <f t="shared" si="499"/>
        <v>358291</v>
      </c>
      <c r="AT117" s="65">
        <f>SUM(AT115:AT116)</f>
        <v>359221</v>
      </c>
      <c r="AU117" s="65">
        <f t="shared" ref="AU117:AV117" si="500">SUM(AU115:AU116)</f>
        <v>357298</v>
      </c>
      <c r="AV117" s="65">
        <f t="shared" si="500"/>
        <v>361017</v>
      </c>
      <c r="AW117" s="65"/>
      <c r="AY117" s="65">
        <f t="shared" ref="AY117" si="501">SUM(AY115:AY116)</f>
        <v>240913</v>
      </c>
    </row>
    <row r="118" spans="2:51" ht="13.5" customHeight="1"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Y118" s="34"/>
    </row>
    <row r="119" spans="2:51" ht="13.5" customHeight="1">
      <c r="B119" s="2" t="s">
        <v>347</v>
      </c>
      <c r="C119" s="11">
        <v>38722</v>
      </c>
      <c r="D119" s="15">
        <v>32905</v>
      </c>
      <c r="E119" s="15">
        <v>51654</v>
      </c>
      <c r="F119" s="15">
        <v>24369</v>
      </c>
      <c r="G119" s="15">
        <v>40237</v>
      </c>
      <c r="H119" s="15">
        <v>23907</v>
      </c>
      <c r="I119" s="6">
        <f t="shared" ref="I119:J119" si="502">SUM(I120:I121)</f>
        <v>25594</v>
      </c>
      <c r="J119" s="6">
        <f t="shared" si="502"/>
        <v>16568</v>
      </c>
      <c r="K119" s="6">
        <f>SUM(K120:K121)</f>
        <v>10147</v>
      </c>
      <c r="L119" s="6">
        <f>SUM(L120:L121)</f>
        <v>11876</v>
      </c>
      <c r="M119" s="6">
        <f>SUM(M120:M121)</f>
        <v>11906</v>
      </c>
      <c r="N119" s="12"/>
      <c r="O119" s="35">
        <v>29220</v>
      </c>
      <c r="P119" s="35">
        <v>52364</v>
      </c>
      <c r="Q119" s="35">
        <v>45206</v>
      </c>
      <c r="R119" s="12">
        <f>E119</f>
        <v>51654</v>
      </c>
      <c r="S119" s="35">
        <v>45286</v>
      </c>
      <c r="T119" s="36">
        <v>32101</v>
      </c>
      <c r="U119" s="36">
        <v>27138</v>
      </c>
      <c r="V119" s="12">
        <f>F119</f>
        <v>24369</v>
      </c>
      <c r="W119" s="35">
        <v>30944</v>
      </c>
      <c r="X119" s="36">
        <v>45771</v>
      </c>
      <c r="Y119" s="36">
        <v>33671</v>
      </c>
      <c r="Z119" s="12">
        <f>G119</f>
        <v>40237</v>
      </c>
      <c r="AA119" s="35">
        <v>31481</v>
      </c>
      <c r="AB119" s="35">
        <v>23170</v>
      </c>
      <c r="AC119" s="36">
        <v>18088</v>
      </c>
      <c r="AD119" s="12">
        <f>H119</f>
        <v>23907</v>
      </c>
      <c r="AE119" s="35">
        <v>25830</v>
      </c>
      <c r="AF119" s="35">
        <v>38863</v>
      </c>
      <c r="AG119" s="36">
        <v>19736</v>
      </c>
      <c r="AH119" s="12">
        <f>I119</f>
        <v>25594</v>
      </c>
      <c r="AI119" s="35">
        <v>26086</v>
      </c>
      <c r="AJ119" s="35">
        <v>16185</v>
      </c>
      <c r="AK119" s="36">
        <v>21472</v>
      </c>
      <c r="AL119" s="12">
        <f>J119</f>
        <v>16568</v>
      </c>
      <c r="AM119" s="15">
        <v>14057</v>
      </c>
      <c r="AN119" s="35">
        <v>11966</v>
      </c>
      <c r="AO119" s="36">
        <v>12306</v>
      </c>
      <c r="AP119" s="12">
        <f>K119</f>
        <v>10147</v>
      </c>
      <c r="AQ119" s="6">
        <f t="shared" ref="AQ119:AV119" si="503">SUM(AQ120:AQ121)</f>
        <v>13859</v>
      </c>
      <c r="AR119" s="6">
        <f t="shared" si="503"/>
        <v>10847</v>
      </c>
      <c r="AS119" s="6">
        <f t="shared" si="503"/>
        <v>10102</v>
      </c>
      <c r="AT119" s="6">
        <f t="shared" si="503"/>
        <v>11876</v>
      </c>
      <c r="AU119" s="6">
        <f t="shared" si="503"/>
        <v>14544</v>
      </c>
      <c r="AV119" s="6">
        <f t="shared" si="503"/>
        <v>11906</v>
      </c>
      <c r="AW119" s="201"/>
      <c r="AY119" s="36">
        <v>33671</v>
      </c>
    </row>
    <row r="120" spans="2:51" ht="13.5" customHeight="1">
      <c r="B120" s="1" t="s">
        <v>348</v>
      </c>
      <c r="C120" s="11"/>
      <c r="D120" s="15"/>
      <c r="E120" s="15"/>
      <c r="F120" s="15"/>
      <c r="G120" s="15"/>
      <c r="H120" s="15"/>
      <c r="I120" s="15">
        <v>25211</v>
      </c>
      <c r="J120" s="15">
        <v>16177</v>
      </c>
      <c r="K120" s="15">
        <v>10011</v>
      </c>
      <c r="L120" s="15">
        <v>11866</v>
      </c>
      <c r="M120" s="12">
        <f t="shared" ref="M120:M121" si="504">AV120</f>
        <v>11896</v>
      </c>
      <c r="N120" s="12"/>
      <c r="O120" s="35"/>
      <c r="P120" s="35"/>
      <c r="Q120" s="35"/>
      <c r="R120" s="12"/>
      <c r="S120" s="35"/>
      <c r="T120" s="36"/>
      <c r="U120" s="36"/>
      <c r="V120" s="12"/>
      <c r="W120" s="35"/>
      <c r="X120" s="36"/>
      <c r="Y120" s="36"/>
      <c r="Z120" s="12"/>
      <c r="AA120" s="35"/>
      <c r="AB120" s="35"/>
      <c r="AC120" s="36"/>
      <c r="AD120" s="12"/>
      <c r="AE120" s="35"/>
      <c r="AF120" s="35"/>
      <c r="AG120" s="36"/>
      <c r="AH120" s="12"/>
      <c r="AI120" s="35">
        <v>0</v>
      </c>
      <c r="AJ120" s="35">
        <v>0</v>
      </c>
      <c r="AK120" s="35">
        <v>0</v>
      </c>
      <c r="AL120" s="12">
        <f>J120</f>
        <v>16177</v>
      </c>
      <c r="AM120" s="35">
        <v>0</v>
      </c>
      <c r="AN120" s="35">
        <v>0</v>
      </c>
      <c r="AO120" s="35">
        <v>0</v>
      </c>
      <c r="AP120" s="12">
        <f>K120</f>
        <v>10011</v>
      </c>
      <c r="AQ120" s="15">
        <v>13759</v>
      </c>
      <c r="AR120" s="35">
        <v>10837</v>
      </c>
      <c r="AS120" s="35">
        <v>10092</v>
      </c>
      <c r="AT120" s="12">
        <f t="shared" ref="AT120:AT121" si="505">L120</f>
        <v>11866</v>
      </c>
      <c r="AU120" s="15">
        <v>14534</v>
      </c>
      <c r="AV120" s="35">
        <v>11896</v>
      </c>
      <c r="AW120" s="201"/>
      <c r="AY120" s="36"/>
    </row>
    <row r="121" spans="2:51" ht="13.5" customHeight="1">
      <c r="B121" s="1" t="s">
        <v>349</v>
      </c>
      <c r="C121" s="11"/>
      <c r="D121" s="15"/>
      <c r="E121" s="15"/>
      <c r="F121" s="15"/>
      <c r="G121" s="15"/>
      <c r="H121" s="15"/>
      <c r="I121" s="15">
        <v>383</v>
      </c>
      <c r="J121" s="15">
        <v>391</v>
      </c>
      <c r="K121" s="15">
        <v>136</v>
      </c>
      <c r="L121" s="15">
        <v>10</v>
      </c>
      <c r="M121" s="12">
        <f t="shared" si="504"/>
        <v>10</v>
      </c>
      <c r="N121" s="12"/>
      <c r="O121" s="35"/>
      <c r="P121" s="35"/>
      <c r="Q121" s="35"/>
      <c r="R121" s="12"/>
      <c r="S121" s="35"/>
      <c r="T121" s="36"/>
      <c r="U121" s="36"/>
      <c r="V121" s="12"/>
      <c r="W121" s="35"/>
      <c r="X121" s="36"/>
      <c r="Y121" s="36"/>
      <c r="Z121" s="12"/>
      <c r="AA121" s="35"/>
      <c r="AB121" s="35"/>
      <c r="AC121" s="36"/>
      <c r="AD121" s="12"/>
      <c r="AE121" s="35"/>
      <c r="AF121" s="35"/>
      <c r="AG121" s="36"/>
      <c r="AH121" s="12"/>
      <c r="AI121" s="35">
        <v>0</v>
      </c>
      <c r="AJ121" s="35">
        <v>0</v>
      </c>
      <c r="AK121" s="35">
        <v>0</v>
      </c>
      <c r="AL121" s="12">
        <f>J121</f>
        <v>391</v>
      </c>
      <c r="AM121" s="35">
        <v>0</v>
      </c>
      <c r="AN121" s="35">
        <v>0</v>
      </c>
      <c r="AO121" s="35">
        <v>0</v>
      </c>
      <c r="AP121" s="12">
        <f>K121</f>
        <v>136</v>
      </c>
      <c r="AQ121" s="15">
        <v>100</v>
      </c>
      <c r="AR121" s="35">
        <v>10</v>
      </c>
      <c r="AS121" s="35">
        <v>10</v>
      </c>
      <c r="AT121" s="12">
        <f t="shared" si="505"/>
        <v>10</v>
      </c>
      <c r="AU121" s="15">
        <v>10</v>
      </c>
      <c r="AV121" s="35">
        <v>10</v>
      </c>
      <c r="AW121" s="201"/>
      <c r="AY121" s="36"/>
    </row>
    <row r="122" spans="2:51" s="2" customFormat="1" ht="13.5" customHeight="1">
      <c r="B122" s="2" t="s">
        <v>350</v>
      </c>
      <c r="C122" s="6">
        <f>C117-C119</f>
        <v>146310</v>
      </c>
      <c r="D122" s="6">
        <f t="shared" ref="D122:F122" si="506">D117-D119</f>
        <v>139706</v>
      </c>
      <c r="E122" s="6">
        <f t="shared" si="506"/>
        <v>124622</v>
      </c>
      <c r="F122" s="6">
        <f t="shared" si="506"/>
        <v>184502</v>
      </c>
      <c r="G122" s="6">
        <f t="shared" ref="G122:H122" si="507">G117-G119</f>
        <v>202553</v>
      </c>
      <c r="H122" s="6">
        <f t="shared" si="507"/>
        <v>250336</v>
      </c>
      <c r="I122" s="6">
        <f t="shared" ref="I122:J122" si="508">I117-I119</f>
        <v>266421</v>
      </c>
      <c r="J122" s="6">
        <f t="shared" si="508"/>
        <v>285776</v>
      </c>
      <c r="K122" s="6">
        <f t="shared" ref="K122:L122" si="509">K117-K119</f>
        <v>325477</v>
      </c>
      <c r="L122" s="6">
        <f t="shared" si="509"/>
        <v>347345</v>
      </c>
      <c r="M122" s="6">
        <f t="shared" ref="M122" si="510">M117-M119</f>
        <v>349111</v>
      </c>
      <c r="N122" s="6"/>
      <c r="O122" s="6">
        <f t="shared" ref="O122" si="511">O117-O119</f>
        <v>143019</v>
      </c>
      <c r="P122" s="6">
        <f t="shared" ref="P122" si="512">P117-P119</f>
        <v>131446</v>
      </c>
      <c r="Q122" s="6">
        <f t="shared" ref="Q122" si="513">Q117-Q119</f>
        <v>134017</v>
      </c>
      <c r="R122" s="6">
        <f t="shared" ref="R122" si="514">R117-R119</f>
        <v>201247</v>
      </c>
      <c r="S122" s="6">
        <f t="shared" ref="S122" si="515">S117-S119</f>
        <v>145858</v>
      </c>
      <c r="T122" s="6">
        <f t="shared" ref="T122" si="516">T117-T119</f>
        <v>163100</v>
      </c>
      <c r="U122" s="6">
        <f t="shared" ref="U122" si="517">U117-U119</f>
        <v>172823</v>
      </c>
      <c r="V122" s="6">
        <f t="shared" ref="V122" si="518">V117-V119</f>
        <v>184502</v>
      </c>
      <c r="W122" s="6">
        <f t="shared" ref="W122:Z122" si="519">W117-W119</f>
        <v>190727</v>
      </c>
      <c r="X122" s="6">
        <f t="shared" si="519"/>
        <v>206135</v>
      </c>
      <c r="Y122" s="6">
        <f t="shared" si="519"/>
        <v>207242</v>
      </c>
      <c r="Z122" s="6">
        <f t="shared" si="519"/>
        <v>202553</v>
      </c>
      <c r="AA122" s="6">
        <f t="shared" ref="AA122:AC122" si="520">AA117-AA119</f>
        <v>210516</v>
      </c>
      <c r="AB122" s="6">
        <f t="shared" si="520"/>
        <v>233838</v>
      </c>
      <c r="AC122" s="6">
        <f t="shared" si="520"/>
        <v>249564</v>
      </c>
      <c r="AD122" s="6">
        <f>AD117-AD119</f>
        <v>250336</v>
      </c>
      <c r="AE122" s="6">
        <f t="shared" ref="AE122:AG122" si="521">AE117-AE119</f>
        <v>252236</v>
      </c>
      <c r="AF122" s="6">
        <f t="shared" si="521"/>
        <v>254713</v>
      </c>
      <c r="AG122" s="6">
        <f t="shared" si="521"/>
        <v>274260</v>
      </c>
      <c r="AH122" s="6">
        <f>AH117-AH119</f>
        <v>266421</v>
      </c>
      <c r="AI122" s="6">
        <f t="shared" ref="AI122:AK122" si="522">AI117-AI119</f>
        <v>260130</v>
      </c>
      <c r="AJ122" s="6">
        <f t="shared" si="522"/>
        <v>294403</v>
      </c>
      <c r="AK122" s="6">
        <f t="shared" si="522"/>
        <v>294742</v>
      </c>
      <c r="AL122" s="6">
        <f>AL117-AL119</f>
        <v>285776</v>
      </c>
      <c r="AM122" s="6">
        <f t="shared" ref="AM122:AO122" si="523">AM117-AM119</f>
        <v>290423</v>
      </c>
      <c r="AN122" s="6">
        <f t="shared" si="523"/>
        <v>303283</v>
      </c>
      <c r="AO122" s="6">
        <f t="shared" si="523"/>
        <v>310852</v>
      </c>
      <c r="AP122" s="6">
        <f>AP117-AP119</f>
        <v>325477</v>
      </c>
      <c r="AQ122" s="6">
        <f t="shared" ref="AQ122:AS122" si="524">AQ117-AQ119</f>
        <v>323022</v>
      </c>
      <c r="AR122" s="6">
        <f t="shared" si="524"/>
        <v>336731</v>
      </c>
      <c r="AS122" s="6">
        <f t="shared" si="524"/>
        <v>348189</v>
      </c>
      <c r="AT122" s="6">
        <f>AT117-AT119</f>
        <v>347345</v>
      </c>
      <c r="AU122" s="6">
        <f t="shared" ref="AU122:AV122" si="525">AU117-AU119</f>
        <v>342754</v>
      </c>
      <c r="AV122" s="6">
        <f t="shared" si="525"/>
        <v>349111</v>
      </c>
      <c r="AW122" s="6"/>
      <c r="AY122" s="6">
        <f t="shared" ref="AY122" si="526">AY117-AY119</f>
        <v>207242</v>
      </c>
    </row>
    <row r="123" spans="2:51" ht="13.5" customHeight="1">
      <c r="B123" s="1" t="s">
        <v>351</v>
      </c>
      <c r="C123" s="6">
        <f>C117</f>
        <v>185032</v>
      </c>
      <c r="D123" s="6">
        <f t="shared" ref="D123:W123" si="527">D117</f>
        <v>172611</v>
      </c>
      <c r="E123" s="6">
        <f t="shared" si="527"/>
        <v>176276</v>
      </c>
      <c r="F123" s="6">
        <f t="shared" si="527"/>
        <v>208871</v>
      </c>
      <c r="G123" s="6">
        <f t="shared" ref="G123:H123" si="528">G117</f>
        <v>242790</v>
      </c>
      <c r="H123" s="6">
        <f t="shared" si="528"/>
        <v>274243</v>
      </c>
      <c r="I123" s="6">
        <f t="shared" ref="I123:J123" si="529">I117</f>
        <v>292015</v>
      </c>
      <c r="J123" s="6">
        <f t="shared" si="529"/>
        <v>302344</v>
      </c>
      <c r="K123" s="6">
        <f t="shared" ref="K123:L123" si="530">K117</f>
        <v>335624</v>
      </c>
      <c r="L123" s="6">
        <f t="shared" si="530"/>
        <v>359221</v>
      </c>
      <c r="M123" s="6">
        <f t="shared" ref="M123" si="531">M117</f>
        <v>361017</v>
      </c>
      <c r="N123" s="6"/>
      <c r="O123" s="6">
        <f t="shared" si="527"/>
        <v>172239</v>
      </c>
      <c r="P123" s="6">
        <f t="shared" si="527"/>
        <v>183810</v>
      </c>
      <c r="Q123" s="6">
        <f t="shared" si="527"/>
        <v>179223</v>
      </c>
      <c r="R123" s="6">
        <f t="shared" si="527"/>
        <v>252901</v>
      </c>
      <c r="S123" s="6">
        <f t="shared" si="527"/>
        <v>191144</v>
      </c>
      <c r="T123" s="6">
        <f t="shared" si="527"/>
        <v>195201</v>
      </c>
      <c r="U123" s="6">
        <f t="shared" si="527"/>
        <v>199961</v>
      </c>
      <c r="V123" s="6">
        <f t="shared" si="527"/>
        <v>208871</v>
      </c>
      <c r="W123" s="6">
        <f t="shared" si="527"/>
        <v>221671</v>
      </c>
      <c r="X123" s="6">
        <f t="shared" ref="X123:AA123" si="532">X117</f>
        <v>251906</v>
      </c>
      <c r="Y123" s="6">
        <f t="shared" si="532"/>
        <v>240913</v>
      </c>
      <c r="Z123" s="6">
        <f t="shared" si="532"/>
        <v>242790</v>
      </c>
      <c r="AA123" s="6">
        <f t="shared" si="532"/>
        <v>241997</v>
      </c>
      <c r="AB123" s="6">
        <f t="shared" ref="AB123:AC123" si="533">AB117</f>
        <v>257008</v>
      </c>
      <c r="AC123" s="6">
        <f t="shared" si="533"/>
        <v>267652</v>
      </c>
      <c r="AD123" s="6">
        <f>AD117</f>
        <v>274243</v>
      </c>
      <c r="AE123" s="6">
        <f t="shared" ref="AE123:AG123" si="534">AE117</f>
        <v>278066</v>
      </c>
      <c r="AF123" s="6">
        <f t="shared" si="534"/>
        <v>293576</v>
      </c>
      <c r="AG123" s="6">
        <f t="shared" si="534"/>
        <v>293996</v>
      </c>
      <c r="AH123" s="6">
        <f>AH117</f>
        <v>292015</v>
      </c>
      <c r="AI123" s="6">
        <f t="shared" ref="AI123:AK123" si="535">AI117</f>
        <v>286216</v>
      </c>
      <c r="AJ123" s="6">
        <f t="shared" si="535"/>
        <v>310588</v>
      </c>
      <c r="AK123" s="6">
        <f t="shared" si="535"/>
        <v>316214</v>
      </c>
      <c r="AL123" s="6">
        <f>AL117</f>
        <v>302344</v>
      </c>
      <c r="AM123" s="6">
        <f t="shared" ref="AM123:AO123" si="536">AM117</f>
        <v>304480</v>
      </c>
      <c r="AN123" s="6">
        <f t="shared" si="536"/>
        <v>315249</v>
      </c>
      <c r="AO123" s="6">
        <f t="shared" si="536"/>
        <v>323158</v>
      </c>
      <c r="AP123" s="6">
        <f>AP117</f>
        <v>335624</v>
      </c>
      <c r="AQ123" s="6">
        <f t="shared" ref="AQ123:AS123" si="537">AQ117</f>
        <v>336881</v>
      </c>
      <c r="AR123" s="6">
        <f t="shared" si="537"/>
        <v>347578</v>
      </c>
      <c r="AS123" s="6">
        <f t="shared" si="537"/>
        <v>358291</v>
      </c>
      <c r="AT123" s="6">
        <f>AT117</f>
        <v>359221</v>
      </c>
      <c r="AU123" s="6">
        <f t="shared" ref="AU123:AV123" si="538">AU117</f>
        <v>357298</v>
      </c>
      <c r="AV123" s="6">
        <f t="shared" si="538"/>
        <v>361017</v>
      </c>
      <c r="AW123" s="6"/>
      <c r="AY123" s="6">
        <f t="shared" ref="AY123" si="539">AY117</f>
        <v>240913</v>
      </c>
    </row>
    <row r="124" spans="2:51" ht="13.5" customHeight="1"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Y124" s="34"/>
    </row>
    <row r="125" spans="2:51" s="2" customFormat="1" ht="13.5" customHeight="1">
      <c r="B125" s="2" t="s">
        <v>352</v>
      </c>
      <c r="C125" s="5">
        <v>144203</v>
      </c>
      <c r="D125" s="14">
        <v>139157</v>
      </c>
      <c r="E125" s="14">
        <v>123875</v>
      </c>
      <c r="F125" s="14">
        <v>168364</v>
      </c>
      <c r="G125" s="14">
        <v>181648</v>
      </c>
      <c r="H125" s="14">
        <v>228659</v>
      </c>
      <c r="I125" s="14">
        <v>225669</v>
      </c>
      <c r="J125" s="14">
        <v>239764</v>
      </c>
      <c r="K125" s="14">
        <v>273033</v>
      </c>
      <c r="L125" s="14">
        <v>284693</v>
      </c>
      <c r="M125" s="6">
        <f>AV125</f>
        <v>287339</v>
      </c>
      <c r="N125" s="6"/>
      <c r="O125" s="279">
        <v>134831</v>
      </c>
      <c r="P125" s="279">
        <v>127610</v>
      </c>
      <c r="Q125" s="279">
        <v>129626</v>
      </c>
      <c r="R125" s="6">
        <f>E125</f>
        <v>123875</v>
      </c>
      <c r="S125" s="279">
        <v>128982</v>
      </c>
      <c r="T125" s="279">
        <v>141099</v>
      </c>
      <c r="U125" s="279">
        <v>151193</v>
      </c>
      <c r="V125" s="6">
        <f>F125</f>
        <v>168364</v>
      </c>
      <c r="W125" s="279">
        <v>172029</v>
      </c>
      <c r="X125" s="279">
        <v>188894</v>
      </c>
      <c r="Y125" s="279">
        <v>189168</v>
      </c>
      <c r="Z125" s="6">
        <f>G125</f>
        <v>181648</v>
      </c>
      <c r="AA125" s="279">
        <v>189105</v>
      </c>
      <c r="AB125" s="279">
        <v>210290</v>
      </c>
      <c r="AC125" s="279">
        <v>227432</v>
      </c>
      <c r="AD125" s="6">
        <f>H125</f>
        <v>228659</v>
      </c>
      <c r="AE125" s="279">
        <v>229631</v>
      </c>
      <c r="AF125" s="279">
        <v>215573</v>
      </c>
      <c r="AG125" s="279">
        <v>236794</v>
      </c>
      <c r="AH125" s="6">
        <f>I125</f>
        <v>225669</v>
      </c>
      <c r="AI125" s="279">
        <v>220732</v>
      </c>
      <c r="AJ125" s="279">
        <v>253262</v>
      </c>
      <c r="AK125" s="279">
        <v>252125</v>
      </c>
      <c r="AL125" s="6">
        <f>J125</f>
        <v>239764</v>
      </c>
      <c r="AM125" s="14">
        <v>242184</v>
      </c>
      <c r="AN125" s="279">
        <v>252682</v>
      </c>
      <c r="AO125" s="279">
        <v>259786</v>
      </c>
      <c r="AP125" s="6">
        <f>K125</f>
        <v>273033</v>
      </c>
      <c r="AQ125" s="14">
        <v>270718</v>
      </c>
      <c r="AR125" s="279">
        <v>282536</v>
      </c>
      <c r="AS125" s="279">
        <v>289023</v>
      </c>
      <c r="AT125" s="6">
        <f t="shared" ref="AT125:AT126" si="540">L125</f>
        <v>284693</v>
      </c>
      <c r="AU125" s="14">
        <v>282272</v>
      </c>
      <c r="AV125" s="279">
        <v>287339</v>
      </c>
      <c r="AW125" s="280"/>
      <c r="AX125" s="204"/>
      <c r="AY125" s="279">
        <v>189168</v>
      </c>
    </row>
    <row r="126" spans="2:51" ht="13.5" customHeight="1">
      <c r="B126" s="1" t="s">
        <v>353</v>
      </c>
      <c r="C126" s="11">
        <v>108537</v>
      </c>
      <c r="D126" s="15">
        <v>111183</v>
      </c>
      <c r="E126" s="15">
        <v>116666</v>
      </c>
      <c r="F126" s="15">
        <v>116290</v>
      </c>
      <c r="G126" s="15">
        <v>119665</v>
      </c>
      <c r="H126" s="15">
        <v>127465</v>
      </c>
      <c r="I126" s="15">
        <v>113961</v>
      </c>
      <c r="J126" s="15">
        <v>110386</v>
      </c>
      <c r="K126" s="15">
        <v>116735</v>
      </c>
      <c r="L126" s="15">
        <v>128083</v>
      </c>
      <c r="M126" s="12">
        <f>AV126</f>
        <v>114267</v>
      </c>
      <c r="N126" s="12"/>
      <c r="O126" s="11">
        <v>113422</v>
      </c>
      <c r="P126" s="11">
        <v>117558</v>
      </c>
      <c r="Q126" s="11">
        <v>113776</v>
      </c>
      <c r="R126" s="12">
        <f>E126</f>
        <v>116666</v>
      </c>
      <c r="S126" s="11">
        <v>113684</v>
      </c>
      <c r="T126" s="11">
        <v>118569</v>
      </c>
      <c r="U126" s="11">
        <v>114348</v>
      </c>
      <c r="V126" s="12">
        <f>F126</f>
        <v>116290</v>
      </c>
      <c r="W126" s="11">
        <v>113029</v>
      </c>
      <c r="X126" s="11">
        <v>119233</v>
      </c>
      <c r="Y126" s="11">
        <v>118651</v>
      </c>
      <c r="Z126" s="12">
        <f>G126</f>
        <v>119665</v>
      </c>
      <c r="AA126" s="11">
        <v>113667</v>
      </c>
      <c r="AB126" s="11">
        <v>120703</v>
      </c>
      <c r="AC126" s="11">
        <v>117225</v>
      </c>
      <c r="AD126" s="12">
        <f>H126</f>
        <v>127465</v>
      </c>
      <c r="AE126" s="11">
        <v>127145</v>
      </c>
      <c r="AF126" s="11">
        <v>134077</v>
      </c>
      <c r="AG126" s="11">
        <v>127632</v>
      </c>
      <c r="AH126" s="12">
        <f>I126</f>
        <v>113961</v>
      </c>
      <c r="AI126" s="11">
        <v>109977</v>
      </c>
      <c r="AJ126" s="11">
        <v>119011</v>
      </c>
      <c r="AK126" s="11">
        <v>117289</v>
      </c>
      <c r="AL126" s="12">
        <f>J126</f>
        <v>110386</v>
      </c>
      <c r="AM126" s="15">
        <v>106240</v>
      </c>
      <c r="AN126" s="11">
        <v>114267</v>
      </c>
      <c r="AO126" s="11">
        <v>112931</v>
      </c>
      <c r="AP126" s="12">
        <f>K126</f>
        <v>116735</v>
      </c>
      <c r="AQ126" s="15">
        <v>116796</v>
      </c>
      <c r="AR126" s="11">
        <v>114267</v>
      </c>
      <c r="AS126" s="11">
        <v>121492</v>
      </c>
      <c r="AT126" s="12">
        <f t="shared" si="540"/>
        <v>128083</v>
      </c>
      <c r="AU126" s="15">
        <v>127168</v>
      </c>
      <c r="AV126" s="11">
        <v>114267</v>
      </c>
      <c r="AW126" s="11"/>
      <c r="AY126" s="11">
        <v>118651</v>
      </c>
    </row>
    <row r="127" spans="2:51" s="2" customFormat="1" ht="13.5" customHeight="1">
      <c r="B127" s="2" t="s">
        <v>354</v>
      </c>
      <c r="C127" s="162">
        <f t="shared" ref="C127:F127" si="541">C126+C117</f>
        <v>293569</v>
      </c>
      <c r="D127" s="162">
        <f t="shared" si="541"/>
        <v>283794</v>
      </c>
      <c r="E127" s="162">
        <f t="shared" si="541"/>
        <v>292942</v>
      </c>
      <c r="F127" s="162">
        <f t="shared" si="541"/>
        <v>325161</v>
      </c>
      <c r="G127" s="162">
        <f t="shared" ref="G127:L127" si="542">G126+G117</f>
        <v>362455</v>
      </c>
      <c r="H127" s="162">
        <f t="shared" si="542"/>
        <v>401708</v>
      </c>
      <c r="I127" s="162">
        <f t="shared" si="542"/>
        <v>405976</v>
      </c>
      <c r="J127" s="162">
        <f t="shared" si="542"/>
        <v>412730</v>
      </c>
      <c r="K127" s="162">
        <f t="shared" si="542"/>
        <v>452359</v>
      </c>
      <c r="L127" s="162">
        <f t="shared" si="542"/>
        <v>487304</v>
      </c>
      <c r="M127" s="162">
        <f t="shared" ref="M127" si="543">M126+M117</f>
        <v>475284</v>
      </c>
      <c r="N127" s="227"/>
      <c r="O127" s="162">
        <f t="shared" ref="O127:W127" si="544">O126+O117</f>
        <v>285661</v>
      </c>
      <c r="P127" s="162">
        <f t="shared" si="544"/>
        <v>301368</v>
      </c>
      <c r="Q127" s="162">
        <f t="shared" si="544"/>
        <v>292999</v>
      </c>
      <c r="R127" s="162">
        <f t="shared" si="544"/>
        <v>369567</v>
      </c>
      <c r="S127" s="162">
        <f t="shared" si="544"/>
        <v>304828</v>
      </c>
      <c r="T127" s="162">
        <f t="shared" si="544"/>
        <v>313770</v>
      </c>
      <c r="U127" s="162">
        <f t="shared" si="544"/>
        <v>314309</v>
      </c>
      <c r="V127" s="162">
        <f t="shared" si="544"/>
        <v>325161</v>
      </c>
      <c r="W127" s="162">
        <f t="shared" si="544"/>
        <v>334700</v>
      </c>
      <c r="X127" s="162">
        <f>X126+X117</f>
        <v>371139</v>
      </c>
      <c r="Y127" s="162">
        <f t="shared" ref="Y127:AA127" si="545">Y126+Y117</f>
        <v>359564</v>
      </c>
      <c r="Z127" s="162">
        <f t="shared" si="545"/>
        <v>362455</v>
      </c>
      <c r="AA127" s="162">
        <f t="shared" si="545"/>
        <v>355664</v>
      </c>
      <c r="AB127" s="162">
        <f>AB126+AB117</f>
        <v>377711</v>
      </c>
      <c r="AC127" s="162">
        <f t="shared" ref="AC127" si="546">AC126+AC117</f>
        <v>384877</v>
      </c>
      <c r="AD127" s="162">
        <f>AD126+AD117</f>
        <v>401708</v>
      </c>
      <c r="AE127" s="162">
        <f t="shared" ref="AE127:AG127" si="547">AE126+AE117</f>
        <v>405211</v>
      </c>
      <c r="AF127" s="162">
        <f t="shared" si="547"/>
        <v>427653</v>
      </c>
      <c r="AG127" s="162">
        <f t="shared" si="547"/>
        <v>421628</v>
      </c>
      <c r="AH127" s="162">
        <f>AH126+AH117</f>
        <v>405976</v>
      </c>
      <c r="AI127" s="162">
        <f t="shared" ref="AI127:AK127" si="548">AI126+AI117</f>
        <v>396193</v>
      </c>
      <c r="AJ127" s="162">
        <f t="shared" si="548"/>
        <v>429599</v>
      </c>
      <c r="AK127" s="162">
        <f t="shared" si="548"/>
        <v>433503</v>
      </c>
      <c r="AL127" s="162">
        <f>AL126+AL117</f>
        <v>412730</v>
      </c>
      <c r="AM127" s="162">
        <f t="shared" ref="AM127:AO127" si="549">AM126+AM117</f>
        <v>410720</v>
      </c>
      <c r="AN127" s="162">
        <f t="shared" si="549"/>
        <v>429516</v>
      </c>
      <c r="AO127" s="162">
        <f t="shared" si="549"/>
        <v>436089</v>
      </c>
      <c r="AP127" s="162">
        <f>AP126+AP117</f>
        <v>452359</v>
      </c>
      <c r="AQ127" s="162">
        <f>AQ126+AQ117</f>
        <v>453677</v>
      </c>
      <c r="AR127" s="162">
        <f t="shared" ref="AR127:AS127" si="550">AR126+AR117</f>
        <v>461845</v>
      </c>
      <c r="AS127" s="162">
        <f t="shared" si="550"/>
        <v>479783</v>
      </c>
      <c r="AT127" s="162">
        <f>AT126+AT117</f>
        <v>487304</v>
      </c>
      <c r="AU127" s="162">
        <f>AU126+AU117</f>
        <v>484466</v>
      </c>
      <c r="AV127" s="162">
        <f t="shared" ref="AV127" si="551">AV126+AV117</f>
        <v>475284</v>
      </c>
      <c r="AW127" s="227"/>
      <c r="AY127" s="162">
        <f t="shared" ref="AY127" si="552">AY126+AY117</f>
        <v>359564</v>
      </c>
    </row>
    <row r="128" spans="2:51" s="2" customFormat="1" ht="13.5" customHeight="1"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84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84"/>
      <c r="AY128" s="37"/>
    </row>
    <row r="129" spans="2:51" ht="13.5" customHeight="1"/>
    <row r="130" spans="2:51" ht="13.5" customHeight="1">
      <c r="B130" s="4" t="s">
        <v>355</v>
      </c>
      <c r="C130" s="62">
        <f t="shared" ref="C130:M130" si="553">C3</f>
        <v>42735</v>
      </c>
      <c r="D130" s="62">
        <f t="shared" si="553"/>
        <v>43100</v>
      </c>
      <c r="E130" s="62">
        <f t="shared" si="553"/>
        <v>43465</v>
      </c>
      <c r="F130" s="62">
        <f t="shared" si="553"/>
        <v>43830</v>
      </c>
      <c r="G130" s="62">
        <f t="shared" si="553"/>
        <v>44196</v>
      </c>
      <c r="H130" s="62">
        <f t="shared" si="553"/>
        <v>44561</v>
      </c>
      <c r="I130" s="62">
        <f t="shared" si="553"/>
        <v>44926</v>
      </c>
      <c r="J130" s="62">
        <f t="shared" si="553"/>
        <v>45291</v>
      </c>
      <c r="K130" s="62">
        <f t="shared" si="553"/>
        <v>45657</v>
      </c>
      <c r="L130" s="62">
        <f t="shared" si="553"/>
        <v>46022</v>
      </c>
      <c r="M130" s="62">
        <f t="shared" si="553"/>
        <v>46203</v>
      </c>
      <c r="N130" s="193"/>
      <c r="O130" s="62">
        <f t="shared" ref="O130:AT130" si="554">O3</f>
        <v>43190</v>
      </c>
      <c r="P130" s="62">
        <f t="shared" si="554"/>
        <v>43281</v>
      </c>
      <c r="Q130" s="62">
        <f t="shared" si="554"/>
        <v>43373</v>
      </c>
      <c r="R130" s="62">
        <f t="shared" si="554"/>
        <v>43465</v>
      </c>
      <c r="S130" s="62">
        <f t="shared" si="554"/>
        <v>43555</v>
      </c>
      <c r="T130" s="62">
        <f t="shared" si="554"/>
        <v>43646</v>
      </c>
      <c r="U130" s="62">
        <f t="shared" si="554"/>
        <v>43738</v>
      </c>
      <c r="V130" s="62">
        <f t="shared" si="554"/>
        <v>43830</v>
      </c>
      <c r="W130" s="62">
        <f t="shared" si="554"/>
        <v>43921</v>
      </c>
      <c r="X130" s="62">
        <f t="shared" si="554"/>
        <v>44012</v>
      </c>
      <c r="Y130" s="62">
        <f t="shared" si="554"/>
        <v>44104</v>
      </c>
      <c r="Z130" s="62">
        <f t="shared" si="554"/>
        <v>44196</v>
      </c>
      <c r="AA130" s="62">
        <f t="shared" si="554"/>
        <v>44286</v>
      </c>
      <c r="AB130" s="62">
        <f t="shared" si="554"/>
        <v>44348</v>
      </c>
      <c r="AC130" s="62">
        <f t="shared" si="554"/>
        <v>44469</v>
      </c>
      <c r="AD130" s="62">
        <f t="shared" si="554"/>
        <v>44561</v>
      </c>
      <c r="AE130" s="62">
        <f t="shared" si="554"/>
        <v>44651</v>
      </c>
      <c r="AF130" s="62">
        <f t="shared" si="554"/>
        <v>44742</v>
      </c>
      <c r="AG130" s="62">
        <f t="shared" si="554"/>
        <v>44834</v>
      </c>
      <c r="AH130" s="62">
        <f t="shared" si="554"/>
        <v>44926</v>
      </c>
      <c r="AI130" s="62">
        <f t="shared" si="554"/>
        <v>45016</v>
      </c>
      <c r="AJ130" s="62">
        <f t="shared" si="554"/>
        <v>45107</v>
      </c>
      <c r="AK130" s="62">
        <f t="shared" si="554"/>
        <v>45199</v>
      </c>
      <c r="AL130" s="62">
        <f t="shared" si="554"/>
        <v>45291</v>
      </c>
      <c r="AM130" s="62">
        <f t="shared" si="554"/>
        <v>45382</v>
      </c>
      <c r="AN130" s="62">
        <f t="shared" si="554"/>
        <v>45473</v>
      </c>
      <c r="AO130" s="62">
        <f t="shared" si="554"/>
        <v>45565</v>
      </c>
      <c r="AP130" s="62">
        <f t="shared" si="554"/>
        <v>45657</v>
      </c>
      <c r="AQ130" s="62">
        <f t="shared" si="554"/>
        <v>45747</v>
      </c>
      <c r="AR130" s="62">
        <f t="shared" si="554"/>
        <v>45838</v>
      </c>
      <c r="AS130" s="62">
        <f t="shared" si="554"/>
        <v>45930</v>
      </c>
      <c r="AT130" s="62">
        <f t="shared" si="554"/>
        <v>46022</v>
      </c>
      <c r="AU130" s="62">
        <f>AU3</f>
        <v>46112</v>
      </c>
      <c r="AV130" s="62">
        <f t="shared" ref="AV130" si="555">AV3</f>
        <v>46203</v>
      </c>
      <c r="AW130" s="193"/>
      <c r="AY130" s="62">
        <f>AY3</f>
        <v>44104</v>
      </c>
    </row>
    <row r="131" spans="2:51" ht="13.5" customHeight="1">
      <c r="B131" s="58"/>
      <c r="W131" s="21"/>
    </row>
    <row r="132" spans="2:51" ht="13.5" customHeight="1">
      <c r="B132" s="58" t="s">
        <v>356</v>
      </c>
      <c r="C132" s="251">
        <f>(C122-C112)/C$84</f>
        <v>2.6831594197582938</v>
      </c>
      <c r="D132" s="251">
        <f t="shared" ref="D132:F132" si="556">(D122-D112)/D$84</f>
        <v>2.3615740897258188</v>
      </c>
      <c r="E132" s="251">
        <f t="shared" si="556"/>
        <v>2.1976863118541248</v>
      </c>
      <c r="F132" s="251">
        <f t="shared" si="556"/>
        <v>2.1418274434893347</v>
      </c>
      <c r="G132" s="251">
        <f t="shared" ref="G132:L132" si="557">(G122-G112)/G$84</f>
        <v>2.1531129827541462</v>
      </c>
      <c r="H132" s="251">
        <f t="shared" si="557"/>
        <v>2.3775852925578929</v>
      </c>
      <c r="I132" s="251">
        <f t="shared" si="557"/>
        <v>2.2340069019169775</v>
      </c>
      <c r="J132" s="251">
        <f t="shared" si="557"/>
        <v>2.2841500714306262</v>
      </c>
      <c r="K132" s="251">
        <f t="shared" si="557"/>
        <v>2.501396120352025</v>
      </c>
      <c r="L132" s="251">
        <f t="shared" si="557"/>
        <v>2.5458010806339959</v>
      </c>
      <c r="M132" s="251">
        <f t="shared" ref="M132" si="558">(M122-M112)/M$84</f>
        <v>2.5594770423001547</v>
      </c>
      <c r="N132" s="251"/>
      <c r="O132" s="252"/>
      <c r="P132" s="252"/>
      <c r="Q132" s="252"/>
      <c r="R132" s="251">
        <f t="shared" ref="R132:W132" si="559">(R122-R112)/R$84</f>
        <v>3.548954255281628</v>
      </c>
      <c r="S132" s="251">
        <f t="shared" si="559"/>
        <v>2.0896927972981749</v>
      </c>
      <c r="T132" s="251">
        <f t="shared" si="559"/>
        <v>2.1233498785510614</v>
      </c>
      <c r="U132" s="251">
        <f t="shared" si="559"/>
        <v>2.1769531924693419</v>
      </c>
      <c r="V132" s="251">
        <f t="shared" si="559"/>
        <v>2.1418274434893347</v>
      </c>
      <c r="W132" s="251">
        <f t="shared" si="559"/>
        <v>2.1792984516951375</v>
      </c>
      <c r="X132" s="251">
        <f t="shared" ref="X132:AA132" si="560">(X122-X112)/X$84</f>
        <v>2.3133322755068413</v>
      </c>
      <c r="Y132" s="251">
        <f t="shared" si="560"/>
        <v>2.1885637590104943</v>
      </c>
      <c r="Z132" s="251">
        <f t="shared" si="560"/>
        <v>2.1531129827541462</v>
      </c>
      <c r="AA132" s="251">
        <f t="shared" si="560"/>
        <v>2.1952594372314373</v>
      </c>
      <c r="AB132" s="251">
        <f t="shared" ref="AB132:AC132" si="561">(AB122-AB112)/AB$84</f>
        <v>2.4054781811804902</v>
      </c>
      <c r="AC132" s="251">
        <f t="shared" si="561"/>
        <v>2.5173274709735862</v>
      </c>
      <c r="AD132" s="251">
        <f>(AD122-AD112)/AD$84</f>
        <v>2.3775852925578929</v>
      </c>
      <c r="AE132" s="251">
        <f t="shared" ref="AE132:AG132" si="562">(AE122-AE112)/AE$84</f>
        <v>2.4573741542913066</v>
      </c>
      <c r="AF132" s="251">
        <f t="shared" si="562"/>
        <v>2.3296961238342955</v>
      </c>
      <c r="AG132" s="251">
        <f t="shared" si="562"/>
        <v>2.5000052801098263</v>
      </c>
      <c r="AH132" s="251">
        <f>(AH122-AH112)/AH$84</f>
        <v>2.2340069019169775</v>
      </c>
      <c r="AI132" s="251">
        <f t="shared" ref="AI132:AK132" si="563">(AI122-AI112)/AI$84</f>
        <v>2.0819066960218646</v>
      </c>
      <c r="AJ132" s="251">
        <f t="shared" si="563"/>
        <v>2.3397551414717519</v>
      </c>
      <c r="AK132" s="251">
        <f t="shared" si="563"/>
        <v>2.2947732513451191</v>
      </c>
      <c r="AL132" s="251">
        <f>(AL122-AL112)/AL$84</f>
        <v>2.2841500714306262</v>
      </c>
      <c r="AM132" s="251">
        <f t="shared" ref="AM132:AO132" si="564">(AM122-AM112)/AM$84</f>
        <v>2.2812739722135409</v>
      </c>
      <c r="AN132" s="251">
        <f t="shared" si="564"/>
        <v>2.369426511474483</v>
      </c>
      <c r="AO132" s="251">
        <f t="shared" si="564"/>
        <v>2.4217025625638766</v>
      </c>
      <c r="AP132" s="251">
        <f>(AP122-AP112)/AP$84</f>
        <v>2.501396120352025</v>
      </c>
      <c r="AQ132" s="251">
        <f t="shared" ref="AQ132:AS132" si="565">(AQ122-AQ112)/AQ$84</f>
        <v>2.4683170586347591</v>
      </c>
      <c r="AR132" s="251">
        <f t="shared" si="565"/>
        <v>2.5516615052083806</v>
      </c>
      <c r="AS132" s="251">
        <f t="shared" si="565"/>
        <v>2.5978742249778564</v>
      </c>
      <c r="AT132" s="251">
        <f>(AT122-AT112)/AT$84</f>
        <v>2.5458010806339959</v>
      </c>
      <c r="AU132" s="251">
        <f>(AU122-AU112)/AU$84</f>
        <v>2.5159689755852903</v>
      </c>
      <c r="AV132" s="251">
        <f t="shared" ref="AV132" si="566">(AV122-AV112)/AV$84</f>
        <v>2.5594770423001547</v>
      </c>
      <c r="AW132" s="66"/>
      <c r="AY132" s="66">
        <f t="shared" ref="AY132" si="567">(AY122-AY112)/AY$84</f>
        <v>2.1885637590104943</v>
      </c>
    </row>
    <row r="133" spans="2:51" s="2" customFormat="1" ht="13.5" customHeight="1">
      <c r="B133" s="64" t="s">
        <v>357</v>
      </c>
      <c r="C133" s="67">
        <f>(C123-C112)/C$84</f>
        <v>3.393276971886519</v>
      </c>
      <c r="D133" s="67">
        <f t="shared" ref="D133:F133" si="568">(D123-D112)/D$84</f>
        <v>2.9177964096149296</v>
      </c>
      <c r="E133" s="67">
        <f t="shared" si="568"/>
        <v>3.1085952103833812</v>
      </c>
      <c r="F133" s="67">
        <f t="shared" si="568"/>
        <v>2.4521617319325055</v>
      </c>
      <c r="G133" s="67">
        <f t="shared" ref="G133:L133" si="569">(G123-G112)/G$84</f>
        <v>2.6277514332224503</v>
      </c>
      <c r="H133" s="67">
        <f t="shared" si="569"/>
        <v>2.6261789142031216</v>
      </c>
      <c r="I133" s="67">
        <f t="shared" si="569"/>
        <v>2.4892780914005308</v>
      </c>
      <c r="J133" s="67">
        <f t="shared" si="569"/>
        <v>2.4430041132534974</v>
      </c>
      <c r="K133" s="67">
        <f t="shared" si="569"/>
        <v>2.5949039303322121</v>
      </c>
      <c r="L133" s="67">
        <f t="shared" si="569"/>
        <v>2.6525698771026063</v>
      </c>
      <c r="M133" s="67">
        <f t="shared" ref="M133" si="570">(M123-M112)/M$84</f>
        <v>2.6660193827237828</v>
      </c>
      <c r="N133" s="67"/>
      <c r="O133" s="69"/>
      <c r="P133" s="69"/>
      <c r="Q133" s="69"/>
      <c r="R133" s="67">
        <f t="shared" ref="R133:W133" si="571">(R123-R112)/R$84</f>
        <v>4.4598631538108844</v>
      </c>
      <c r="S133" s="67">
        <f t="shared" si="571"/>
        <v>2.824998376307073</v>
      </c>
      <c r="T133" s="67">
        <f t="shared" si="571"/>
        <v>2.6076520374756726</v>
      </c>
      <c r="U133" s="67">
        <f t="shared" si="571"/>
        <v>2.5675628994185042</v>
      </c>
      <c r="V133" s="67">
        <f t="shared" si="571"/>
        <v>2.4521617319325055</v>
      </c>
      <c r="W133" s="67">
        <f t="shared" si="571"/>
        <v>2.5659872786573859</v>
      </c>
      <c r="X133" s="67">
        <f t="shared" ref="X133:AA133" si="572">(X123-X112)/X$84</f>
        <v>2.8719989258992542</v>
      </c>
      <c r="Y133" s="67">
        <f t="shared" si="572"/>
        <v>2.5781526606268876</v>
      </c>
      <c r="Z133" s="67">
        <f t="shared" si="572"/>
        <v>2.6277514332224503</v>
      </c>
      <c r="AA133" s="67">
        <f t="shared" si="572"/>
        <v>2.5588989511620386</v>
      </c>
      <c r="AB133" s="67">
        <f t="shared" ref="AB133:AC133" si="573">(AB123-AB112)/AB$84</f>
        <v>2.6676208039643838</v>
      </c>
      <c r="AC133" s="67">
        <f t="shared" si="573"/>
        <v>2.7171485069762817</v>
      </c>
      <c r="AD133" s="67">
        <f>(AD123-AD112)/AD$84</f>
        <v>2.6261789142031216</v>
      </c>
      <c r="AE133" s="67">
        <f t="shared" ref="AE133:AG133" si="574">(AE123-AE112)/AE$84</f>
        <v>2.7321496957576272</v>
      </c>
      <c r="AF133" s="67">
        <f t="shared" si="574"/>
        <v>2.7406056376747236</v>
      </c>
      <c r="AG133" s="67">
        <f t="shared" si="574"/>
        <v>2.7084217751729236</v>
      </c>
      <c r="AH133" s="67">
        <f>(AH123-AH112)/AH$84</f>
        <v>2.4892780914005308</v>
      </c>
      <c r="AI133" s="67">
        <f t="shared" ref="AI133:AK133" si="575">(AI123-AI112)/AI$84</f>
        <v>2.3294583206802306</v>
      </c>
      <c r="AJ133" s="67">
        <f t="shared" si="575"/>
        <v>2.4900979062552251</v>
      </c>
      <c r="AK133" s="67">
        <f t="shared" si="575"/>
        <v>2.4912521503605287</v>
      </c>
      <c r="AL133" s="67">
        <f>(AL123-AL112)/AL$84</f>
        <v>2.4430041132534974</v>
      </c>
      <c r="AM133" s="67">
        <f t="shared" ref="AM133:AO133" si="576">(AM123-AM112)/AM$84</f>
        <v>2.4144008485571686</v>
      </c>
      <c r="AN133" s="67">
        <f t="shared" si="576"/>
        <v>2.482201592761887</v>
      </c>
      <c r="AO133" s="67">
        <f t="shared" si="576"/>
        <v>2.5370882598381637</v>
      </c>
      <c r="AP133" s="67">
        <f>(AP123-AP112)/AP$84</f>
        <v>2.5949039303322121</v>
      </c>
      <c r="AQ133" s="67">
        <f t="shared" ref="AQ133:AS133" si="577">(AQ123-AQ112)/AQ$84</f>
        <v>2.5953880713336086</v>
      </c>
      <c r="AR133" s="67">
        <f t="shared" si="577"/>
        <v>2.6501711908891936</v>
      </c>
      <c r="AS133" s="67">
        <f t="shared" si="577"/>
        <v>2.6891777082843769</v>
      </c>
      <c r="AT133" s="67">
        <f>(AT123-AT112)/AT$84</f>
        <v>2.6525698771026063</v>
      </c>
      <c r="AU133" s="67">
        <f>(AU123-AU112)/AU$84</f>
        <v>2.6462285274150501</v>
      </c>
      <c r="AV133" s="67">
        <f t="shared" ref="AV133" si="578">(AV123-AV112)/AV$84</f>
        <v>2.6660193827237828</v>
      </c>
      <c r="AW133" s="67"/>
      <c r="AY133" s="67">
        <f t="shared" ref="AY133" si="579">(AY123-AY112)/AY$84</f>
        <v>2.5781526606268876</v>
      </c>
    </row>
    <row r="134" spans="2:51" ht="13.5" customHeight="1">
      <c r="B134" s="5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70"/>
      <c r="P134" s="70"/>
      <c r="Q134" s="70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Y134" s="38"/>
    </row>
    <row r="135" spans="2:51" s="2" customFormat="1" ht="13.5" customHeight="1">
      <c r="B135" s="58" t="s">
        <v>358</v>
      </c>
      <c r="C135" s="251">
        <f t="shared" ref="C135:I135" si="580">C122/C84</f>
        <v>2.6831594197582938</v>
      </c>
      <c r="D135" s="251">
        <f t="shared" si="580"/>
        <v>2.3615740897258188</v>
      </c>
      <c r="E135" s="251">
        <f t="shared" si="580"/>
        <v>2.1976863118541248</v>
      </c>
      <c r="F135" s="251">
        <f t="shared" si="580"/>
        <v>2.3495956701687359</v>
      </c>
      <c r="G135" s="251">
        <f t="shared" si="580"/>
        <v>2.3893292754854083</v>
      </c>
      <c r="H135" s="251">
        <f t="shared" si="580"/>
        <v>2.6030841539373393</v>
      </c>
      <c r="I135" s="251">
        <f t="shared" si="580"/>
        <v>2.6572480102132414</v>
      </c>
      <c r="J135" s="251">
        <f t="shared" ref="J135:K135" si="581">J122/J84</f>
        <v>2.7400212853677477</v>
      </c>
      <c r="K135" s="251">
        <f t="shared" si="581"/>
        <v>2.9993733585218632</v>
      </c>
      <c r="L135" s="251">
        <f t="shared" ref="L135" si="582">L122/L84</f>
        <v>3.1227355683217808</v>
      </c>
      <c r="M135" s="251">
        <f t="shared" ref="M135" si="583">M122/M84</f>
        <v>3.1240637500111856</v>
      </c>
      <c r="N135" s="251"/>
      <c r="O135" s="252"/>
      <c r="P135" s="252"/>
      <c r="Q135" s="252"/>
      <c r="R135" s="251">
        <f t="shared" ref="R135:AH135" si="584">R122/R84</f>
        <v>3.548954255281628</v>
      </c>
      <c r="S135" s="251">
        <f t="shared" si="584"/>
        <v>2.3682860297460544</v>
      </c>
      <c r="T135" s="251">
        <f t="shared" si="584"/>
        <v>2.4606611046573028</v>
      </c>
      <c r="U135" s="251">
        <f t="shared" si="584"/>
        <v>2.4875208705164371</v>
      </c>
      <c r="V135" s="251">
        <f t="shared" si="584"/>
        <v>2.3495956701687359</v>
      </c>
      <c r="W135" s="251">
        <f t="shared" si="584"/>
        <v>2.3834022718468439</v>
      </c>
      <c r="X135" s="251">
        <f t="shared" si="584"/>
        <v>2.516019968509319</v>
      </c>
      <c r="Y135" s="251">
        <f t="shared" si="584"/>
        <v>2.3978849202216899</v>
      </c>
      <c r="Z135" s="251">
        <f t="shared" si="584"/>
        <v>2.3893292754854083</v>
      </c>
      <c r="AA135" s="251">
        <f t="shared" si="584"/>
        <v>2.4316869195582869</v>
      </c>
      <c r="AB135" s="251">
        <f t="shared" si="584"/>
        <v>2.6456153054182177</v>
      </c>
      <c r="AC135" s="251">
        <f t="shared" si="584"/>
        <v>2.7569735199566949</v>
      </c>
      <c r="AD135" s="251">
        <f t="shared" si="584"/>
        <v>2.6030841539373393</v>
      </c>
      <c r="AE135" s="251">
        <f t="shared" si="584"/>
        <v>2.6832475213820688</v>
      </c>
      <c r="AF135" s="251">
        <f t="shared" si="584"/>
        <v>2.6931527416523928</v>
      </c>
      <c r="AG135" s="251">
        <f t="shared" si="584"/>
        <v>2.8962458419135118</v>
      </c>
      <c r="AH135" s="251">
        <f t="shared" si="584"/>
        <v>2.6572480102132414</v>
      </c>
      <c r="AI135" s="251">
        <f t="shared" ref="AI135:AL135" si="585">AI122/AI84</f>
        <v>2.4685886729426056</v>
      </c>
      <c r="AJ135" s="251">
        <f t="shared" si="585"/>
        <v>2.7347149200215504</v>
      </c>
      <c r="AK135" s="251">
        <f t="shared" si="585"/>
        <v>2.6970279272354598</v>
      </c>
      <c r="AL135" s="251">
        <f t="shared" si="585"/>
        <v>2.7400212853677477</v>
      </c>
      <c r="AM135" s="251">
        <f t="shared" ref="AM135:AP135" si="586">AM122/AM84</f>
        <v>2.750452216571488</v>
      </c>
      <c r="AN135" s="251">
        <f t="shared" si="586"/>
        <v>2.8583290137128317</v>
      </c>
      <c r="AO135" s="251">
        <f t="shared" si="586"/>
        <v>2.9146655915087529</v>
      </c>
      <c r="AP135" s="251">
        <f t="shared" si="586"/>
        <v>2.9993733585218632</v>
      </c>
      <c r="AQ135" s="251">
        <f t="shared" ref="AQ135:AT135" si="587">AQ122/AQ84</f>
        <v>2.9617384128730575</v>
      </c>
      <c r="AR135" s="251">
        <f t="shared" si="587"/>
        <v>3.058105003133202</v>
      </c>
      <c r="AS135" s="251">
        <f t="shared" si="587"/>
        <v>3.1469875815693857</v>
      </c>
      <c r="AT135" s="251">
        <f t="shared" si="587"/>
        <v>3.1227355683217808</v>
      </c>
      <c r="AU135" s="251">
        <f t="shared" ref="AU135:AV135" si="588">AU122/AU84</f>
        <v>3.0697870206172642</v>
      </c>
      <c r="AV135" s="251">
        <f t="shared" si="588"/>
        <v>3.1240637500111856</v>
      </c>
      <c r="AW135" s="39"/>
      <c r="AY135" s="39">
        <f>AY122/AY84</f>
        <v>2.3978849202216899</v>
      </c>
    </row>
    <row r="136" spans="2:51" ht="13.5" customHeight="1">
      <c r="B136" s="64" t="s">
        <v>359</v>
      </c>
      <c r="C136" s="38">
        <f t="shared" ref="C136:I136" si="589">C123/C84</f>
        <v>3.393276971886519</v>
      </c>
      <c r="D136" s="38">
        <f t="shared" si="589"/>
        <v>2.9177964096149296</v>
      </c>
      <c r="E136" s="38">
        <f t="shared" si="589"/>
        <v>3.1085952103833812</v>
      </c>
      <c r="F136" s="38">
        <f t="shared" si="589"/>
        <v>2.6599299586119072</v>
      </c>
      <c r="G136" s="38">
        <f t="shared" si="589"/>
        <v>2.8639677259537124</v>
      </c>
      <c r="H136" s="38">
        <f t="shared" si="589"/>
        <v>2.8516777755825684</v>
      </c>
      <c r="I136" s="38">
        <f t="shared" si="589"/>
        <v>2.9125191996967943</v>
      </c>
      <c r="J136" s="38">
        <f t="shared" ref="J136:K136" si="590">J123/J84</f>
        <v>2.8988753271906189</v>
      </c>
      <c r="K136" s="38">
        <f t="shared" si="590"/>
        <v>3.0928811685020503</v>
      </c>
      <c r="L136" s="38">
        <f t="shared" ref="L136" si="591">L123/L84</f>
        <v>3.2295043647903912</v>
      </c>
      <c r="M136" s="38">
        <f t="shared" ref="M136" si="592">M123/M84</f>
        <v>3.2306060904348137</v>
      </c>
      <c r="N136" s="38"/>
      <c r="O136" s="70"/>
      <c r="P136" s="70"/>
      <c r="Q136" s="70"/>
      <c r="R136" s="38">
        <f t="shared" ref="R136:AH136" si="593">R123/R84</f>
        <v>4.4598631538108844</v>
      </c>
      <c r="S136" s="38">
        <f t="shared" si="593"/>
        <v>3.1035916087549524</v>
      </c>
      <c r="T136" s="38">
        <f t="shared" si="593"/>
        <v>2.9449632635819141</v>
      </c>
      <c r="U136" s="38">
        <f t="shared" si="593"/>
        <v>2.8781305774655994</v>
      </c>
      <c r="V136" s="38">
        <f t="shared" si="593"/>
        <v>2.6599299586119072</v>
      </c>
      <c r="W136" s="38">
        <f t="shared" si="593"/>
        <v>2.7700910988090923</v>
      </c>
      <c r="X136" s="38">
        <f t="shared" si="593"/>
        <v>3.0746866189017319</v>
      </c>
      <c r="Y136" s="38">
        <f t="shared" si="593"/>
        <v>2.7874738218380828</v>
      </c>
      <c r="Z136" s="38">
        <f t="shared" si="593"/>
        <v>2.8639677259537124</v>
      </c>
      <c r="AA136" s="38">
        <f t="shared" si="593"/>
        <v>2.7953264334888877</v>
      </c>
      <c r="AB136" s="38">
        <f t="shared" si="593"/>
        <v>2.9077579282021113</v>
      </c>
      <c r="AC136" s="38">
        <f t="shared" si="593"/>
        <v>2.9567945559593904</v>
      </c>
      <c r="AD136" s="38">
        <f t="shared" si="593"/>
        <v>2.8516777755825684</v>
      </c>
      <c r="AE136" s="38">
        <f t="shared" si="593"/>
        <v>2.9580230628483895</v>
      </c>
      <c r="AF136" s="38">
        <f t="shared" si="593"/>
        <v>3.1040622554928206</v>
      </c>
      <c r="AG136" s="38">
        <f t="shared" si="593"/>
        <v>3.1046623369766091</v>
      </c>
      <c r="AH136" s="38">
        <f t="shared" si="593"/>
        <v>2.9125191996967943</v>
      </c>
      <c r="AI136" s="38">
        <f t="shared" ref="AI136:AL136" si="594">AI123/AI84</f>
        <v>2.7161402976009716</v>
      </c>
      <c r="AJ136" s="38">
        <f t="shared" si="594"/>
        <v>2.8850576848050236</v>
      </c>
      <c r="AK136" s="38">
        <f t="shared" si="594"/>
        <v>2.8935068262508694</v>
      </c>
      <c r="AL136" s="38">
        <f t="shared" si="594"/>
        <v>2.8988753271906189</v>
      </c>
      <c r="AM136" s="38">
        <f t="shared" ref="AM136:AP136" si="595">AM123/AM84</f>
        <v>2.8835790929151157</v>
      </c>
      <c r="AN136" s="38">
        <f t="shared" si="595"/>
        <v>2.9711040950002356</v>
      </c>
      <c r="AO136" s="38">
        <f t="shared" si="595"/>
        <v>3.03005128878304</v>
      </c>
      <c r="AP136" s="38">
        <f t="shared" si="595"/>
        <v>3.0928811685020503</v>
      </c>
      <c r="AQ136" s="38">
        <f t="shared" ref="AQ136:AT136" si="596">AQ123/AQ84</f>
        <v>3.0888094255719065</v>
      </c>
      <c r="AR136" s="38">
        <f t="shared" si="596"/>
        <v>3.156614688814015</v>
      </c>
      <c r="AS136" s="38">
        <f t="shared" si="596"/>
        <v>3.2382910648759062</v>
      </c>
      <c r="AT136" s="38">
        <f t="shared" si="596"/>
        <v>3.2295043647903912</v>
      </c>
      <c r="AU136" s="38">
        <f t="shared" ref="AU136:AV136" si="597">AU123/AU84</f>
        <v>3.200046572447024</v>
      </c>
      <c r="AV136" s="38">
        <f t="shared" si="597"/>
        <v>3.2306060904348137</v>
      </c>
      <c r="AW136" s="38"/>
      <c r="AY136" s="38">
        <f>AY123/AY84</f>
        <v>2.7874738218380828</v>
      </c>
    </row>
    <row r="137" spans="2:51" ht="13.5" customHeight="1">
      <c r="B137" s="64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71"/>
      <c r="P137" s="71"/>
      <c r="Q137" s="71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Y137" s="40"/>
    </row>
    <row r="138" spans="2:51" ht="13.5" customHeight="1">
      <c r="B138" s="58" t="s">
        <v>360</v>
      </c>
      <c r="C138" s="251">
        <f t="shared" ref="C138:I138" si="598">C125/C84</f>
        <v>2.6445194300280583</v>
      </c>
      <c r="D138" s="251">
        <f t="shared" si="598"/>
        <v>2.3522938571283682</v>
      </c>
      <c r="E138" s="251">
        <f t="shared" si="598"/>
        <v>2.1845131026699116</v>
      </c>
      <c r="F138" s="251">
        <f t="shared" si="598"/>
        <v>2.1440815027061446</v>
      </c>
      <c r="G138" s="251">
        <f t="shared" si="598"/>
        <v>2.1427324415504754</v>
      </c>
      <c r="H138" s="251">
        <f t="shared" si="598"/>
        <v>2.3776788778088571</v>
      </c>
      <c r="I138" s="251">
        <f t="shared" si="598"/>
        <v>2.2507929225429377</v>
      </c>
      <c r="J138" s="251">
        <f t="shared" ref="J138:K138" si="599">J125/J84</f>
        <v>2.298858068784337</v>
      </c>
      <c r="K138" s="251">
        <f t="shared" si="599"/>
        <v>2.516085333824817</v>
      </c>
      <c r="L138" s="251">
        <f t="shared" ref="L138" si="600">L125/L84</f>
        <v>2.5594753261231133</v>
      </c>
      <c r="M138" s="251">
        <f t="shared" ref="M138" si="601">M125/M84</f>
        <v>2.5712892285389577</v>
      </c>
      <c r="N138" s="251"/>
      <c r="O138" s="252"/>
      <c r="P138" s="252"/>
      <c r="Q138" s="252"/>
      <c r="R138" s="251">
        <f t="shared" ref="R138:AH138" si="602">R125/R84</f>
        <v>2.1845131026699116</v>
      </c>
      <c r="S138" s="251">
        <f t="shared" si="602"/>
        <v>2.0942716113528608</v>
      </c>
      <c r="T138" s="251">
        <f t="shared" si="602"/>
        <v>2.1287358749603973</v>
      </c>
      <c r="U138" s="251">
        <f t="shared" si="602"/>
        <v>2.1761903391099087</v>
      </c>
      <c r="V138" s="251">
        <f t="shared" si="602"/>
        <v>2.1440815027061446</v>
      </c>
      <c r="W138" s="251">
        <f t="shared" si="602"/>
        <v>2.1497444484710644</v>
      </c>
      <c r="X138" s="251">
        <f t="shared" si="602"/>
        <v>2.305581662170904</v>
      </c>
      <c r="Y138" s="251">
        <f t="shared" si="602"/>
        <v>2.1887604568016941</v>
      </c>
      <c r="Z138" s="251">
        <f t="shared" si="602"/>
        <v>2.1427324415504754</v>
      </c>
      <c r="AA138" s="251">
        <f t="shared" si="602"/>
        <v>2.1843667698563047</v>
      </c>
      <c r="AB138" s="251">
        <f t="shared" si="602"/>
        <v>2.3791960356160975</v>
      </c>
      <c r="AC138" s="251">
        <f t="shared" si="602"/>
        <v>2.5124777675898411</v>
      </c>
      <c r="AD138" s="251">
        <f t="shared" si="602"/>
        <v>2.3776788778088571</v>
      </c>
      <c r="AE138" s="251">
        <f t="shared" si="602"/>
        <v>2.4427790306795454</v>
      </c>
      <c r="AF138" s="251">
        <f t="shared" si="602"/>
        <v>2.2793144283025653</v>
      </c>
      <c r="AG138" s="251">
        <f t="shared" si="602"/>
        <v>2.50059665241037</v>
      </c>
      <c r="AH138" s="251">
        <f t="shared" si="602"/>
        <v>2.2507929225429377</v>
      </c>
      <c r="AI138" s="251">
        <f t="shared" ref="AI138:AL138" si="603">AI125/AI84</f>
        <v>2.0947084725174614</v>
      </c>
      <c r="AJ138" s="251">
        <f t="shared" si="603"/>
        <v>2.3525554089954857</v>
      </c>
      <c r="AK138" s="251">
        <f t="shared" si="603"/>
        <v>2.3070623330039166</v>
      </c>
      <c r="AL138" s="251">
        <f t="shared" si="603"/>
        <v>2.298858068784337</v>
      </c>
      <c r="AM138" s="251">
        <f t="shared" ref="AM138:AP138" si="604">AM125/AM84</f>
        <v>2.293604568571185</v>
      </c>
      <c r="AN138" s="251">
        <f t="shared" si="604"/>
        <v>2.3814334856981292</v>
      </c>
      <c r="AO138" s="251">
        <f t="shared" si="604"/>
        <v>2.4358515156913674</v>
      </c>
      <c r="AP138" s="251">
        <f t="shared" si="604"/>
        <v>2.516085333824817</v>
      </c>
      <c r="AQ138" s="251">
        <f t="shared" ref="AQ138:AT138" si="605">AQ125/AQ84</f>
        <v>2.4821711823224684</v>
      </c>
      <c r="AR138" s="251">
        <f t="shared" si="605"/>
        <v>2.5659198445205291</v>
      </c>
      <c r="AS138" s="251">
        <f t="shared" si="605"/>
        <v>2.6122358598000761</v>
      </c>
      <c r="AT138" s="251">
        <f t="shared" si="605"/>
        <v>2.5594753261231133</v>
      </c>
      <c r="AU138" s="251">
        <f t="shared" ref="AU138:AV138" si="606">AU125/AU84</f>
        <v>2.5280957242911137</v>
      </c>
      <c r="AV138" s="251">
        <f t="shared" si="606"/>
        <v>2.5712892285389577</v>
      </c>
      <c r="AW138" s="38"/>
      <c r="AY138" s="38">
        <f>AY125/AY84</f>
        <v>2.1887604568016941</v>
      </c>
    </row>
    <row r="139" spans="2:51" ht="13.5" customHeight="1">
      <c r="B139" s="64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70"/>
      <c r="P139" s="70"/>
      <c r="Q139" s="70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Y139" s="38"/>
    </row>
    <row r="140" spans="2:51" ht="13.5" customHeight="1">
      <c r="B140" s="58" t="s">
        <v>361</v>
      </c>
      <c r="C140" s="251">
        <f t="shared" ref="C140:I140" si="607">(C84-C87)/C85</f>
        <v>2.0873771498771498</v>
      </c>
      <c r="D140" s="251">
        <f t="shared" si="607"/>
        <v>3.1387789711701526</v>
      </c>
      <c r="E140" s="251">
        <f t="shared" si="607"/>
        <v>1.2518899304505595</v>
      </c>
      <c r="F140" s="251">
        <f t="shared" si="607"/>
        <v>-1.5332493350132996</v>
      </c>
      <c r="G140" s="251">
        <f t="shared" si="607"/>
        <v>0.81756109247724007</v>
      </c>
      <c r="H140" s="251">
        <f t="shared" si="607"/>
        <v>-0.73873570948217893</v>
      </c>
      <c r="I140" s="251">
        <f t="shared" si="607"/>
        <v>7.272162432042605</v>
      </c>
      <c r="J140" s="251">
        <f t="shared" ref="J140" si="608">(J84-J87)/J85</f>
        <v>5.1294904786412765</v>
      </c>
      <c r="K140" s="251">
        <f t="shared" ref="K140:L140" si="609">(K84-K87)/K85</f>
        <v>4.1978584729981376</v>
      </c>
      <c r="L140" s="251">
        <f t="shared" si="609"/>
        <v>3.7472228519610065</v>
      </c>
      <c r="M140" s="251">
        <f t="shared" ref="M140" si="610">(M84-M87)/M85</f>
        <v>4.558682223747426</v>
      </c>
      <c r="N140" s="251"/>
      <c r="O140" s="252"/>
      <c r="P140" s="252"/>
      <c r="Q140" s="252"/>
      <c r="R140" s="251">
        <f t="shared" ref="R140:AH140" si="611">(R84-R87)/R85</f>
        <v>1.2518899304505595</v>
      </c>
      <c r="S140" s="251">
        <f t="shared" si="611"/>
        <v>1.0557025279247501</v>
      </c>
      <c r="T140" s="251">
        <f t="shared" si="611"/>
        <v>1.2684869169510808</v>
      </c>
      <c r="U140" s="251">
        <f t="shared" si="611"/>
        <v>3.8646659116647789E-2</v>
      </c>
      <c r="V140" s="251">
        <f t="shared" si="611"/>
        <v>-1.5332493350132996</v>
      </c>
      <c r="W140" s="251">
        <f t="shared" si="611"/>
        <v>-1.0269100743745774</v>
      </c>
      <c r="X140" s="251">
        <f t="shared" si="611"/>
        <v>-0.99350649350649356</v>
      </c>
      <c r="Y140" s="251">
        <f t="shared" si="611"/>
        <v>-0.21821156992973337</v>
      </c>
      <c r="Z140" s="251">
        <f t="shared" si="611"/>
        <v>0.81756109247724007</v>
      </c>
      <c r="AA140" s="251">
        <f t="shared" si="611"/>
        <v>0.66764602185920785</v>
      </c>
      <c r="AB140" s="251">
        <f t="shared" si="611"/>
        <v>-0.34763348099790159</v>
      </c>
      <c r="AC140" s="251">
        <f t="shared" si="611"/>
        <v>-1.6351163866193927</v>
      </c>
      <c r="AD140" s="251">
        <f t="shared" si="611"/>
        <v>-0.73873570948217893</v>
      </c>
      <c r="AE140" s="251">
        <f t="shared" si="611"/>
        <v>-1.2582244254168544</v>
      </c>
      <c r="AF140" s="251">
        <f t="shared" si="611"/>
        <v>4.0581009296148736</v>
      </c>
      <c r="AG140" s="251">
        <f t="shared" si="611"/>
        <v>5.7028732394366193</v>
      </c>
      <c r="AH140" s="251">
        <f t="shared" si="611"/>
        <v>7.272162432042605</v>
      </c>
      <c r="AI140" s="251">
        <f t="shared" ref="AI140:AL140" si="612">(AI84-AI87)/AI85</f>
        <v>8.4537502733435375</v>
      </c>
      <c r="AJ140" s="251">
        <f t="shared" si="612"/>
        <v>3.9310306775546238</v>
      </c>
      <c r="AK140" s="251">
        <f t="shared" si="612"/>
        <v>5.0470066998054897</v>
      </c>
      <c r="AL140" s="251">
        <f t="shared" si="612"/>
        <v>5.1294904786412765</v>
      </c>
      <c r="AM140" s="251">
        <f t="shared" ref="AM140:AP140" si="613">(AM84-AM87)/AM85</f>
        <v>5.1479486116866973</v>
      </c>
      <c r="AN140" s="251">
        <f t="shared" si="613"/>
        <v>6.2207251832771941</v>
      </c>
      <c r="AO140" s="251">
        <f t="shared" si="613"/>
        <v>5.8565247320287144</v>
      </c>
      <c r="AP140" s="251">
        <f t="shared" si="613"/>
        <v>4.1978584729981376</v>
      </c>
      <c r="AQ140" s="251">
        <f t="shared" ref="AQ140:AT140" si="614">(AQ84-AQ87)/AQ85</f>
        <v>4.0964235624123422</v>
      </c>
      <c r="AR140" s="251">
        <f t="shared" si="614"/>
        <v>3.9904654169360052</v>
      </c>
      <c r="AS140" s="251">
        <f t="shared" si="614"/>
        <v>3.2128831975164922</v>
      </c>
      <c r="AT140" s="251">
        <f t="shared" si="614"/>
        <v>3.7472228519610065</v>
      </c>
      <c r="AU140" s="251">
        <f t="shared" ref="AU140:AV140" si="615">(AU84-AU87)/AU85</f>
        <v>4.0016278209396967</v>
      </c>
      <c r="AV140" s="251">
        <f t="shared" si="615"/>
        <v>4.558682223747426</v>
      </c>
      <c r="AW140" s="39"/>
      <c r="AY140" s="39">
        <f>(AY84-AY87)/AY85</f>
        <v>-0.63943094548659196</v>
      </c>
    </row>
    <row r="141" spans="2:51" ht="13.5" customHeight="1">
      <c r="B141" s="64" t="s">
        <v>362</v>
      </c>
      <c r="C141" s="38">
        <f t="shared" ref="C141:I141" si="616">(C84)/C85</f>
        <v>8.3736179361179364</v>
      </c>
      <c r="D141" s="38">
        <f t="shared" si="616"/>
        <v>8.3603730921424528</v>
      </c>
      <c r="E141" s="38">
        <f t="shared" si="616"/>
        <v>8.5736316903537944</v>
      </c>
      <c r="F141" s="38">
        <f t="shared" si="616"/>
        <v>10.993280134397311</v>
      </c>
      <c r="G141" s="38">
        <f t="shared" si="616"/>
        <v>10.155007187350263</v>
      </c>
      <c r="H141" s="38">
        <f t="shared" si="616"/>
        <v>10.778861241874019</v>
      </c>
      <c r="I141" s="38">
        <f t="shared" si="616"/>
        <v>11.124153999778098</v>
      </c>
      <c r="J141" s="38">
        <f t="shared" ref="J141" si="617">(J84)/J85</f>
        <v>10.735666495110653</v>
      </c>
      <c r="K141" s="38">
        <f t="shared" ref="K141:L141" si="618">(K84)/K85</f>
        <v>10.103817504655494</v>
      </c>
      <c r="L141" s="38">
        <f t="shared" si="618"/>
        <v>8.4055769666742233</v>
      </c>
      <c r="M141" s="38">
        <f t="shared" ref="M141" si="619">(M84)/M85</f>
        <v>8.5220010676427975</v>
      </c>
      <c r="N141" s="38"/>
      <c r="O141" s="70"/>
      <c r="P141" s="70"/>
      <c r="Q141" s="70"/>
      <c r="R141" s="38">
        <f t="shared" ref="R141:AH141" si="620">(R84)/R85</f>
        <v>8.5736316903537944</v>
      </c>
      <c r="S141" s="38">
        <f t="shared" si="620"/>
        <v>9.0517342739564963</v>
      </c>
      <c r="T141" s="38">
        <f t="shared" si="620"/>
        <v>9.4259101251422077</v>
      </c>
      <c r="U141" s="38">
        <f t="shared" si="620"/>
        <v>9.8352208380520949</v>
      </c>
      <c r="V141" s="38">
        <f t="shared" si="620"/>
        <v>10.993280134397311</v>
      </c>
      <c r="W141" s="38">
        <f t="shared" si="620"/>
        <v>10.821230561189994</v>
      </c>
      <c r="X141" s="38">
        <f t="shared" si="620"/>
        <v>10.64012987012987</v>
      </c>
      <c r="Y141" s="38">
        <f t="shared" si="620"/>
        <v>8.3190874963904129</v>
      </c>
      <c r="Z141" s="38">
        <f t="shared" si="620"/>
        <v>10.155007187350263</v>
      </c>
      <c r="AA141" s="38">
        <f t="shared" si="620"/>
        <v>10.174168527441532</v>
      </c>
      <c r="AB141" s="38">
        <f t="shared" si="620"/>
        <v>10.30391699696899</v>
      </c>
      <c r="AC141" s="38">
        <f t="shared" si="620"/>
        <v>13.954216124556806</v>
      </c>
      <c r="AD141" s="38">
        <f t="shared" si="620"/>
        <v>10.778861241874019</v>
      </c>
      <c r="AE141" s="38">
        <f t="shared" si="620"/>
        <v>10.590806669671023</v>
      </c>
      <c r="AF141" s="38">
        <f t="shared" si="620"/>
        <v>10.4667994687915</v>
      </c>
      <c r="AG141" s="38">
        <f t="shared" si="620"/>
        <v>10.669859154929577</v>
      </c>
      <c r="AH141" s="38">
        <f t="shared" si="620"/>
        <v>11.124153999778098</v>
      </c>
      <c r="AI141" s="38">
        <f t="shared" ref="AI141:AL141" si="621">(AI84)/AI85</f>
        <v>11.521539470806911</v>
      </c>
      <c r="AJ141" s="38">
        <f t="shared" si="621"/>
        <v>11.879717501655264</v>
      </c>
      <c r="AK141" s="38">
        <f t="shared" si="621"/>
        <v>11.809379727685325</v>
      </c>
      <c r="AL141" s="38">
        <f t="shared" si="621"/>
        <v>10.735666495110653</v>
      </c>
      <c r="AM141" s="38">
        <f t="shared" ref="AM141:AP141" si="622">(AM84)/AM85</f>
        <v>10.939805221715707</v>
      </c>
      <c r="AN141" s="38">
        <f t="shared" si="622"/>
        <v>10.511690112938378</v>
      </c>
      <c r="AO141" s="38">
        <f t="shared" si="622"/>
        <v>10.487855246336906</v>
      </c>
      <c r="AP141" s="38">
        <f t="shared" si="622"/>
        <v>10.103817504655494</v>
      </c>
      <c r="AQ141" s="38">
        <f t="shared" ref="AQ141:AT141" si="623">(AQ84)/AQ85</f>
        <v>9.560396213183731</v>
      </c>
      <c r="AR141" s="38">
        <f t="shared" si="623"/>
        <v>8.8971396250808024</v>
      </c>
      <c r="AS141" s="38">
        <f t="shared" si="623"/>
        <v>8.5868839736127285</v>
      </c>
      <c r="AT141" s="38">
        <f t="shared" si="623"/>
        <v>8.4055769666742233</v>
      </c>
      <c r="AU141" s="38">
        <f t="shared" ref="AU141:AV141" si="624">(AU84)/AU85</f>
        <v>8.2614872364039957</v>
      </c>
      <c r="AV141" s="38">
        <f t="shared" si="624"/>
        <v>8.5220010676427975</v>
      </c>
      <c r="AW141" s="38"/>
      <c r="AY141" s="38">
        <f>(AY84)/AY85</f>
        <v>10.880901422636283</v>
      </c>
    </row>
    <row r="142" spans="2:51" s="2" customFormat="1" ht="13.5" customHeight="1">
      <c r="B142" s="64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72"/>
      <c r="P142" s="72"/>
      <c r="Q142" s="72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Y142" s="41"/>
    </row>
    <row r="143" spans="2:51" ht="13.5" customHeight="1">
      <c r="B143" s="58" t="s">
        <v>363</v>
      </c>
      <c r="C143" s="68">
        <f>C122/C126</f>
        <v>1.3480195693634429</v>
      </c>
      <c r="D143" s="68">
        <f t="shared" ref="D143:F143" si="625">D122/D126</f>
        <v>1.256541017961379</v>
      </c>
      <c r="E143" s="68">
        <f t="shared" si="625"/>
        <v>1.0681946753981451</v>
      </c>
      <c r="F143" s="68">
        <f t="shared" si="625"/>
        <v>1.5865680626021155</v>
      </c>
      <c r="G143" s="68">
        <f t="shared" ref="G143:H143" si="626">G122/G126</f>
        <v>1.6926670287887018</v>
      </c>
      <c r="H143" s="68">
        <f t="shared" si="626"/>
        <v>1.9639587337700546</v>
      </c>
      <c r="I143" s="205">
        <f t="shared" ref="I143:J143" si="627">I122/I126</f>
        <v>2.3378260984020849</v>
      </c>
      <c r="J143" s="205">
        <f t="shared" si="627"/>
        <v>2.5888790245139783</v>
      </c>
      <c r="K143" s="205">
        <f t="shared" ref="K143:L143" si="628">K122/K126</f>
        <v>2.788169786268043</v>
      </c>
      <c r="L143" s="205">
        <f t="shared" si="628"/>
        <v>2.7118743314881755</v>
      </c>
      <c r="M143" s="205">
        <f t="shared" ref="M143" si="629">M122/M126</f>
        <v>3.055221542527589</v>
      </c>
      <c r="N143" s="205"/>
      <c r="O143" s="206"/>
      <c r="P143" s="206"/>
      <c r="Q143" s="206"/>
      <c r="R143" s="205">
        <f t="shared" ref="R143:W143" si="630">R122/R126</f>
        <v>1.72498414276653</v>
      </c>
      <c r="S143" s="205">
        <f t="shared" si="630"/>
        <v>1.2830125611343726</v>
      </c>
      <c r="T143" s="205">
        <f t="shared" si="630"/>
        <v>1.3755703430070254</v>
      </c>
      <c r="U143" s="205">
        <f t="shared" si="630"/>
        <v>1.5113775492356665</v>
      </c>
      <c r="V143" s="205">
        <f t="shared" si="630"/>
        <v>1.5865680626021155</v>
      </c>
      <c r="W143" s="205">
        <f t="shared" si="630"/>
        <v>1.6874165037291315</v>
      </c>
      <c r="X143" s="205">
        <f t="shared" ref="X143:AA143" si="631">X122/X126</f>
        <v>1.7288418474751117</v>
      </c>
      <c r="Y143" s="205">
        <f t="shared" si="631"/>
        <v>1.7466519456220344</v>
      </c>
      <c r="Z143" s="205">
        <f t="shared" si="631"/>
        <v>1.6926670287887018</v>
      </c>
      <c r="AA143" s="205">
        <f t="shared" si="631"/>
        <v>1.8520414896144</v>
      </c>
      <c r="AB143" s="205">
        <f t="shared" ref="AB143:AC143" si="632">AB122/AB126</f>
        <v>1.9373006470427412</v>
      </c>
      <c r="AC143" s="205">
        <f t="shared" si="632"/>
        <v>2.12893154190659</v>
      </c>
      <c r="AD143" s="205">
        <f>AD122/AD126</f>
        <v>1.9639587337700546</v>
      </c>
      <c r="AE143" s="205">
        <f t="shared" ref="AE143:AG143" si="633">AE122/AE126</f>
        <v>1.9838452160918636</v>
      </c>
      <c r="AF143" s="205">
        <f t="shared" si="633"/>
        <v>1.8997516352543689</v>
      </c>
      <c r="AG143" s="205">
        <f t="shared" si="633"/>
        <v>2.148834148176006</v>
      </c>
      <c r="AH143" s="205">
        <f>AH122/AH126</f>
        <v>2.3378260984020849</v>
      </c>
      <c r="AI143" s="205">
        <f t="shared" ref="AI143:AK143" si="634">AI122/AI126</f>
        <v>2.3653127472107802</v>
      </c>
      <c r="AJ143" s="205">
        <f t="shared" si="634"/>
        <v>2.4737461243078371</v>
      </c>
      <c r="AK143" s="205">
        <f t="shared" si="634"/>
        <v>2.5129551790875531</v>
      </c>
      <c r="AL143" s="205">
        <f>AL122/AL126</f>
        <v>2.5888790245139783</v>
      </c>
      <c r="AM143" s="205">
        <f t="shared" ref="AM143:AO143" si="635">AM122/AM126</f>
        <v>2.7336502259036144</v>
      </c>
      <c r="AN143" s="205">
        <f t="shared" si="635"/>
        <v>2.6541608688422729</v>
      </c>
      <c r="AO143" s="205">
        <f t="shared" si="635"/>
        <v>2.7525834359033392</v>
      </c>
      <c r="AP143" s="205">
        <f>AP122/AP126</f>
        <v>2.788169786268043</v>
      </c>
      <c r="AQ143" s="205">
        <f t="shared" ref="AQ143:AS143" si="636">AQ122/AQ126</f>
        <v>2.7656940306174871</v>
      </c>
      <c r="AR143" s="205">
        <f t="shared" si="636"/>
        <v>2.9468788014037299</v>
      </c>
      <c r="AS143" s="205">
        <f t="shared" si="636"/>
        <v>2.8659417904059525</v>
      </c>
      <c r="AT143" s="205">
        <f>AT122/AT126</f>
        <v>2.7118743314881755</v>
      </c>
      <c r="AU143" s="205">
        <f t="shared" ref="AU143:AV143" si="637">AU122/AU126</f>
        <v>2.6952849773527934</v>
      </c>
      <c r="AV143" s="205">
        <f t="shared" si="637"/>
        <v>3.055221542527589</v>
      </c>
      <c r="AW143" s="68"/>
      <c r="AY143" s="68">
        <f t="shared" ref="AY143" si="638">AY122/AY126</f>
        <v>1.7466519456220344</v>
      </c>
    </row>
    <row r="144" spans="2:51" ht="13.5" customHeight="1">
      <c r="B144" s="58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Y144" s="12"/>
    </row>
    <row r="145" spans="2:51" ht="13.5" customHeight="1">
      <c r="B145" s="42" t="s">
        <v>364</v>
      </c>
      <c r="C145" s="43">
        <f t="shared" ref="C145:M145" si="639">C3</f>
        <v>42735</v>
      </c>
      <c r="D145" s="43">
        <f t="shared" si="639"/>
        <v>43100</v>
      </c>
      <c r="E145" s="43">
        <f t="shared" si="639"/>
        <v>43465</v>
      </c>
      <c r="F145" s="43">
        <f t="shared" si="639"/>
        <v>43830</v>
      </c>
      <c r="G145" s="43">
        <f t="shared" si="639"/>
        <v>44196</v>
      </c>
      <c r="H145" s="43">
        <f t="shared" si="639"/>
        <v>44561</v>
      </c>
      <c r="I145" s="43">
        <f t="shared" si="639"/>
        <v>44926</v>
      </c>
      <c r="J145" s="43">
        <f t="shared" si="639"/>
        <v>45291</v>
      </c>
      <c r="K145" s="43">
        <f t="shared" si="639"/>
        <v>45657</v>
      </c>
      <c r="L145" s="43">
        <f t="shared" si="639"/>
        <v>46022</v>
      </c>
      <c r="M145" s="43">
        <f t="shared" si="639"/>
        <v>46203</v>
      </c>
      <c r="N145" s="194"/>
      <c r="O145" s="43">
        <f t="shared" ref="O145:AT145" si="640">O3</f>
        <v>43190</v>
      </c>
      <c r="P145" s="43">
        <f t="shared" si="640"/>
        <v>43281</v>
      </c>
      <c r="Q145" s="43">
        <f t="shared" si="640"/>
        <v>43373</v>
      </c>
      <c r="R145" s="43">
        <f t="shared" si="640"/>
        <v>43465</v>
      </c>
      <c r="S145" s="43">
        <f t="shared" si="640"/>
        <v>43555</v>
      </c>
      <c r="T145" s="43">
        <f t="shared" si="640"/>
        <v>43646</v>
      </c>
      <c r="U145" s="43">
        <f t="shared" si="640"/>
        <v>43738</v>
      </c>
      <c r="V145" s="43">
        <f t="shared" si="640"/>
        <v>43830</v>
      </c>
      <c r="W145" s="43">
        <f t="shared" si="640"/>
        <v>43921</v>
      </c>
      <c r="X145" s="43">
        <f t="shared" si="640"/>
        <v>44012</v>
      </c>
      <c r="Y145" s="43">
        <f t="shared" si="640"/>
        <v>44104</v>
      </c>
      <c r="Z145" s="43">
        <f t="shared" si="640"/>
        <v>44196</v>
      </c>
      <c r="AA145" s="43">
        <f t="shared" si="640"/>
        <v>44286</v>
      </c>
      <c r="AB145" s="43">
        <f t="shared" si="640"/>
        <v>44348</v>
      </c>
      <c r="AC145" s="43">
        <f t="shared" si="640"/>
        <v>44469</v>
      </c>
      <c r="AD145" s="43">
        <f t="shared" si="640"/>
        <v>44561</v>
      </c>
      <c r="AE145" s="43">
        <f t="shared" si="640"/>
        <v>44651</v>
      </c>
      <c r="AF145" s="43">
        <f t="shared" si="640"/>
        <v>44742</v>
      </c>
      <c r="AG145" s="43">
        <f t="shared" si="640"/>
        <v>44834</v>
      </c>
      <c r="AH145" s="43">
        <f t="shared" si="640"/>
        <v>44926</v>
      </c>
      <c r="AI145" s="43">
        <f t="shared" si="640"/>
        <v>45016</v>
      </c>
      <c r="AJ145" s="43">
        <f t="shared" si="640"/>
        <v>45107</v>
      </c>
      <c r="AK145" s="43">
        <f t="shared" si="640"/>
        <v>45199</v>
      </c>
      <c r="AL145" s="43">
        <f t="shared" si="640"/>
        <v>45291</v>
      </c>
      <c r="AM145" s="43">
        <f t="shared" si="640"/>
        <v>45382</v>
      </c>
      <c r="AN145" s="43">
        <f t="shared" si="640"/>
        <v>45473</v>
      </c>
      <c r="AO145" s="43">
        <f t="shared" si="640"/>
        <v>45565</v>
      </c>
      <c r="AP145" s="43">
        <f t="shared" si="640"/>
        <v>45657</v>
      </c>
      <c r="AQ145" s="43">
        <f t="shared" si="640"/>
        <v>45747</v>
      </c>
      <c r="AR145" s="43">
        <f t="shared" si="640"/>
        <v>45838</v>
      </c>
      <c r="AS145" s="43">
        <f t="shared" si="640"/>
        <v>45930</v>
      </c>
      <c r="AT145" s="43">
        <f t="shared" si="640"/>
        <v>46022</v>
      </c>
      <c r="AU145" s="43">
        <f>AU3</f>
        <v>46112</v>
      </c>
      <c r="AV145" s="43">
        <f t="shared" ref="AV145" si="641">AV3</f>
        <v>46203</v>
      </c>
      <c r="AW145" s="194"/>
      <c r="AY145" s="43">
        <f>AY3</f>
        <v>44104</v>
      </c>
    </row>
    <row r="146" spans="2:51" ht="13.5" customHeight="1">
      <c r="B146" s="4"/>
      <c r="C146" s="44" t="str">
        <f t="shared" ref="C146:M146" si="642">C4</f>
        <v>Act</v>
      </c>
      <c r="D146" s="44" t="str">
        <f t="shared" si="642"/>
        <v>Act</v>
      </c>
      <c r="E146" s="44" t="str">
        <f t="shared" si="642"/>
        <v>Act</v>
      </c>
      <c r="F146" s="44" t="str">
        <f t="shared" si="642"/>
        <v>Act</v>
      </c>
      <c r="G146" s="44" t="str">
        <f t="shared" si="642"/>
        <v>Act</v>
      </c>
      <c r="H146" s="44" t="str">
        <f t="shared" si="642"/>
        <v>Act</v>
      </c>
      <c r="I146" s="44" t="str">
        <f t="shared" si="642"/>
        <v>Act</v>
      </c>
      <c r="J146" s="44" t="str">
        <f t="shared" si="642"/>
        <v>Act</v>
      </c>
      <c r="K146" s="44" t="str">
        <f t="shared" si="642"/>
        <v>Act</v>
      </c>
      <c r="L146" s="44" t="str">
        <f t="shared" si="642"/>
        <v>Act</v>
      </c>
      <c r="M146" s="44" t="str">
        <f t="shared" si="642"/>
        <v>Act</v>
      </c>
      <c r="N146" s="194"/>
      <c r="O146" s="44" t="str">
        <f t="shared" ref="O146:AT146" si="643">O4</f>
        <v>Act</v>
      </c>
      <c r="P146" s="44" t="str">
        <f t="shared" si="643"/>
        <v>Act</v>
      </c>
      <c r="Q146" s="44" t="str">
        <f t="shared" si="643"/>
        <v>Act</v>
      </c>
      <c r="R146" s="44" t="str">
        <f t="shared" si="643"/>
        <v>Act</v>
      </c>
      <c r="S146" s="44" t="str">
        <f t="shared" si="643"/>
        <v>Act</v>
      </c>
      <c r="T146" s="44" t="str">
        <f t="shared" si="643"/>
        <v>Act</v>
      </c>
      <c r="U146" s="44" t="str">
        <f t="shared" si="643"/>
        <v>Act</v>
      </c>
      <c r="V146" s="44" t="str">
        <f t="shared" si="643"/>
        <v>Act</v>
      </c>
      <c r="W146" s="44" t="str">
        <f t="shared" si="643"/>
        <v>Act</v>
      </c>
      <c r="X146" s="44" t="str">
        <f t="shared" si="643"/>
        <v>Act</v>
      </c>
      <c r="Y146" s="44" t="str">
        <f t="shared" si="643"/>
        <v>Act</v>
      </c>
      <c r="Z146" s="44" t="str">
        <f t="shared" si="643"/>
        <v>Act</v>
      </c>
      <c r="AA146" s="44" t="str">
        <f t="shared" si="643"/>
        <v>Act</v>
      </c>
      <c r="AB146" s="44" t="str">
        <f t="shared" si="643"/>
        <v>Act</v>
      </c>
      <c r="AC146" s="44" t="str">
        <f t="shared" si="643"/>
        <v>Act</v>
      </c>
      <c r="AD146" s="44" t="str">
        <f t="shared" si="643"/>
        <v>Act</v>
      </c>
      <c r="AE146" s="44" t="str">
        <f t="shared" si="643"/>
        <v>Restated</v>
      </c>
      <c r="AF146" s="44" t="str">
        <f t="shared" si="643"/>
        <v>Restated</v>
      </c>
      <c r="AG146" s="44" t="str">
        <f t="shared" si="643"/>
        <v>Restated</v>
      </c>
      <c r="AH146" s="44" t="str">
        <f t="shared" si="643"/>
        <v>Act</v>
      </c>
      <c r="AI146" s="44" t="str">
        <f t="shared" si="643"/>
        <v>Act</v>
      </c>
      <c r="AJ146" s="44" t="str">
        <f t="shared" si="643"/>
        <v>Act</v>
      </c>
      <c r="AK146" s="44" t="str">
        <f t="shared" si="643"/>
        <v>Act</v>
      </c>
      <c r="AL146" s="44" t="str">
        <f t="shared" si="643"/>
        <v>Act</v>
      </c>
      <c r="AM146" s="44" t="str">
        <f t="shared" si="643"/>
        <v>Act</v>
      </c>
      <c r="AN146" s="44" t="str">
        <f t="shared" si="643"/>
        <v>Act</v>
      </c>
      <c r="AO146" s="44" t="str">
        <f t="shared" si="643"/>
        <v>Act</v>
      </c>
      <c r="AP146" s="44" t="str">
        <f t="shared" si="643"/>
        <v>Act</v>
      </c>
      <c r="AQ146" s="44" t="str">
        <f t="shared" si="643"/>
        <v>Act</v>
      </c>
      <c r="AR146" s="44" t="str">
        <f t="shared" si="643"/>
        <v>Act</v>
      </c>
      <c r="AS146" s="44" t="str">
        <f t="shared" si="643"/>
        <v>Act</v>
      </c>
      <c r="AT146" s="44" t="str">
        <f t="shared" si="643"/>
        <v>Act</v>
      </c>
      <c r="AU146" s="44" t="str">
        <f>AU4</f>
        <v>Act</v>
      </c>
      <c r="AV146" s="44" t="str">
        <f t="shared" ref="AV146" si="644">AV4</f>
        <v>Act</v>
      </c>
      <c r="AW146" s="194"/>
      <c r="AY146" s="44" t="str">
        <f>AY4</f>
        <v>Act</v>
      </c>
    </row>
    <row r="147" spans="2:51" ht="13.5" customHeight="1">
      <c r="B147" s="1" t="s">
        <v>365</v>
      </c>
      <c r="C147" s="12">
        <f t="shared" ref="C147:I147" si="645">C81</f>
        <v>165262</v>
      </c>
      <c r="D147" s="12">
        <f t="shared" si="645"/>
        <v>158933</v>
      </c>
      <c r="E147" s="12">
        <f t="shared" si="645"/>
        <v>162914</v>
      </c>
      <c r="F147" s="12">
        <f t="shared" si="645"/>
        <v>169187</v>
      </c>
      <c r="G147" s="12">
        <f t="shared" si="645"/>
        <v>181004</v>
      </c>
      <c r="H147" s="12">
        <f t="shared" si="645"/>
        <v>192186</v>
      </c>
      <c r="I147" s="12">
        <f t="shared" si="645"/>
        <v>204362</v>
      </c>
      <c r="J147" s="12">
        <f t="shared" ref="J147:K147" si="646">J81</f>
        <v>210953</v>
      </c>
      <c r="K147" s="12">
        <f t="shared" si="646"/>
        <v>216833</v>
      </c>
      <c r="L147" s="12">
        <f t="shared" ref="L147" si="647">L81</f>
        <v>218388</v>
      </c>
      <c r="M147" s="12">
        <f>M81</f>
        <v>220820</v>
      </c>
      <c r="N147" s="12"/>
      <c r="O147" s="63"/>
      <c r="P147" s="63"/>
      <c r="Q147" s="63"/>
      <c r="R147" s="12">
        <f t="shared" ref="R147:AH147" si="648">R81</f>
        <v>162914</v>
      </c>
      <c r="S147" s="12">
        <f t="shared" si="648"/>
        <v>163025</v>
      </c>
      <c r="T147" s="12">
        <f t="shared" si="648"/>
        <v>162659</v>
      </c>
      <c r="U147" s="12">
        <f t="shared" si="648"/>
        <v>164699</v>
      </c>
      <c r="V147" s="12">
        <f t="shared" si="648"/>
        <v>169187</v>
      </c>
      <c r="W147" s="12">
        <f t="shared" si="648"/>
        <v>172215</v>
      </c>
      <c r="X147" s="12">
        <f t="shared" si="648"/>
        <v>173938</v>
      </c>
      <c r="Y147" s="12">
        <f t="shared" si="648"/>
        <v>177973</v>
      </c>
      <c r="Z147" s="12">
        <f t="shared" si="648"/>
        <v>181004</v>
      </c>
      <c r="AA147" s="12">
        <f t="shared" si="648"/>
        <v>185282</v>
      </c>
      <c r="AB147" s="12">
        <f t="shared" si="648"/>
        <v>189892</v>
      </c>
      <c r="AC147" s="12">
        <f t="shared" si="648"/>
        <v>191638</v>
      </c>
      <c r="AD147" s="12">
        <f t="shared" si="648"/>
        <v>192186</v>
      </c>
      <c r="AE147" s="12">
        <f t="shared" si="648"/>
        <v>194087</v>
      </c>
      <c r="AF147" s="12">
        <f t="shared" si="648"/>
        <v>197350</v>
      </c>
      <c r="AG147" s="12">
        <f t="shared" si="648"/>
        <v>200464</v>
      </c>
      <c r="AH147" s="12">
        <f t="shared" si="648"/>
        <v>204362</v>
      </c>
      <c r="AI147" s="12">
        <f t="shared" ref="AI147:AL147" si="649">AI81</f>
        <v>206899</v>
      </c>
      <c r="AJ147" s="12">
        <f t="shared" si="649"/>
        <v>207613</v>
      </c>
      <c r="AK147" s="12">
        <f t="shared" si="649"/>
        <v>208584</v>
      </c>
      <c r="AL147" s="12">
        <f t="shared" si="649"/>
        <v>210953</v>
      </c>
      <c r="AM147" s="12">
        <f t="shared" ref="AM147:AP147" si="650">AM81</f>
        <v>212815</v>
      </c>
      <c r="AN147" s="12">
        <f t="shared" si="650"/>
        <v>214498</v>
      </c>
      <c r="AO147" s="12">
        <f t="shared" si="650"/>
        <v>215539</v>
      </c>
      <c r="AP147" s="12">
        <f t="shared" si="650"/>
        <v>216833</v>
      </c>
      <c r="AQ147" s="12">
        <f t="shared" ref="AQ147:AT147" si="651">AQ81</f>
        <v>217886</v>
      </c>
      <c r="AR147" s="12">
        <f t="shared" si="651"/>
        <v>218824</v>
      </c>
      <c r="AS147" s="12">
        <f t="shared" si="651"/>
        <v>219174</v>
      </c>
      <c r="AT147" s="12">
        <f t="shared" si="651"/>
        <v>218388</v>
      </c>
      <c r="AU147" s="12">
        <f t="shared" ref="AU147:AV147" si="652">AU81</f>
        <v>219624</v>
      </c>
      <c r="AV147" s="12">
        <f t="shared" si="652"/>
        <v>220820</v>
      </c>
      <c r="AW147" s="12"/>
      <c r="AY147" s="12">
        <f>AY81</f>
        <v>177973</v>
      </c>
    </row>
    <row r="148" spans="2:51" ht="13.5" customHeight="1">
      <c r="B148" s="1" t="s">
        <v>366</v>
      </c>
      <c r="C148" s="12">
        <f t="shared" ref="C148:I148" si="653">C84</f>
        <v>54529</v>
      </c>
      <c r="D148" s="12">
        <f t="shared" si="653"/>
        <v>59158</v>
      </c>
      <c r="E148" s="12">
        <f t="shared" si="653"/>
        <v>56706</v>
      </c>
      <c r="F148" s="12">
        <f t="shared" si="653"/>
        <v>78525</v>
      </c>
      <c r="G148" s="12">
        <f t="shared" si="653"/>
        <v>84774</v>
      </c>
      <c r="H148" s="12">
        <f t="shared" si="653"/>
        <v>96169</v>
      </c>
      <c r="I148" s="12">
        <f t="shared" si="653"/>
        <v>100262</v>
      </c>
      <c r="J148" s="12">
        <f t="shared" ref="J148:K148" si="654">J84</f>
        <v>104297</v>
      </c>
      <c r="K148" s="12">
        <f t="shared" si="654"/>
        <v>108515</v>
      </c>
      <c r="L148" s="12">
        <f t="shared" ref="L148" si="655">L84</f>
        <v>111231</v>
      </c>
      <c r="M148" s="12">
        <f t="shared" ref="M148" si="656">M84</f>
        <v>111749</v>
      </c>
      <c r="N148" s="12"/>
      <c r="O148" s="63"/>
      <c r="P148" s="63"/>
      <c r="Q148" s="63"/>
      <c r="R148" s="12">
        <f t="shared" ref="R148:AH148" si="657">R84</f>
        <v>56706</v>
      </c>
      <c r="S148" s="12">
        <f t="shared" si="657"/>
        <v>61588</v>
      </c>
      <c r="T148" s="12">
        <f t="shared" si="657"/>
        <v>66283</v>
      </c>
      <c r="U148" s="12">
        <f t="shared" si="657"/>
        <v>69476</v>
      </c>
      <c r="V148" s="12">
        <f t="shared" si="657"/>
        <v>78525</v>
      </c>
      <c r="W148" s="12">
        <f t="shared" si="657"/>
        <v>80023</v>
      </c>
      <c r="X148" s="12">
        <f t="shared" si="657"/>
        <v>81929</v>
      </c>
      <c r="Y148" s="12">
        <f t="shared" si="657"/>
        <v>86427</v>
      </c>
      <c r="Z148" s="12">
        <f t="shared" si="657"/>
        <v>84774</v>
      </c>
      <c r="AA148" s="12">
        <f t="shared" si="657"/>
        <v>86572</v>
      </c>
      <c r="AB148" s="12">
        <f t="shared" si="657"/>
        <v>88387</v>
      </c>
      <c r="AC148" s="12">
        <f t="shared" si="657"/>
        <v>90521</v>
      </c>
      <c r="AD148" s="12">
        <f t="shared" si="657"/>
        <v>96169</v>
      </c>
      <c r="AE148" s="12">
        <f t="shared" si="657"/>
        <v>94004</v>
      </c>
      <c r="AF148" s="12">
        <f t="shared" si="657"/>
        <v>94578</v>
      </c>
      <c r="AG148" s="12">
        <f t="shared" si="657"/>
        <v>94695</v>
      </c>
      <c r="AH148" s="12">
        <f t="shared" si="657"/>
        <v>100262</v>
      </c>
      <c r="AI148" s="12">
        <f t="shared" ref="AI148:AL148" si="658">AI84</f>
        <v>105376</v>
      </c>
      <c r="AJ148" s="12">
        <f t="shared" si="658"/>
        <v>107654</v>
      </c>
      <c r="AK148" s="12">
        <f t="shared" si="658"/>
        <v>109284</v>
      </c>
      <c r="AL148" s="12">
        <f t="shared" si="658"/>
        <v>104297</v>
      </c>
      <c r="AM148" s="12">
        <f t="shared" ref="AM148:AP148" si="659">AM84</f>
        <v>105591</v>
      </c>
      <c r="AN148" s="12">
        <f t="shared" si="659"/>
        <v>106105</v>
      </c>
      <c r="AO148" s="12">
        <f t="shared" si="659"/>
        <v>106651</v>
      </c>
      <c r="AP148" s="12">
        <f t="shared" si="659"/>
        <v>108515</v>
      </c>
      <c r="AQ148" s="12">
        <f t="shared" ref="AQ148:AT148" si="660">AQ84</f>
        <v>109065</v>
      </c>
      <c r="AR148" s="12">
        <f t="shared" si="660"/>
        <v>110111</v>
      </c>
      <c r="AS148" s="12">
        <f t="shared" si="660"/>
        <v>110642</v>
      </c>
      <c r="AT148" s="12">
        <f t="shared" si="660"/>
        <v>111231</v>
      </c>
      <c r="AU148" s="12">
        <f t="shared" ref="AU148:AV148" si="661">AU84</f>
        <v>111654</v>
      </c>
      <c r="AV148" s="12">
        <f t="shared" si="661"/>
        <v>111749</v>
      </c>
      <c r="AW148" s="12"/>
      <c r="AY148" s="12">
        <f>AY84</f>
        <v>86427</v>
      </c>
    </row>
    <row r="149" spans="2:51" ht="13.5" customHeight="1">
      <c r="B149" s="1" t="s">
        <v>367</v>
      </c>
      <c r="C149" s="45">
        <f>C148/C147</f>
        <v>0.32995485955634085</v>
      </c>
      <c r="D149" s="45">
        <f t="shared" ref="D149:F149" si="662">D148/D147</f>
        <v>0.37221974039375083</v>
      </c>
      <c r="E149" s="45">
        <f t="shared" si="662"/>
        <v>0.34807321654369788</v>
      </c>
      <c r="F149" s="45">
        <f t="shared" si="662"/>
        <v>0.46413140489517518</v>
      </c>
      <c r="G149" s="45">
        <f t="shared" ref="G149:H149" si="663">G148/G147</f>
        <v>0.46835429051291683</v>
      </c>
      <c r="H149" s="45">
        <f t="shared" si="663"/>
        <v>0.50039545024091248</v>
      </c>
      <c r="I149" s="45">
        <f t="shared" ref="I149:J149" si="664">I148/I147</f>
        <v>0.49060980025640777</v>
      </c>
      <c r="J149" s="45">
        <f t="shared" si="664"/>
        <v>0.49440870715277813</v>
      </c>
      <c r="K149" s="45">
        <f t="shared" ref="K149:L149" si="665">K148/K147</f>
        <v>0.5004542666476044</v>
      </c>
      <c r="L149" s="45">
        <f t="shared" si="665"/>
        <v>0.50932743557338311</v>
      </c>
      <c r="M149" s="45">
        <f t="shared" ref="M149" si="666">M148/M147</f>
        <v>0.50606376234036776</v>
      </c>
      <c r="N149" s="45"/>
      <c r="O149" s="155"/>
      <c r="P149" s="155"/>
      <c r="Q149" s="155"/>
      <c r="R149" s="45">
        <f t="shared" ref="R149:W149" si="667">R148/R147</f>
        <v>0.34807321654369788</v>
      </c>
      <c r="S149" s="45">
        <f t="shared" si="667"/>
        <v>0.37778254868885142</v>
      </c>
      <c r="T149" s="45">
        <f t="shared" si="667"/>
        <v>0.40749666480182467</v>
      </c>
      <c r="U149" s="45">
        <f t="shared" si="667"/>
        <v>0.42183619815542295</v>
      </c>
      <c r="V149" s="45">
        <f t="shared" si="667"/>
        <v>0.46413140489517518</v>
      </c>
      <c r="W149" s="45">
        <f t="shared" si="667"/>
        <v>0.46466916354556803</v>
      </c>
      <c r="X149" s="45">
        <f t="shared" ref="X149:AA149" si="668">X148/X147</f>
        <v>0.4710241580333222</v>
      </c>
      <c r="Y149" s="45">
        <f t="shared" si="668"/>
        <v>0.48561860506930826</v>
      </c>
      <c r="Z149" s="45">
        <f t="shared" si="668"/>
        <v>0.46835429051291683</v>
      </c>
      <c r="AA149" s="45">
        <f t="shared" si="668"/>
        <v>0.46724452456255872</v>
      </c>
      <c r="AB149" s="45">
        <f t="shared" ref="AB149:AC149" si="669">AB148/AB147</f>
        <v>0.46545931371516441</v>
      </c>
      <c r="AC149" s="45">
        <f t="shared" si="669"/>
        <v>0.4723541260084117</v>
      </c>
      <c r="AD149" s="45">
        <f>AD148/AD147</f>
        <v>0.50039545024091248</v>
      </c>
      <c r="AE149" s="45">
        <f t="shared" ref="AE149:AG149" si="670">AE148/AE147</f>
        <v>0.48433949723577568</v>
      </c>
      <c r="AF149" s="45">
        <f t="shared" si="670"/>
        <v>0.47923992906004559</v>
      </c>
      <c r="AG149" s="45">
        <f t="shared" si="670"/>
        <v>0.47237908053316308</v>
      </c>
      <c r="AH149" s="45">
        <f>AH148/AH147</f>
        <v>0.49060980025640777</v>
      </c>
      <c r="AI149" s="45">
        <f t="shared" ref="AI149:AK149" si="671">AI148/AI147</f>
        <v>0.50931130648287326</v>
      </c>
      <c r="AJ149" s="45">
        <f t="shared" si="671"/>
        <v>0.51853207650773314</v>
      </c>
      <c r="AK149" s="45">
        <f t="shared" si="671"/>
        <v>0.52393280405016684</v>
      </c>
      <c r="AL149" s="45">
        <f>AL148/AL147</f>
        <v>0.49440870715277813</v>
      </c>
      <c r="AM149" s="45">
        <f t="shared" ref="AM149:AO149" si="672">AM148/AM147</f>
        <v>0.49616333435143201</v>
      </c>
      <c r="AN149" s="45">
        <f t="shared" si="672"/>
        <v>0.49466661693815328</v>
      </c>
      <c r="AO149" s="45">
        <f t="shared" si="672"/>
        <v>0.49481068391335209</v>
      </c>
      <c r="AP149" s="45">
        <f>AP148/AP147</f>
        <v>0.5004542666476044</v>
      </c>
      <c r="AQ149" s="45">
        <f t="shared" ref="AQ149:AS149" si="673">AQ148/AQ147</f>
        <v>0.50055992583277498</v>
      </c>
      <c r="AR149" s="45">
        <f t="shared" si="673"/>
        <v>0.5031943479691442</v>
      </c>
      <c r="AS149" s="45">
        <f t="shared" si="673"/>
        <v>0.50481352715194316</v>
      </c>
      <c r="AT149" s="45">
        <f>AT148/AT147</f>
        <v>0.50932743557338311</v>
      </c>
      <c r="AU149" s="45">
        <f t="shared" ref="AU149:AV149" si="674">AU148/AU147</f>
        <v>0.5083870615233308</v>
      </c>
      <c r="AV149" s="45">
        <f t="shared" si="674"/>
        <v>0.50606376234036776</v>
      </c>
      <c r="AW149" s="45"/>
      <c r="AY149" s="45">
        <f t="shared" ref="AY149" si="675">AY148/AY147</f>
        <v>0.48561860506930826</v>
      </c>
    </row>
    <row r="150" spans="2:51" ht="13.5" customHeight="1">
      <c r="B150" s="1" t="s">
        <v>37</v>
      </c>
      <c r="C150" s="12">
        <f>C117</f>
        <v>185032</v>
      </c>
      <c r="D150" s="12">
        <f t="shared" ref="D150:F150" si="676">D117</f>
        <v>172611</v>
      </c>
      <c r="E150" s="12">
        <f t="shared" si="676"/>
        <v>176276</v>
      </c>
      <c r="F150" s="12">
        <f t="shared" si="676"/>
        <v>208871</v>
      </c>
      <c r="G150" s="12">
        <f t="shared" ref="G150:H150" si="677">G117</f>
        <v>242790</v>
      </c>
      <c r="H150" s="12">
        <f t="shared" si="677"/>
        <v>274243</v>
      </c>
      <c r="I150" s="12">
        <f t="shared" ref="I150:J150" si="678">I117</f>
        <v>292015</v>
      </c>
      <c r="J150" s="12">
        <f t="shared" si="678"/>
        <v>302344</v>
      </c>
      <c r="K150" s="12">
        <f t="shared" ref="K150:L150" si="679">K117</f>
        <v>335624</v>
      </c>
      <c r="L150" s="12">
        <f t="shared" si="679"/>
        <v>359221</v>
      </c>
      <c r="M150" s="12">
        <f t="shared" ref="M150" si="680">M117</f>
        <v>361017</v>
      </c>
      <c r="N150" s="12"/>
      <c r="O150" s="12">
        <f t="shared" ref="O150:W150" si="681">O117</f>
        <v>172239</v>
      </c>
      <c r="P150" s="12">
        <f t="shared" si="681"/>
        <v>183810</v>
      </c>
      <c r="Q150" s="12">
        <f t="shared" si="681"/>
        <v>179223</v>
      </c>
      <c r="R150" s="12">
        <f t="shared" si="681"/>
        <v>252901</v>
      </c>
      <c r="S150" s="12">
        <f t="shared" si="681"/>
        <v>191144</v>
      </c>
      <c r="T150" s="12">
        <f t="shared" si="681"/>
        <v>195201</v>
      </c>
      <c r="U150" s="12">
        <f t="shared" si="681"/>
        <v>199961</v>
      </c>
      <c r="V150" s="12">
        <f t="shared" si="681"/>
        <v>208871</v>
      </c>
      <c r="W150" s="12">
        <f t="shared" si="681"/>
        <v>221671</v>
      </c>
      <c r="X150" s="12">
        <f t="shared" ref="X150:AA150" si="682">X117</f>
        <v>251906</v>
      </c>
      <c r="Y150" s="12">
        <f t="shared" si="682"/>
        <v>240913</v>
      </c>
      <c r="Z150" s="12">
        <f t="shared" si="682"/>
        <v>242790</v>
      </c>
      <c r="AA150" s="12">
        <f t="shared" si="682"/>
        <v>241997</v>
      </c>
      <c r="AB150" s="12">
        <f t="shared" ref="AB150:AC150" si="683">AB117</f>
        <v>257008</v>
      </c>
      <c r="AC150" s="12">
        <f t="shared" si="683"/>
        <v>267652</v>
      </c>
      <c r="AD150" s="12">
        <f>AD117</f>
        <v>274243</v>
      </c>
      <c r="AE150" s="12">
        <f t="shared" ref="AE150:AG150" si="684">AE117</f>
        <v>278066</v>
      </c>
      <c r="AF150" s="12">
        <f t="shared" si="684"/>
        <v>293576</v>
      </c>
      <c r="AG150" s="12">
        <f t="shared" si="684"/>
        <v>293996</v>
      </c>
      <c r="AH150" s="12">
        <f>AH117</f>
        <v>292015</v>
      </c>
      <c r="AI150" s="12">
        <f t="shared" ref="AI150:AK150" si="685">AI117</f>
        <v>286216</v>
      </c>
      <c r="AJ150" s="12">
        <f t="shared" si="685"/>
        <v>310588</v>
      </c>
      <c r="AK150" s="12">
        <f t="shared" si="685"/>
        <v>316214</v>
      </c>
      <c r="AL150" s="12">
        <f>AL117</f>
        <v>302344</v>
      </c>
      <c r="AM150" s="12">
        <f t="shared" ref="AM150:AO150" si="686">AM117</f>
        <v>304480</v>
      </c>
      <c r="AN150" s="12">
        <f t="shared" si="686"/>
        <v>315249</v>
      </c>
      <c r="AO150" s="12">
        <f t="shared" si="686"/>
        <v>323158</v>
      </c>
      <c r="AP150" s="12">
        <f>AP117</f>
        <v>335624</v>
      </c>
      <c r="AQ150" s="12">
        <f t="shared" ref="AQ150:AS150" si="687">AQ117</f>
        <v>336881</v>
      </c>
      <c r="AR150" s="12">
        <f t="shared" si="687"/>
        <v>347578</v>
      </c>
      <c r="AS150" s="12">
        <f t="shared" si="687"/>
        <v>358291</v>
      </c>
      <c r="AT150" s="12">
        <f>AT117</f>
        <v>359221</v>
      </c>
      <c r="AU150" s="12">
        <f t="shared" ref="AU150:AV150" si="688">AU117</f>
        <v>357298</v>
      </c>
      <c r="AV150" s="12">
        <f t="shared" si="688"/>
        <v>361017</v>
      </c>
      <c r="AW150" s="12"/>
      <c r="AY150" s="12">
        <f t="shared" ref="AY150" si="689">AY117</f>
        <v>240913</v>
      </c>
    </row>
    <row r="151" spans="2:51" ht="13.5" customHeight="1">
      <c r="B151" s="1" t="s">
        <v>368</v>
      </c>
      <c r="C151" s="12">
        <f>C119</f>
        <v>38722</v>
      </c>
      <c r="D151" s="12">
        <f t="shared" ref="D151:F151" si="690">D119</f>
        <v>32905</v>
      </c>
      <c r="E151" s="12">
        <f t="shared" si="690"/>
        <v>51654</v>
      </c>
      <c r="F151" s="12">
        <f t="shared" si="690"/>
        <v>24369</v>
      </c>
      <c r="G151" s="12">
        <f t="shared" ref="G151:H151" si="691">G119</f>
        <v>40237</v>
      </c>
      <c r="H151" s="12">
        <f t="shared" si="691"/>
        <v>23907</v>
      </c>
      <c r="I151" s="12">
        <f t="shared" ref="I151:J151" si="692">I119</f>
        <v>25594</v>
      </c>
      <c r="J151" s="12">
        <f t="shared" si="692"/>
        <v>16568</v>
      </c>
      <c r="K151" s="12">
        <f t="shared" ref="K151:L151" si="693">K119</f>
        <v>10147</v>
      </c>
      <c r="L151" s="12">
        <f t="shared" si="693"/>
        <v>11876</v>
      </c>
      <c r="M151" s="12">
        <f t="shared" ref="M151" si="694">M119</f>
        <v>11906</v>
      </c>
      <c r="N151" s="12"/>
      <c r="O151" s="12">
        <f t="shared" ref="O151:W151" si="695">O119</f>
        <v>29220</v>
      </c>
      <c r="P151" s="12">
        <f t="shared" si="695"/>
        <v>52364</v>
      </c>
      <c r="Q151" s="12">
        <f t="shared" si="695"/>
        <v>45206</v>
      </c>
      <c r="R151" s="12">
        <f t="shared" si="695"/>
        <v>51654</v>
      </c>
      <c r="S151" s="12">
        <f t="shared" si="695"/>
        <v>45286</v>
      </c>
      <c r="T151" s="12">
        <f t="shared" si="695"/>
        <v>32101</v>
      </c>
      <c r="U151" s="12">
        <f t="shared" si="695"/>
        <v>27138</v>
      </c>
      <c r="V151" s="12">
        <f t="shared" si="695"/>
        <v>24369</v>
      </c>
      <c r="W151" s="12">
        <f t="shared" si="695"/>
        <v>30944</v>
      </c>
      <c r="X151" s="12">
        <f t="shared" ref="X151:AA151" si="696">X119</f>
        <v>45771</v>
      </c>
      <c r="Y151" s="12">
        <f t="shared" si="696"/>
        <v>33671</v>
      </c>
      <c r="Z151" s="12">
        <f t="shared" si="696"/>
        <v>40237</v>
      </c>
      <c r="AA151" s="12">
        <f t="shared" si="696"/>
        <v>31481</v>
      </c>
      <c r="AB151" s="12">
        <f t="shared" ref="AB151:AC151" si="697">AB119</f>
        <v>23170</v>
      </c>
      <c r="AC151" s="12">
        <f t="shared" si="697"/>
        <v>18088</v>
      </c>
      <c r="AD151" s="12">
        <f>AD119</f>
        <v>23907</v>
      </c>
      <c r="AE151" s="12">
        <f t="shared" ref="AE151:AG151" si="698">AE119</f>
        <v>25830</v>
      </c>
      <c r="AF151" s="12">
        <f t="shared" si="698"/>
        <v>38863</v>
      </c>
      <c r="AG151" s="12">
        <f t="shared" si="698"/>
        <v>19736</v>
      </c>
      <c r="AH151" s="12">
        <f>AH119</f>
        <v>25594</v>
      </c>
      <c r="AI151" s="12">
        <f t="shared" ref="AI151:AK151" si="699">AI119</f>
        <v>26086</v>
      </c>
      <c r="AJ151" s="12">
        <f t="shared" si="699"/>
        <v>16185</v>
      </c>
      <c r="AK151" s="12">
        <f t="shared" si="699"/>
        <v>21472</v>
      </c>
      <c r="AL151" s="12">
        <f>AL119</f>
        <v>16568</v>
      </c>
      <c r="AM151" s="12">
        <f t="shared" ref="AM151:AO151" si="700">AM119</f>
        <v>14057</v>
      </c>
      <c r="AN151" s="12">
        <f t="shared" si="700"/>
        <v>11966</v>
      </c>
      <c r="AO151" s="12">
        <f t="shared" si="700"/>
        <v>12306</v>
      </c>
      <c r="AP151" s="12">
        <f>AP119</f>
        <v>10147</v>
      </c>
      <c r="AQ151" s="12">
        <f t="shared" ref="AQ151:AS151" si="701">AQ119</f>
        <v>13859</v>
      </c>
      <c r="AR151" s="12">
        <f t="shared" si="701"/>
        <v>10847</v>
      </c>
      <c r="AS151" s="12">
        <f t="shared" si="701"/>
        <v>10102</v>
      </c>
      <c r="AT151" s="12">
        <f>AT119</f>
        <v>11876</v>
      </c>
      <c r="AU151" s="12">
        <f t="shared" ref="AU151:AV151" si="702">AU119</f>
        <v>14544</v>
      </c>
      <c r="AV151" s="12">
        <f t="shared" si="702"/>
        <v>11906</v>
      </c>
      <c r="AW151" s="12"/>
      <c r="AY151" s="12">
        <f t="shared" ref="AY151" si="703">AY119</f>
        <v>33671</v>
      </c>
    </row>
    <row r="152" spans="2:51" ht="13.5" customHeight="1">
      <c r="B152" s="1" t="s">
        <v>350</v>
      </c>
      <c r="C152" s="12">
        <f>C122</f>
        <v>146310</v>
      </c>
      <c r="D152" s="12">
        <f t="shared" ref="D152:F152" si="704">D122</f>
        <v>139706</v>
      </c>
      <c r="E152" s="12">
        <f t="shared" si="704"/>
        <v>124622</v>
      </c>
      <c r="F152" s="12">
        <f t="shared" si="704"/>
        <v>184502</v>
      </c>
      <c r="G152" s="12">
        <f t="shared" ref="G152:H152" si="705">G122</f>
        <v>202553</v>
      </c>
      <c r="H152" s="12">
        <f t="shared" si="705"/>
        <v>250336</v>
      </c>
      <c r="I152" s="12">
        <f t="shared" ref="I152:J152" si="706">I122</f>
        <v>266421</v>
      </c>
      <c r="J152" s="12">
        <f t="shared" si="706"/>
        <v>285776</v>
      </c>
      <c r="K152" s="12">
        <f t="shared" ref="K152:L152" si="707">K122</f>
        <v>325477</v>
      </c>
      <c r="L152" s="12">
        <f t="shared" si="707"/>
        <v>347345</v>
      </c>
      <c r="M152" s="12">
        <f t="shared" ref="M152" si="708">M122</f>
        <v>349111</v>
      </c>
      <c r="N152" s="12"/>
      <c r="O152" s="12">
        <f t="shared" ref="O152:W152" si="709">O122</f>
        <v>143019</v>
      </c>
      <c r="P152" s="12">
        <f t="shared" si="709"/>
        <v>131446</v>
      </c>
      <c r="Q152" s="12">
        <f t="shared" si="709"/>
        <v>134017</v>
      </c>
      <c r="R152" s="12">
        <f t="shared" si="709"/>
        <v>201247</v>
      </c>
      <c r="S152" s="12">
        <f t="shared" si="709"/>
        <v>145858</v>
      </c>
      <c r="T152" s="12">
        <f t="shared" si="709"/>
        <v>163100</v>
      </c>
      <c r="U152" s="12">
        <f t="shared" si="709"/>
        <v>172823</v>
      </c>
      <c r="V152" s="12">
        <f t="shared" si="709"/>
        <v>184502</v>
      </c>
      <c r="W152" s="12">
        <f t="shared" si="709"/>
        <v>190727</v>
      </c>
      <c r="X152" s="12">
        <f t="shared" ref="X152:AA152" si="710">X122</f>
        <v>206135</v>
      </c>
      <c r="Y152" s="12">
        <f t="shared" si="710"/>
        <v>207242</v>
      </c>
      <c r="Z152" s="12">
        <f t="shared" si="710"/>
        <v>202553</v>
      </c>
      <c r="AA152" s="12">
        <f t="shared" si="710"/>
        <v>210516</v>
      </c>
      <c r="AB152" s="12">
        <f t="shared" ref="AB152:AC152" si="711">AB122</f>
        <v>233838</v>
      </c>
      <c r="AC152" s="12">
        <f t="shared" si="711"/>
        <v>249564</v>
      </c>
      <c r="AD152" s="12">
        <f>AD122</f>
        <v>250336</v>
      </c>
      <c r="AE152" s="12">
        <f t="shared" ref="AE152:AG152" si="712">AE122</f>
        <v>252236</v>
      </c>
      <c r="AF152" s="12">
        <f t="shared" si="712"/>
        <v>254713</v>
      </c>
      <c r="AG152" s="12">
        <f t="shared" si="712"/>
        <v>274260</v>
      </c>
      <c r="AH152" s="12">
        <f>AH122</f>
        <v>266421</v>
      </c>
      <c r="AI152" s="12">
        <f t="shared" ref="AI152:AK152" si="713">AI122</f>
        <v>260130</v>
      </c>
      <c r="AJ152" s="12">
        <f t="shared" si="713"/>
        <v>294403</v>
      </c>
      <c r="AK152" s="12">
        <f t="shared" si="713"/>
        <v>294742</v>
      </c>
      <c r="AL152" s="12">
        <f>AL122</f>
        <v>285776</v>
      </c>
      <c r="AM152" s="12">
        <f t="shared" ref="AM152:AO152" si="714">AM122</f>
        <v>290423</v>
      </c>
      <c r="AN152" s="12">
        <f t="shared" si="714"/>
        <v>303283</v>
      </c>
      <c r="AO152" s="12">
        <f t="shared" si="714"/>
        <v>310852</v>
      </c>
      <c r="AP152" s="12">
        <f>AP122</f>
        <v>325477</v>
      </c>
      <c r="AQ152" s="12">
        <f t="shared" ref="AQ152:AS152" si="715">AQ122</f>
        <v>323022</v>
      </c>
      <c r="AR152" s="12">
        <f t="shared" si="715"/>
        <v>336731</v>
      </c>
      <c r="AS152" s="12">
        <f t="shared" si="715"/>
        <v>348189</v>
      </c>
      <c r="AT152" s="12">
        <f>AT122</f>
        <v>347345</v>
      </c>
      <c r="AU152" s="12">
        <f t="shared" ref="AU152:AV152" si="716">AU122</f>
        <v>342754</v>
      </c>
      <c r="AV152" s="12">
        <f t="shared" si="716"/>
        <v>349111</v>
      </c>
      <c r="AW152" s="12"/>
      <c r="AY152" s="12">
        <f t="shared" ref="AY152" si="717">AY122</f>
        <v>207242</v>
      </c>
    </row>
    <row r="153" spans="2:51" ht="13.5" customHeight="1">
      <c r="B153" s="1" t="s">
        <v>369</v>
      </c>
      <c r="C153" s="46">
        <f>C136</f>
        <v>3.393276971886519</v>
      </c>
      <c r="D153" s="46">
        <f t="shared" ref="D153:F153" si="718">D136</f>
        <v>2.9177964096149296</v>
      </c>
      <c r="E153" s="46">
        <f t="shared" si="718"/>
        <v>3.1085952103833812</v>
      </c>
      <c r="F153" s="46">
        <f t="shared" si="718"/>
        <v>2.6599299586119072</v>
      </c>
      <c r="G153" s="46">
        <f t="shared" ref="G153:H153" si="719">G136</f>
        <v>2.8639677259537124</v>
      </c>
      <c r="H153" s="46">
        <f t="shared" si="719"/>
        <v>2.8516777755825684</v>
      </c>
      <c r="I153" s="46">
        <f t="shared" ref="I153:J153" si="720">I136</f>
        <v>2.9125191996967943</v>
      </c>
      <c r="J153" s="46">
        <f t="shared" si="720"/>
        <v>2.8988753271906189</v>
      </c>
      <c r="K153" s="46">
        <f t="shared" ref="K153:L153" si="721">K136</f>
        <v>3.0928811685020503</v>
      </c>
      <c r="L153" s="46">
        <f t="shared" si="721"/>
        <v>3.2295043647903912</v>
      </c>
      <c r="M153" s="46">
        <f t="shared" ref="M153" si="722">M136</f>
        <v>3.2306060904348137</v>
      </c>
      <c r="N153" s="46"/>
      <c r="O153" s="156"/>
      <c r="P153" s="156"/>
      <c r="Q153" s="156"/>
      <c r="R153" s="46">
        <f t="shared" ref="R153:W153" si="723">R136</f>
        <v>4.4598631538108844</v>
      </c>
      <c r="S153" s="46">
        <f t="shared" si="723"/>
        <v>3.1035916087549524</v>
      </c>
      <c r="T153" s="46">
        <f t="shared" si="723"/>
        <v>2.9449632635819141</v>
      </c>
      <c r="U153" s="46">
        <f t="shared" si="723"/>
        <v>2.8781305774655994</v>
      </c>
      <c r="V153" s="46">
        <f t="shared" si="723"/>
        <v>2.6599299586119072</v>
      </c>
      <c r="W153" s="46">
        <f t="shared" si="723"/>
        <v>2.7700910988090923</v>
      </c>
      <c r="X153" s="46">
        <f t="shared" ref="X153:AA153" si="724">X136</f>
        <v>3.0746866189017319</v>
      </c>
      <c r="Y153" s="46">
        <f t="shared" si="724"/>
        <v>2.7874738218380828</v>
      </c>
      <c r="Z153" s="46">
        <f t="shared" si="724"/>
        <v>2.8639677259537124</v>
      </c>
      <c r="AA153" s="46">
        <f t="shared" si="724"/>
        <v>2.7953264334888877</v>
      </c>
      <c r="AB153" s="46">
        <f t="shared" ref="AB153:AC153" si="725">AB136</f>
        <v>2.9077579282021113</v>
      </c>
      <c r="AC153" s="46">
        <f t="shared" si="725"/>
        <v>2.9567945559593904</v>
      </c>
      <c r="AD153" s="46">
        <f>AD136</f>
        <v>2.8516777755825684</v>
      </c>
      <c r="AE153" s="46">
        <f t="shared" ref="AE153:AG153" si="726">AE136</f>
        <v>2.9580230628483895</v>
      </c>
      <c r="AF153" s="46">
        <f t="shared" si="726"/>
        <v>3.1040622554928206</v>
      </c>
      <c r="AG153" s="46">
        <f t="shared" si="726"/>
        <v>3.1046623369766091</v>
      </c>
      <c r="AH153" s="46">
        <f>AH136</f>
        <v>2.9125191996967943</v>
      </c>
      <c r="AI153" s="46">
        <f t="shared" ref="AI153:AK153" si="727">AI136</f>
        <v>2.7161402976009716</v>
      </c>
      <c r="AJ153" s="46">
        <f t="shared" si="727"/>
        <v>2.8850576848050236</v>
      </c>
      <c r="AK153" s="46">
        <f t="shared" si="727"/>
        <v>2.8935068262508694</v>
      </c>
      <c r="AL153" s="46">
        <f>AL136</f>
        <v>2.8988753271906189</v>
      </c>
      <c r="AM153" s="46">
        <f t="shared" ref="AM153:AO153" si="728">AM136</f>
        <v>2.8835790929151157</v>
      </c>
      <c r="AN153" s="46">
        <f t="shared" si="728"/>
        <v>2.9711040950002356</v>
      </c>
      <c r="AO153" s="46">
        <f t="shared" si="728"/>
        <v>3.03005128878304</v>
      </c>
      <c r="AP153" s="46">
        <f>AP136</f>
        <v>3.0928811685020503</v>
      </c>
      <c r="AQ153" s="46">
        <f t="shared" ref="AQ153:AS153" si="729">AQ136</f>
        <v>3.0888094255719065</v>
      </c>
      <c r="AR153" s="46">
        <f t="shared" si="729"/>
        <v>3.156614688814015</v>
      </c>
      <c r="AS153" s="46">
        <f t="shared" si="729"/>
        <v>3.2382910648759062</v>
      </c>
      <c r="AT153" s="46">
        <f>AT136</f>
        <v>3.2295043647903912</v>
      </c>
      <c r="AU153" s="46">
        <f t="shared" ref="AU153:AV153" si="730">AU136</f>
        <v>3.200046572447024</v>
      </c>
      <c r="AV153" s="46">
        <f t="shared" si="730"/>
        <v>3.2306060904348137</v>
      </c>
      <c r="AW153" s="46"/>
      <c r="AY153" s="46">
        <f t="shared" ref="AY153" si="731">AY136</f>
        <v>2.7874738218380828</v>
      </c>
    </row>
    <row r="154" spans="2:51" ht="13.5" customHeight="1">
      <c r="B154" s="1" t="s">
        <v>370</v>
      </c>
      <c r="C154" s="47">
        <f>C135</f>
        <v>2.6831594197582938</v>
      </c>
      <c r="D154" s="47">
        <f t="shared" ref="D154:F154" si="732">D135</f>
        <v>2.3615740897258188</v>
      </c>
      <c r="E154" s="47">
        <f t="shared" si="732"/>
        <v>2.1976863118541248</v>
      </c>
      <c r="F154" s="47">
        <f t="shared" si="732"/>
        <v>2.3495956701687359</v>
      </c>
      <c r="G154" s="47">
        <f t="shared" ref="G154:H154" si="733">G135</f>
        <v>2.3893292754854083</v>
      </c>
      <c r="H154" s="47">
        <f t="shared" si="733"/>
        <v>2.6030841539373393</v>
      </c>
      <c r="I154" s="47">
        <f t="shared" ref="I154:J154" si="734">I135</f>
        <v>2.6572480102132414</v>
      </c>
      <c r="J154" s="47">
        <f t="shared" si="734"/>
        <v>2.7400212853677477</v>
      </c>
      <c r="K154" s="47">
        <f t="shared" ref="K154:L154" si="735">K135</f>
        <v>2.9993733585218632</v>
      </c>
      <c r="L154" s="47">
        <f t="shared" si="735"/>
        <v>3.1227355683217808</v>
      </c>
      <c r="M154" s="47">
        <f t="shared" ref="M154" si="736">M135</f>
        <v>3.1240637500111856</v>
      </c>
      <c r="N154" s="47"/>
      <c r="O154" s="157"/>
      <c r="P154" s="157"/>
      <c r="Q154" s="157"/>
      <c r="R154" s="47">
        <f t="shared" ref="R154:W154" si="737">R135</f>
        <v>3.548954255281628</v>
      </c>
      <c r="S154" s="47">
        <f t="shared" si="737"/>
        <v>2.3682860297460544</v>
      </c>
      <c r="T154" s="47">
        <f t="shared" si="737"/>
        <v>2.4606611046573028</v>
      </c>
      <c r="U154" s="47">
        <f t="shared" si="737"/>
        <v>2.4875208705164371</v>
      </c>
      <c r="V154" s="47">
        <f t="shared" si="737"/>
        <v>2.3495956701687359</v>
      </c>
      <c r="W154" s="47">
        <f t="shared" si="737"/>
        <v>2.3834022718468439</v>
      </c>
      <c r="X154" s="47">
        <f t="shared" ref="X154:AA154" si="738">X135</f>
        <v>2.516019968509319</v>
      </c>
      <c r="Y154" s="47">
        <f t="shared" si="738"/>
        <v>2.3978849202216899</v>
      </c>
      <c r="Z154" s="47">
        <f t="shared" si="738"/>
        <v>2.3893292754854083</v>
      </c>
      <c r="AA154" s="47">
        <f t="shared" si="738"/>
        <v>2.4316869195582869</v>
      </c>
      <c r="AB154" s="47">
        <f t="shared" ref="AB154:AC154" si="739">AB135</f>
        <v>2.6456153054182177</v>
      </c>
      <c r="AC154" s="47">
        <f t="shared" si="739"/>
        <v>2.7569735199566949</v>
      </c>
      <c r="AD154" s="47">
        <f>AD135</f>
        <v>2.6030841539373393</v>
      </c>
      <c r="AE154" s="47">
        <f t="shared" ref="AE154:AG154" si="740">AE135</f>
        <v>2.6832475213820688</v>
      </c>
      <c r="AF154" s="47">
        <f t="shared" si="740"/>
        <v>2.6931527416523928</v>
      </c>
      <c r="AG154" s="47">
        <f t="shared" si="740"/>
        <v>2.8962458419135118</v>
      </c>
      <c r="AH154" s="47">
        <f>AH135</f>
        <v>2.6572480102132414</v>
      </c>
      <c r="AI154" s="47">
        <f t="shared" ref="AI154:AK154" si="741">AI135</f>
        <v>2.4685886729426056</v>
      </c>
      <c r="AJ154" s="47">
        <f t="shared" si="741"/>
        <v>2.7347149200215504</v>
      </c>
      <c r="AK154" s="47">
        <f t="shared" si="741"/>
        <v>2.6970279272354598</v>
      </c>
      <c r="AL154" s="47">
        <f>AL135</f>
        <v>2.7400212853677477</v>
      </c>
      <c r="AM154" s="47">
        <f t="shared" ref="AM154:AO154" si="742">AM135</f>
        <v>2.750452216571488</v>
      </c>
      <c r="AN154" s="47">
        <f t="shared" si="742"/>
        <v>2.8583290137128317</v>
      </c>
      <c r="AO154" s="47">
        <f t="shared" si="742"/>
        <v>2.9146655915087529</v>
      </c>
      <c r="AP154" s="47">
        <f>AP135</f>
        <v>2.9993733585218632</v>
      </c>
      <c r="AQ154" s="47">
        <f t="shared" ref="AQ154:AS154" si="743">AQ135</f>
        <v>2.9617384128730575</v>
      </c>
      <c r="AR154" s="47">
        <f t="shared" si="743"/>
        <v>3.058105003133202</v>
      </c>
      <c r="AS154" s="47">
        <f t="shared" si="743"/>
        <v>3.1469875815693857</v>
      </c>
      <c r="AT154" s="47">
        <f>AT135</f>
        <v>3.1227355683217808</v>
      </c>
      <c r="AU154" s="47">
        <f t="shared" ref="AU154:AV154" si="744">AU135</f>
        <v>3.0697870206172642</v>
      </c>
      <c r="AV154" s="47">
        <f t="shared" si="744"/>
        <v>3.1240637500111856</v>
      </c>
      <c r="AW154" s="47"/>
      <c r="AY154" s="47">
        <f t="shared" ref="AY154" si="745">AY135</f>
        <v>2.3978849202216899</v>
      </c>
    </row>
    <row r="155" spans="2:51" ht="13.5" customHeight="1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Y155" s="12"/>
    </row>
    <row r="156" spans="2:51" s="2" customFormat="1" ht="21">
      <c r="B156" s="48" t="s">
        <v>371</v>
      </c>
      <c r="C156" s="43">
        <f t="shared" ref="C156:M156" si="746">C3</f>
        <v>42735</v>
      </c>
      <c r="D156" s="43">
        <f t="shared" si="746"/>
        <v>43100</v>
      </c>
      <c r="E156" s="43">
        <f t="shared" si="746"/>
        <v>43465</v>
      </c>
      <c r="F156" s="43">
        <f t="shared" si="746"/>
        <v>43830</v>
      </c>
      <c r="G156" s="43">
        <f t="shared" si="746"/>
        <v>44196</v>
      </c>
      <c r="H156" s="43">
        <f t="shared" si="746"/>
        <v>44561</v>
      </c>
      <c r="I156" s="43">
        <f t="shared" si="746"/>
        <v>44926</v>
      </c>
      <c r="J156" s="43">
        <f t="shared" si="746"/>
        <v>45291</v>
      </c>
      <c r="K156" s="43">
        <f t="shared" si="746"/>
        <v>45657</v>
      </c>
      <c r="L156" s="43">
        <f t="shared" si="746"/>
        <v>46022</v>
      </c>
      <c r="M156" s="43">
        <f t="shared" si="746"/>
        <v>46203</v>
      </c>
      <c r="N156" s="194"/>
      <c r="O156" s="43">
        <f t="shared" ref="O156:AT156" si="747">O3</f>
        <v>43190</v>
      </c>
      <c r="P156" s="43">
        <f t="shared" si="747"/>
        <v>43281</v>
      </c>
      <c r="Q156" s="43">
        <f t="shared" si="747"/>
        <v>43373</v>
      </c>
      <c r="R156" s="43">
        <f t="shared" si="747"/>
        <v>43465</v>
      </c>
      <c r="S156" s="43">
        <f t="shared" si="747"/>
        <v>43555</v>
      </c>
      <c r="T156" s="43">
        <f t="shared" si="747"/>
        <v>43646</v>
      </c>
      <c r="U156" s="43">
        <f t="shared" si="747"/>
        <v>43738</v>
      </c>
      <c r="V156" s="43">
        <f t="shared" si="747"/>
        <v>43830</v>
      </c>
      <c r="W156" s="43">
        <f t="shared" si="747"/>
        <v>43921</v>
      </c>
      <c r="X156" s="43">
        <f t="shared" si="747"/>
        <v>44012</v>
      </c>
      <c r="Y156" s="43">
        <f t="shared" si="747"/>
        <v>44104</v>
      </c>
      <c r="Z156" s="43">
        <f t="shared" si="747"/>
        <v>44196</v>
      </c>
      <c r="AA156" s="43">
        <f t="shared" si="747"/>
        <v>44286</v>
      </c>
      <c r="AB156" s="43">
        <f t="shared" si="747"/>
        <v>44348</v>
      </c>
      <c r="AC156" s="43">
        <f t="shared" si="747"/>
        <v>44469</v>
      </c>
      <c r="AD156" s="43">
        <f t="shared" si="747"/>
        <v>44561</v>
      </c>
      <c r="AE156" s="43">
        <f t="shared" si="747"/>
        <v>44651</v>
      </c>
      <c r="AF156" s="43">
        <f t="shared" si="747"/>
        <v>44742</v>
      </c>
      <c r="AG156" s="43">
        <f t="shared" si="747"/>
        <v>44834</v>
      </c>
      <c r="AH156" s="43">
        <f t="shared" si="747"/>
        <v>44926</v>
      </c>
      <c r="AI156" s="43">
        <f t="shared" si="747"/>
        <v>45016</v>
      </c>
      <c r="AJ156" s="43">
        <f t="shared" si="747"/>
        <v>45107</v>
      </c>
      <c r="AK156" s="43">
        <f t="shared" si="747"/>
        <v>45199</v>
      </c>
      <c r="AL156" s="43">
        <f t="shared" si="747"/>
        <v>45291</v>
      </c>
      <c r="AM156" s="43">
        <f t="shared" si="747"/>
        <v>45382</v>
      </c>
      <c r="AN156" s="43">
        <f t="shared" si="747"/>
        <v>45473</v>
      </c>
      <c r="AO156" s="43">
        <f t="shared" si="747"/>
        <v>45565</v>
      </c>
      <c r="AP156" s="43">
        <f t="shared" si="747"/>
        <v>45657</v>
      </c>
      <c r="AQ156" s="43">
        <f t="shared" si="747"/>
        <v>45747</v>
      </c>
      <c r="AR156" s="43">
        <f t="shared" si="747"/>
        <v>45838</v>
      </c>
      <c r="AS156" s="43">
        <f t="shared" si="747"/>
        <v>45930</v>
      </c>
      <c r="AT156" s="43">
        <f t="shared" si="747"/>
        <v>46022</v>
      </c>
      <c r="AU156" s="43">
        <f>AU3</f>
        <v>46112</v>
      </c>
      <c r="AV156" s="43">
        <f t="shared" ref="AV156" si="748">AV3</f>
        <v>46203</v>
      </c>
      <c r="AW156" s="194"/>
      <c r="AY156" s="43">
        <f>AY3</f>
        <v>44104</v>
      </c>
    </row>
    <row r="157" spans="2:51" s="2" customFormat="1" ht="13.5" customHeight="1">
      <c r="B157" s="4" t="str">
        <f>B3</f>
        <v>(PHP millions)</v>
      </c>
      <c r="C157" s="44" t="str">
        <f t="shared" ref="C157:M157" si="749">C4</f>
        <v>Act</v>
      </c>
      <c r="D157" s="44" t="str">
        <f t="shared" si="749"/>
        <v>Act</v>
      </c>
      <c r="E157" s="44" t="str">
        <f t="shared" si="749"/>
        <v>Act</v>
      </c>
      <c r="F157" s="44" t="str">
        <f t="shared" si="749"/>
        <v>Act</v>
      </c>
      <c r="G157" s="44" t="str">
        <f t="shared" si="749"/>
        <v>Act</v>
      </c>
      <c r="H157" s="44" t="str">
        <f t="shared" si="749"/>
        <v>Act</v>
      </c>
      <c r="I157" s="44" t="str">
        <f t="shared" si="749"/>
        <v>Act</v>
      </c>
      <c r="J157" s="44" t="str">
        <f t="shared" si="749"/>
        <v>Act</v>
      </c>
      <c r="K157" s="44" t="str">
        <f t="shared" si="749"/>
        <v>Act</v>
      </c>
      <c r="L157" s="44" t="str">
        <f t="shared" si="749"/>
        <v>Act</v>
      </c>
      <c r="M157" s="44" t="str">
        <f t="shared" si="749"/>
        <v>Act</v>
      </c>
      <c r="N157" s="194"/>
      <c r="O157" s="44" t="str">
        <f t="shared" ref="O157:AT157" si="750">O4</f>
        <v>Act</v>
      </c>
      <c r="P157" s="44" t="str">
        <f t="shared" si="750"/>
        <v>Act</v>
      </c>
      <c r="Q157" s="44" t="str">
        <f t="shared" si="750"/>
        <v>Act</v>
      </c>
      <c r="R157" s="44" t="str">
        <f t="shared" si="750"/>
        <v>Act</v>
      </c>
      <c r="S157" s="44" t="str">
        <f t="shared" si="750"/>
        <v>Act</v>
      </c>
      <c r="T157" s="44" t="str">
        <f t="shared" si="750"/>
        <v>Act</v>
      </c>
      <c r="U157" s="44" t="str">
        <f t="shared" si="750"/>
        <v>Act</v>
      </c>
      <c r="V157" s="44" t="str">
        <f t="shared" si="750"/>
        <v>Act</v>
      </c>
      <c r="W157" s="44" t="str">
        <f t="shared" si="750"/>
        <v>Act</v>
      </c>
      <c r="X157" s="44" t="str">
        <f t="shared" si="750"/>
        <v>Act</v>
      </c>
      <c r="Y157" s="44" t="str">
        <f t="shared" si="750"/>
        <v>Act</v>
      </c>
      <c r="Z157" s="44" t="str">
        <f t="shared" si="750"/>
        <v>Act</v>
      </c>
      <c r="AA157" s="44" t="str">
        <f t="shared" si="750"/>
        <v>Act</v>
      </c>
      <c r="AB157" s="44" t="str">
        <f t="shared" si="750"/>
        <v>Act</v>
      </c>
      <c r="AC157" s="44" t="str">
        <f t="shared" si="750"/>
        <v>Act</v>
      </c>
      <c r="AD157" s="44" t="str">
        <f t="shared" si="750"/>
        <v>Act</v>
      </c>
      <c r="AE157" s="44" t="str">
        <f t="shared" si="750"/>
        <v>Restated</v>
      </c>
      <c r="AF157" s="44" t="str">
        <f t="shared" si="750"/>
        <v>Restated</v>
      </c>
      <c r="AG157" s="44" t="str">
        <f t="shared" si="750"/>
        <v>Restated</v>
      </c>
      <c r="AH157" s="44" t="str">
        <f t="shared" si="750"/>
        <v>Act</v>
      </c>
      <c r="AI157" s="44" t="str">
        <f t="shared" si="750"/>
        <v>Act</v>
      </c>
      <c r="AJ157" s="44" t="str">
        <f t="shared" si="750"/>
        <v>Act</v>
      </c>
      <c r="AK157" s="44" t="str">
        <f t="shared" si="750"/>
        <v>Act</v>
      </c>
      <c r="AL157" s="44" t="str">
        <f t="shared" si="750"/>
        <v>Act</v>
      </c>
      <c r="AM157" s="44" t="str">
        <f t="shared" si="750"/>
        <v>Act</v>
      </c>
      <c r="AN157" s="44" t="str">
        <f t="shared" si="750"/>
        <v>Act</v>
      </c>
      <c r="AO157" s="44" t="str">
        <f t="shared" si="750"/>
        <v>Act</v>
      </c>
      <c r="AP157" s="44" t="str">
        <f t="shared" si="750"/>
        <v>Act</v>
      </c>
      <c r="AQ157" s="44" t="str">
        <f t="shared" si="750"/>
        <v>Act</v>
      </c>
      <c r="AR157" s="44" t="str">
        <f t="shared" si="750"/>
        <v>Act</v>
      </c>
      <c r="AS157" s="44" t="str">
        <f t="shared" si="750"/>
        <v>Act</v>
      </c>
      <c r="AT157" s="44" t="str">
        <f t="shared" si="750"/>
        <v>Act</v>
      </c>
      <c r="AU157" s="44" t="str">
        <f>AU4</f>
        <v>Act</v>
      </c>
      <c r="AV157" s="44" t="str">
        <f t="shared" ref="AV157" si="751">AV4</f>
        <v>Act</v>
      </c>
      <c r="AW157" s="194"/>
      <c r="AY157" s="44" t="str">
        <f>AY4</f>
        <v>Act</v>
      </c>
    </row>
    <row r="158" spans="2:51" s="2" customFormat="1" ht="13.5" customHeight="1"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Y158" s="41"/>
    </row>
    <row r="159" spans="2:51" s="2" customFormat="1" ht="13.5" customHeight="1">
      <c r="B159" s="2" t="s">
        <v>372</v>
      </c>
      <c r="C159" s="49">
        <f t="shared" ref="C159:M159" si="752">C10</f>
        <v>165262</v>
      </c>
      <c r="D159" s="49">
        <f t="shared" si="752"/>
        <v>158933</v>
      </c>
      <c r="E159" s="49">
        <f t="shared" si="752"/>
        <v>162914</v>
      </c>
      <c r="F159" s="49">
        <f t="shared" si="752"/>
        <v>169187</v>
      </c>
      <c r="G159" s="49">
        <f t="shared" si="752"/>
        <v>181004</v>
      </c>
      <c r="H159" s="49">
        <f t="shared" si="752"/>
        <v>192186</v>
      </c>
      <c r="I159" s="49">
        <f t="shared" si="752"/>
        <v>204362</v>
      </c>
      <c r="J159" s="49">
        <f t="shared" si="752"/>
        <v>210953</v>
      </c>
      <c r="K159" s="49">
        <f t="shared" si="752"/>
        <v>216833</v>
      </c>
      <c r="L159" s="49">
        <f t="shared" si="752"/>
        <v>218388</v>
      </c>
      <c r="M159" s="49">
        <f t="shared" si="752"/>
        <v>220820</v>
      </c>
      <c r="N159" s="49"/>
      <c r="O159" s="49">
        <f t="shared" ref="O159:AT159" si="753">O10</f>
        <v>40507</v>
      </c>
      <c r="P159" s="49">
        <f t="shared" si="753"/>
        <v>41732</v>
      </c>
      <c r="Q159" s="49">
        <f t="shared" si="753"/>
        <v>40412</v>
      </c>
      <c r="R159" s="49">
        <f t="shared" si="753"/>
        <v>40263</v>
      </c>
      <c r="S159" s="49">
        <f t="shared" si="753"/>
        <v>40618</v>
      </c>
      <c r="T159" s="49">
        <f t="shared" si="753"/>
        <v>41366</v>
      </c>
      <c r="U159" s="49">
        <f t="shared" si="753"/>
        <v>42452</v>
      </c>
      <c r="V159" s="49">
        <f t="shared" si="753"/>
        <v>44751</v>
      </c>
      <c r="W159" s="49">
        <f t="shared" si="753"/>
        <v>43646</v>
      </c>
      <c r="X159" s="49">
        <f t="shared" si="753"/>
        <v>43089</v>
      </c>
      <c r="Y159" s="49">
        <f t="shared" si="753"/>
        <v>46487</v>
      </c>
      <c r="Z159" s="49">
        <f t="shared" si="753"/>
        <v>47782</v>
      </c>
      <c r="AA159" s="49">
        <f t="shared" si="753"/>
        <v>47924</v>
      </c>
      <c r="AB159" s="49">
        <f t="shared" si="753"/>
        <v>47699</v>
      </c>
      <c r="AC159" s="49">
        <f t="shared" si="753"/>
        <v>48233</v>
      </c>
      <c r="AD159" s="49">
        <f t="shared" si="753"/>
        <v>48330</v>
      </c>
      <c r="AE159" s="49">
        <f t="shared" si="753"/>
        <v>49825</v>
      </c>
      <c r="AF159" s="49">
        <f t="shared" si="753"/>
        <v>50962</v>
      </c>
      <c r="AG159" s="49">
        <f t="shared" si="753"/>
        <v>51347</v>
      </c>
      <c r="AH159" s="49">
        <f t="shared" si="753"/>
        <v>52228</v>
      </c>
      <c r="AI159" s="49">
        <f t="shared" si="753"/>
        <v>52362</v>
      </c>
      <c r="AJ159" s="49">
        <f t="shared" si="753"/>
        <v>51676</v>
      </c>
      <c r="AK159" s="49">
        <f t="shared" si="753"/>
        <v>52318</v>
      </c>
      <c r="AL159" s="49">
        <f t="shared" si="753"/>
        <v>54597</v>
      </c>
      <c r="AM159" s="49">
        <f t="shared" si="753"/>
        <v>54224</v>
      </c>
      <c r="AN159" s="49">
        <f t="shared" si="753"/>
        <v>53359</v>
      </c>
      <c r="AO159" s="49">
        <f t="shared" si="753"/>
        <v>53359</v>
      </c>
      <c r="AP159" s="49">
        <f t="shared" si="753"/>
        <v>55891</v>
      </c>
      <c r="AQ159" s="49">
        <f t="shared" si="753"/>
        <v>55277</v>
      </c>
      <c r="AR159" s="49">
        <f t="shared" si="753"/>
        <v>54297</v>
      </c>
      <c r="AS159" s="49">
        <f t="shared" si="753"/>
        <v>53709</v>
      </c>
      <c r="AT159" s="49">
        <f t="shared" si="753"/>
        <v>55105</v>
      </c>
      <c r="AU159" s="49">
        <f>AU10</f>
        <v>56513</v>
      </c>
      <c r="AV159" s="49">
        <f t="shared" ref="AV159" si="754">AV10</f>
        <v>55493</v>
      </c>
      <c r="AW159" s="49"/>
      <c r="AY159" s="49">
        <f>AY10</f>
        <v>46487</v>
      </c>
    </row>
    <row r="160" spans="2:51" s="7" customFormat="1" ht="13.5" customHeight="1">
      <c r="B160" s="20" t="s">
        <v>275</v>
      </c>
      <c r="C160" s="50"/>
      <c r="D160" s="50">
        <f t="shared" ref="D160" si="755">D159/C159-1</f>
        <v>-3.8296765136570987E-2</v>
      </c>
      <c r="E160" s="50">
        <f t="shared" ref="E160:L160" si="756">E159/D159-1</f>
        <v>2.5048290789200456E-2</v>
      </c>
      <c r="F160" s="50">
        <f t="shared" si="756"/>
        <v>3.8504978086597808E-2</v>
      </c>
      <c r="G160" s="50">
        <f t="shared" si="756"/>
        <v>6.9845791934368462E-2</v>
      </c>
      <c r="H160" s="50">
        <f t="shared" si="756"/>
        <v>6.1777640273143142E-2</v>
      </c>
      <c r="I160" s="50">
        <f t="shared" si="756"/>
        <v>6.3355291228289312E-2</v>
      </c>
      <c r="J160" s="50">
        <f t="shared" si="756"/>
        <v>3.2251592761863845E-2</v>
      </c>
      <c r="K160" s="50">
        <f t="shared" si="756"/>
        <v>2.7873507368940009E-2</v>
      </c>
      <c r="L160" s="50">
        <f t="shared" si="756"/>
        <v>7.1714176347696945E-3</v>
      </c>
      <c r="M160" s="10"/>
      <c r="N160" s="196"/>
      <c r="O160" s="50"/>
      <c r="P160" s="50"/>
      <c r="Q160" s="50"/>
      <c r="R160" s="50"/>
      <c r="S160" s="50">
        <f t="shared" ref="S160:AC160" si="757">S159/O159-1</f>
        <v>2.740267114325956E-3</v>
      </c>
      <c r="T160" s="50">
        <f t="shared" si="757"/>
        <v>-8.7702482507427959E-3</v>
      </c>
      <c r="U160" s="50">
        <f t="shared" si="757"/>
        <v>5.0480055429080517E-2</v>
      </c>
      <c r="V160" s="50">
        <f t="shared" si="757"/>
        <v>0.11146710379256386</v>
      </c>
      <c r="W160" s="50">
        <f t="shared" si="757"/>
        <v>7.4548229848835579E-2</v>
      </c>
      <c r="X160" s="50">
        <f t="shared" si="757"/>
        <v>4.1652564908378764E-2</v>
      </c>
      <c r="Y160" s="50">
        <f t="shared" si="757"/>
        <v>9.5048525393385486E-2</v>
      </c>
      <c r="Z160" s="50">
        <f t="shared" si="757"/>
        <v>6.7730330048490606E-2</v>
      </c>
      <c r="AA160" s="50">
        <f t="shared" si="757"/>
        <v>9.8015854832057991E-2</v>
      </c>
      <c r="AB160" s="50">
        <f t="shared" si="757"/>
        <v>0.10698786233145352</v>
      </c>
      <c r="AC160" s="50">
        <f t="shared" si="757"/>
        <v>3.755888743089475E-2</v>
      </c>
      <c r="AD160" s="50">
        <f>AD159/Z159-1</f>
        <v>1.1468753924071873E-2</v>
      </c>
      <c r="AE160" s="50">
        <f t="shared" ref="AE160:AV160" si="758">AE159/AA159-1</f>
        <v>3.9666972706785764E-2</v>
      </c>
      <c r="AF160" s="50">
        <f t="shared" si="758"/>
        <v>6.8408142728359156E-2</v>
      </c>
      <c r="AG160" s="50">
        <f t="shared" si="758"/>
        <v>6.4561607198391213E-2</v>
      </c>
      <c r="AH160" s="50">
        <f>AH159/AD159-1</f>
        <v>8.0653838195737571E-2</v>
      </c>
      <c r="AI160" s="50">
        <f t="shared" si="758"/>
        <v>5.0918213748118335E-2</v>
      </c>
      <c r="AJ160" s="50">
        <f t="shared" si="758"/>
        <v>1.4010439150739851E-2</v>
      </c>
      <c r="AK160" s="50">
        <f t="shared" si="758"/>
        <v>1.8910549788692554E-2</v>
      </c>
      <c r="AL160" s="50">
        <f>AL159/AH159-1</f>
        <v>4.5358811365550977E-2</v>
      </c>
      <c r="AM160" s="50">
        <f t="shared" si="758"/>
        <v>3.5560139032122517E-2</v>
      </c>
      <c r="AN160" s="50">
        <f t="shared" si="758"/>
        <v>3.2568310240730813E-2</v>
      </c>
      <c r="AO160" s="50">
        <f t="shared" si="758"/>
        <v>1.9897549600519815E-2</v>
      </c>
      <c r="AP160" s="50">
        <f>AP159/AL159-1</f>
        <v>2.3700935948861579E-2</v>
      </c>
      <c r="AQ160" s="50">
        <f t="shared" si="758"/>
        <v>1.9419445264089674E-2</v>
      </c>
      <c r="AR160" s="50">
        <f t="shared" si="758"/>
        <v>1.7579040086958209E-2</v>
      </c>
      <c r="AS160" s="50">
        <f t="shared" si="758"/>
        <v>6.5593433160291426E-3</v>
      </c>
      <c r="AT160" s="50">
        <f>AT159/AP159-1</f>
        <v>-1.4063087080209646E-2</v>
      </c>
      <c r="AU160" s="50">
        <f>AU159/AQ159-1</f>
        <v>2.2360113609638743E-2</v>
      </c>
      <c r="AV160" s="50">
        <f t="shared" si="758"/>
        <v>2.202699965007282E-2</v>
      </c>
      <c r="AW160" s="202"/>
      <c r="AY160" s="50">
        <f>AY159/AA159-1</f>
        <v>-2.9984976212336201E-2</v>
      </c>
    </row>
    <row r="161" spans="2:51" s="2" customFormat="1" ht="13.5" customHeight="1" thickBot="1">
      <c r="B161" s="51" t="str">
        <f t="shared" ref="B161:M161" si="759">+B51</f>
        <v xml:space="preserve">Adj. EBITDA </v>
      </c>
      <c r="C161" s="52">
        <f t="shared" si="759"/>
        <v>54529</v>
      </c>
      <c r="D161" s="52">
        <f t="shared" si="759"/>
        <v>59158</v>
      </c>
      <c r="E161" s="52">
        <f t="shared" si="759"/>
        <v>56706</v>
      </c>
      <c r="F161" s="52">
        <f t="shared" si="759"/>
        <v>78525</v>
      </c>
      <c r="G161" s="52">
        <f t="shared" si="759"/>
        <v>84774</v>
      </c>
      <c r="H161" s="52">
        <f t="shared" si="759"/>
        <v>96169</v>
      </c>
      <c r="I161" s="52">
        <f t="shared" si="759"/>
        <v>100262</v>
      </c>
      <c r="J161" s="52">
        <f t="shared" si="759"/>
        <v>104297</v>
      </c>
      <c r="K161" s="52">
        <f t="shared" si="759"/>
        <v>108515</v>
      </c>
      <c r="L161" s="52">
        <f t="shared" si="759"/>
        <v>111231</v>
      </c>
      <c r="M161" s="52">
        <f t="shared" si="759"/>
        <v>111749</v>
      </c>
      <c r="N161" s="49"/>
      <c r="O161" s="52">
        <f t="shared" ref="O161:AT161" si="760">+O51</f>
        <v>14894</v>
      </c>
      <c r="P161" s="52">
        <f t="shared" si="760"/>
        <v>14839</v>
      </c>
      <c r="Q161" s="52">
        <f t="shared" si="760"/>
        <v>14664</v>
      </c>
      <c r="R161" s="52">
        <f t="shared" si="760"/>
        <v>12309</v>
      </c>
      <c r="S161" s="52">
        <f t="shared" si="760"/>
        <v>19776</v>
      </c>
      <c r="T161" s="52">
        <f t="shared" si="760"/>
        <v>19534</v>
      </c>
      <c r="U161" s="52">
        <f t="shared" si="760"/>
        <v>17857</v>
      </c>
      <c r="V161" s="52">
        <f t="shared" si="760"/>
        <v>21358</v>
      </c>
      <c r="W161" s="52">
        <f t="shared" si="760"/>
        <v>21274</v>
      </c>
      <c r="X161" s="52">
        <f t="shared" si="760"/>
        <v>21440</v>
      </c>
      <c r="Y161" s="52">
        <f t="shared" si="760"/>
        <v>22355</v>
      </c>
      <c r="Z161" s="52">
        <f t="shared" si="760"/>
        <v>19705</v>
      </c>
      <c r="AA161" s="52">
        <f t="shared" si="760"/>
        <v>23072</v>
      </c>
      <c r="AB161" s="52">
        <f t="shared" si="760"/>
        <v>23255</v>
      </c>
      <c r="AC161" s="52">
        <f t="shared" si="760"/>
        <v>24489</v>
      </c>
      <c r="AD161" s="52">
        <f t="shared" si="760"/>
        <v>25353</v>
      </c>
      <c r="AE161" s="52">
        <f t="shared" si="760"/>
        <v>20907</v>
      </c>
      <c r="AF161" s="52">
        <f t="shared" si="760"/>
        <v>23829</v>
      </c>
      <c r="AG161" s="52">
        <f t="shared" si="760"/>
        <v>24606</v>
      </c>
      <c r="AH161" s="52">
        <f t="shared" si="760"/>
        <v>30920</v>
      </c>
      <c r="AI161" s="52">
        <f t="shared" si="760"/>
        <v>26021</v>
      </c>
      <c r="AJ161" s="52">
        <f t="shared" si="760"/>
        <v>26107</v>
      </c>
      <c r="AK161" s="52">
        <f t="shared" si="760"/>
        <v>26236</v>
      </c>
      <c r="AL161" s="52">
        <f t="shared" si="760"/>
        <v>25933</v>
      </c>
      <c r="AM161" s="52">
        <f t="shared" si="760"/>
        <v>27315</v>
      </c>
      <c r="AN161" s="52">
        <f t="shared" si="760"/>
        <v>26621</v>
      </c>
      <c r="AO161" s="52">
        <f t="shared" si="760"/>
        <v>26782</v>
      </c>
      <c r="AP161" s="52">
        <f t="shared" si="760"/>
        <v>27797</v>
      </c>
      <c r="AQ161" s="52">
        <f t="shared" si="760"/>
        <v>27865</v>
      </c>
      <c r="AR161" s="52">
        <f t="shared" si="760"/>
        <v>27667</v>
      </c>
      <c r="AS161" s="52">
        <f t="shared" si="760"/>
        <v>27313</v>
      </c>
      <c r="AT161" s="52">
        <f t="shared" si="760"/>
        <v>28386</v>
      </c>
      <c r="AU161" s="52">
        <f>+AU51</f>
        <v>28288</v>
      </c>
      <c r="AV161" s="52">
        <f t="shared" ref="AV161" si="761">+AV51</f>
        <v>27762</v>
      </c>
      <c r="AW161" s="49"/>
      <c r="AY161" s="52">
        <f>+AY51</f>
        <v>22355</v>
      </c>
    </row>
    <row r="162" spans="2:51" s="7" customFormat="1" ht="13.5" customHeight="1" thickTop="1">
      <c r="B162" s="20" t="str">
        <f>+B52</f>
        <v xml:space="preserve">% growth </v>
      </c>
      <c r="C162" s="50"/>
      <c r="D162" s="50">
        <f t="shared" ref="D162" si="762">D161/C161-1</f>
        <v>8.4890608666947864E-2</v>
      </c>
      <c r="E162" s="50">
        <f t="shared" ref="E162:L162" si="763">E161/D161-1</f>
        <v>-4.1448324825044791E-2</v>
      </c>
      <c r="F162" s="50">
        <f t="shared" si="763"/>
        <v>0.38477409797904993</v>
      </c>
      <c r="G162" s="50">
        <f t="shared" si="763"/>
        <v>7.9579751671442267E-2</v>
      </c>
      <c r="H162" s="50">
        <f t="shared" si="763"/>
        <v>0.13441621251798908</v>
      </c>
      <c r="I162" s="50">
        <f t="shared" si="763"/>
        <v>4.2560492466387378E-2</v>
      </c>
      <c r="J162" s="50">
        <f t="shared" si="763"/>
        <v>4.0244559254752454E-2</v>
      </c>
      <c r="K162" s="50">
        <f t="shared" si="763"/>
        <v>4.0442198720960443E-2</v>
      </c>
      <c r="L162" s="50">
        <f t="shared" si="763"/>
        <v>2.5028797862046703E-2</v>
      </c>
      <c r="M162" s="10"/>
      <c r="N162" s="196"/>
      <c r="O162" s="50"/>
      <c r="P162" s="50"/>
      <c r="Q162" s="50"/>
      <c r="R162" s="50"/>
      <c r="S162" s="50">
        <f t="shared" ref="S162:AC162" si="764">S161/O161-1</f>
        <v>0.32778299986571779</v>
      </c>
      <c r="T162" s="50">
        <f t="shared" si="764"/>
        <v>0.31639598355684351</v>
      </c>
      <c r="U162" s="50">
        <f t="shared" si="764"/>
        <v>0.21774413529732684</v>
      </c>
      <c r="V162" s="50">
        <f t="shared" si="764"/>
        <v>0.73515313997887732</v>
      </c>
      <c r="W162" s="50">
        <f t="shared" si="764"/>
        <v>7.5748381877022597E-2</v>
      </c>
      <c r="X162" s="50">
        <f t="shared" si="764"/>
        <v>9.7573461656598859E-2</v>
      </c>
      <c r="Y162" s="50">
        <f t="shared" si="764"/>
        <v>0.25189001512012088</v>
      </c>
      <c r="Z162" s="50">
        <f t="shared" si="764"/>
        <v>-7.7394887161719272E-2</v>
      </c>
      <c r="AA162" s="50">
        <f t="shared" si="764"/>
        <v>8.4516310989940724E-2</v>
      </c>
      <c r="AB162" s="50">
        <f t="shared" si="764"/>
        <v>8.4654850746268551E-2</v>
      </c>
      <c r="AC162" s="50">
        <f t="shared" si="764"/>
        <v>9.5459628718407519E-2</v>
      </c>
      <c r="AD162" s="50">
        <f>AD161/Z161-1</f>
        <v>0.28662775945191576</v>
      </c>
      <c r="AE162" s="50">
        <f t="shared" ref="AE162:AV162" si="765">AE161/AA161-1</f>
        <v>-9.3836685159500721E-2</v>
      </c>
      <c r="AF162" s="50">
        <f t="shared" si="765"/>
        <v>2.4682863900236551E-2</v>
      </c>
      <c r="AG162" s="50">
        <f t="shared" si="765"/>
        <v>4.7776552737963662E-3</v>
      </c>
      <c r="AH162" s="50">
        <f>AH161/AD161-1</f>
        <v>0.21957953693842946</v>
      </c>
      <c r="AI162" s="50">
        <f t="shared" si="765"/>
        <v>0.24460706940259236</v>
      </c>
      <c r="AJ162" s="50">
        <f t="shared" si="765"/>
        <v>9.5597800998783011E-2</v>
      </c>
      <c r="AK162" s="50">
        <f t="shared" si="765"/>
        <v>6.6244005527107186E-2</v>
      </c>
      <c r="AL162" s="50">
        <f>AL161/AH161-1</f>
        <v>-0.16128719275549808</v>
      </c>
      <c r="AM162" s="50">
        <f t="shared" si="765"/>
        <v>4.9729064985972959E-2</v>
      </c>
      <c r="AN162" s="50">
        <f t="shared" si="765"/>
        <v>1.9688206228214655E-2</v>
      </c>
      <c r="AO162" s="50">
        <f t="shared" si="765"/>
        <v>2.0811099252934895E-2</v>
      </c>
      <c r="AP162" s="50">
        <f>AP161/AL161-1</f>
        <v>7.1877530559518732E-2</v>
      </c>
      <c r="AQ162" s="50">
        <f t="shared" si="765"/>
        <v>2.0135456708768151E-2</v>
      </c>
      <c r="AR162" s="50">
        <f t="shared" si="765"/>
        <v>3.9292288043274004E-2</v>
      </c>
      <c r="AS162" s="50">
        <f t="shared" si="765"/>
        <v>1.9826749309237446E-2</v>
      </c>
      <c r="AT162" s="50">
        <f>AT161/AP161-1</f>
        <v>2.1189336978810758E-2</v>
      </c>
      <c r="AU162" s="50">
        <f>AU161/AQ161-1</f>
        <v>1.518033375201866E-2</v>
      </c>
      <c r="AV162" s="50">
        <f t="shared" si="765"/>
        <v>3.4336935699570414E-3</v>
      </c>
      <c r="AW162" s="202"/>
      <c r="AY162" s="50">
        <f>AY161/AA161-1</f>
        <v>-3.1076629680998558E-2</v>
      </c>
    </row>
    <row r="163" spans="2:51" s="7" customFormat="1" ht="13.5" customHeight="1">
      <c r="B163" s="20" t="str">
        <f>+B53</f>
        <v>% margin</v>
      </c>
      <c r="C163" s="50">
        <f t="shared" ref="C163:H163" si="766">+C161/C159</f>
        <v>0.32995485955634085</v>
      </c>
      <c r="D163" s="50">
        <f t="shared" si="766"/>
        <v>0.37221974039375083</v>
      </c>
      <c r="E163" s="50">
        <f t="shared" si="766"/>
        <v>0.34807321654369788</v>
      </c>
      <c r="F163" s="50">
        <f t="shared" si="766"/>
        <v>0.46413140489517518</v>
      </c>
      <c r="G163" s="50">
        <f t="shared" si="766"/>
        <v>0.46835429051291683</v>
      </c>
      <c r="H163" s="50">
        <f t="shared" si="766"/>
        <v>0.50039545024091248</v>
      </c>
      <c r="I163" s="50">
        <f t="shared" ref="I163:J163" si="767">+I161/I159</f>
        <v>0.49060980025640777</v>
      </c>
      <c r="J163" s="50">
        <f t="shared" si="767"/>
        <v>0.49440870715277813</v>
      </c>
      <c r="K163" s="50">
        <f t="shared" ref="K163:L163" si="768">+K161/K159</f>
        <v>0.5004542666476044</v>
      </c>
      <c r="L163" s="50">
        <f t="shared" si="768"/>
        <v>0.50932743557338311</v>
      </c>
      <c r="M163" s="50">
        <f t="shared" ref="M163" si="769">+M161/M159</f>
        <v>0.50606376234036776</v>
      </c>
      <c r="N163" s="202"/>
      <c r="O163" s="50">
        <f t="shared" ref="O163:S163" si="770">+O161/O159</f>
        <v>0.3676895351420742</v>
      </c>
      <c r="P163" s="50">
        <f t="shared" si="770"/>
        <v>0.35557845298571839</v>
      </c>
      <c r="Q163" s="50">
        <f t="shared" si="770"/>
        <v>0.3628625160843314</v>
      </c>
      <c r="R163" s="50">
        <f t="shared" si="770"/>
        <v>0.30571492437225245</v>
      </c>
      <c r="S163" s="50">
        <f t="shared" si="770"/>
        <v>0.48687773893347774</v>
      </c>
      <c r="T163" s="50">
        <f>+T161/T159</f>
        <v>0.47222356524682108</v>
      </c>
      <c r="U163" s="50">
        <f>+U161/U159</f>
        <v>0.42063978140016961</v>
      </c>
      <c r="V163" s="50">
        <f>+V161/V159</f>
        <v>0.47726307792004646</v>
      </c>
      <c r="W163" s="50">
        <f t="shared" ref="W163" si="771">+W161/W159</f>
        <v>0.4874215277459561</v>
      </c>
      <c r="X163" s="50">
        <f>+X161/X159</f>
        <v>0.4975747870686254</v>
      </c>
      <c r="Y163" s="50">
        <f>+Y161/Y159</f>
        <v>0.48088712973519476</v>
      </c>
      <c r="Z163" s="50">
        <f>+Z161/Z159</f>
        <v>0.41239378845590391</v>
      </c>
      <c r="AA163" s="50">
        <f t="shared" ref="AA163" si="772">+AA161/AA159</f>
        <v>0.4814289291378015</v>
      </c>
      <c r="AB163" s="50">
        <f>+AB161/AB159</f>
        <v>0.48753642634017486</v>
      </c>
      <c r="AC163" s="50">
        <f>+AC161/AC159</f>
        <v>0.50772292828561361</v>
      </c>
      <c r="AD163" s="50">
        <f>+AD161/AD159</f>
        <v>0.52458100558659215</v>
      </c>
      <c r="AE163" s="50">
        <f t="shared" ref="AE163:AF163" si="773">+AE161/AE159</f>
        <v>0.41960863020572003</v>
      </c>
      <c r="AF163" s="50">
        <f t="shared" si="773"/>
        <v>0.46758368980809228</v>
      </c>
      <c r="AG163" s="50">
        <f>+AG161/AG159</f>
        <v>0.47921008043313146</v>
      </c>
      <c r="AH163" s="50">
        <f>+AH161/AH159</f>
        <v>0.59201960634142603</v>
      </c>
      <c r="AI163" s="50">
        <f t="shared" ref="AI163:AJ163" si="774">+AI161/AI159</f>
        <v>0.49694434895534928</v>
      </c>
      <c r="AJ163" s="50">
        <f t="shared" si="774"/>
        <v>0.50520551126248159</v>
      </c>
      <c r="AK163" s="50">
        <f>+AK161/AK159</f>
        <v>0.50147176879850153</v>
      </c>
      <c r="AL163" s="50">
        <f>+AL161/AL159</f>
        <v>0.47498946828580324</v>
      </c>
      <c r="AM163" s="50">
        <f t="shared" ref="AM163:AN163" si="775">+AM161/AM159</f>
        <v>0.5037437297137799</v>
      </c>
      <c r="AN163" s="50">
        <f t="shared" si="775"/>
        <v>0.49890365261717801</v>
      </c>
      <c r="AO163" s="50">
        <f>+AO161/AO159</f>
        <v>0.50192095054255137</v>
      </c>
      <c r="AP163" s="50">
        <f>+AP161/AP159</f>
        <v>0.49734304270812835</v>
      </c>
      <c r="AQ163" s="50">
        <f t="shared" ref="AQ163:AR163" si="776">+AQ161/AQ159</f>
        <v>0.50409754509108673</v>
      </c>
      <c r="AR163" s="50">
        <f t="shared" si="776"/>
        <v>0.50954933053391527</v>
      </c>
      <c r="AS163" s="50">
        <f>+AS161/AS159</f>
        <v>0.50853674430728557</v>
      </c>
      <c r="AT163" s="50">
        <f>+AT161/AT159</f>
        <v>0.51512566917702562</v>
      </c>
      <c r="AU163" s="50">
        <f t="shared" ref="AU163:AV163" si="777">+AU161/AU159</f>
        <v>0.50055739387397591</v>
      </c>
      <c r="AV163" s="50">
        <f t="shared" si="777"/>
        <v>0.50027931450813612</v>
      </c>
      <c r="AW163" s="202"/>
      <c r="AY163" s="50">
        <f>+AY161/AY159</f>
        <v>0.48088712973519476</v>
      </c>
    </row>
    <row r="164" spans="2:51" ht="13.5" customHeight="1"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Y164" s="53"/>
    </row>
    <row r="165" spans="2:51" s="2" customFormat="1" ht="13.5" customHeight="1">
      <c r="B165" s="2" t="str">
        <f t="shared" ref="B165:B177" si="778">+B59</f>
        <v xml:space="preserve">Adj EBITDA </v>
      </c>
      <c r="C165" s="49">
        <f t="shared" ref="C165:I168" si="779">+C59</f>
        <v>54529</v>
      </c>
      <c r="D165" s="49">
        <f t="shared" si="779"/>
        <v>59158</v>
      </c>
      <c r="E165" s="49">
        <f t="shared" si="779"/>
        <v>56706</v>
      </c>
      <c r="F165" s="49">
        <f t="shared" si="779"/>
        <v>78525</v>
      </c>
      <c r="G165" s="49">
        <f t="shared" si="779"/>
        <v>84774</v>
      </c>
      <c r="H165" s="49">
        <f t="shared" si="779"/>
        <v>96169</v>
      </c>
      <c r="I165" s="49">
        <f t="shared" si="779"/>
        <v>100262</v>
      </c>
      <c r="J165" s="49">
        <f t="shared" ref="J165:K165" si="780">+J59</f>
        <v>104297</v>
      </c>
      <c r="K165" s="49">
        <f t="shared" si="780"/>
        <v>108515</v>
      </c>
      <c r="L165" s="49">
        <f t="shared" ref="L165" si="781">+L59</f>
        <v>111231</v>
      </c>
      <c r="M165" s="49">
        <f t="shared" ref="M165" si="782">+M59</f>
        <v>111749</v>
      </c>
      <c r="N165" s="49"/>
      <c r="O165" s="49">
        <f t="shared" ref="O165:AH165" si="783">+O59</f>
        <v>14894</v>
      </c>
      <c r="P165" s="49">
        <f t="shared" si="783"/>
        <v>14839</v>
      </c>
      <c r="Q165" s="49">
        <f t="shared" si="783"/>
        <v>14664</v>
      </c>
      <c r="R165" s="49">
        <f t="shared" si="783"/>
        <v>12309</v>
      </c>
      <c r="S165" s="49">
        <f t="shared" si="783"/>
        <v>19776</v>
      </c>
      <c r="T165" s="49">
        <f t="shared" si="783"/>
        <v>19534</v>
      </c>
      <c r="U165" s="49">
        <f t="shared" si="783"/>
        <v>17857</v>
      </c>
      <c r="V165" s="49">
        <f t="shared" si="783"/>
        <v>21358</v>
      </c>
      <c r="W165" s="49">
        <f t="shared" si="783"/>
        <v>21274</v>
      </c>
      <c r="X165" s="49">
        <f t="shared" si="783"/>
        <v>21440</v>
      </c>
      <c r="Y165" s="49">
        <f t="shared" si="783"/>
        <v>22355</v>
      </c>
      <c r="Z165" s="49">
        <f t="shared" si="783"/>
        <v>19705</v>
      </c>
      <c r="AA165" s="49">
        <f t="shared" si="783"/>
        <v>23072</v>
      </c>
      <c r="AB165" s="49">
        <f t="shared" si="783"/>
        <v>23255</v>
      </c>
      <c r="AC165" s="49">
        <f t="shared" si="783"/>
        <v>24489</v>
      </c>
      <c r="AD165" s="49">
        <f t="shared" si="783"/>
        <v>25353</v>
      </c>
      <c r="AE165" s="49">
        <f t="shared" si="783"/>
        <v>20907</v>
      </c>
      <c r="AF165" s="49">
        <f t="shared" si="783"/>
        <v>23829</v>
      </c>
      <c r="AG165" s="49">
        <f t="shared" si="783"/>
        <v>24606</v>
      </c>
      <c r="AH165" s="49">
        <f t="shared" si="783"/>
        <v>30920</v>
      </c>
      <c r="AI165" s="49">
        <f t="shared" ref="AI165:AL165" si="784">+AI59</f>
        <v>26021</v>
      </c>
      <c r="AJ165" s="49">
        <f t="shared" si="784"/>
        <v>26107</v>
      </c>
      <c r="AK165" s="49">
        <f t="shared" si="784"/>
        <v>26236</v>
      </c>
      <c r="AL165" s="49">
        <f t="shared" si="784"/>
        <v>25933</v>
      </c>
      <c r="AM165" s="49">
        <f t="shared" ref="AM165:AP165" si="785">+AM59</f>
        <v>27315</v>
      </c>
      <c r="AN165" s="49">
        <f t="shared" si="785"/>
        <v>26621</v>
      </c>
      <c r="AO165" s="49">
        <f t="shared" si="785"/>
        <v>26782</v>
      </c>
      <c r="AP165" s="49">
        <f t="shared" si="785"/>
        <v>27797</v>
      </c>
      <c r="AQ165" s="49">
        <f t="shared" ref="AQ165:AT165" si="786">+AQ59</f>
        <v>27865</v>
      </c>
      <c r="AR165" s="49">
        <f t="shared" si="786"/>
        <v>27667</v>
      </c>
      <c r="AS165" s="49">
        <f t="shared" si="786"/>
        <v>27313</v>
      </c>
      <c r="AT165" s="49">
        <f t="shared" si="786"/>
        <v>28386</v>
      </c>
      <c r="AU165" s="49">
        <f>+AU59</f>
        <v>28288</v>
      </c>
      <c r="AV165" s="49">
        <f t="shared" ref="AV165" si="787">+AV59</f>
        <v>27762</v>
      </c>
      <c r="AW165" s="49"/>
      <c r="AY165" s="49">
        <f>+AY59</f>
        <v>22355</v>
      </c>
    </row>
    <row r="166" spans="2:51" ht="13.5" customHeight="1">
      <c r="B166" s="1" t="str">
        <f t="shared" si="778"/>
        <v>Working Capital</v>
      </c>
      <c r="C166" s="28">
        <f t="shared" si="779"/>
        <v>-17469</v>
      </c>
      <c r="D166" s="28">
        <f t="shared" si="779"/>
        <v>-13826</v>
      </c>
      <c r="E166" s="28">
        <f t="shared" si="779"/>
        <v>-9158</v>
      </c>
      <c r="F166" s="28">
        <f t="shared" si="779"/>
        <v>-16676</v>
      </c>
      <c r="G166" s="28">
        <f t="shared" si="779"/>
        <v>2379</v>
      </c>
      <c r="H166" s="28">
        <f t="shared" si="779"/>
        <v>-12777</v>
      </c>
      <c r="I166" s="28">
        <f t="shared" si="779"/>
        <v>-20983</v>
      </c>
      <c r="J166" s="28">
        <f t="shared" ref="J166:K166" si="788">+J60</f>
        <v>-17903</v>
      </c>
      <c r="K166" s="28">
        <f t="shared" si="788"/>
        <v>-30085</v>
      </c>
      <c r="L166" s="28">
        <f t="shared" ref="L166" si="789">+L60</f>
        <v>-17888</v>
      </c>
      <c r="M166" s="28">
        <f t="shared" ref="M166" si="790">+M60</f>
        <v>-20036</v>
      </c>
      <c r="N166" s="28"/>
      <c r="O166" s="28">
        <f t="shared" ref="O166:AH166" si="791">+O60</f>
        <v>-1664</v>
      </c>
      <c r="P166" s="28">
        <f t="shared" si="791"/>
        <v>6198</v>
      </c>
      <c r="Q166" s="28">
        <f t="shared" si="791"/>
        <v>-15367</v>
      </c>
      <c r="R166" s="28">
        <f t="shared" si="791"/>
        <v>1675</v>
      </c>
      <c r="S166" s="28">
        <f t="shared" si="791"/>
        <v>-4829</v>
      </c>
      <c r="T166" s="28">
        <f t="shared" si="791"/>
        <v>-1457</v>
      </c>
      <c r="U166" s="28">
        <f t="shared" si="791"/>
        <v>2256</v>
      </c>
      <c r="V166" s="28">
        <f t="shared" si="791"/>
        <v>-12646</v>
      </c>
      <c r="W166" s="28">
        <f t="shared" si="791"/>
        <v>-6161</v>
      </c>
      <c r="X166" s="28">
        <f t="shared" si="791"/>
        <v>-7933</v>
      </c>
      <c r="Y166" s="28">
        <f t="shared" si="791"/>
        <v>4147</v>
      </c>
      <c r="Z166" s="28">
        <f t="shared" si="791"/>
        <v>12326</v>
      </c>
      <c r="AA166" s="28">
        <f t="shared" si="791"/>
        <v>-6867</v>
      </c>
      <c r="AB166" s="28">
        <f t="shared" si="791"/>
        <v>-584</v>
      </c>
      <c r="AC166" s="28">
        <f t="shared" si="791"/>
        <v>20</v>
      </c>
      <c r="AD166" s="28">
        <f t="shared" si="791"/>
        <v>-5346</v>
      </c>
      <c r="AE166" s="28">
        <f t="shared" si="791"/>
        <v>-2064</v>
      </c>
      <c r="AF166" s="28">
        <f t="shared" si="791"/>
        <v>-6082</v>
      </c>
      <c r="AG166" s="28">
        <f t="shared" si="791"/>
        <v>-8215</v>
      </c>
      <c r="AH166" s="28">
        <f t="shared" si="791"/>
        <v>-4622</v>
      </c>
      <c r="AI166" s="28">
        <f t="shared" ref="AI166:AL166" si="792">+AI60</f>
        <v>1838</v>
      </c>
      <c r="AJ166" s="28">
        <f t="shared" si="792"/>
        <v>-11363</v>
      </c>
      <c r="AK166" s="28">
        <f t="shared" si="792"/>
        <v>-3587</v>
      </c>
      <c r="AL166" s="28">
        <f t="shared" si="792"/>
        <v>-4791</v>
      </c>
      <c r="AM166" s="28">
        <f t="shared" ref="AM166:AP166" si="793">+AM60</f>
        <v>-3892</v>
      </c>
      <c r="AN166" s="28">
        <f t="shared" si="793"/>
        <v>945</v>
      </c>
      <c r="AO166" s="28">
        <f t="shared" si="793"/>
        <v>-12088</v>
      </c>
      <c r="AP166" s="28">
        <f t="shared" si="793"/>
        <v>-15050</v>
      </c>
      <c r="AQ166" s="28">
        <f t="shared" ref="AQ166:AT166" si="794">+AQ60</f>
        <v>-4421</v>
      </c>
      <c r="AR166" s="28">
        <f t="shared" si="794"/>
        <v>-4892</v>
      </c>
      <c r="AS166" s="28">
        <f t="shared" si="794"/>
        <v>47</v>
      </c>
      <c r="AT166" s="28">
        <f t="shared" si="794"/>
        <v>-8622</v>
      </c>
      <c r="AU166" s="28">
        <f>+AU60</f>
        <v>-6824</v>
      </c>
      <c r="AV166" s="28">
        <f t="shared" ref="AV166" si="795">+AV60</f>
        <v>-4637</v>
      </c>
      <c r="AW166" s="28"/>
      <c r="AY166" s="28">
        <f>+AY60</f>
        <v>4513</v>
      </c>
    </row>
    <row r="167" spans="2:51" ht="13.5" customHeight="1">
      <c r="B167" s="1" t="str">
        <f t="shared" si="778"/>
        <v>Taxes</v>
      </c>
      <c r="C167" s="28">
        <f t="shared" si="779"/>
        <v>-6965</v>
      </c>
      <c r="D167" s="28">
        <f t="shared" si="779"/>
        <v>-4550</v>
      </c>
      <c r="E167" s="28">
        <f t="shared" si="779"/>
        <v>-2444</v>
      </c>
      <c r="F167" s="28">
        <f t="shared" si="779"/>
        <v>-2097</v>
      </c>
      <c r="G167" s="28">
        <f t="shared" si="779"/>
        <v>-2248</v>
      </c>
      <c r="H167" s="28">
        <f t="shared" si="779"/>
        <v>-2122</v>
      </c>
      <c r="I167" s="28">
        <f t="shared" si="779"/>
        <v>-4188</v>
      </c>
      <c r="J167" s="28">
        <f t="shared" ref="J167:K167" si="796">+J61</f>
        <v>-2058</v>
      </c>
      <c r="K167" s="28">
        <f t="shared" si="796"/>
        <v>-3282</v>
      </c>
      <c r="L167" s="28">
        <f t="shared" ref="L167" si="797">+L61</f>
        <v>-2656</v>
      </c>
      <c r="M167" s="28">
        <f t="shared" ref="M167" si="798">+M61</f>
        <v>-2561</v>
      </c>
      <c r="N167" s="28"/>
      <c r="O167" s="28">
        <f t="shared" ref="O167:AH167" si="799">+O61</f>
        <v>-183</v>
      </c>
      <c r="P167" s="28">
        <f t="shared" si="799"/>
        <v>-484</v>
      </c>
      <c r="Q167" s="28">
        <f t="shared" si="799"/>
        <v>-1019</v>
      </c>
      <c r="R167" s="28">
        <f t="shared" si="799"/>
        <v>-758</v>
      </c>
      <c r="S167" s="28">
        <f t="shared" si="799"/>
        <v>-554</v>
      </c>
      <c r="T167" s="28">
        <f t="shared" si="799"/>
        <v>-622</v>
      </c>
      <c r="U167" s="28">
        <f t="shared" si="799"/>
        <v>-356</v>
      </c>
      <c r="V167" s="28">
        <f t="shared" si="799"/>
        <v>-565</v>
      </c>
      <c r="W167" s="28">
        <f t="shared" si="799"/>
        <v>-372</v>
      </c>
      <c r="X167" s="28">
        <f t="shared" si="799"/>
        <v>-477</v>
      </c>
      <c r="Y167" s="28">
        <f t="shared" si="799"/>
        <v>-263</v>
      </c>
      <c r="Z167" s="28">
        <f t="shared" si="799"/>
        <v>-1136</v>
      </c>
      <c r="AA167" s="28">
        <f t="shared" si="799"/>
        <v>-300</v>
      </c>
      <c r="AB167" s="28">
        <f t="shared" si="799"/>
        <v>-10</v>
      </c>
      <c r="AC167" s="28">
        <f t="shared" si="799"/>
        <v>-1454</v>
      </c>
      <c r="AD167" s="28">
        <f t="shared" si="799"/>
        <v>-358</v>
      </c>
      <c r="AE167" s="28">
        <f t="shared" si="799"/>
        <v>-360</v>
      </c>
      <c r="AF167" s="28">
        <f t="shared" si="799"/>
        <v>-1794</v>
      </c>
      <c r="AG167" s="28">
        <f t="shared" si="799"/>
        <v>-1460</v>
      </c>
      <c r="AH167" s="28">
        <f t="shared" si="799"/>
        <v>-574</v>
      </c>
      <c r="AI167" s="28">
        <f t="shared" ref="AI167:AL167" si="800">+AI61</f>
        <v>0</v>
      </c>
      <c r="AJ167" s="28">
        <f t="shared" si="800"/>
        <v>-1372</v>
      </c>
      <c r="AK167" s="28">
        <f t="shared" si="800"/>
        <v>-989</v>
      </c>
      <c r="AL167" s="28">
        <f t="shared" si="800"/>
        <v>303</v>
      </c>
      <c r="AM167" s="28">
        <f t="shared" ref="AM167:AP167" si="801">+AM61</f>
        <v>-762</v>
      </c>
      <c r="AN167" s="28">
        <f t="shared" si="801"/>
        <v>-1347</v>
      </c>
      <c r="AO167" s="28">
        <f t="shared" si="801"/>
        <v>-457</v>
      </c>
      <c r="AP167" s="28">
        <f t="shared" si="801"/>
        <v>-716</v>
      </c>
      <c r="AQ167" s="28">
        <f t="shared" ref="AQ167:AT167" si="802">+AQ61</f>
        <v>-899</v>
      </c>
      <c r="AR167" s="28">
        <f t="shared" si="802"/>
        <v>-2073</v>
      </c>
      <c r="AS167" s="28">
        <f t="shared" si="802"/>
        <v>-685</v>
      </c>
      <c r="AT167" s="28">
        <f t="shared" si="802"/>
        <v>1001</v>
      </c>
      <c r="AU167" s="28">
        <f>+AU61</f>
        <v>-817</v>
      </c>
      <c r="AV167" s="28">
        <f t="shared" ref="AV167" si="803">+AV61</f>
        <v>-2060</v>
      </c>
      <c r="AW167" s="28"/>
      <c r="AY167" s="28">
        <f>+AY61</f>
        <v>-263</v>
      </c>
    </row>
    <row r="168" spans="2:51" ht="13.5" customHeight="1">
      <c r="B168" s="1" t="str">
        <f t="shared" si="778"/>
        <v>Cash interest paid</v>
      </c>
      <c r="C168" s="28">
        <f t="shared" si="779"/>
        <v>-6512</v>
      </c>
      <c r="D168" s="28">
        <f t="shared" si="779"/>
        <v>-7076</v>
      </c>
      <c r="E168" s="28">
        <f t="shared" si="779"/>
        <v>-6614</v>
      </c>
      <c r="F168" s="28">
        <f t="shared" si="779"/>
        <v>-7143</v>
      </c>
      <c r="G168" s="28">
        <f t="shared" si="779"/>
        <v>-8348</v>
      </c>
      <c r="H168" s="28">
        <f t="shared" si="779"/>
        <v>-8922</v>
      </c>
      <c r="I168" s="28">
        <f t="shared" si="779"/>
        <v>-9013</v>
      </c>
      <c r="J168" s="28">
        <f t="shared" ref="J168:K168" si="804">+J62</f>
        <v>-9715</v>
      </c>
      <c r="K168" s="28">
        <f t="shared" si="804"/>
        <v>-10740</v>
      </c>
      <c r="L168" s="28">
        <f t="shared" ref="L168" si="805">+L62</f>
        <v>-13233</v>
      </c>
      <c r="M168" s="28">
        <f t="shared" ref="M168" si="806">+M62</f>
        <v>-13113</v>
      </c>
      <c r="N168" s="28"/>
      <c r="O168" s="28">
        <f t="shared" ref="O168:AH168" si="807">+O62</f>
        <v>-1513</v>
      </c>
      <c r="P168" s="28">
        <f t="shared" si="807"/>
        <v>-1598</v>
      </c>
      <c r="Q168" s="28">
        <f t="shared" si="807"/>
        <v>-1691</v>
      </c>
      <c r="R168" s="28">
        <f t="shared" si="807"/>
        <v>-1812</v>
      </c>
      <c r="S168" s="28">
        <f t="shared" si="807"/>
        <v>-1703</v>
      </c>
      <c r="T168" s="28">
        <f t="shared" si="807"/>
        <v>-1826</v>
      </c>
      <c r="U168" s="28">
        <f t="shared" si="807"/>
        <v>-1723</v>
      </c>
      <c r="V168" s="28">
        <f t="shared" si="807"/>
        <v>-1891</v>
      </c>
      <c r="W168" s="28">
        <f t="shared" si="807"/>
        <v>-1955</v>
      </c>
      <c r="X168" s="28">
        <f t="shared" si="807"/>
        <v>-2131</v>
      </c>
      <c r="Y168" s="28">
        <f t="shared" si="807"/>
        <v>-4412</v>
      </c>
      <c r="Z168" s="28">
        <f t="shared" si="807"/>
        <v>150</v>
      </c>
      <c r="AA168" s="28">
        <f t="shared" si="807"/>
        <v>-2116</v>
      </c>
      <c r="AB168" s="28">
        <f t="shared" si="807"/>
        <v>-2200</v>
      </c>
      <c r="AC168" s="28">
        <f t="shared" si="807"/>
        <v>-2321</v>
      </c>
      <c r="AD168" s="28">
        <f t="shared" si="807"/>
        <v>-2285</v>
      </c>
      <c r="AE168" s="28">
        <f t="shared" si="807"/>
        <v>-2070</v>
      </c>
      <c r="AF168" s="28">
        <f t="shared" si="807"/>
        <v>-2360</v>
      </c>
      <c r="AG168" s="28">
        <f t="shared" si="807"/>
        <v>-2160</v>
      </c>
      <c r="AH168" s="28">
        <f t="shared" si="807"/>
        <v>-2423</v>
      </c>
      <c r="AI168" s="28">
        <f t="shared" ref="AI168:AL168" si="808">+AI62</f>
        <v>-2203</v>
      </c>
      <c r="AJ168" s="28">
        <f t="shared" si="808"/>
        <v>-2276</v>
      </c>
      <c r="AK168" s="28">
        <f t="shared" si="808"/>
        <v>-2352</v>
      </c>
      <c r="AL168" s="28">
        <f t="shared" si="808"/>
        <v>-2884</v>
      </c>
      <c r="AM168" s="28">
        <f t="shared" ref="AM168:AP168" si="809">+AM62</f>
        <v>-2140</v>
      </c>
      <c r="AN168" s="28">
        <f t="shared" si="809"/>
        <v>-2718</v>
      </c>
      <c r="AO168" s="28">
        <f t="shared" si="809"/>
        <v>-2427</v>
      </c>
      <c r="AP168" s="28">
        <f t="shared" si="809"/>
        <v>-3455</v>
      </c>
      <c r="AQ168" s="28">
        <f t="shared" ref="AQ168:AT168" si="810">+AQ62</f>
        <v>-2808</v>
      </c>
      <c r="AR168" s="28">
        <f t="shared" si="810"/>
        <v>-3686</v>
      </c>
      <c r="AS168" s="28">
        <f t="shared" si="810"/>
        <v>-2936</v>
      </c>
      <c r="AT168" s="28">
        <f t="shared" si="810"/>
        <v>-3803</v>
      </c>
      <c r="AU168" s="28">
        <f>+AU62</f>
        <v>-3090</v>
      </c>
      <c r="AV168" s="28">
        <f t="shared" ref="AV168" si="811">+AV62</f>
        <v>-3284</v>
      </c>
      <c r="AW168" s="28"/>
      <c r="AY168" s="28">
        <f>+AY62</f>
        <v>-1966</v>
      </c>
    </row>
    <row r="169" spans="2:51" s="2" customFormat="1" ht="13.5" customHeight="1" thickBot="1">
      <c r="B169" s="51" t="str">
        <f t="shared" si="778"/>
        <v xml:space="preserve">Net cash from operations </v>
      </c>
      <c r="C169" s="52">
        <f t="shared" ref="C169:V169" si="812">SUM(C165:C168)</f>
        <v>23583</v>
      </c>
      <c r="D169" s="52">
        <f t="shared" si="812"/>
        <v>33706</v>
      </c>
      <c r="E169" s="52">
        <f t="shared" si="812"/>
        <v>38490</v>
      </c>
      <c r="F169" s="52">
        <f t="shared" si="812"/>
        <v>52609</v>
      </c>
      <c r="G169" s="52">
        <f t="shared" ref="G169:H169" si="813">SUM(G165:G168)</f>
        <v>76557</v>
      </c>
      <c r="H169" s="52">
        <f t="shared" si="813"/>
        <v>72348</v>
      </c>
      <c r="I169" s="52">
        <f t="shared" ref="I169:J169" si="814">SUM(I165:I168)</f>
        <v>66078</v>
      </c>
      <c r="J169" s="52">
        <f t="shared" si="814"/>
        <v>74621</v>
      </c>
      <c r="K169" s="52">
        <f t="shared" ref="K169:L169" si="815">SUM(K165:K168)</f>
        <v>64408</v>
      </c>
      <c r="L169" s="52">
        <f t="shared" si="815"/>
        <v>77454</v>
      </c>
      <c r="M169" s="52">
        <f t="shared" ref="M169" si="816">SUM(M165:M168)</f>
        <v>76039</v>
      </c>
      <c r="N169" s="49"/>
      <c r="O169" s="52">
        <f t="shared" si="812"/>
        <v>11534</v>
      </c>
      <c r="P169" s="52">
        <f t="shared" si="812"/>
        <v>18955</v>
      </c>
      <c r="Q169" s="52">
        <f t="shared" si="812"/>
        <v>-3413</v>
      </c>
      <c r="R169" s="52">
        <f t="shared" si="812"/>
        <v>11414</v>
      </c>
      <c r="S169" s="52">
        <f t="shared" si="812"/>
        <v>12690</v>
      </c>
      <c r="T169" s="52">
        <f t="shared" si="812"/>
        <v>15629</v>
      </c>
      <c r="U169" s="52">
        <f t="shared" si="812"/>
        <v>18034</v>
      </c>
      <c r="V169" s="52">
        <f t="shared" si="812"/>
        <v>6256</v>
      </c>
      <c r="W169" s="52">
        <f t="shared" ref="W169" si="817">SUM(W165:W168)</f>
        <v>12786</v>
      </c>
      <c r="X169" s="52">
        <f t="shared" ref="X169" si="818">SUM(X165:X168)</f>
        <v>10899</v>
      </c>
      <c r="Y169" s="52">
        <f t="shared" ref="Y169" si="819">SUM(Y165:Y168)</f>
        <v>21827</v>
      </c>
      <c r="Z169" s="52">
        <f t="shared" ref="Z169:AC169" si="820">SUM(Z165:Z168)</f>
        <v>31045</v>
      </c>
      <c r="AA169" s="52">
        <f t="shared" si="820"/>
        <v>13789</v>
      </c>
      <c r="AB169" s="52">
        <f t="shared" si="820"/>
        <v>20461</v>
      </c>
      <c r="AC169" s="52">
        <f t="shared" si="820"/>
        <v>20734</v>
      </c>
      <c r="AD169" s="52">
        <f t="shared" ref="AD169" si="821">SUM(AD165:AD168)</f>
        <v>17364</v>
      </c>
      <c r="AE169" s="52">
        <f t="shared" ref="AE169:AH169" si="822">SUM(AE165:AE168)</f>
        <v>16413</v>
      </c>
      <c r="AF169" s="52">
        <f t="shared" si="822"/>
        <v>13593</v>
      </c>
      <c r="AG169" s="52">
        <f t="shared" si="822"/>
        <v>12771</v>
      </c>
      <c r="AH169" s="52">
        <f t="shared" si="822"/>
        <v>23301</v>
      </c>
      <c r="AI169" s="52">
        <f t="shared" ref="AI169:AL169" si="823">SUM(AI165:AI168)</f>
        <v>25656</v>
      </c>
      <c r="AJ169" s="52">
        <f t="shared" si="823"/>
        <v>11096</v>
      </c>
      <c r="AK169" s="52">
        <f t="shared" si="823"/>
        <v>19308</v>
      </c>
      <c r="AL169" s="52">
        <f t="shared" si="823"/>
        <v>18561</v>
      </c>
      <c r="AM169" s="52">
        <f t="shared" ref="AM169:AP169" si="824">SUM(AM165:AM168)</f>
        <v>20521</v>
      </c>
      <c r="AN169" s="52">
        <f t="shared" si="824"/>
        <v>23501</v>
      </c>
      <c r="AO169" s="52">
        <f t="shared" si="824"/>
        <v>11810</v>
      </c>
      <c r="AP169" s="52">
        <f t="shared" si="824"/>
        <v>8576</v>
      </c>
      <c r="AQ169" s="52">
        <f t="shared" ref="AQ169:AT169" si="825">SUM(AQ165:AQ168)</f>
        <v>19737</v>
      </c>
      <c r="AR169" s="52">
        <f t="shared" si="825"/>
        <v>17016</v>
      </c>
      <c r="AS169" s="52">
        <f t="shared" si="825"/>
        <v>23739</v>
      </c>
      <c r="AT169" s="52">
        <f t="shared" si="825"/>
        <v>16962</v>
      </c>
      <c r="AU169" s="52">
        <f t="shared" ref="AU169:AV169" si="826">SUM(AU165:AU168)</f>
        <v>17557</v>
      </c>
      <c r="AV169" s="52">
        <f t="shared" si="826"/>
        <v>17781</v>
      </c>
      <c r="AW169" s="49"/>
      <c r="AY169" s="52">
        <f t="shared" ref="AY169" si="827">SUM(AY165:AY168)</f>
        <v>24639</v>
      </c>
    </row>
    <row r="170" spans="2:51" ht="13.5" customHeight="1" thickTop="1">
      <c r="B170" s="1" t="str">
        <f t="shared" si="778"/>
        <v>Net Capex</v>
      </c>
      <c r="C170" s="28">
        <f t="shared" ref="C170:I177" si="828">+C64</f>
        <v>-40936</v>
      </c>
      <c r="D170" s="28">
        <f t="shared" si="828"/>
        <v>-36948</v>
      </c>
      <c r="E170" s="28">
        <f t="shared" si="828"/>
        <v>-48426</v>
      </c>
      <c r="F170" s="28">
        <f t="shared" si="828"/>
        <v>-89477</v>
      </c>
      <c r="G170" s="28">
        <f t="shared" si="828"/>
        <v>-77949</v>
      </c>
      <c r="H170" s="28">
        <f t="shared" si="828"/>
        <v>-102760</v>
      </c>
      <c r="I170" s="28">
        <f t="shared" si="828"/>
        <v>-34718</v>
      </c>
      <c r="J170" s="28">
        <f t="shared" ref="J170:K170" si="829">+J64</f>
        <v>-54464</v>
      </c>
      <c r="K170" s="28">
        <f t="shared" si="829"/>
        <v>-63430</v>
      </c>
      <c r="L170" s="28">
        <f t="shared" ref="L170" si="830">+L64</f>
        <v>-61644</v>
      </c>
      <c r="M170" s="28">
        <f t="shared" ref="M170" si="831">+M64</f>
        <v>-51971</v>
      </c>
      <c r="N170" s="28"/>
      <c r="O170" s="28">
        <f t="shared" ref="O170:AH170" si="832">+O64</f>
        <v>-12922</v>
      </c>
      <c r="P170" s="28">
        <f t="shared" si="832"/>
        <v>-19028</v>
      </c>
      <c r="Q170" s="28">
        <f t="shared" si="832"/>
        <v>-8258</v>
      </c>
      <c r="R170" s="28">
        <f t="shared" si="832"/>
        <v>-8218</v>
      </c>
      <c r="S170" s="28">
        <f t="shared" si="832"/>
        <v>-18901</v>
      </c>
      <c r="T170" s="28">
        <f t="shared" si="832"/>
        <v>-21986</v>
      </c>
      <c r="U170" s="28">
        <f t="shared" si="832"/>
        <v>-20098</v>
      </c>
      <c r="V170" s="28">
        <f t="shared" si="832"/>
        <v>-28492</v>
      </c>
      <c r="W170" s="28">
        <f t="shared" si="832"/>
        <v>-17041</v>
      </c>
      <c r="X170" s="28">
        <f t="shared" si="832"/>
        <v>-23948</v>
      </c>
      <c r="Y170" s="28">
        <f t="shared" si="832"/>
        <v>-19213</v>
      </c>
      <c r="Z170" s="28">
        <f t="shared" si="832"/>
        <v>-17747</v>
      </c>
      <c r="AA170" s="28">
        <f t="shared" si="832"/>
        <v>-19983</v>
      </c>
      <c r="AB170" s="28">
        <f t="shared" si="832"/>
        <v>-34426</v>
      </c>
      <c r="AC170" s="28">
        <f t="shared" si="832"/>
        <v>-28972</v>
      </c>
      <c r="AD170" s="28">
        <f t="shared" si="832"/>
        <v>-19379</v>
      </c>
      <c r="AE170" s="28">
        <f t="shared" si="832"/>
        <v>-22395</v>
      </c>
      <c r="AF170" s="28">
        <f t="shared" si="832"/>
        <v>12837</v>
      </c>
      <c r="AG170" s="28">
        <f t="shared" si="832"/>
        <v>-15145</v>
      </c>
      <c r="AH170" s="28">
        <f t="shared" si="832"/>
        <v>-10015</v>
      </c>
      <c r="AI170" s="28">
        <f t="shared" ref="AI170:AL170" si="833">+AI64</f>
        <v>-15735</v>
      </c>
      <c r="AJ170" s="28">
        <f t="shared" si="833"/>
        <v>-31136</v>
      </c>
      <c r="AK170" s="28">
        <f t="shared" si="833"/>
        <v>-5693</v>
      </c>
      <c r="AL170" s="28">
        <f t="shared" si="833"/>
        <v>-1900</v>
      </c>
      <c r="AM170" s="28">
        <f t="shared" ref="AM170:AP170" si="834">+AM64</f>
        <v>-17174</v>
      </c>
      <c r="AN170" s="28">
        <f t="shared" si="834"/>
        <v>-18546</v>
      </c>
      <c r="AO170" s="28">
        <f t="shared" si="834"/>
        <v>-9476</v>
      </c>
      <c r="AP170" s="28">
        <f t="shared" si="834"/>
        <v>-18234</v>
      </c>
      <c r="AQ170" s="28">
        <f t="shared" ref="AQ170:AT170" si="835">+AQ64</f>
        <v>-16077</v>
      </c>
      <c r="AR170" s="28">
        <f t="shared" si="835"/>
        <v>-16938</v>
      </c>
      <c r="AS170" s="28">
        <f t="shared" si="835"/>
        <v>-17995</v>
      </c>
      <c r="AT170" s="28">
        <f t="shared" si="835"/>
        <v>-10634</v>
      </c>
      <c r="AU170" s="28">
        <f>+AU64</f>
        <v>-12005</v>
      </c>
      <c r="AV170" s="28">
        <f t="shared" ref="AV170" si="836">+AV64</f>
        <v>-11337</v>
      </c>
      <c r="AW170" s="28"/>
      <c r="AY170" s="28">
        <f t="shared" ref="AY170:AY177" si="837">+AY64</f>
        <v>-22025</v>
      </c>
    </row>
    <row r="171" spans="2:51" ht="13.5" customHeight="1">
      <c r="B171" s="1" t="str">
        <f t="shared" si="778"/>
        <v>Acquisitions investments in associates and joint ventures  / (Asset Sales)</v>
      </c>
      <c r="C171" s="28">
        <f t="shared" si="828"/>
        <v>-4705</v>
      </c>
      <c r="D171" s="28">
        <f t="shared" si="828"/>
        <v>9138</v>
      </c>
      <c r="E171" s="28">
        <f t="shared" si="828"/>
        <v>10407</v>
      </c>
      <c r="F171" s="28">
        <f t="shared" si="828"/>
        <v>934</v>
      </c>
      <c r="G171" s="28">
        <f t="shared" si="828"/>
        <v>1441</v>
      </c>
      <c r="H171" s="28">
        <f t="shared" si="828"/>
        <v>-913</v>
      </c>
      <c r="I171" s="28">
        <f t="shared" si="828"/>
        <v>-1056</v>
      </c>
      <c r="J171" s="28">
        <f t="shared" ref="J171:K171" si="838">+J65</f>
        <v>-1636</v>
      </c>
      <c r="K171" s="28">
        <f t="shared" si="838"/>
        <v>-3799</v>
      </c>
      <c r="L171" s="28">
        <f t="shared" ref="L171" si="839">+L65</f>
        <v>-11</v>
      </c>
      <c r="M171" s="28">
        <f t="shared" ref="M171" si="840">+M65</f>
        <v>-166</v>
      </c>
      <c r="N171" s="28"/>
      <c r="O171" s="28">
        <f t="shared" ref="O171:AH171" si="841">+O65</f>
        <v>1650</v>
      </c>
      <c r="P171" s="28">
        <f t="shared" si="841"/>
        <v>-51</v>
      </c>
      <c r="Q171" s="28">
        <f t="shared" si="841"/>
        <v>-1722</v>
      </c>
      <c r="R171" s="28">
        <f t="shared" si="841"/>
        <v>10530</v>
      </c>
      <c r="S171" s="28">
        <f t="shared" si="841"/>
        <v>0</v>
      </c>
      <c r="T171" s="28">
        <f t="shared" si="841"/>
        <v>-70</v>
      </c>
      <c r="U171" s="28">
        <f t="shared" si="841"/>
        <v>0</v>
      </c>
      <c r="V171" s="28">
        <f t="shared" si="841"/>
        <v>1004</v>
      </c>
      <c r="W171" s="28">
        <f t="shared" si="841"/>
        <v>0</v>
      </c>
      <c r="X171" s="28">
        <f t="shared" si="841"/>
        <v>-60</v>
      </c>
      <c r="Y171" s="28">
        <f t="shared" si="841"/>
        <v>0</v>
      </c>
      <c r="Z171" s="28">
        <f t="shared" si="841"/>
        <v>1501</v>
      </c>
      <c r="AA171" s="28">
        <f t="shared" si="841"/>
        <v>-507</v>
      </c>
      <c r="AB171" s="28">
        <f t="shared" si="841"/>
        <v>-853</v>
      </c>
      <c r="AC171" s="28">
        <f t="shared" si="841"/>
        <v>-8</v>
      </c>
      <c r="AD171" s="28">
        <f t="shared" si="841"/>
        <v>455</v>
      </c>
      <c r="AE171" s="28">
        <f t="shared" si="841"/>
        <v>-51</v>
      </c>
      <c r="AF171" s="28">
        <f t="shared" si="841"/>
        <v>-3220</v>
      </c>
      <c r="AG171" s="28">
        <f t="shared" si="841"/>
        <v>0</v>
      </c>
      <c r="AH171" s="28">
        <f t="shared" si="841"/>
        <v>2215</v>
      </c>
      <c r="AI171" s="28">
        <f t="shared" ref="AI171:AL171" si="842">+AI65</f>
        <v>-71</v>
      </c>
      <c r="AJ171" s="28">
        <f t="shared" si="842"/>
        <v>0</v>
      </c>
      <c r="AK171" s="28">
        <f t="shared" si="842"/>
        <v>-1</v>
      </c>
      <c r="AL171" s="28">
        <f t="shared" si="842"/>
        <v>-1564</v>
      </c>
      <c r="AM171" s="28">
        <f t="shared" ref="AM171:AP171" si="843">+AM65</f>
        <v>-81</v>
      </c>
      <c r="AN171" s="28">
        <f t="shared" si="843"/>
        <v>-2895</v>
      </c>
      <c r="AO171" s="28">
        <f t="shared" si="843"/>
        <v>-716</v>
      </c>
      <c r="AP171" s="28">
        <f t="shared" si="843"/>
        <v>-107</v>
      </c>
      <c r="AQ171" s="28">
        <f t="shared" ref="AQ171:AT171" si="844">+AQ65</f>
        <v>-8</v>
      </c>
      <c r="AR171" s="28">
        <f t="shared" si="844"/>
        <v>-107</v>
      </c>
      <c r="AS171" s="28">
        <f t="shared" si="844"/>
        <v>-69</v>
      </c>
      <c r="AT171" s="28">
        <f t="shared" si="844"/>
        <v>173</v>
      </c>
      <c r="AU171" s="28">
        <f>+AU65</f>
        <v>0</v>
      </c>
      <c r="AV171" s="28">
        <f t="shared" ref="AV171" si="845">+AV65</f>
        <v>-270</v>
      </c>
      <c r="AW171" s="28"/>
      <c r="AY171" s="28">
        <f t="shared" si="837"/>
        <v>0</v>
      </c>
    </row>
    <row r="172" spans="2:51" ht="13.5" customHeight="1" thickBot="1">
      <c r="B172" s="51" t="str">
        <f t="shared" si="778"/>
        <v xml:space="preserve">Free cash flow </v>
      </c>
      <c r="C172" s="52">
        <f t="shared" si="828"/>
        <v>-22058</v>
      </c>
      <c r="D172" s="52">
        <f t="shared" si="828"/>
        <v>5896</v>
      </c>
      <c r="E172" s="52">
        <f t="shared" si="828"/>
        <v>471</v>
      </c>
      <c r="F172" s="52">
        <f t="shared" si="828"/>
        <v>-35934</v>
      </c>
      <c r="G172" s="52">
        <f t="shared" si="828"/>
        <v>49</v>
      </c>
      <c r="H172" s="52">
        <f t="shared" si="828"/>
        <v>-31325</v>
      </c>
      <c r="I172" s="52">
        <f t="shared" si="828"/>
        <v>30304</v>
      </c>
      <c r="J172" s="52">
        <f t="shared" ref="J172:K172" si="846">+J66</f>
        <v>18521</v>
      </c>
      <c r="K172" s="52">
        <f t="shared" si="846"/>
        <v>-2821</v>
      </c>
      <c r="L172" s="52">
        <f t="shared" ref="L172" si="847">+L66</f>
        <v>15799</v>
      </c>
      <c r="M172" s="52">
        <f t="shared" ref="M172" si="848">+M66</f>
        <v>23902</v>
      </c>
      <c r="N172" s="49"/>
      <c r="O172" s="52">
        <f t="shared" ref="O172:AH172" si="849">+O66</f>
        <v>262</v>
      </c>
      <c r="P172" s="52">
        <f t="shared" si="849"/>
        <v>-124</v>
      </c>
      <c r="Q172" s="52">
        <f t="shared" si="849"/>
        <v>-13393</v>
      </c>
      <c r="R172" s="52">
        <f t="shared" si="849"/>
        <v>13726</v>
      </c>
      <c r="S172" s="52">
        <f t="shared" si="849"/>
        <v>-6211</v>
      </c>
      <c r="T172" s="52">
        <f t="shared" si="849"/>
        <v>-6427</v>
      </c>
      <c r="U172" s="52">
        <f t="shared" si="849"/>
        <v>-2064</v>
      </c>
      <c r="V172" s="52">
        <f t="shared" si="849"/>
        <v>-21232</v>
      </c>
      <c r="W172" s="52">
        <f t="shared" si="849"/>
        <v>-4255</v>
      </c>
      <c r="X172" s="52">
        <f t="shared" si="849"/>
        <v>-13109</v>
      </c>
      <c r="Y172" s="52">
        <f t="shared" si="849"/>
        <v>2614</v>
      </c>
      <c r="Z172" s="52">
        <f t="shared" si="849"/>
        <v>14799</v>
      </c>
      <c r="AA172" s="52">
        <f t="shared" si="849"/>
        <v>-6701</v>
      </c>
      <c r="AB172" s="52">
        <f t="shared" si="849"/>
        <v>-14818</v>
      </c>
      <c r="AC172" s="52">
        <f t="shared" si="849"/>
        <v>-8246</v>
      </c>
      <c r="AD172" s="52">
        <f t="shared" si="849"/>
        <v>-1560</v>
      </c>
      <c r="AE172" s="52">
        <f t="shared" si="849"/>
        <v>-6033</v>
      </c>
      <c r="AF172" s="52">
        <f t="shared" si="849"/>
        <v>23210</v>
      </c>
      <c r="AG172" s="52">
        <f t="shared" si="849"/>
        <v>-2374</v>
      </c>
      <c r="AH172" s="52">
        <f t="shared" si="849"/>
        <v>15501</v>
      </c>
      <c r="AI172" s="52">
        <f t="shared" ref="AI172:AL172" si="850">+AI66</f>
        <v>9850</v>
      </c>
      <c r="AJ172" s="52">
        <f t="shared" si="850"/>
        <v>-20040</v>
      </c>
      <c r="AK172" s="52">
        <f t="shared" si="850"/>
        <v>13614</v>
      </c>
      <c r="AL172" s="52">
        <f t="shared" si="850"/>
        <v>15097</v>
      </c>
      <c r="AM172" s="52">
        <f t="shared" ref="AM172:AP172" si="851">+AM66</f>
        <v>3266</v>
      </c>
      <c r="AN172" s="52">
        <f t="shared" si="851"/>
        <v>2060</v>
      </c>
      <c r="AO172" s="52">
        <f t="shared" si="851"/>
        <v>1618</v>
      </c>
      <c r="AP172" s="52">
        <f t="shared" si="851"/>
        <v>-9765</v>
      </c>
      <c r="AQ172" s="52">
        <f t="shared" ref="AQ172:AT172" si="852">+AQ66</f>
        <v>3652</v>
      </c>
      <c r="AR172" s="52">
        <f t="shared" si="852"/>
        <v>-29</v>
      </c>
      <c r="AS172" s="52">
        <f t="shared" si="852"/>
        <v>5675</v>
      </c>
      <c r="AT172" s="52">
        <f t="shared" si="852"/>
        <v>6501</v>
      </c>
      <c r="AU172" s="52">
        <f>+AU66</f>
        <v>5552</v>
      </c>
      <c r="AV172" s="52">
        <f t="shared" ref="AV172" si="853">+AV66</f>
        <v>6174</v>
      </c>
      <c r="AW172" s="49"/>
      <c r="AY172" s="52">
        <f t="shared" si="837"/>
        <v>2614</v>
      </c>
    </row>
    <row r="173" spans="2:51" ht="13.5" customHeight="1" thickTop="1">
      <c r="B173" s="1" t="str">
        <f t="shared" si="778"/>
        <v>Other investing activities</v>
      </c>
      <c r="C173" s="28">
        <f t="shared" si="828"/>
        <v>-17865</v>
      </c>
      <c r="D173" s="28">
        <f t="shared" si="828"/>
        <v>6750</v>
      </c>
      <c r="E173" s="28">
        <f t="shared" si="828"/>
        <v>12965</v>
      </c>
      <c r="F173" s="28">
        <f t="shared" si="828"/>
        <v>4227</v>
      </c>
      <c r="G173" s="28">
        <f t="shared" si="828"/>
        <v>2160</v>
      </c>
      <c r="H173" s="28">
        <f t="shared" si="828"/>
        <v>33</v>
      </c>
      <c r="I173" s="28">
        <f t="shared" si="828"/>
        <v>2768</v>
      </c>
      <c r="J173" s="28">
        <f t="shared" ref="J173:K173" si="854">+J67</f>
        <v>982</v>
      </c>
      <c r="K173" s="28">
        <f t="shared" si="854"/>
        <v>1525</v>
      </c>
      <c r="L173" s="28">
        <f t="shared" ref="L173" si="855">+L67</f>
        <v>676</v>
      </c>
      <c r="M173" s="28">
        <f t="shared" ref="M173" si="856">+M67</f>
        <v>356</v>
      </c>
      <c r="N173" s="28"/>
      <c r="O173" s="28">
        <f t="shared" ref="O173:AH173" si="857">+O67</f>
        <v>-4889</v>
      </c>
      <c r="P173" s="28">
        <f t="shared" si="857"/>
        <v>23982</v>
      </c>
      <c r="Q173" s="28">
        <f t="shared" si="857"/>
        <v>11982</v>
      </c>
      <c r="R173" s="28">
        <f t="shared" si="857"/>
        <v>-18110</v>
      </c>
      <c r="S173" s="28">
        <f t="shared" si="857"/>
        <v>1427</v>
      </c>
      <c r="T173" s="28">
        <f t="shared" si="857"/>
        <v>2395</v>
      </c>
      <c r="U173" s="28">
        <f t="shared" si="857"/>
        <v>-1316</v>
      </c>
      <c r="V173" s="28">
        <f t="shared" si="857"/>
        <v>1721</v>
      </c>
      <c r="W173" s="28">
        <f t="shared" si="857"/>
        <v>-2198</v>
      </c>
      <c r="X173" s="28">
        <f t="shared" si="857"/>
        <v>3669</v>
      </c>
      <c r="Y173" s="28">
        <f t="shared" si="857"/>
        <v>3775</v>
      </c>
      <c r="Z173" s="28">
        <f t="shared" si="857"/>
        <v>-3086</v>
      </c>
      <c r="AA173" s="28">
        <f t="shared" si="857"/>
        <v>80</v>
      </c>
      <c r="AB173" s="28">
        <f t="shared" si="857"/>
        <v>-1231</v>
      </c>
      <c r="AC173" s="28">
        <f t="shared" si="857"/>
        <v>2151</v>
      </c>
      <c r="AD173" s="28">
        <f t="shared" si="857"/>
        <v>-967</v>
      </c>
      <c r="AE173" s="28">
        <f t="shared" si="857"/>
        <v>-842</v>
      </c>
      <c r="AF173" s="28">
        <f t="shared" si="857"/>
        <v>-3116</v>
      </c>
      <c r="AG173" s="28">
        <f t="shared" si="857"/>
        <v>5507</v>
      </c>
      <c r="AH173" s="28">
        <f t="shared" si="857"/>
        <v>1219</v>
      </c>
      <c r="AI173" s="28">
        <f t="shared" ref="AI173:AL173" si="858">+AI67</f>
        <v>279</v>
      </c>
      <c r="AJ173" s="28">
        <f t="shared" si="858"/>
        <v>60</v>
      </c>
      <c r="AK173" s="28">
        <f t="shared" si="858"/>
        <v>439</v>
      </c>
      <c r="AL173" s="28">
        <f t="shared" si="858"/>
        <v>204</v>
      </c>
      <c r="AM173" s="28">
        <f t="shared" ref="AM173:AP173" si="859">+AM67</f>
        <v>548</v>
      </c>
      <c r="AN173" s="28">
        <f t="shared" si="859"/>
        <v>212</v>
      </c>
      <c r="AO173" s="28">
        <f t="shared" si="859"/>
        <v>873</v>
      </c>
      <c r="AP173" s="28">
        <f t="shared" si="859"/>
        <v>-108</v>
      </c>
      <c r="AQ173" s="28">
        <f t="shared" ref="AQ173:AT173" si="860">+AQ67</f>
        <v>234</v>
      </c>
      <c r="AR173" s="28">
        <f t="shared" si="860"/>
        <v>426</v>
      </c>
      <c r="AS173" s="28">
        <f t="shared" si="860"/>
        <v>950</v>
      </c>
      <c r="AT173" s="28">
        <f t="shared" si="860"/>
        <v>-934</v>
      </c>
      <c r="AU173" s="28">
        <f>+AU67</f>
        <v>176</v>
      </c>
      <c r="AV173" s="28">
        <f>+AV67</f>
        <v>164</v>
      </c>
      <c r="AW173" s="28"/>
      <c r="AY173" s="28">
        <f t="shared" si="837"/>
        <v>3775</v>
      </c>
    </row>
    <row r="174" spans="2:51" ht="13.5" customHeight="1">
      <c r="B174" s="1" t="str">
        <f t="shared" si="778"/>
        <v>Dividends / Equity movements</v>
      </c>
      <c r="C174" s="28">
        <f t="shared" si="828"/>
        <v>-22982</v>
      </c>
      <c r="D174" s="28">
        <f t="shared" si="828"/>
        <v>-16617</v>
      </c>
      <c r="E174" s="28">
        <f t="shared" si="828"/>
        <v>-13928</v>
      </c>
      <c r="F174" s="28">
        <f t="shared" si="828"/>
        <v>-15592</v>
      </c>
      <c r="G174" s="28">
        <f t="shared" si="828"/>
        <v>-16721</v>
      </c>
      <c r="H174" s="28">
        <f t="shared" si="828"/>
        <v>-17712</v>
      </c>
      <c r="I174" s="28">
        <f t="shared" si="828"/>
        <v>-25235</v>
      </c>
      <c r="J174" s="28">
        <f t="shared" ref="J174:K174" si="861">+J68</f>
        <v>-23328</v>
      </c>
      <c r="K174" s="28">
        <f t="shared" si="861"/>
        <v>-20750</v>
      </c>
      <c r="L174" s="28">
        <f t="shared" ref="L174" si="862">+L68</f>
        <v>-20590</v>
      </c>
      <c r="M174" s="28">
        <f t="shared" ref="M174" si="863">+M68</f>
        <v>-20311</v>
      </c>
      <c r="N174" s="28"/>
      <c r="O174" s="28">
        <f t="shared" ref="O174:AH174" si="864">+O68</f>
        <v>-16</v>
      </c>
      <c r="P174" s="28">
        <f t="shared" si="864"/>
        <v>-6038</v>
      </c>
      <c r="Q174" s="28">
        <f t="shared" si="864"/>
        <v>-7744</v>
      </c>
      <c r="R174" s="28">
        <f t="shared" si="864"/>
        <v>-130</v>
      </c>
      <c r="S174" s="28">
        <f t="shared" si="864"/>
        <v>-15</v>
      </c>
      <c r="T174" s="28">
        <f t="shared" si="864"/>
        <v>-7781</v>
      </c>
      <c r="U174" s="28">
        <f t="shared" si="864"/>
        <v>-7760</v>
      </c>
      <c r="V174" s="28">
        <f t="shared" si="864"/>
        <v>-36</v>
      </c>
      <c r="W174" s="28">
        <f t="shared" si="864"/>
        <v>-18</v>
      </c>
      <c r="X174" s="28">
        <f t="shared" si="864"/>
        <v>-8430</v>
      </c>
      <c r="Y174" s="28">
        <f t="shared" si="864"/>
        <v>-8572</v>
      </c>
      <c r="Z174" s="28">
        <f t="shared" si="864"/>
        <v>299</v>
      </c>
      <c r="AA174" s="28">
        <f t="shared" si="864"/>
        <v>-25</v>
      </c>
      <c r="AB174" s="28">
        <f t="shared" si="864"/>
        <v>-8680</v>
      </c>
      <c r="AC174" s="28">
        <f t="shared" si="864"/>
        <v>-9012</v>
      </c>
      <c r="AD174" s="28">
        <f t="shared" si="864"/>
        <v>5</v>
      </c>
      <c r="AE174" s="28">
        <f t="shared" si="864"/>
        <v>-15</v>
      </c>
      <c r="AF174" s="28">
        <f t="shared" si="864"/>
        <v>-9049</v>
      </c>
      <c r="AG174" s="28">
        <f t="shared" si="864"/>
        <v>-16167</v>
      </c>
      <c r="AH174" s="28">
        <f t="shared" si="864"/>
        <v>-4</v>
      </c>
      <c r="AI174" s="28">
        <f t="shared" ref="AI174:AL174" si="865">+AI68</f>
        <v>-25</v>
      </c>
      <c r="AJ174" s="28">
        <f t="shared" si="865"/>
        <v>-12711</v>
      </c>
      <c r="AK174" s="28">
        <f t="shared" si="865"/>
        <v>-10577</v>
      </c>
      <c r="AL174" s="28">
        <f t="shared" si="865"/>
        <v>-15</v>
      </c>
      <c r="AM174" s="28">
        <f t="shared" ref="AM174:AP174" si="866">+AM68</f>
        <v>-7</v>
      </c>
      <c r="AN174" s="28">
        <f t="shared" si="866"/>
        <v>-10025</v>
      </c>
      <c r="AO174" s="28">
        <f t="shared" si="866"/>
        <v>-10712</v>
      </c>
      <c r="AP174" s="28">
        <f t="shared" si="866"/>
        <v>-6</v>
      </c>
      <c r="AQ174" s="28">
        <f t="shared" ref="AQ174:AT174" si="867">+AQ68</f>
        <v>-39</v>
      </c>
      <c r="AR174" s="28">
        <f t="shared" si="867"/>
        <v>-10174</v>
      </c>
      <c r="AS174" s="28">
        <f t="shared" si="867"/>
        <v>-10363</v>
      </c>
      <c r="AT174" s="28">
        <f t="shared" si="867"/>
        <v>-14</v>
      </c>
      <c r="AU174" s="28">
        <f t="shared" ref="AU174:AV174" si="868">+AU68</f>
        <v>-19</v>
      </c>
      <c r="AV174" s="28">
        <f t="shared" si="868"/>
        <v>-9915</v>
      </c>
      <c r="AW174" s="28"/>
      <c r="AY174" s="28">
        <f t="shared" si="837"/>
        <v>-8572</v>
      </c>
    </row>
    <row r="175" spans="2:51" ht="13.5" customHeight="1">
      <c r="B175" s="1" t="str">
        <f t="shared" si="778"/>
        <v>Principal Repayments</v>
      </c>
      <c r="C175" s="28">
        <f t="shared" si="828"/>
        <v>20919</v>
      </c>
      <c r="D175" s="28">
        <f t="shared" si="828"/>
        <v>-12944</v>
      </c>
      <c r="E175" s="28">
        <f t="shared" si="828"/>
        <v>1760</v>
      </c>
      <c r="F175" s="28">
        <f t="shared" si="828"/>
        <v>11607</v>
      </c>
      <c r="G175" s="28">
        <f t="shared" si="828"/>
        <v>20365</v>
      </c>
      <c r="H175" s="28">
        <f t="shared" si="828"/>
        <v>22388</v>
      </c>
      <c r="I175" s="28">
        <f t="shared" si="828"/>
        <v>-15684</v>
      </c>
      <c r="J175" s="28">
        <f t="shared" ref="J175:K175" si="869">+J69</f>
        <v>-5318</v>
      </c>
      <c r="K175" s="28">
        <f t="shared" si="869"/>
        <v>8662</v>
      </c>
      <c r="L175" s="28">
        <f t="shared" ref="L175" si="870">+L69</f>
        <v>-1590</v>
      </c>
      <c r="M175" s="28">
        <f t="shared" ref="M175" si="871">+M69</f>
        <v>-12575</v>
      </c>
      <c r="N175" s="28"/>
      <c r="O175" s="28">
        <f t="shared" ref="O175:AH175" si="872">+O69</f>
        <v>-1902</v>
      </c>
      <c r="P175" s="28">
        <f t="shared" si="872"/>
        <v>10898</v>
      </c>
      <c r="Q175" s="28">
        <f t="shared" si="872"/>
        <v>-4954</v>
      </c>
      <c r="R175" s="28">
        <f t="shared" si="872"/>
        <v>-2282</v>
      </c>
      <c r="S175" s="28">
        <f t="shared" si="872"/>
        <v>-3633</v>
      </c>
      <c r="T175" s="28">
        <f t="shared" si="872"/>
        <v>-2435</v>
      </c>
      <c r="U175" s="28">
        <f t="shared" si="872"/>
        <v>4079</v>
      </c>
      <c r="V175" s="28">
        <f t="shared" si="872"/>
        <v>13596</v>
      </c>
      <c r="W175" s="28">
        <f t="shared" si="872"/>
        <v>11093</v>
      </c>
      <c r="X175" s="28">
        <f t="shared" si="872"/>
        <v>29697</v>
      </c>
      <c r="Y175" s="28">
        <f t="shared" si="872"/>
        <v>-12525</v>
      </c>
      <c r="Z175" s="28">
        <f t="shared" si="872"/>
        <v>-7900</v>
      </c>
      <c r="AA175" s="28">
        <f t="shared" si="872"/>
        <v>-3558</v>
      </c>
      <c r="AB175" s="28">
        <f t="shared" si="872"/>
        <v>12688</v>
      </c>
      <c r="AC175" s="28">
        <f t="shared" si="872"/>
        <v>7101</v>
      </c>
      <c r="AD175" s="28">
        <f t="shared" si="872"/>
        <v>6157</v>
      </c>
      <c r="AE175" s="28">
        <f t="shared" si="872"/>
        <v>-3058</v>
      </c>
      <c r="AF175" s="28">
        <f t="shared" si="872"/>
        <v>2419</v>
      </c>
      <c r="AG175" s="28">
        <f t="shared" si="872"/>
        <v>-7832</v>
      </c>
      <c r="AH175" s="28">
        <f t="shared" si="872"/>
        <v>-7213</v>
      </c>
      <c r="AI175" s="28">
        <f t="shared" ref="AI175:AL175" si="873">+AI69</f>
        <v>-6263</v>
      </c>
      <c r="AJ175" s="28">
        <f t="shared" si="873"/>
        <v>19506</v>
      </c>
      <c r="AK175" s="28">
        <f t="shared" si="873"/>
        <v>789</v>
      </c>
      <c r="AL175" s="28">
        <f t="shared" si="873"/>
        <v>-19350</v>
      </c>
      <c r="AM175" s="28">
        <f t="shared" ref="AM175:AP175" si="874">+AM69</f>
        <v>-7859</v>
      </c>
      <c r="AN175" s="28">
        <f t="shared" si="874"/>
        <v>7947</v>
      </c>
      <c r="AO175" s="28">
        <f t="shared" si="874"/>
        <v>6134</v>
      </c>
      <c r="AP175" s="28">
        <f t="shared" si="874"/>
        <v>2440</v>
      </c>
      <c r="AQ175" s="28">
        <f t="shared" ref="AQ175:AT175" si="875">+AQ69</f>
        <v>-2045</v>
      </c>
      <c r="AR175" s="28">
        <f t="shared" si="875"/>
        <v>6282</v>
      </c>
      <c r="AS175" s="28">
        <f t="shared" si="875"/>
        <v>798</v>
      </c>
      <c r="AT175" s="28">
        <f t="shared" si="875"/>
        <v>-6625</v>
      </c>
      <c r="AU175" s="28">
        <f t="shared" ref="AU175:AV175" si="876">+AU69</f>
        <v>-5463</v>
      </c>
      <c r="AV175" s="28">
        <f t="shared" si="876"/>
        <v>-1285</v>
      </c>
      <c r="AW175" s="28"/>
      <c r="AY175" s="28">
        <f t="shared" si="837"/>
        <v>-12525</v>
      </c>
    </row>
    <row r="176" spans="2:51" ht="13.5" customHeight="1">
      <c r="B176" s="1" t="str">
        <f t="shared" si="778"/>
        <v>Other financing activities</v>
      </c>
      <c r="C176" s="28">
        <f t="shared" si="828"/>
        <v>-6766</v>
      </c>
      <c r="D176" s="28">
        <f t="shared" si="828"/>
        <v>-3682</v>
      </c>
      <c r="E176" s="28">
        <f t="shared" si="828"/>
        <v>638</v>
      </c>
      <c r="F176" s="28">
        <f t="shared" si="828"/>
        <v>-485</v>
      </c>
      <c r="G176" s="28">
        <f t="shared" si="828"/>
        <v>8407</v>
      </c>
      <c r="H176" s="28">
        <f t="shared" si="828"/>
        <v>-9580</v>
      </c>
      <c r="I176" s="28">
        <f t="shared" si="828"/>
        <v>-1385</v>
      </c>
      <c r="J176" s="28">
        <f t="shared" ref="J176:K176" si="877">+J70</f>
        <v>-1057</v>
      </c>
      <c r="K176" s="28">
        <f t="shared" si="877"/>
        <v>497</v>
      </c>
      <c r="L176" s="28">
        <f t="shared" ref="L176" si="878">+L70</f>
        <v>-514</v>
      </c>
      <c r="M176" s="28">
        <f t="shared" ref="M176" si="879">+M70</f>
        <v>793</v>
      </c>
      <c r="N176" s="28"/>
      <c r="O176" s="28">
        <f t="shared" ref="O176:AH176" si="880">+O70</f>
        <v>-1261</v>
      </c>
      <c r="P176" s="28">
        <f t="shared" si="880"/>
        <v>-10136</v>
      </c>
      <c r="Q176" s="28">
        <f t="shared" si="880"/>
        <v>11917</v>
      </c>
      <c r="R176" s="28">
        <f t="shared" si="880"/>
        <v>118</v>
      </c>
      <c r="S176" s="28">
        <f t="shared" si="880"/>
        <v>-34</v>
      </c>
      <c r="T176" s="28">
        <f t="shared" si="880"/>
        <v>-90</v>
      </c>
      <c r="U176" s="28">
        <f t="shared" si="880"/>
        <v>-267</v>
      </c>
      <c r="V176" s="28">
        <f t="shared" si="880"/>
        <v>-94</v>
      </c>
      <c r="W176" s="28">
        <f t="shared" si="880"/>
        <v>-224</v>
      </c>
      <c r="X176" s="28">
        <f t="shared" si="880"/>
        <v>-636</v>
      </c>
      <c r="Y176" s="28">
        <f t="shared" si="880"/>
        <v>-475</v>
      </c>
      <c r="Z176" s="28">
        <f t="shared" si="880"/>
        <v>9742</v>
      </c>
      <c r="AA176" s="28">
        <f t="shared" si="880"/>
        <v>-240</v>
      </c>
      <c r="AB176" s="28">
        <f t="shared" si="880"/>
        <v>-224</v>
      </c>
      <c r="AC176" s="28">
        <f t="shared" si="880"/>
        <v>14</v>
      </c>
      <c r="AD176" s="28">
        <f t="shared" si="880"/>
        <v>-9130</v>
      </c>
      <c r="AE176" s="28">
        <f t="shared" si="880"/>
        <v>-141</v>
      </c>
      <c r="AF176" s="28">
        <f t="shared" si="880"/>
        <v>7967</v>
      </c>
      <c r="AG176" s="28">
        <f t="shared" si="880"/>
        <v>639</v>
      </c>
      <c r="AH176" s="28">
        <f t="shared" si="880"/>
        <v>-9850</v>
      </c>
      <c r="AI176" s="28">
        <f t="shared" ref="AI176:AL176" si="881">+AI70</f>
        <v>-1328</v>
      </c>
      <c r="AJ176" s="28">
        <f t="shared" si="881"/>
        <v>268</v>
      </c>
      <c r="AK176" s="28">
        <f t="shared" si="881"/>
        <v>-358</v>
      </c>
      <c r="AL176" s="28">
        <f t="shared" si="881"/>
        <v>361</v>
      </c>
      <c r="AM176" s="28">
        <f t="shared" ref="AM176:AP176" si="882">+AM70</f>
        <v>-562</v>
      </c>
      <c r="AN176" s="28">
        <f t="shared" si="882"/>
        <v>-3477</v>
      </c>
      <c r="AO176" s="28">
        <f t="shared" si="882"/>
        <v>3830</v>
      </c>
      <c r="AP176" s="28">
        <f t="shared" si="882"/>
        <v>706</v>
      </c>
      <c r="AQ176" s="28">
        <f t="shared" ref="AQ176:AT176" si="883">+AQ70</f>
        <v>-26</v>
      </c>
      <c r="AR176" s="28">
        <f t="shared" si="883"/>
        <v>-828</v>
      </c>
      <c r="AS176" s="28">
        <f t="shared" si="883"/>
        <v>-339</v>
      </c>
      <c r="AT176" s="28">
        <f t="shared" si="883"/>
        <v>679</v>
      </c>
      <c r="AU176" s="28">
        <f t="shared" ref="AU176:AV176" si="884">+AU70</f>
        <v>212</v>
      </c>
      <c r="AV176" s="28">
        <f t="shared" si="884"/>
        <v>241</v>
      </c>
      <c r="AW176" s="28"/>
      <c r="AY176" s="28">
        <f t="shared" si="837"/>
        <v>-475</v>
      </c>
    </row>
    <row r="177" spans="2:51" s="2" customFormat="1" ht="13.5" customHeight="1">
      <c r="B177" s="2" t="str">
        <f t="shared" si="778"/>
        <v>Cash flow after financing activities</v>
      </c>
      <c r="C177" s="28">
        <f t="shared" si="828"/>
        <v>-48752</v>
      </c>
      <c r="D177" s="28">
        <f t="shared" si="828"/>
        <v>-20597</v>
      </c>
      <c r="E177" s="28">
        <f t="shared" si="828"/>
        <v>1906</v>
      </c>
      <c r="F177" s="28">
        <f t="shared" si="828"/>
        <v>-36177</v>
      </c>
      <c r="G177" s="28">
        <f t="shared" si="828"/>
        <v>14260</v>
      </c>
      <c r="H177" s="28">
        <f t="shared" si="828"/>
        <v>-36196</v>
      </c>
      <c r="I177" s="28">
        <f t="shared" si="828"/>
        <v>-9232</v>
      </c>
      <c r="J177" s="28">
        <f t="shared" ref="J177:K177" si="885">+J71</f>
        <v>-10200</v>
      </c>
      <c r="K177" s="28">
        <f t="shared" si="885"/>
        <v>-12887</v>
      </c>
      <c r="L177" s="28">
        <f t="shared" ref="L177" si="886">+L71</f>
        <v>-6219</v>
      </c>
      <c r="M177" s="28">
        <f t="shared" ref="M177" si="887">+M71</f>
        <v>-7835</v>
      </c>
      <c r="N177" s="28"/>
      <c r="O177" s="28">
        <f t="shared" ref="O177:AH177" si="888">+O71</f>
        <v>-7806</v>
      </c>
      <c r="P177" s="28">
        <f t="shared" si="888"/>
        <v>18582</v>
      </c>
      <c r="Q177" s="28">
        <f t="shared" si="888"/>
        <v>-2192</v>
      </c>
      <c r="R177" s="28">
        <f t="shared" si="888"/>
        <v>-6678</v>
      </c>
      <c r="S177" s="28">
        <f t="shared" si="888"/>
        <v>-8466</v>
      </c>
      <c r="T177" s="28">
        <f t="shared" si="888"/>
        <v>-14338</v>
      </c>
      <c r="U177" s="28">
        <f t="shared" si="888"/>
        <v>-7328</v>
      </c>
      <c r="V177" s="28">
        <f t="shared" si="888"/>
        <v>-6045</v>
      </c>
      <c r="W177" s="28">
        <f t="shared" si="888"/>
        <v>4398</v>
      </c>
      <c r="X177" s="28">
        <f t="shared" si="888"/>
        <v>11191</v>
      </c>
      <c r="Y177" s="28">
        <f t="shared" si="888"/>
        <v>-15183</v>
      </c>
      <c r="Z177" s="28">
        <f t="shared" si="888"/>
        <v>13854</v>
      </c>
      <c r="AA177" s="28">
        <f t="shared" si="888"/>
        <v>-10444</v>
      </c>
      <c r="AB177" s="28">
        <f t="shared" si="888"/>
        <v>-12265</v>
      </c>
      <c r="AC177" s="28">
        <f t="shared" si="888"/>
        <v>-7992</v>
      </c>
      <c r="AD177" s="28">
        <f t="shared" si="888"/>
        <v>-5495</v>
      </c>
      <c r="AE177" s="28">
        <f t="shared" si="888"/>
        <v>-10089</v>
      </c>
      <c r="AF177" s="28">
        <f t="shared" si="888"/>
        <v>21431</v>
      </c>
      <c r="AG177" s="28">
        <f t="shared" si="888"/>
        <v>-20227</v>
      </c>
      <c r="AH177" s="28">
        <f t="shared" si="888"/>
        <v>-347</v>
      </c>
      <c r="AI177" s="28">
        <f t="shared" ref="AI177:AL177" si="889">+AI71</f>
        <v>2513</v>
      </c>
      <c r="AJ177" s="28">
        <f t="shared" si="889"/>
        <v>-12917</v>
      </c>
      <c r="AK177" s="28">
        <f t="shared" si="889"/>
        <v>3907</v>
      </c>
      <c r="AL177" s="28">
        <f t="shared" si="889"/>
        <v>-3703</v>
      </c>
      <c r="AM177" s="28">
        <f t="shared" ref="AM177:AP177" si="890">+AM71</f>
        <v>-4614</v>
      </c>
      <c r="AN177" s="28">
        <f t="shared" si="890"/>
        <v>-3283</v>
      </c>
      <c r="AO177" s="28">
        <f t="shared" si="890"/>
        <v>1743</v>
      </c>
      <c r="AP177" s="28">
        <f t="shared" si="890"/>
        <v>-6733</v>
      </c>
      <c r="AQ177" s="28">
        <f t="shared" ref="AQ177:AT177" si="891">+AQ71</f>
        <v>1776</v>
      </c>
      <c r="AR177" s="28">
        <f t="shared" si="891"/>
        <v>-4323</v>
      </c>
      <c r="AS177" s="28">
        <f t="shared" si="891"/>
        <v>-3279</v>
      </c>
      <c r="AT177" s="28">
        <f t="shared" si="891"/>
        <v>-393</v>
      </c>
      <c r="AU177" s="28">
        <f t="shared" ref="AU177:AV177" si="892">+AU71</f>
        <v>458</v>
      </c>
      <c r="AV177" s="28">
        <f t="shared" si="892"/>
        <v>-4621</v>
      </c>
      <c r="AW177" s="28"/>
      <c r="AY177" s="28">
        <f t="shared" si="837"/>
        <v>-15183</v>
      </c>
    </row>
    <row r="178" spans="2:51" ht="13.5" customHeight="1">
      <c r="B178" s="1" t="str">
        <f>+B73</f>
        <v xml:space="preserve">FX </v>
      </c>
      <c r="C178" s="28">
        <f t="shared" ref="C178:I178" si="893">+C73</f>
        <v>614</v>
      </c>
      <c r="D178" s="28">
        <f t="shared" si="893"/>
        <v>-552</v>
      </c>
      <c r="E178" s="28">
        <f t="shared" si="893"/>
        <v>831</v>
      </c>
      <c r="F178" s="28">
        <f t="shared" si="893"/>
        <v>-748</v>
      </c>
      <c r="G178" s="28">
        <f t="shared" si="893"/>
        <v>-1002</v>
      </c>
      <c r="H178" s="28">
        <f t="shared" si="893"/>
        <v>244</v>
      </c>
      <c r="I178" s="28">
        <f t="shared" si="893"/>
        <v>414</v>
      </c>
      <c r="J178" s="28">
        <f t="shared" ref="J178:K178" si="894">+J73</f>
        <v>-263</v>
      </c>
      <c r="K178" s="28">
        <f t="shared" si="894"/>
        <v>138</v>
      </c>
      <c r="L178" s="28">
        <f t="shared" ref="L178" si="895">+L73</f>
        <v>23</v>
      </c>
      <c r="M178" s="28">
        <f t="shared" ref="M178" si="896">+M73</f>
        <v>-1385</v>
      </c>
      <c r="N178" s="28"/>
      <c r="O178" s="28">
        <f t="shared" ref="O178:AH178" si="897">+O73</f>
        <v>852</v>
      </c>
      <c r="P178" s="28">
        <f t="shared" si="897"/>
        <v>549</v>
      </c>
      <c r="Q178" s="28">
        <f t="shared" si="897"/>
        <v>304</v>
      </c>
      <c r="R178" s="28">
        <f t="shared" si="897"/>
        <v>-874</v>
      </c>
      <c r="S178" s="28">
        <f t="shared" si="897"/>
        <v>14</v>
      </c>
      <c r="T178" s="28">
        <f t="shared" si="897"/>
        <v>-743</v>
      </c>
      <c r="U178" s="28">
        <f t="shared" si="897"/>
        <v>269</v>
      </c>
      <c r="V178" s="28">
        <f t="shared" si="897"/>
        <v>-288</v>
      </c>
      <c r="W178" s="28">
        <f t="shared" si="897"/>
        <v>-2</v>
      </c>
      <c r="X178" s="28">
        <f t="shared" si="897"/>
        <v>-304</v>
      </c>
      <c r="Y178" s="28">
        <f t="shared" si="897"/>
        <v>-670</v>
      </c>
      <c r="Z178" s="28">
        <f t="shared" si="897"/>
        <v>-26</v>
      </c>
      <c r="AA178" s="28">
        <f t="shared" si="897"/>
        <v>85</v>
      </c>
      <c r="AB178" s="28">
        <f t="shared" si="897"/>
        <v>-1</v>
      </c>
      <c r="AC178" s="28">
        <f t="shared" si="897"/>
        <v>233</v>
      </c>
      <c r="AD178" s="28">
        <f t="shared" si="897"/>
        <v>-73</v>
      </c>
      <c r="AE178" s="28">
        <f t="shared" si="897"/>
        <v>109</v>
      </c>
      <c r="AF178" s="28">
        <f t="shared" si="897"/>
        <v>275</v>
      </c>
      <c r="AG178" s="28">
        <f t="shared" si="897"/>
        <v>562</v>
      </c>
      <c r="AH178" s="28">
        <f t="shared" si="897"/>
        <v>-532</v>
      </c>
      <c r="AI178" s="28">
        <f t="shared" ref="AI178:AL178" si="898">+AI73</f>
        <v>-411</v>
      </c>
      <c r="AJ178" s="28">
        <f t="shared" si="898"/>
        <v>115</v>
      </c>
      <c r="AK178" s="28">
        <f t="shared" si="898"/>
        <v>-189</v>
      </c>
      <c r="AL178" s="28">
        <f t="shared" si="898"/>
        <v>222</v>
      </c>
      <c r="AM178" s="28">
        <f t="shared" ref="AM178:AP178" si="899">+AM73</f>
        <v>1388</v>
      </c>
      <c r="AN178" s="28">
        <f t="shared" si="899"/>
        <v>149</v>
      </c>
      <c r="AO178" s="28">
        <f t="shared" si="899"/>
        <v>1350</v>
      </c>
      <c r="AP178" s="28">
        <f t="shared" si="899"/>
        <v>-2749</v>
      </c>
      <c r="AQ178" s="28">
        <f t="shared" ref="AQ178:AT178" si="900">+AQ73</f>
        <v>-28</v>
      </c>
      <c r="AR178" s="28">
        <f t="shared" si="900"/>
        <v>1565</v>
      </c>
      <c r="AS178" s="28">
        <f t="shared" si="900"/>
        <v>64</v>
      </c>
      <c r="AT178" s="28">
        <f t="shared" si="900"/>
        <v>-1578</v>
      </c>
      <c r="AU178" s="28">
        <f t="shared" ref="AU178:AV178" si="901">+AU73</f>
        <v>106</v>
      </c>
      <c r="AV178" s="28">
        <f t="shared" si="901"/>
        <v>23</v>
      </c>
      <c r="AW178" s="28"/>
      <c r="AY178" s="28">
        <f>+AY73</f>
        <v>-670</v>
      </c>
    </row>
    <row r="179" spans="2:51" ht="13.5" customHeight="1">
      <c r="B179" s="1" t="str">
        <f>+B72</f>
        <v>Balancing figure</v>
      </c>
      <c r="C179" s="28">
        <f t="shared" ref="C179:I179" si="902">+C72</f>
        <v>40405</v>
      </c>
      <c r="D179" s="28">
        <f t="shared" si="902"/>
        <v>15332</v>
      </c>
      <c r="E179" s="28">
        <f t="shared" si="902"/>
        <v>16012</v>
      </c>
      <c r="F179" s="28">
        <f t="shared" si="902"/>
        <v>9640</v>
      </c>
      <c r="G179" s="28">
        <f t="shared" si="902"/>
        <v>2610</v>
      </c>
      <c r="H179" s="28">
        <f t="shared" si="902"/>
        <v>19622</v>
      </c>
      <c r="I179" s="28">
        <f t="shared" si="902"/>
        <v>10122</v>
      </c>
      <c r="J179" s="28">
        <f t="shared" ref="J179:K179" si="903">+J72</f>
        <v>1429</v>
      </c>
      <c r="K179" s="28">
        <f t="shared" si="903"/>
        <v>6583</v>
      </c>
      <c r="L179" s="28">
        <f t="shared" ref="L179" si="904">+L72</f>
        <v>8051</v>
      </c>
      <c r="M179" s="28">
        <f t="shared" ref="M179" si="905">+M72</f>
        <v>10279</v>
      </c>
      <c r="N179" s="28"/>
      <c r="O179" s="28">
        <f t="shared" ref="O179:AH179" si="906">+O72</f>
        <v>3269</v>
      </c>
      <c r="P179" s="28">
        <f t="shared" si="906"/>
        <v>4013</v>
      </c>
      <c r="Q179" s="28">
        <f t="shared" si="906"/>
        <v>-5270</v>
      </c>
      <c r="R179" s="28">
        <f t="shared" si="906"/>
        <v>14000</v>
      </c>
      <c r="S179" s="28">
        <f t="shared" si="906"/>
        <v>2084</v>
      </c>
      <c r="T179" s="28">
        <f t="shared" si="906"/>
        <v>1896</v>
      </c>
      <c r="U179" s="28">
        <f t="shared" si="906"/>
        <v>2096</v>
      </c>
      <c r="V179" s="28">
        <f t="shared" si="906"/>
        <v>3564</v>
      </c>
      <c r="W179" s="28">
        <f t="shared" si="906"/>
        <v>2179</v>
      </c>
      <c r="X179" s="28">
        <f t="shared" si="906"/>
        <v>3940</v>
      </c>
      <c r="Y179" s="28">
        <f t="shared" si="906"/>
        <v>3753</v>
      </c>
      <c r="Z179" s="28">
        <f t="shared" si="906"/>
        <v>-7262</v>
      </c>
      <c r="AA179" s="28">
        <f t="shared" si="906"/>
        <v>1603</v>
      </c>
      <c r="AB179" s="28">
        <f t="shared" si="906"/>
        <v>3955</v>
      </c>
      <c r="AC179" s="28">
        <f t="shared" si="906"/>
        <v>2677</v>
      </c>
      <c r="AD179" s="28">
        <f t="shared" si="906"/>
        <v>11387</v>
      </c>
      <c r="AE179" s="28">
        <f t="shared" si="906"/>
        <v>11903</v>
      </c>
      <c r="AF179" s="28">
        <f t="shared" si="906"/>
        <v>-8673</v>
      </c>
      <c r="AG179" s="28">
        <f t="shared" si="906"/>
        <v>538</v>
      </c>
      <c r="AH179" s="28">
        <f t="shared" si="906"/>
        <v>6354</v>
      </c>
      <c r="AI179" s="28">
        <f t="shared" ref="AI179:AL179" si="907">+AI72</f>
        <v>-1227</v>
      </c>
      <c r="AJ179" s="28">
        <f t="shared" si="907"/>
        <v>2901</v>
      </c>
      <c r="AK179" s="28">
        <f t="shared" si="907"/>
        <v>1569</v>
      </c>
      <c r="AL179" s="28">
        <f t="shared" si="907"/>
        <v>-1814</v>
      </c>
      <c r="AM179" s="28">
        <f t="shared" ref="AM179:AP179" si="908">+AM72</f>
        <v>1106</v>
      </c>
      <c r="AN179" s="28">
        <f t="shared" si="908"/>
        <v>1043</v>
      </c>
      <c r="AO179" s="28">
        <f t="shared" si="908"/>
        <v>-2753</v>
      </c>
      <c r="AP179" s="28">
        <f t="shared" si="908"/>
        <v>7187</v>
      </c>
      <c r="AQ179" s="28">
        <f t="shared" ref="AQ179:AT179" si="909">+AQ72</f>
        <v>2000</v>
      </c>
      <c r="AR179" s="28">
        <f t="shared" si="909"/>
        <v>-164</v>
      </c>
      <c r="AS179" s="28">
        <f t="shared" si="909"/>
        <v>2470</v>
      </c>
      <c r="AT179" s="28">
        <f t="shared" si="909"/>
        <v>3745</v>
      </c>
      <c r="AU179" s="28">
        <f t="shared" ref="AU179:AV179" si="910">+AU72</f>
        <v>2104</v>
      </c>
      <c r="AV179" s="28">
        <f t="shared" si="910"/>
        <v>1960</v>
      </c>
      <c r="AW179" s="28"/>
      <c r="AY179" s="28">
        <f>+AY72</f>
        <v>3753</v>
      </c>
    </row>
    <row r="180" spans="2:51" ht="13.5" customHeight="1" thickBot="1">
      <c r="B180" s="51" t="str">
        <f>+B74</f>
        <v xml:space="preserve">Net change in cash </v>
      </c>
      <c r="C180" s="52">
        <f t="shared" ref="C180:I181" si="911">+C74</f>
        <v>-7733</v>
      </c>
      <c r="D180" s="52">
        <f t="shared" si="911"/>
        <v>-5817</v>
      </c>
      <c r="E180" s="52">
        <f t="shared" si="911"/>
        <v>18749</v>
      </c>
      <c r="F180" s="52">
        <f t="shared" si="911"/>
        <v>-27285</v>
      </c>
      <c r="G180" s="52">
        <f t="shared" si="911"/>
        <v>15868</v>
      </c>
      <c r="H180" s="52">
        <f t="shared" si="911"/>
        <v>-16330</v>
      </c>
      <c r="I180" s="52">
        <f t="shared" si="911"/>
        <v>1304</v>
      </c>
      <c r="J180" s="52">
        <f t="shared" ref="J180:K180" si="912">+J74</f>
        <v>-9034</v>
      </c>
      <c r="K180" s="52">
        <f t="shared" si="912"/>
        <v>-6166</v>
      </c>
      <c r="L180" s="52">
        <f t="shared" ref="L180" si="913">+L74</f>
        <v>1855</v>
      </c>
      <c r="M180" s="52">
        <f t="shared" ref="M180" si="914">+M74</f>
        <v>1059</v>
      </c>
      <c r="N180" s="49"/>
      <c r="O180" s="52">
        <f t="shared" ref="O180:AH180" si="915">+O74</f>
        <v>-3685</v>
      </c>
      <c r="P180" s="52">
        <f t="shared" si="915"/>
        <v>23144</v>
      </c>
      <c r="Q180" s="52">
        <f t="shared" si="915"/>
        <v>-7158</v>
      </c>
      <c r="R180" s="52">
        <f t="shared" si="915"/>
        <v>6448</v>
      </c>
      <c r="S180" s="52">
        <f t="shared" si="915"/>
        <v>-6368</v>
      </c>
      <c r="T180" s="52">
        <f t="shared" si="915"/>
        <v>-13185</v>
      </c>
      <c r="U180" s="52">
        <f t="shared" si="915"/>
        <v>-4963</v>
      </c>
      <c r="V180" s="52">
        <f t="shared" si="915"/>
        <v>-2769</v>
      </c>
      <c r="W180" s="52">
        <f t="shared" si="915"/>
        <v>6575</v>
      </c>
      <c r="X180" s="52">
        <f t="shared" si="915"/>
        <v>14827</v>
      </c>
      <c r="Y180" s="52">
        <f t="shared" si="915"/>
        <v>-12100</v>
      </c>
      <c r="Z180" s="52">
        <f t="shared" si="915"/>
        <v>6566</v>
      </c>
      <c r="AA180" s="52">
        <f t="shared" si="915"/>
        <v>-8756</v>
      </c>
      <c r="AB180" s="52">
        <f t="shared" si="915"/>
        <v>-8311</v>
      </c>
      <c r="AC180" s="52">
        <f t="shared" si="915"/>
        <v>-5082</v>
      </c>
      <c r="AD180" s="52">
        <f t="shared" si="915"/>
        <v>5819</v>
      </c>
      <c r="AE180" s="52">
        <f t="shared" si="915"/>
        <v>1923</v>
      </c>
      <c r="AF180" s="52">
        <f t="shared" si="915"/>
        <v>13033</v>
      </c>
      <c r="AG180" s="52">
        <f t="shared" si="915"/>
        <v>-19127</v>
      </c>
      <c r="AH180" s="52">
        <f t="shared" si="915"/>
        <v>5475</v>
      </c>
      <c r="AI180" s="52">
        <f t="shared" ref="AI180:AL180" si="916">+AI74</f>
        <v>875</v>
      </c>
      <c r="AJ180" s="52">
        <f t="shared" si="916"/>
        <v>-9901</v>
      </c>
      <c r="AK180" s="52">
        <f t="shared" si="916"/>
        <v>5287</v>
      </c>
      <c r="AL180" s="52">
        <f t="shared" si="916"/>
        <v>-5295</v>
      </c>
      <c r="AM180" s="52">
        <f t="shared" ref="AM180:AP180" si="917">+AM74</f>
        <v>-2120</v>
      </c>
      <c r="AN180" s="52">
        <f t="shared" si="917"/>
        <v>-2091</v>
      </c>
      <c r="AO180" s="52">
        <f t="shared" si="917"/>
        <v>340</v>
      </c>
      <c r="AP180" s="52">
        <f t="shared" si="917"/>
        <v>-2295</v>
      </c>
      <c r="AQ180" s="52">
        <f t="shared" ref="AQ180:AT180" si="918">+AQ74</f>
        <v>3748</v>
      </c>
      <c r="AR180" s="52">
        <f t="shared" si="918"/>
        <v>-2922</v>
      </c>
      <c r="AS180" s="52">
        <f t="shared" si="918"/>
        <v>-745</v>
      </c>
      <c r="AT180" s="52">
        <f t="shared" si="918"/>
        <v>1774</v>
      </c>
      <c r="AU180" s="52">
        <f t="shared" ref="AU180:AV180" si="919">+AU74</f>
        <v>2668</v>
      </c>
      <c r="AV180" s="52">
        <f t="shared" si="919"/>
        <v>-2638</v>
      </c>
      <c r="AW180" s="49"/>
      <c r="AY180" s="52">
        <f>+AY74</f>
        <v>-12100</v>
      </c>
    </row>
    <row r="181" spans="2:51" ht="13.5" customHeight="1" thickTop="1" thickBot="1">
      <c r="B181" s="51" t="str">
        <f>+B75</f>
        <v>Cash and cash equivalents</v>
      </c>
      <c r="C181" s="52">
        <f t="shared" si="911"/>
        <v>38722</v>
      </c>
      <c r="D181" s="52">
        <f t="shared" si="911"/>
        <v>32905</v>
      </c>
      <c r="E181" s="52">
        <f t="shared" si="911"/>
        <v>51654</v>
      </c>
      <c r="F181" s="52">
        <f t="shared" si="911"/>
        <v>24369</v>
      </c>
      <c r="G181" s="52">
        <f t="shared" si="911"/>
        <v>40237</v>
      </c>
      <c r="H181" s="52">
        <f t="shared" si="911"/>
        <v>23907</v>
      </c>
      <c r="I181" s="52">
        <f t="shared" si="911"/>
        <v>25211</v>
      </c>
      <c r="J181" s="52">
        <f t="shared" ref="J181:K181" si="920">+J75</f>
        <v>16177</v>
      </c>
      <c r="K181" s="52">
        <f t="shared" si="920"/>
        <v>10011</v>
      </c>
      <c r="L181" s="52">
        <f t="shared" ref="L181" si="921">+L75</f>
        <v>11866</v>
      </c>
      <c r="M181" s="52">
        <f t="shared" ref="M181" si="922">+M75</f>
        <v>11896</v>
      </c>
      <c r="N181" s="49"/>
      <c r="O181" s="52">
        <f t="shared" ref="O181:AH181" si="923">+O75</f>
        <v>29220</v>
      </c>
      <c r="P181" s="52">
        <f t="shared" si="923"/>
        <v>52364</v>
      </c>
      <c r="Q181" s="52">
        <f t="shared" si="923"/>
        <v>45206</v>
      </c>
      <c r="R181" s="52">
        <f t="shared" si="923"/>
        <v>51654</v>
      </c>
      <c r="S181" s="52">
        <f t="shared" si="923"/>
        <v>45286</v>
      </c>
      <c r="T181" s="52">
        <f t="shared" si="923"/>
        <v>32101</v>
      </c>
      <c r="U181" s="52">
        <f t="shared" si="923"/>
        <v>27138</v>
      </c>
      <c r="V181" s="52">
        <f t="shared" si="923"/>
        <v>24369</v>
      </c>
      <c r="W181" s="52">
        <f t="shared" si="923"/>
        <v>30944</v>
      </c>
      <c r="X181" s="52">
        <f t="shared" si="923"/>
        <v>45771</v>
      </c>
      <c r="Y181" s="52">
        <f t="shared" si="923"/>
        <v>33671</v>
      </c>
      <c r="Z181" s="52">
        <f t="shared" si="923"/>
        <v>40237</v>
      </c>
      <c r="AA181" s="52">
        <f t="shared" si="923"/>
        <v>31481</v>
      </c>
      <c r="AB181" s="52">
        <f t="shared" si="923"/>
        <v>23170</v>
      </c>
      <c r="AC181" s="52">
        <f t="shared" si="923"/>
        <v>18088</v>
      </c>
      <c r="AD181" s="52">
        <f t="shared" si="923"/>
        <v>23907</v>
      </c>
      <c r="AE181" s="52">
        <f t="shared" si="923"/>
        <v>25830</v>
      </c>
      <c r="AF181" s="52">
        <f t="shared" si="923"/>
        <v>38863</v>
      </c>
      <c r="AG181" s="52">
        <f t="shared" si="923"/>
        <v>19736</v>
      </c>
      <c r="AH181" s="52">
        <f t="shared" si="923"/>
        <v>25211</v>
      </c>
      <c r="AI181" s="52">
        <f t="shared" ref="AI181:AL181" si="924">+AI75</f>
        <v>26086</v>
      </c>
      <c r="AJ181" s="52">
        <f t="shared" si="924"/>
        <v>16185</v>
      </c>
      <c r="AK181" s="52">
        <f t="shared" si="924"/>
        <v>21472</v>
      </c>
      <c r="AL181" s="52">
        <f t="shared" si="924"/>
        <v>16177</v>
      </c>
      <c r="AM181" s="52">
        <f t="shared" ref="AM181:AP181" si="925">+AM75</f>
        <v>14057</v>
      </c>
      <c r="AN181" s="52">
        <f t="shared" si="925"/>
        <v>11966</v>
      </c>
      <c r="AO181" s="52">
        <f t="shared" si="925"/>
        <v>12306</v>
      </c>
      <c r="AP181" s="52">
        <f t="shared" si="925"/>
        <v>10011</v>
      </c>
      <c r="AQ181" s="52">
        <f t="shared" ref="AQ181:AT181" si="926">+AQ75</f>
        <v>13759</v>
      </c>
      <c r="AR181" s="52">
        <f t="shared" si="926"/>
        <v>10837</v>
      </c>
      <c r="AS181" s="52">
        <f t="shared" si="926"/>
        <v>10092</v>
      </c>
      <c r="AT181" s="52">
        <f t="shared" si="926"/>
        <v>11866</v>
      </c>
      <c r="AU181" s="52">
        <f t="shared" ref="AU181:AV181" si="927">+AU75</f>
        <v>14534</v>
      </c>
      <c r="AV181" s="52">
        <f t="shared" si="927"/>
        <v>11896</v>
      </c>
      <c r="AW181" s="49"/>
      <c r="AY181" s="52">
        <f>+AY75</f>
        <v>33671</v>
      </c>
    </row>
    <row r="182" spans="2:51" ht="13.5" customHeight="1" thickTop="1"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Y182" s="28"/>
    </row>
    <row r="183" spans="2:51" ht="13.5" customHeight="1">
      <c r="B183" s="1" t="s">
        <v>373</v>
      </c>
      <c r="C183" s="28">
        <f>C123</f>
        <v>185032</v>
      </c>
      <c r="D183" s="28">
        <f t="shared" ref="D183:F183" si="928">D123</f>
        <v>172611</v>
      </c>
      <c r="E183" s="28">
        <f t="shared" si="928"/>
        <v>176276</v>
      </c>
      <c r="F183" s="28">
        <f t="shared" si="928"/>
        <v>208871</v>
      </c>
      <c r="G183" s="28">
        <f t="shared" ref="G183:H183" si="929">G123</f>
        <v>242790</v>
      </c>
      <c r="H183" s="28">
        <f t="shared" si="929"/>
        <v>274243</v>
      </c>
      <c r="I183" s="28">
        <f t="shared" ref="I183:J183" si="930">I123</f>
        <v>292015</v>
      </c>
      <c r="J183" s="28">
        <f t="shared" si="930"/>
        <v>302344</v>
      </c>
      <c r="K183" s="28">
        <f>K123</f>
        <v>335624</v>
      </c>
      <c r="L183" s="28">
        <f>L123</f>
        <v>359221</v>
      </c>
      <c r="M183" s="28">
        <f t="shared" ref="M183" si="931">M123</f>
        <v>361017</v>
      </c>
      <c r="N183" s="28"/>
      <c r="O183" s="28">
        <f t="shared" ref="O183:W183" si="932">O123</f>
        <v>172239</v>
      </c>
      <c r="P183" s="28">
        <f t="shared" si="932"/>
        <v>183810</v>
      </c>
      <c r="Q183" s="28">
        <f t="shared" si="932"/>
        <v>179223</v>
      </c>
      <c r="R183" s="28">
        <f t="shared" si="932"/>
        <v>252901</v>
      </c>
      <c r="S183" s="28">
        <f t="shared" si="932"/>
        <v>191144</v>
      </c>
      <c r="T183" s="28">
        <f t="shared" si="932"/>
        <v>195201</v>
      </c>
      <c r="U183" s="28">
        <f t="shared" si="932"/>
        <v>199961</v>
      </c>
      <c r="V183" s="28">
        <f t="shared" si="932"/>
        <v>208871</v>
      </c>
      <c r="W183" s="28">
        <f t="shared" si="932"/>
        <v>221671</v>
      </c>
      <c r="X183" s="28">
        <f t="shared" ref="X183:AA183" si="933">X123</f>
        <v>251906</v>
      </c>
      <c r="Y183" s="28">
        <f t="shared" si="933"/>
        <v>240913</v>
      </c>
      <c r="Z183" s="28">
        <f t="shared" si="933"/>
        <v>242790</v>
      </c>
      <c r="AA183" s="28">
        <f t="shared" si="933"/>
        <v>241997</v>
      </c>
      <c r="AB183" s="28">
        <f t="shared" ref="AB183:AC183" si="934">AB123</f>
        <v>257008</v>
      </c>
      <c r="AC183" s="28">
        <f t="shared" si="934"/>
        <v>267652</v>
      </c>
      <c r="AD183" s="28">
        <f>AD123</f>
        <v>274243</v>
      </c>
      <c r="AE183" s="28">
        <f t="shared" ref="AE183:AG183" si="935">AE123</f>
        <v>278066</v>
      </c>
      <c r="AF183" s="28">
        <f t="shared" si="935"/>
        <v>293576</v>
      </c>
      <c r="AG183" s="28">
        <f t="shared" si="935"/>
        <v>293996</v>
      </c>
      <c r="AH183" s="28">
        <f>AH123</f>
        <v>292015</v>
      </c>
      <c r="AI183" s="28">
        <f t="shared" ref="AI183:AK183" si="936">AI123</f>
        <v>286216</v>
      </c>
      <c r="AJ183" s="28">
        <f t="shared" si="936"/>
        <v>310588</v>
      </c>
      <c r="AK183" s="28">
        <f t="shared" si="936"/>
        <v>316214</v>
      </c>
      <c r="AL183" s="28">
        <f>AL123</f>
        <v>302344</v>
      </c>
      <c r="AM183" s="28">
        <f t="shared" ref="AM183:AO183" si="937">AM123</f>
        <v>304480</v>
      </c>
      <c r="AN183" s="28">
        <f t="shared" si="937"/>
        <v>315249</v>
      </c>
      <c r="AO183" s="28">
        <f t="shared" si="937"/>
        <v>323158</v>
      </c>
      <c r="AP183" s="28">
        <f>AP123</f>
        <v>335624</v>
      </c>
      <c r="AQ183" s="28">
        <f t="shared" ref="AQ183:AS183" si="938">AQ123</f>
        <v>336881</v>
      </c>
      <c r="AR183" s="28">
        <f t="shared" si="938"/>
        <v>347578</v>
      </c>
      <c r="AS183" s="28">
        <f t="shared" si="938"/>
        <v>358291</v>
      </c>
      <c r="AT183" s="28">
        <f>AT123</f>
        <v>359221</v>
      </c>
      <c r="AU183" s="28">
        <f t="shared" ref="AU183:AV183" si="939">AU123</f>
        <v>357298</v>
      </c>
      <c r="AV183" s="28">
        <f t="shared" si="939"/>
        <v>361017</v>
      </c>
      <c r="AW183" s="28"/>
      <c r="AY183" s="28">
        <f t="shared" ref="AY183" si="940">AY123</f>
        <v>240913</v>
      </c>
    </row>
    <row r="184" spans="2:51" ht="13.5" customHeight="1">
      <c r="B184" s="1" t="s">
        <v>350</v>
      </c>
      <c r="C184" s="28">
        <f>C122</f>
        <v>146310</v>
      </c>
      <c r="D184" s="28">
        <f t="shared" ref="D184:F184" si="941">D122</f>
        <v>139706</v>
      </c>
      <c r="E184" s="28">
        <f t="shared" si="941"/>
        <v>124622</v>
      </c>
      <c r="F184" s="28">
        <f t="shared" si="941"/>
        <v>184502</v>
      </c>
      <c r="G184" s="28">
        <f t="shared" ref="G184:H184" si="942">G122</f>
        <v>202553</v>
      </c>
      <c r="H184" s="28">
        <f t="shared" si="942"/>
        <v>250336</v>
      </c>
      <c r="I184" s="28">
        <f t="shared" ref="I184:J184" si="943">I122</f>
        <v>266421</v>
      </c>
      <c r="J184" s="28">
        <f t="shared" si="943"/>
        <v>285776</v>
      </c>
      <c r="K184" s="28">
        <f t="shared" ref="K184:L184" si="944">K122</f>
        <v>325477</v>
      </c>
      <c r="L184" s="28">
        <f t="shared" si="944"/>
        <v>347345</v>
      </c>
      <c r="M184" s="28">
        <f>M122</f>
        <v>349111</v>
      </c>
      <c r="N184" s="28"/>
      <c r="O184" s="28">
        <f t="shared" ref="O184:W184" si="945">O122</f>
        <v>143019</v>
      </c>
      <c r="P184" s="28">
        <f t="shared" si="945"/>
        <v>131446</v>
      </c>
      <c r="Q184" s="28">
        <f t="shared" si="945"/>
        <v>134017</v>
      </c>
      <c r="R184" s="28">
        <f t="shared" si="945"/>
        <v>201247</v>
      </c>
      <c r="S184" s="28">
        <f t="shared" si="945"/>
        <v>145858</v>
      </c>
      <c r="T184" s="28">
        <f t="shared" si="945"/>
        <v>163100</v>
      </c>
      <c r="U184" s="28">
        <f t="shared" si="945"/>
        <v>172823</v>
      </c>
      <c r="V184" s="28">
        <f t="shared" si="945"/>
        <v>184502</v>
      </c>
      <c r="W184" s="28">
        <f t="shared" si="945"/>
        <v>190727</v>
      </c>
      <c r="X184" s="28">
        <f t="shared" ref="X184:AA184" si="946">X122</f>
        <v>206135</v>
      </c>
      <c r="Y184" s="28">
        <f t="shared" si="946"/>
        <v>207242</v>
      </c>
      <c r="Z184" s="28">
        <f t="shared" si="946"/>
        <v>202553</v>
      </c>
      <c r="AA184" s="28">
        <f t="shared" si="946"/>
        <v>210516</v>
      </c>
      <c r="AB184" s="28">
        <f t="shared" ref="AB184:AC184" si="947">AB122</f>
        <v>233838</v>
      </c>
      <c r="AC184" s="28">
        <f t="shared" si="947"/>
        <v>249564</v>
      </c>
      <c r="AD184" s="28">
        <f>AD122</f>
        <v>250336</v>
      </c>
      <c r="AE184" s="28">
        <f t="shared" ref="AE184:AG184" si="948">AE122</f>
        <v>252236</v>
      </c>
      <c r="AF184" s="28">
        <f t="shared" si="948"/>
        <v>254713</v>
      </c>
      <c r="AG184" s="28">
        <f t="shared" si="948"/>
        <v>274260</v>
      </c>
      <c r="AH184" s="28">
        <f>AH122</f>
        <v>266421</v>
      </c>
      <c r="AI184" s="28">
        <f t="shared" ref="AI184:AK184" si="949">AI122</f>
        <v>260130</v>
      </c>
      <c r="AJ184" s="28">
        <f t="shared" si="949"/>
        <v>294403</v>
      </c>
      <c r="AK184" s="28">
        <f t="shared" si="949"/>
        <v>294742</v>
      </c>
      <c r="AL184" s="28">
        <f>AL122</f>
        <v>285776</v>
      </c>
      <c r="AM184" s="28">
        <f t="shared" ref="AM184:AO184" si="950">AM122</f>
        <v>290423</v>
      </c>
      <c r="AN184" s="28">
        <f t="shared" si="950"/>
        <v>303283</v>
      </c>
      <c r="AO184" s="28">
        <f t="shared" si="950"/>
        <v>310852</v>
      </c>
      <c r="AP184" s="28">
        <f>AP122</f>
        <v>325477</v>
      </c>
      <c r="AQ184" s="28">
        <f t="shared" ref="AQ184:AS184" si="951">AQ122</f>
        <v>323022</v>
      </c>
      <c r="AR184" s="28">
        <f t="shared" si="951"/>
        <v>336731</v>
      </c>
      <c r="AS184" s="28">
        <f t="shared" si="951"/>
        <v>348189</v>
      </c>
      <c r="AT184" s="28">
        <f>AT122</f>
        <v>347345</v>
      </c>
      <c r="AU184" s="28">
        <f t="shared" ref="AU184:AV184" si="952">AU122</f>
        <v>342754</v>
      </c>
      <c r="AV184" s="28">
        <f t="shared" si="952"/>
        <v>349111</v>
      </c>
      <c r="AW184" s="28"/>
      <c r="AY184" s="28">
        <f t="shared" ref="AY184" si="953">AY122</f>
        <v>207242</v>
      </c>
    </row>
    <row r="185" spans="2:51" ht="13.5" customHeight="1"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Y185" s="28"/>
    </row>
    <row r="186" spans="2:51" ht="13.5" customHeight="1">
      <c r="B186" s="1" t="s">
        <v>22</v>
      </c>
      <c r="C186" s="28">
        <f t="shared" ref="C186:I186" si="954">C84</f>
        <v>54529</v>
      </c>
      <c r="D186" s="28">
        <f t="shared" si="954"/>
        <v>59158</v>
      </c>
      <c r="E186" s="28">
        <f t="shared" si="954"/>
        <v>56706</v>
      </c>
      <c r="F186" s="28">
        <f t="shared" si="954"/>
        <v>78525</v>
      </c>
      <c r="G186" s="28">
        <f t="shared" si="954"/>
        <v>84774</v>
      </c>
      <c r="H186" s="28">
        <f t="shared" si="954"/>
        <v>96169</v>
      </c>
      <c r="I186" s="28">
        <f t="shared" si="954"/>
        <v>100262</v>
      </c>
      <c r="J186" s="28">
        <f t="shared" ref="J186:K186" si="955">J84</f>
        <v>104297</v>
      </c>
      <c r="K186" s="28">
        <f t="shared" si="955"/>
        <v>108515</v>
      </c>
      <c r="L186" s="28">
        <f t="shared" ref="L186" si="956">L84</f>
        <v>111231</v>
      </c>
      <c r="M186" s="28">
        <f t="shared" ref="M186" si="957">M84</f>
        <v>111749</v>
      </c>
      <c r="N186" s="28"/>
      <c r="O186" s="74"/>
      <c r="P186" s="74"/>
      <c r="Q186" s="74"/>
      <c r="R186" s="28">
        <f t="shared" ref="R186:AH186" si="958">R84</f>
        <v>56706</v>
      </c>
      <c r="S186" s="28">
        <f t="shared" si="958"/>
        <v>61588</v>
      </c>
      <c r="T186" s="28">
        <f t="shared" si="958"/>
        <v>66283</v>
      </c>
      <c r="U186" s="28">
        <f t="shared" si="958"/>
        <v>69476</v>
      </c>
      <c r="V186" s="28">
        <f t="shared" si="958"/>
        <v>78525</v>
      </c>
      <c r="W186" s="28">
        <f t="shared" si="958"/>
        <v>80023</v>
      </c>
      <c r="X186" s="28">
        <f t="shared" si="958"/>
        <v>81929</v>
      </c>
      <c r="Y186" s="28">
        <f t="shared" si="958"/>
        <v>86427</v>
      </c>
      <c r="Z186" s="28">
        <f t="shared" si="958"/>
        <v>84774</v>
      </c>
      <c r="AA186" s="28">
        <f t="shared" si="958"/>
        <v>86572</v>
      </c>
      <c r="AB186" s="28">
        <f t="shared" si="958"/>
        <v>88387</v>
      </c>
      <c r="AC186" s="28">
        <f t="shared" si="958"/>
        <v>90521</v>
      </c>
      <c r="AD186" s="28">
        <f t="shared" si="958"/>
        <v>96169</v>
      </c>
      <c r="AE186" s="28">
        <f t="shared" si="958"/>
        <v>94004</v>
      </c>
      <c r="AF186" s="28">
        <f t="shared" si="958"/>
        <v>94578</v>
      </c>
      <c r="AG186" s="28">
        <f t="shared" si="958"/>
        <v>94695</v>
      </c>
      <c r="AH186" s="28">
        <f t="shared" si="958"/>
        <v>100262</v>
      </c>
      <c r="AI186" s="28">
        <f t="shared" ref="AI186:AL186" si="959">AI84</f>
        <v>105376</v>
      </c>
      <c r="AJ186" s="28">
        <f t="shared" si="959"/>
        <v>107654</v>
      </c>
      <c r="AK186" s="28">
        <f t="shared" si="959"/>
        <v>109284</v>
      </c>
      <c r="AL186" s="28">
        <f t="shared" si="959"/>
        <v>104297</v>
      </c>
      <c r="AM186" s="28">
        <f t="shared" ref="AM186:AP186" si="960">AM84</f>
        <v>105591</v>
      </c>
      <c r="AN186" s="28">
        <f t="shared" si="960"/>
        <v>106105</v>
      </c>
      <c r="AO186" s="28">
        <f t="shared" si="960"/>
        <v>106651</v>
      </c>
      <c r="AP186" s="28">
        <f t="shared" si="960"/>
        <v>108515</v>
      </c>
      <c r="AQ186" s="28">
        <f t="shared" ref="AQ186:AT186" si="961">AQ84</f>
        <v>109065</v>
      </c>
      <c r="AR186" s="28">
        <f t="shared" si="961"/>
        <v>110111</v>
      </c>
      <c r="AS186" s="28">
        <f t="shared" si="961"/>
        <v>110642</v>
      </c>
      <c r="AT186" s="28">
        <f t="shared" si="961"/>
        <v>111231</v>
      </c>
      <c r="AU186" s="28">
        <f t="shared" ref="AU186:AV186" si="962">AU84</f>
        <v>111654</v>
      </c>
      <c r="AV186" s="28">
        <f t="shared" si="962"/>
        <v>111749</v>
      </c>
      <c r="AW186" s="28"/>
      <c r="AY186" s="28">
        <f>AY84</f>
        <v>86427</v>
      </c>
    </row>
    <row r="187" spans="2:51" ht="13.5" customHeight="1"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74"/>
      <c r="P187" s="74"/>
      <c r="Q187" s="74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Y187" s="28"/>
    </row>
    <row r="188" spans="2:51" s="2" customFormat="1" ht="13.5" customHeight="1">
      <c r="B188" s="2" t="str">
        <f>B132</f>
        <v>Total Net Leverage exc lease</v>
      </c>
      <c r="C188" s="54">
        <f>C132</f>
        <v>2.6831594197582938</v>
      </c>
      <c r="D188" s="54">
        <f t="shared" ref="D188:F188" si="963">D132</f>
        <v>2.3615740897258188</v>
      </c>
      <c r="E188" s="54">
        <f t="shared" si="963"/>
        <v>2.1976863118541248</v>
      </c>
      <c r="F188" s="54">
        <f t="shared" si="963"/>
        <v>2.1418274434893347</v>
      </c>
      <c r="G188" s="54">
        <f t="shared" ref="G188:H188" si="964">G132</f>
        <v>2.1531129827541462</v>
      </c>
      <c r="H188" s="54">
        <f t="shared" si="964"/>
        <v>2.3775852925578929</v>
      </c>
      <c r="I188" s="54">
        <f t="shared" ref="I188:J188" si="965">I132</f>
        <v>2.2340069019169775</v>
      </c>
      <c r="J188" s="54">
        <f t="shared" si="965"/>
        <v>2.2841500714306262</v>
      </c>
      <c r="K188" s="54">
        <f t="shared" ref="K188:L188" si="966">K132</f>
        <v>2.501396120352025</v>
      </c>
      <c r="L188" s="54">
        <f t="shared" si="966"/>
        <v>2.5458010806339959</v>
      </c>
      <c r="M188" s="54">
        <f t="shared" ref="M188" si="967">M132</f>
        <v>2.5594770423001547</v>
      </c>
      <c r="N188" s="54"/>
      <c r="O188" s="158"/>
      <c r="P188" s="158"/>
      <c r="Q188" s="158"/>
      <c r="R188" s="54">
        <f t="shared" ref="R188:W188" si="968">R132</f>
        <v>3.548954255281628</v>
      </c>
      <c r="S188" s="54">
        <f t="shared" si="968"/>
        <v>2.0896927972981749</v>
      </c>
      <c r="T188" s="54">
        <f t="shared" si="968"/>
        <v>2.1233498785510614</v>
      </c>
      <c r="U188" s="54">
        <f t="shared" si="968"/>
        <v>2.1769531924693419</v>
      </c>
      <c r="V188" s="54">
        <f t="shared" si="968"/>
        <v>2.1418274434893347</v>
      </c>
      <c r="W188" s="54">
        <f t="shared" si="968"/>
        <v>2.1792984516951375</v>
      </c>
      <c r="X188" s="54">
        <f t="shared" ref="X188:AA188" si="969">X132</f>
        <v>2.3133322755068413</v>
      </c>
      <c r="Y188" s="54">
        <f t="shared" si="969"/>
        <v>2.1885637590104943</v>
      </c>
      <c r="Z188" s="54">
        <f t="shared" si="969"/>
        <v>2.1531129827541462</v>
      </c>
      <c r="AA188" s="54">
        <f t="shared" si="969"/>
        <v>2.1952594372314373</v>
      </c>
      <c r="AB188" s="54">
        <f t="shared" ref="AB188:AC188" si="970">AB132</f>
        <v>2.4054781811804902</v>
      </c>
      <c r="AC188" s="54">
        <f t="shared" si="970"/>
        <v>2.5173274709735862</v>
      </c>
      <c r="AD188" s="54">
        <f>AD132</f>
        <v>2.3775852925578929</v>
      </c>
      <c r="AE188" s="54">
        <f t="shared" ref="AE188:AG188" si="971">AE132</f>
        <v>2.4573741542913066</v>
      </c>
      <c r="AF188" s="54">
        <f t="shared" si="971"/>
        <v>2.3296961238342955</v>
      </c>
      <c r="AG188" s="54">
        <f t="shared" si="971"/>
        <v>2.5000052801098263</v>
      </c>
      <c r="AH188" s="54">
        <f>AH132</f>
        <v>2.2340069019169775</v>
      </c>
      <c r="AI188" s="54">
        <f t="shared" ref="AI188:AK188" si="972">AI132</f>
        <v>2.0819066960218646</v>
      </c>
      <c r="AJ188" s="54">
        <f t="shared" si="972"/>
        <v>2.3397551414717519</v>
      </c>
      <c r="AK188" s="54">
        <f t="shared" si="972"/>
        <v>2.2947732513451191</v>
      </c>
      <c r="AL188" s="54">
        <f>AL132</f>
        <v>2.2841500714306262</v>
      </c>
      <c r="AM188" s="54">
        <f t="shared" ref="AM188:AO188" si="973">AM132</f>
        <v>2.2812739722135409</v>
      </c>
      <c r="AN188" s="54">
        <f t="shared" si="973"/>
        <v>2.369426511474483</v>
      </c>
      <c r="AO188" s="54">
        <f t="shared" si="973"/>
        <v>2.4217025625638766</v>
      </c>
      <c r="AP188" s="54">
        <f>AP132</f>
        <v>2.501396120352025</v>
      </c>
      <c r="AQ188" s="54">
        <f t="shared" ref="AQ188:AS188" si="974">AQ132</f>
        <v>2.4683170586347591</v>
      </c>
      <c r="AR188" s="54">
        <f t="shared" si="974"/>
        <v>2.5516615052083806</v>
      </c>
      <c r="AS188" s="54">
        <f t="shared" si="974"/>
        <v>2.5978742249778564</v>
      </c>
      <c r="AT188" s="54">
        <f>AT132</f>
        <v>2.5458010806339959</v>
      </c>
      <c r="AU188" s="54">
        <f t="shared" ref="AU188:AV188" si="975">AU132</f>
        <v>2.5159689755852903</v>
      </c>
      <c r="AV188" s="54">
        <f t="shared" si="975"/>
        <v>2.5594770423001547</v>
      </c>
      <c r="AW188" s="54"/>
      <c r="AY188" s="54">
        <f t="shared" ref="AY188" si="976">AY132</f>
        <v>2.1885637590104943</v>
      </c>
    </row>
    <row r="189" spans="2:51" ht="13.5" customHeight="1">
      <c r="B189" s="1" t="str">
        <f>B133</f>
        <v>Total Gross Leverage  exc lease</v>
      </c>
      <c r="C189" s="47">
        <f>C133</f>
        <v>3.393276971886519</v>
      </c>
      <c r="D189" s="47">
        <f t="shared" ref="D189:F189" si="977">D133</f>
        <v>2.9177964096149296</v>
      </c>
      <c r="E189" s="47">
        <f t="shared" si="977"/>
        <v>3.1085952103833812</v>
      </c>
      <c r="F189" s="47">
        <f t="shared" si="977"/>
        <v>2.4521617319325055</v>
      </c>
      <c r="G189" s="47">
        <f t="shared" ref="G189:H189" si="978">G133</f>
        <v>2.6277514332224503</v>
      </c>
      <c r="H189" s="47">
        <f t="shared" si="978"/>
        <v>2.6261789142031216</v>
      </c>
      <c r="I189" s="47">
        <f t="shared" ref="I189:J189" si="979">I133</f>
        <v>2.4892780914005308</v>
      </c>
      <c r="J189" s="47">
        <f t="shared" si="979"/>
        <v>2.4430041132534974</v>
      </c>
      <c r="K189" s="47">
        <f t="shared" ref="K189:L189" si="980">K133</f>
        <v>2.5949039303322121</v>
      </c>
      <c r="L189" s="47">
        <f t="shared" si="980"/>
        <v>2.6525698771026063</v>
      </c>
      <c r="M189" s="47">
        <f t="shared" ref="M189" si="981">M133</f>
        <v>2.6660193827237828</v>
      </c>
      <c r="N189" s="47"/>
      <c r="O189" s="157"/>
      <c r="P189" s="157"/>
      <c r="Q189" s="157"/>
      <c r="R189" s="47">
        <f t="shared" ref="R189:W189" si="982">R133</f>
        <v>4.4598631538108844</v>
      </c>
      <c r="S189" s="47">
        <f t="shared" si="982"/>
        <v>2.824998376307073</v>
      </c>
      <c r="T189" s="47">
        <f t="shared" si="982"/>
        <v>2.6076520374756726</v>
      </c>
      <c r="U189" s="47">
        <f t="shared" si="982"/>
        <v>2.5675628994185042</v>
      </c>
      <c r="V189" s="47">
        <f t="shared" si="982"/>
        <v>2.4521617319325055</v>
      </c>
      <c r="W189" s="47">
        <f t="shared" si="982"/>
        <v>2.5659872786573859</v>
      </c>
      <c r="X189" s="47">
        <f t="shared" ref="X189:AA189" si="983">X133</f>
        <v>2.8719989258992542</v>
      </c>
      <c r="Y189" s="47">
        <f t="shared" si="983"/>
        <v>2.5781526606268876</v>
      </c>
      <c r="Z189" s="47">
        <f t="shared" si="983"/>
        <v>2.6277514332224503</v>
      </c>
      <c r="AA189" s="47">
        <f t="shared" si="983"/>
        <v>2.5588989511620386</v>
      </c>
      <c r="AB189" s="47">
        <f t="shared" ref="AB189:AC189" si="984">AB133</f>
        <v>2.6676208039643838</v>
      </c>
      <c r="AC189" s="47">
        <f t="shared" si="984"/>
        <v>2.7171485069762817</v>
      </c>
      <c r="AD189" s="47">
        <f>AD133</f>
        <v>2.6261789142031216</v>
      </c>
      <c r="AE189" s="47">
        <f t="shared" ref="AE189:AG189" si="985">AE133</f>
        <v>2.7321496957576272</v>
      </c>
      <c r="AF189" s="47">
        <f t="shared" si="985"/>
        <v>2.7406056376747236</v>
      </c>
      <c r="AG189" s="47">
        <f t="shared" si="985"/>
        <v>2.7084217751729236</v>
      </c>
      <c r="AH189" s="47">
        <f>AH133</f>
        <v>2.4892780914005308</v>
      </c>
      <c r="AI189" s="47">
        <f t="shared" ref="AI189:AK189" si="986">AI133</f>
        <v>2.3294583206802306</v>
      </c>
      <c r="AJ189" s="47">
        <f t="shared" si="986"/>
        <v>2.4900979062552251</v>
      </c>
      <c r="AK189" s="47">
        <f t="shared" si="986"/>
        <v>2.4912521503605287</v>
      </c>
      <c r="AL189" s="47">
        <f>AL133</f>
        <v>2.4430041132534974</v>
      </c>
      <c r="AM189" s="47">
        <f t="shared" ref="AM189:AO189" si="987">AM133</f>
        <v>2.4144008485571686</v>
      </c>
      <c r="AN189" s="47">
        <f t="shared" si="987"/>
        <v>2.482201592761887</v>
      </c>
      <c r="AO189" s="47">
        <f t="shared" si="987"/>
        <v>2.5370882598381637</v>
      </c>
      <c r="AP189" s="47">
        <f>AP133</f>
        <v>2.5949039303322121</v>
      </c>
      <c r="AQ189" s="47">
        <f t="shared" ref="AQ189:AS189" si="988">AQ133</f>
        <v>2.5953880713336086</v>
      </c>
      <c r="AR189" s="47">
        <f t="shared" si="988"/>
        <v>2.6501711908891936</v>
      </c>
      <c r="AS189" s="47">
        <f t="shared" si="988"/>
        <v>2.6891777082843769</v>
      </c>
      <c r="AT189" s="47">
        <f>AT133</f>
        <v>2.6525698771026063</v>
      </c>
      <c r="AU189" s="47">
        <f t="shared" ref="AU189:AV189" si="989">AU133</f>
        <v>2.6462285274150501</v>
      </c>
      <c r="AV189" s="47">
        <f t="shared" si="989"/>
        <v>2.6660193827237828</v>
      </c>
      <c r="AW189" s="47"/>
      <c r="AY189" s="47">
        <f t="shared" ref="AY189" si="990">AY133</f>
        <v>2.5781526606268876</v>
      </c>
    </row>
    <row r="190" spans="2:51" ht="13.5" customHeight="1"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157"/>
      <c r="P190" s="157"/>
      <c r="Q190" s="15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Y190" s="47"/>
    </row>
    <row r="191" spans="2:51" s="2" customFormat="1" ht="13.5" customHeight="1">
      <c r="B191" s="2" t="str">
        <f>B135</f>
        <v>Total Net Leverage including lease</v>
      </c>
      <c r="C191" s="54">
        <f>C135</f>
        <v>2.6831594197582938</v>
      </c>
      <c r="D191" s="54">
        <f t="shared" ref="D191:F191" si="991">D135</f>
        <v>2.3615740897258188</v>
      </c>
      <c r="E191" s="54">
        <f t="shared" si="991"/>
        <v>2.1976863118541248</v>
      </c>
      <c r="F191" s="54">
        <f t="shared" si="991"/>
        <v>2.3495956701687359</v>
      </c>
      <c r="G191" s="54">
        <f t="shared" ref="G191:H191" si="992">G135</f>
        <v>2.3893292754854083</v>
      </c>
      <c r="H191" s="54">
        <f t="shared" si="992"/>
        <v>2.6030841539373393</v>
      </c>
      <c r="I191" s="54">
        <f t="shared" ref="I191:J191" si="993">I135</f>
        <v>2.6572480102132414</v>
      </c>
      <c r="J191" s="54">
        <f t="shared" si="993"/>
        <v>2.7400212853677477</v>
      </c>
      <c r="K191" s="54">
        <f t="shared" ref="K191:L191" si="994">K135</f>
        <v>2.9993733585218632</v>
      </c>
      <c r="L191" s="54">
        <f t="shared" si="994"/>
        <v>3.1227355683217808</v>
      </c>
      <c r="M191" s="54">
        <f t="shared" ref="M191" si="995">M135</f>
        <v>3.1240637500111856</v>
      </c>
      <c r="N191" s="54"/>
      <c r="O191" s="158"/>
      <c r="P191" s="158"/>
      <c r="Q191" s="158"/>
      <c r="R191" s="54">
        <f t="shared" ref="R191:W191" si="996">R135</f>
        <v>3.548954255281628</v>
      </c>
      <c r="S191" s="54">
        <f t="shared" si="996"/>
        <v>2.3682860297460544</v>
      </c>
      <c r="T191" s="54">
        <f t="shared" si="996"/>
        <v>2.4606611046573028</v>
      </c>
      <c r="U191" s="54">
        <f t="shared" si="996"/>
        <v>2.4875208705164371</v>
      </c>
      <c r="V191" s="54">
        <f t="shared" si="996"/>
        <v>2.3495956701687359</v>
      </c>
      <c r="W191" s="54">
        <f t="shared" si="996"/>
        <v>2.3834022718468439</v>
      </c>
      <c r="X191" s="54">
        <f t="shared" ref="X191:AA191" si="997">X135</f>
        <v>2.516019968509319</v>
      </c>
      <c r="Y191" s="54">
        <f t="shared" si="997"/>
        <v>2.3978849202216899</v>
      </c>
      <c r="Z191" s="54">
        <f t="shared" si="997"/>
        <v>2.3893292754854083</v>
      </c>
      <c r="AA191" s="54">
        <f t="shared" si="997"/>
        <v>2.4316869195582869</v>
      </c>
      <c r="AB191" s="54">
        <f t="shared" ref="AB191:AC191" si="998">AB135</f>
        <v>2.6456153054182177</v>
      </c>
      <c r="AC191" s="54">
        <f t="shared" si="998"/>
        <v>2.7569735199566949</v>
      </c>
      <c r="AD191" s="54">
        <f>AD135</f>
        <v>2.6030841539373393</v>
      </c>
      <c r="AE191" s="54">
        <f t="shared" ref="AE191:AG191" si="999">AE135</f>
        <v>2.6832475213820688</v>
      </c>
      <c r="AF191" s="54">
        <f t="shared" si="999"/>
        <v>2.6931527416523928</v>
      </c>
      <c r="AG191" s="54">
        <f t="shared" si="999"/>
        <v>2.8962458419135118</v>
      </c>
      <c r="AH191" s="54">
        <f>AH135</f>
        <v>2.6572480102132414</v>
      </c>
      <c r="AI191" s="54">
        <f t="shared" ref="AI191:AK191" si="1000">AI135</f>
        <v>2.4685886729426056</v>
      </c>
      <c r="AJ191" s="54">
        <f t="shared" si="1000"/>
        <v>2.7347149200215504</v>
      </c>
      <c r="AK191" s="54">
        <f t="shared" si="1000"/>
        <v>2.6970279272354598</v>
      </c>
      <c r="AL191" s="54">
        <f>AL135</f>
        <v>2.7400212853677477</v>
      </c>
      <c r="AM191" s="54">
        <f t="shared" ref="AM191:AO191" si="1001">AM135</f>
        <v>2.750452216571488</v>
      </c>
      <c r="AN191" s="54">
        <f t="shared" si="1001"/>
        <v>2.8583290137128317</v>
      </c>
      <c r="AO191" s="54">
        <f t="shared" si="1001"/>
        <v>2.9146655915087529</v>
      </c>
      <c r="AP191" s="54">
        <f>AP135</f>
        <v>2.9993733585218632</v>
      </c>
      <c r="AQ191" s="54">
        <f t="shared" ref="AQ191:AS191" si="1002">AQ135</f>
        <v>2.9617384128730575</v>
      </c>
      <c r="AR191" s="54">
        <f t="shared" si="1002"/>
        <v>3.058105003133202</v>
      </c>
      <c r="AS191" s="54">
        <f t="shared" si="1002"/>
        <v>3.1469875815693857</v>
      </c>
      <c r="AT191" s="54">
        <f>AT135</f>
        <v>3.1227355683217808</v>
      </c>
      <c r="AU191" s="54">
        <f t="shared" ref="AU191:AV191" si="1003">AU135</f>
        <v>3.0697870206172642</v>
      </c>
      <c r="AV191" s="54">
        <f t="shared" si="1003"/>
        <v>3.1240637500111856</v>
      </c>
      <c r="AW191" s="54"/>
      <c r="AY191" s="54">
        <f t="shared" ref="AY191" si="1004">AY135</f>
        <v>2.3978849202216899</v>
      </c>
    </row>
    <row r="192" spans="2:51" ht="13.5" customHeight="1">
      <c r="B192" s="1" t="str">
        <f>B136</f>
        <v>Total Gross Leverage  including lease</v>
      </c>
      <c r="C192" s="47">
        <f>C136</f>
        <v>3.393276971886519</v>
      </c>
      <c r="D192" s="47">
        <f t="shared" ref="D192:F192" si="1005">D136</f>
        <v>2.9177964096149296</v>
      </c>
      <c r="E192" s="47">
        <f t="shared" si="1005"/>
        <v>3.1085952103833812</v>
      </c>
      <c r="F192" s="47">
        <f t="shared" si="1005"/>
        <v>2.6599299586119072</v>
      </c>
      <c r="G192" s="47">
        <f t="shared" ref="G192:H192" si="1006">G136</f>
        <v>2.8639677259537124</v>
      </c>
      <c r="H192" s="47">
        <f t="shared" si="1006"/>
        <v>2.8516777755825684</v>
      </c>
      <c r="I192" s="47">
        <f t="shared" ref="I192:J192" si="1007">I136</f>
        <v>2.9125191996967943</v>
      </c>
      <c r="J192" s="47">
        <f t="shared" si="1007"/>
        <v>2.8988753271906189</v>
      </c>
      <c r="K192" s="47">
        <f t="shared" ref="K192:L192" si="1008">K136</f>
        <v>3.0928811685020503</v>
      </c>
      <c r="L192" s="47">
        <f t="shared" si="1008"/>
        <v>3.2295043647903912</v>
      </c>
      <c r="M192" s="47">
        <f t="shared" ref="M192" si="1009">M136</f>
        <v>3.2306060904348137</v>
      </c>
      <c r="N192" s="47"/>
      <c r="O192" s="157"/>
      <c r="P192" s="157"/>
      <c r="Q192" s="157"/>
      <c r="R192" s="47">
        <f t="shared" ref="R192:W192" si="1010">R136</f>
        <v>4.4598631538108844</v>
      </c>
      <c r="S192" s="47">
        <f t="shared" si="1010"/>
        <v>3.1035916087549524</v>
      </c>
      <c r="T192" s="47">
        <f t="shared" si="1010"/>
        <v>2.9449632635819141</v>
      </c>
      <c r="U192" s="47">
        <f t="shared" si="1010"/>
        <v>2.8781305774655994</v>
      </c>
      <c r="V192" s="47">
        <f t="shared" si="1010"/>
        <v>2.6599299586119072</v>
      </c>
      <c r="W192" s="47">
        <f t="shared" si="1010"/>
        <v>2.7700910988090923</v>
      </c>
      <c r="X192" s="47">
        <f t="shared" ref="X192:AA192" si="1011">X136</f>
        <v>3.0746866189017319</v>
      </c>
      <c r="Y192" s="47">
        <f t="shared" si="1011"/>
        <v>2.7874738218380828</v>
      </c>
      <c r="Z192" s="47">
        <f t="shared" si="1011"/>
        <v>2.8639677259537124</v>
      </c>
      <c r="AA192" s="47">
        <f t="shared" si="1011"/>
        <v>2.7953264334888877</v>
      </c>
      <c r="AB192" s="47">
        <f t="shared" ref="AB192:AC192" si="1012">AB136</f>
        <v>2.9077579282021113</v>
      </c>
      <c r="AC192" s="47">
        <f t="shared" si="1012"/>
        <v>2.9567945559593904</v>
      </c>
      <c r="AD192" s="47">
        <f>AD136</f>
        <v>2.8516777755825684</v>
      </c>
      <c r="AE192" s="47">
        <f t="shared" ref="AE192:AG192" si="1013">AE136</f>
        <v>2.9580230628483895</v>
      </c>
      <c r="AF192" s="47">
        <f t="shared" si="1013"/>
        <v>3.1040622554928206</v>
      </c>
      <c r="AG192" s="47">
        <f t="shared" si="1013"/>
        <v>3.1046623369766091</v>
      </c>
      <c r="AH192" s="47">
        <f>AH136</f>
        <v>2.9125191996967943</v>
      </c>
      <c r="AI192" s="47">
        <f t="shared" ref="AI192:AK192" si="1014">AI136</f>
        <v>2.7161402976009716</v>
      </c>
      <c r="AJ192" s="47">
        <f t="shared" si="1014"/>
        <v>2.8850576848050236</v>
      </c>
      <c r="AK192" s="47">
        <f t="shared" si="1014"/>
        <v>2.8935068262508694</v>
      </c>
      <c r="AL192" s="47">
        <f>AL136</f>
        <v>2.8988753271906189</v>
      </c>
      <c r="AM192" s="47">
        <f t="shared" ref="AM192:AO192" si="1015">AM136</f>
        <v>2.8835790929151157</v>
      </c>
      <c r="AN192" s="47">
        <f t="shared" si="1015"/>
        <v>2.9711040950002356</v>
      </c>
      <c r="AO192" s="47">
        <f t="shared" si="1015"/>
        <v>3.03005128878304</v>
      </c>
      <c r="AP192" s="47">
        <f>AP136</f>
        <v>3.0928811685020503</v>
      </c>
      <c r="AQ192" s="47">
        <f t="shared" ref="AQ192:AS192" si="1016">AQ136</f>
        <v>3.0888094255719065</v>
      </c>
      <c r="AR192" s="47">
        <f t="shared" si="1016"/>
        <v>3.156614688814015</v>
      </c>
      <c r="AS192" s="47">
        <f t="shared" si="1016"/>
        <v>3.2382910648759062</v>
      </c>
      <c r="AT192" s="47">
        <f>AT136</f>
        <v>3.2295043647903912</v>
      </c>
      <c r="AU192" s="47">
        <f t="shared" ref="AU192:AV192" si="1017">AU136</f>
        <v>3.200046572447024</v>
      </c>
      <c r="AV192" s="47">
        <f t="shared" si="1017"/>
        <v>3.2306060904348137</v>
      </c>
      <c r="AW192" s="47"/>
      <c r="AY192" s="47">
        <f t="shared" ref="AY192" si="1018">AY136</f>
        <v>2.7874738218380828</v>
      </c>
    </row>
    <row r="193" spans="2:52" ht="13.5" customHeight="1"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157"/>
      <c r="P193" s="157"/>
      <c r="Q193" s="15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Y193" s="47"/>
    </row>
    <row r="194" spans="2:52" s="2" customFormat="1" ht="13.5" customHeight="1">
      <c r="B194" s="2" t="str">
        <f t="shared" ref="B194" si="1019">+B138</f>
        <v>Net Leverage (based on company reported debt)</v>
      </c>
      <c r="C194" s="54">
        <f t="shared" ref="C194:F194" si="1020">+C138</f>
        <v>2.6445194300280583</v>
      </c>
      <c r="D194" s="54">
        <f t="shared" si="1020"/>
        <v>2.3522938571283682</v>
      </c>
      <c r="E194" s="54">
        <f t="shared" si="1020"/>
        <v>2.1845131026699116</v>
      </c>
      <c r="F194" s="54">
        <f t="shared" si="1020"/>
        <v>2.1440815027061446</v>
      </c>
      <c r="G194" s="54">
        <f t="shared" ref="G194:H194" si="1021">+G138</f>
        <v>2.1427324415504754</v>
      </c>
      <c r="H194" s="54">
        <f t="shared" si="1021"/>
        <v>2.3776788778088571</v>
      </c>
      <c r="I194" s="54">
        <f t="shared" ref="I194:J194" si="1022">+I138</f>
        <v>2.2507929225429377</v>
      </c>
      <c r="J194" s="54">
        <f t="shared" si="1022"/>
        <v>2.298858068784337</v>
      </c>
      <c r="K194" s="54">
        <f t="shared" ref="K194:L194" si="1023">+K138</f>
        <v>2.516085333824817</v>
      </c>
      <c r="L194" s="54">
        <f t="shared" si="1023"/>
        <v>2.5594753261231133</v>
      </c>
      <c r="M194" s="54">
        <f t="shared" ref="M194" si="1024">+M138</f>
        <v>2.5712892285389577</v>
      </c>
      <c r="N194" s="54"/>
      <c r="O194" s="158"/>
      <c r="P194" s="158"/>
      <c r="Q194" s="158"/>
      <c r="R194" s="54">
        <f t="shared" ref="R194:W194" si="1025">+R138</f>
        <v>2.1845131026699116</v>
      </c>
      <c r="S194" s="54">
        <f t="shared" si="1025"/>
        <v>2.0942716113528608</v>
      </c>
      <c r="T194" s="54">
        <f t="shared" si="1025"/>
        <v>2.1287358749603973</v>
      </c>
      <c r="U194" s="54">
        <f t="shared" si="1025"/>
        <v>2.1761903391099087</v>
      </c>
      <c r="V194" s="54">
        <f t="shared" si="1025"/>
        <v>2.1440815027061446</v>
      </c>
      <c r="W194" s="54">
        <f t="shared" si="1025"/>
        <v>2.1497444484710644</v>
      </c>
      <c r="X194" s="54">
        <f t="shared" ref="X194:AA194" si="1026">+X138</f>
        <v>2.305581662170904</v>
      </c>
      <c r="Y194" s="54">
        <f t="shared" si="1026"/>
        <v>2.1887604568016941</v>
      </c>
      <c r="Z194" s="54">
        <f t="shared" si="1026"/>
        <v>2.1427324415504754</v>
      </c>
      <c r="AA194" s="54">
        <f t="shared" si="1026"/>
        <v>2.1843667698563047</v>
      </c>
      <c r="AB194" s="54">
        <f t="shared" ref="AB194:AC194" si="1027">+AB138</f>
        <v>2.3791960356160975</v>
      </c>
      <c r="AC194" s="54">
        <f t="shared" si="1027"/>
        <v>2.5124777675898411</v>
      </c>
      <c r="AD194" s="54">
        <f>+AD138</f>
        <v>2.3776788778088571</v>
      </c>
      <c r="AE194" s="54">
        <f t="shared" ref="AE194:AG194" si="1028">+AE138</f>
        <v>2.4427790306795454</v>
      </c>
      <c r="AF194" s="54">
        <f t="shared" si="1028"/>
        <v>2.2793144283025653</v>
      </c>
      <c r="AG194" s="54">
        <f t="shared" si="1028"/>
        <v>2.50059665241037</v>
      </c>
      <c r="AH194" s="54">
        <f>+AH138</f>
        <v>2.2507929225429377</v>
      </c>
      <c r="AI194" s="54">
        <f t="shared" ref="AI194:AK194" si="1029">+AI138</f>
        <v>2.0947084725174614</v>
      </c>
      <c r="AJ194" s="54">
        <f t="shared" si="1029"/>
        <v>2.3525554089954857</v>
      </c>
      <c r="AK194" s="54">
        <f t="shared" si="1029"/>
        <v>2.3070623330039166</v>
      </c>
      <c r="AL194" s="54">
        <f>+AL138</f>
        <v>2.298858068784337</v>
      </c>
      <c r="AM194" s="54">
        <f t="shared" ref="AM194:AO194" si="1030">+AM138</f>
        <v>2.293604568571185</v>
      </c>
      <c r="AN194" s="54">
        <f t="shared" si="1030"/>
        <v>2.3814334856981292</v>
      </c>
      <c r="AO194" s="54">
        <f t="shared" si="1030"/>
        <v>2.4358515156913674</v>
      </c>
      <c r="AP194" s="54">
        <f>+AP138</f>
        <v>2.516085333824817</v>
      </c>
      <c r="AQ194" s="54">
        <f t="shared" ref="AQ194:AS194" si="1031">+AQ138</f>
        <v>2.4821711823224684</v>
      </c>
      <c r="AR194" s="54">
        <f t="shared" si="1031"/>
        <v>2.5659198445205291</v>
      </c>
      <c r="AS194" s="54">
        <f t="shared" si="1031"/>
        <v>2.6122358598000761</v>
      </c>
      <c r="AT194" s="54">
        <f>+AT138</f>
        <v>2.5594753261231133</v>
      </c>
      <c r="AU194" s="54">
        <f t="shared" ref="AU194:AV194" si="1032">+AU138</f>
        <v>2.5280957242911137</v>
      </c>
      <c r="AV194" s="54">
        <f t="shared" si="1032"/>
        <v>2.5712892285389577</v>
      </c>
      <c r="AW194" s="54"/>
      <c r="AX194" s="204"/>
      <c r="AY194" s="54">
        <f t="shared" ref="AY194" si="1033">+AY138</f>
        <v>2.1887604568016941</v>
      </c>
    </row>
    <row r="195" spans="2:52" s="2" customFormat="1" ht="13.5" customHeight="1"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158"/>
      <c r="P195" s="158"/>
      <c r="Q195" s="158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Y195" s="54"/>
    </row>
    <row r="196" spans="2:52" ht="13.5" customHeight="1">
      <c r="B196" s="2" t="str">
        <f t="shared" ref="B196:C196" si="1034">+B140</f>
        <v>EBITDA - Capex / Interest</v>
      </c>
      <c r="C196" s="54">
        <f t="shared" si="1034"/>
        <v>2.0873771498771498</v>
      </c>
      <c r="D196" s="54">
        <f t="shared" ref="D196:F196" si="1035">+D140</f>
        <v>3.1387789711701526</v>
      </c>
      <c r="E196" s="54">
        <f t="shared" si="1035"/>
        <v>1.2518899304505595</v>
      </c>
      <c r="F196" s="54">
        <f t="shared" si="1035"/>
        <v>-1.5332493350132996</v>
      </c>
      <c r="G196" s="54">
        <f t="shared" ref="G196:H196" si="1036">+G140</f>
        <v>0.81756109247724007</v>
      </c>
      <c r="H196" s="54">
        <f t="shared" si="1036"/>
        <v>-0.73873570948217893</v>
      </c>
      <c r="I196" s="54">
        <f t="shared" ref="I196:J196" si="1037">+I140</f>
        <v>7.272162432042605</v>
      </c>
      <c r="J196" s="54">
        <f t="shared" si="1037"/>
        <v>5.1294904786412765</v>
      </c>
      <c r="K196" s="54">
        <f>+K140</f>
        <v>4.1978584729981376</v>
      </c>
      <c r="L196" s="54">
        <f>+L140</f>
        <v>3.7472228519610065</v>
      </c>
      <c r="M196" s="54">
        <f t="shared" ref="M196" si="1038">+M140</f>
        <v>4.558682223747426</v>
      </c>
      <c r="N196" s="54"/>
      <c r="O196" s="158"/>
      <c r="P196" s="158"/>
      <c r="Q196" s="158"/>
      <c r="R196" s="54">
        <f t="shared" ref="R196:W196" si="1039">+R140</f>
        <v>1.2518899304505595</v>
      </c>
      <c r="S196" s="54">
        <f t="shared" si="1039"/>
        <v>1.0557025279247501</v>
      </c>
      <c r="T196" s="54">
        <f t="shared" si="1039"/>
        <v>1.2684869169510808</v>
      </c>
      <c r="U196" s="54">
        <f t="shared" si="1039"/>
        <v>3.8646659116647789E-2</v>
      </c>
      <c r="V196" s="54">
        <f t="shared" si="1039"/>
        <v>-1.5332493350132996</v>
      </c>
      <c r="W196" s="54">
        <f t="shared" si="1039"/>
        <v>-1.0269100743745774</v>
      </c>
      <c r="X196" s="54">
        <f t="shared" ref="X196:AA196" si="1040">+X140</f>
        <v>-0.99350649350649356</v>
      </c>
      <c r="Y196" s="54">
        <f t="shared" si="1040"/>
        <v>-0.21821156992973337</v>
      </c>
      <c r="Z196" s="54">
        <f t="shared" si="1040"/>
        <v>0.81756109247724007</v>
      </c>
      <c r="AA196" s="54">
        <f t="shared" si="1040"/>
        <v>0.66764602185920785</v>
      </c>
      <c r="AB196" s="54">
        <f t="shared" ref="AB196:AC196" si="1041">+AB140</f>
        <v>-0.34763348099790159</v>
      </c>
      <c r="AC196" s="54">
        <f t="shared" si="1041"/>
        <v>-1.6351163866193927</v>
      </c>
      <c r="AD196" s="54">
        <f>+AD140</f>
        <v>-0.73873570948217893</v>
      </c>
      <c r="AE196" s="54">
        <f t="shared" ref="AE196:AG196" si="1042">+AE140</f>
        <v>-1.2582244254168544</v>
      </c>
      <c r="AF196" s="54">
        <f t="shared" si="1042"/>
        <v>4.0581009296148736</v>
      </c>
      <c r="AG196" s="54">
        <f t="shared" si="1042"/>
        <v>5.7028732394366193</v>
      </c>
      <c r="AH196" s="54">
        <f>+AH140</f>
        <v>7.272162432042605</v>
      </c>
      <c r="AI196" s="54">
        <f t="shared" ref="AI196:AK196" si="1043">+AI140</f>
        <v>8.4537502733435375</v>
      </c>
      <c r="AJ196" s="54">
        <f t="shared" si="1043"/>
        <v>3.9310306775546238</v>
      </c>
      <c r="AK196" s="54">
        <f t="shared" si="1043"/>
        <v>5.0470066998054897</v>
      </c>
      <c r="AL196" s="54">
        <f>+AL140</f>
        <v>5.1294904786412765</v>
      </c>
      <c r="AM196" s="54">
        <f t="shared" ref="AM196:AO196" si="1044">+AM140</f>
        <v>5.1479486116866973</v>
      </c>
      <c r="AN196" s="54">
        <f t="shared" si="1044"/>
        <v>6.2207251832771941</v>
      </c>
      <c r="AO196" s="54">
        <f t="shared" si="1044"/>
        <v>5.8565247320287144</v>
      </c>
      <c r="AP196" s="54">
        <f>+AP140</f>
        <v>4.1978584729981376</v>
      </c>
      <c r="AQ196" s="54">
        <f t="shared" ref="AQ196:AS196" si="1045">+AQ140</f>
        <v>4.0964235624123422</v>
      </c>
      <c r="AR196" s="54">
        <f t="shared" si="1045"/>
        <v>3.9904654169360052</v>
      </c>
      <c r="AS196" s="54">
        <f t="shared" si="1045"/>
        <v>3.2128831975164922</v>
      </c>
      <c r="AT196" s="54">
        <f>+AT140</f>
        <v>3.7472228519610065</v>
      </c>
      <c r="AU196" s="54">
        <f t="shared" ref="AU196:AV196" si="1046">+AU140</f>
        <v>4.0016278209396967</v>
      </c>
      <c r="AV196" s="54">
        <f t="shared" si="1046"/>
        <v>4.558682223747426</v>
      </c>
      <c r="AW196" s="54"/>
      <c r="AY196" s="54">
        <f t="shared" ref="AY196" si="1047">+AY140</f>
        <v>-0.63943094548659196</v>
      </c>
    </row>
    <row r="197" spans="2:52" ht="13.5" customHeight="1">
      <c r="B197" s="1" t="str">
        <f t="shared" ref="B197:C197" si="1048">+B141</f>
        <v>EBITDA/Interest</v>
      </c>
      <c r="C197" s="47">
        <f t="shared" si="1048"/>
        <v>8.3736179361179364</v>
      </c>
      <c r="D197" s="47">
        <f t="shared" ref="D197:F197" si="1049">+D141</f>
        <v>8.3603730921424528</v>
      </c>
      <c r="E197" s="47">
        <f t="shared" si="1049"/>
        <v>8.5736316903537944</v>
      </c>
      <c r="F197" s="47">
        <f t="shared" si="1049"/>
        <v>10.993280134397311</v>
      </c>
      <c r="G197" s="47">
        <f t="shared" ref="G197:H197" si="1050">+G141</f>
        <v>10.155007187350263</v>
      </c>
      <c r="H197" s="47">
        <f t="shared" si="1050"/>
        <v>10.778861241874019</v>
      </c>
      <c r="I197" s="47">
        <f t="shared" ref="I197:J197" si="1051">+I141</f>
        <v>11.124153999778098</v>
      </c>
      <c r="J197" s="47">
        <f t="shared" si="1051"/>
        <v>10.735666495110653</v>
      </c>
      <c r="K197" s="47">
        <f t="shared" ref="K197:L197" si="1052">+K141</f>
        <v>10.103817504655494</v>
      </c>
      <c r="L197" s="47">
        <f t="shared" si="1052"/>
        <v>8.4055769666742233</v>
      </c>
      <c r="M197" s="47">
        <f t="shared" ref="M197" si="1053">+M141</f>
        <v>8.5220010676427975</v>
      </c>
      <c r="N197" s="47"/>
      <c r="O197" s="157"/>
      <c r="P197" s="157"/>
      <c r="Q197" s="157"/>
      <c r="R197" s="47">
        <f t="shared" ref="R197:W197" si="1054">+R141</f>
        <v>8.5736316903537944</v>
      </c>
      <c r="S197" s="47">
        <f t="shared" si="1054"/>
        <v>9.0517342739564963</v>
      </c>
      <c r="T197" s="47">
        <f t="shared" si="1054"/>
        <v>9.4259101251422077</v>
      </c>
      <c r="U197" s="47">
        <f t="shared" si="1054"/>
        <v>9.8352208380520949</v>
      </c>
      <c r="V197" s="47">
        <f t="shared" si="1054"/>
        <v>10.993280134397311</v>
      </c>
      <c r="W197" s="47">
        <f t="shared" si="1054"/>
        <v>10.821230561189994</v>
      </c>
      <c r="X197" s="47">
        <f t="shared" ref="X197:AA197" si="1055">+X141</f>
        <v>10.64012987012987</v>
      </c>
      <c r="Y197" s="47">
        <f t="shared" si="1055"/>
        <v>8.3190874963904129</v>
      </c>
      <c r="Z197" s="47">
        <f t="shared" si="1055"/>
        <v>10.155007187350263</v>
      </c>
      <c r="AA197" s="47">
        <f t="shared" si="1055"/>
        <v>10.174168527441532</v>
      </c>
      <c r="AB197" s="47">
        <f t="shared" ref="AB197:AC197" si="1056">+AB141</f>
        <v>10.30391699696899</v>
      </c>
      <c r="AC197" s="47">
        <f t="shared" si="1056"/>
        <v>13.954216124556806</v>
      </c>
      <c r="AD197" s="47">
        <f>+AD141</f>
        <v>10.778861241874019</v>
      </c>
      <c r="AE197" s="47">
        <f t="shared" ref="AE197:AG197" si="1057">+AE141</f>
        <v>10.590806669671023</v>
      </c>
      <c r="AF197" s="47">
        <f t="shared" si="1057"/>
        <v>10.4667994687915</v>
      </c>
      <c r="AG197" s="47">
        <f t="shared" si="1057"/>
        <v>10.669859154929577</v>
      </c>
      <c r="AH197" s="47">
        <f>+AH141</f>
        <v>11.124153999778098</v>
      </c>
      <c r="AI197" s="47">
        <f t="shared" ref="AI197:AK197" si="1058">+AI141</f>
        <v>11.521539470806911</v>
      </c>
      <c r="AJ197" s="47">
        <f t="shared" si="1058"/>
        <v>11.879717501655264</v>
      </c>
      <c r="AK197" s="47">
        <f t="shared" si="1058"/>
        <v>11.809379727685325</v>
      </c>
      <c r="AL197" s="47">
        <f>+AL141</f>
        <v>10.735666495110653</v>
      </c>
      <c r="AM197" s="47">
        <f t="shared" ref="AM197:AO197" si="1059">+AM141</f>
        <v>10.939805221715707</v>
      </c>
      <c r="AN197" s="47">
        <f t="shared" si="1059"/>
        <v>10.511690112938378</v>
      </c>
      <c r="AO197" s="47">
        <f t="shared" si="1059"/>
        <v>10.487855246336906</v>
      </c>
      <c r="AP197" s="47">
        <f>+AP141</f>
        <v>10.103817504655494</v>
      </c>
      <c r="AQ197" s="47">
        <f t="shared" ref="AQ197:AS197" si="1060">+AQ141</f>
        <v>9.560396213183731</v>
      </c>
      <c r="AR197" s="47">
        <f t="shared" si="1060"/>
        <v>8.8971396250808024</v>
      </c>
      <c r="AS197" s="47">
        <f t="shared" si="1060"/>
        <v>8.5868839736127285</v>
      </c>
      <c r="AT197" s="47">
        <f>+AT141</f>
        <v>8.4055769666742233</v>
      </c>
      <c r="AU197" s="47">
        <f t="shared" ref="AU197:AV197" si="1061">+AU141</f>
        <v>8.2614872364039957</v>
      </c>
      <c r="AV197" s="47">
        <f t="shared" si="1061"/>
        <v>8.5220010676427975</v>
      </c>
      <c r="AW197" s="47"/>
      <c r="AY197" s="47">
        <f t="shared" ref="AY197" si="1062">+AY141</f>
        <v>10.880901422636283</v>
      </c>
    </row>
    <row r="198" spans="2:52" s="2" customFormat="1" ht="13.5" customHeight="1">
      <c r="B198" s="1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158"/>
      <c r="P198" s="158"/>
      <c r="Q198" s="158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Y198" s="54"/>
    </row>
    <row r="199" spans="2:52" s="2" customFormat="1" ht="13.5" customHeight="1" thickBot="1">
      <c r="B199" s="281" t="str">
        <f t="shared" ref="B199:W199" si="1063">+B143</f>
        <v xml:space="preserve">Gearing (Net debt / Equity) </v>
      </c>
      <c r="C199" s="282">
        <f t="shared" si="1063"/>
        <v>1.3480195693634429</v>
      </c>
      <c r="D199" s="282">
        <f t="shared" si="1063"/>
        <v>1.256541017961379</v>
      </c>
      <c r="E199" s="282">
        <f t="shared" si="1063"/>
        <v>1.0681946753981451</v>
      </c>
      <c r="F199" s="282">
        <f t="shared" si="1063"/>
        <v>1.5865680626021155</v>
      </c>
      <c r="G199" s="282">
        <f t="shared" ref="G199:H199" si="1064">+G143</f>
        <v>1.6926670287887018</v>
      </c>
      <c r="H199" s="282">
        <f t="shared" si="1064"/>
        <v>1.9639587337700546</v>
      </c>
      <c r="I199" s="282">
        <f t="shared" ref="I199:J199" si="1065">+I143</f>
        <v>2.3378260984020849</v>
      </c>
      <c r="J199" s="282">
        <f t="shared" si="1065"/>
        <v>2.5888790245139783</v>
      </c>
      <c r="K199" s="282">
        <f t="shared" ref="K199:L199" si="1066">+K143</f>
        <v>2.788169786268043</v>
      </c>
      <c r="L199" s="282">
        <f t="shared" si="1066"/>
        <v>2.7118743314881755</v>
      </c>
      <c r="M199" s="282">
        <f t="shared" ref="M199" si="1067">+M143</f>
        <v>3.055221542527589</v>
      </c>
      <c r="N199" s="205"/>
      <c r="O199" s="283"/>
      <c r="P199" s="283"/>
      <c r="Q199" s="283"/>
      <c r="R199" s="282">
        <f t="shared" si="1063"/>
        <v>1.72498414276653</v>
      </c>
      <c r="S199" s="282">
        <f t="shared" si="1063"/>
        <v>1.2830125611343726</v>
      </c>
      <c r="T199" s="282">
        <f t="shared" si="1063"/>
        <v>1.3755703430070254</v>
      </c>
      <c r="U199" s="282">
        <f t="shared" si="1063"/>
        <v>1.5113775492356665</v>
      </c>
      <c r="V199" s="282">
        <f t="shared" si="1063"/>
        <v>1.5865680626021155</v>
      </c>
      <c r="W199" s="282">
        <f t="shared" si="1063"/>
        <v>1.6874165037291315</v>
      </c>
      <c r="X199" s="282">
        <f t="shared" ref="X199:AA199" si="1068">+X143</f>
        <v>1.7288418474751117</v>
      </c>
      <c r="Y199" s="282">
        <f t="shared" si="1068"/>
        <v>1.7466519456220344</v>
      </c>
      <c r="Z199" s="282">
        <f t="shared" si="1068"/>
        <v>1.6926670287887018</v>
      </c>
      <c r="AA199" s="282">
        <f t="shared" si="1068"/>
        <v>1.8520414896144</v>
      </c>
      <c r="AB199" s="282">
        <f t="shared" ref="AB199:AC199" si="1069">+AB143</f>
        <v>1.9373006470427412</v>
      </c>
      <c r="AC199" s="282">
        <f t="shared" si="1069"/>
        <v>2.12893154190659</v>
      </c>
      <c r="AD199" s="282">
        <f>+AD143</f>
        <v>1.9639587337700546</v>
      </c>
      <c r="AE199" s="282">
        <f t="shared" ref="AE199:AG199" si="1070">+AE143</f>
        <v>1.9838452160918636</v>
      </c>
      <c r="AF199" s="282">
        <f t="shared" si="1070"/>
        <v>1.8997516352543689</v>
      </c>
      <c r="AG199" s="282">
        <f t="shared" si="1070"/>
        <v>2.148834148176006</v>
      </c>
      <c r="AH199" s="282">
        <f>+AH143</f>
        <v>2.3378260984020849</v>
      </c>
      <c r="AI199" s="282">
        <f t="shared" ref="AI199:AK199" si="1071">+AI143</f>
        <v>2.3653127472107802</v>
      </c>
      <c r="AJ199" s="282">
        <f t="shared" si="1071"/>
        <v>2.4737461243078371</v>
      </c>
      <c r="AK199" s="282">
        <f t="shared" si="1071"/>
        <v>2.5129551790875531</v>
      </c>
      <c r="AL199" s="282">
        <f>+AL143</f>
        <v>2.5888790245139783</v>
      </c>
      <c r="AM199" s="282">
        <f t="shared" ref="AM199:AO199" si="1072">+AM143</f>
        <v>2.7336502259036144</v>
      </c>
      <c r="AN199" s="282">
        <f t="shared" si="1072"/>
        <v>2.6541608688422729</v>
      </c>
      <c r="AO199" s="282">
        <f t="shared" si="1072"/>
        <v>2.7525834359033392</v>
      </c>
      <c r="AP199" s="282">
        <f>+AP143</f>
        <v>2.788169786268043</v>
      </c>
      <c r="AQ199" s="282">
        <f t="shared" ref="AQ199:AS199" si="1073">+AQ143</f>
        <v>2.7656940306174871</v>
      </c>
      <c r="AR199" s="282">
        <f t="shared" si="1073"/>
        <v>2.9468788014037299</v>
      </c>
      <c r="AS199" s="282">
        <f t="shared" si="1073"/>
        <v>2.8659417904059525</v>
      </c>
      <c r="AT199" s="282">
        <f>+AT143</f>
        <v>2.7118743314881755</v>
      </c>
      <c r="AU199" s="282">
        <f t="shared" ref="AU199:AV199" si="1074">+AU143</f>
        <v>2.6952849773527934</v>
      </c>
      <c r="AV199" s="282">
        <f t="shared" si="1074"/>
        <v>3.055221542527589</v>
      </c>
      <c r="AW199" s="205"/>
      <c r="AX199" s="204"/>
      <c r="AY199" s="284">
        <f t="shared" ref="AY199" si="1075">+AY143</f>
        <v>1.7466519456220344</v>
      </c>
    </row>
    <row r="200" spans="2:52" ht="13.5" customHeight="1" thickTop="1"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45"/>
      <c r="AY200" s="73"/>
    </row>
    <row r="201" spans="2:52" ht="13.5" customHeight="1">
      <c r="B201" s="253" t="s">
        <v>374</v>
      </c>
      <c r="C201" s="254">
        <v>47.48</v>
      </c>
      <c r="D201" s="254">
        <v>50.41</v>
      </c>
      <c r="E201" s="254">
        <v>52.68</v>
      </c>
      <c r="F201" s="254">
        <v>51.79</v>
      </c>
      <c r="G201" s="254">
        <v>49.63</v>
      </c>
      <c r="H201" s="254">
        <v>49.28</v>
      </c>
      <c r="I201" s="254">
        <v>54.499000000000002</v>
      </c>
      <c r="J201" s="254">
        <v>55.62</v>
      </c>
      <c r="K201" s="254">
        <f>AVERAGE(AM201:AP201)</f>
        <v>57.005499999999998</v>
      </c>
      <c r="L201" s="255">
        <f>AVERAGE(AQ201:AT201)</f>
        <v>57.721499999999999</v>
      </c>
      <c r="M201" s="255">
        <f>AVERAGE(AS201:AV201)</f>
        <v>58.933999999999997</v>
      </c>
      <c r="N201" s="45"/>
      <c r="O201" s="254">
        <v>51.45</v>
      </c>
      <c r="P201" s="254">
        <v>51.94</v>
      </c>
      <c r="Q201" s="254">
        <v>52.5</v>
      </c>
      <c r="R201" s="255">
        <f>4*E201-SUM(O201:Q201)</f>
        <v>54.830000000000013</v>
      </c>
      <c r="S201" s="254">
        <v>52.37</v>
      </c>
      <c r="T201" s="254">
        <v>52.22</v>
      </c>
      <c r="U201" s="254">
        <v>52.05</v>
      </c>
      <c r="V201" s="256">
        <f>4*F201-SUM(S201:U201)</f>
        <v>50.52000000000001</v>
      </c>
      <c r="W201" s="254">
        <v>50.83</v>
      </c>
      <c r="X201" s="254">
        <v>50.442</v>
      </c>
      <c r="Y201" s="254">
        <v>50.06</v>
      </c>
      <c r="Z201" s="256">
        <f>4*G201-SUM(W201:Y201)</f>
        <v>47.188000000000017</v>
      </c>
      <c r="AA201" s="254">
        <v>48.31</v>
      </c>
      <c r="AB201" s="254">
        <v>48.211333333333336</v>
      </c>
      <c r="AC201" s="254">
        <v>50.134999999999998</v>
      </c>
      <c r="AD201" s="256">
        <f>4*H201-SUM(AA201:AC201)</f>
        <v>50.463666666666683</v>
      </c>
      <c r="AE201" s="254">
        <v>51.57</v>
      </c>
      <c r="AF201" s="254">
        <v>52.15</v>
      </c>
      <c r="AG201" s="254">
        <v>53.63</v>
      </c>
      <c r="AH201" s="256">
        <f>4*I201-SUM(AE201:AG201)</f>
        <v>60.646000000000015</v>
      </c>
      <c r="AI201" s="254">
        <v>54.828000000000003</v>
      </c>
      <c r="AJ201" s="254">
        <v>55.24</v>
      </c>
      <c r="AK201" s="254">
        <v>55.984000000000002</v>
      </c>
      <c r="AL201" s="256">
        <f>4*J201-SUM(AI201:AK201)</f>
        <v>56.427999999999969</v>
      </c>
      <c r="AM201" s="254">
        <v>55.957000000000001</v>
      </c>
      <c r="AN201" s="254">
        <v>56.89</v>
      </c>
      <c r="AO201" s="254">
        <v>57.01</v>
      </c>
      <c r="AP201" s="256">
        <v>58.164999999999999</v>
      </c>
      <c r="AQ201" s="254">
        <v>57.94</v>
      </c>
      <c r="AR201" s="254">
        <v>57.13</v>
      </c>
      <c r="AS201" s="254">
        <v>57.12</v>
      </c>
      <c r="AT201" s="256">
        <v>58.695999999999998</v>
      </c>
      <c r="AU201" s="254">
        <v>58.994999999999997</v>
      </c>
      <c r="AV201" s="254">
        <v>60.924999999999997</v>
      </c>
      <c r="AW201" s="203"/>
      <c r="AY201" s="55">
        <v>50.06</v>
      </c>
    </row>
    <row r="202" spans="2:52" ht="13.5" customHeight="1">
      <c r="B202" s="253" t="s">
        <v>375</v>
      </c>
      <c r="C202" s="254">
        <v>49.77</v>
      </c>
      <c r="D202" s="254">
        <v>49.96</v>
      </c>
      <c r="E202" s="254">
        <v>52.56</v>
      </c>
      <c r="F202" s="254">
        <v>50.8</v>
      </c>
      <c r="G202" s="254">
        <v>48.02</v>
      </c>
      <c r="H202" s="254">
        <v>50.97</v>
      </c>
      <c r="I202" s="254">
        <f>AH202</f>
        <v>55.67</v>
      </c>
      <c r="J202" s="254">
        <f>AL202</f>
        <v>55.387999999999998</v>
      </c>
      <c r="K202" s="254">
        <f>AP202</f>
        <v>58.076000000000001</v>
      </c>
      <c r="L202" s="255">
        <f>AT202</f>
        <v>58.856000000000002</v>
      </c>
      <c r="M202" s="255">
        <f>AV202</f>
        <v>61.35</v>
      </c>
      <c r="N202" s="45"/>
      <c r="O202" s="254">
        <v>52.25</v>
      </c>
      <c r="P202" s="254">
        <v>53.4</v>
      </c>
      <c r="Q202" s="254">
        <v>54.1</v>
      </c>
      <c r="R202" s="254">
        <v>52.56</v>
      </c>
      <c r="S202" s="254">
        <v>52.63</v>
      </c>
      <c r="T202" s="254">
        <v>51.23</v>
      </c>
      <c r="U202" s="254">
        <v>51.8</v>
      </c>
      <c r="V202" s="254">
        <v>50.8</v>
      </c>
      <c r="W202" s="254">
        <v>50.78</v>
      </c>
      <c r="X202" s="254">
        <v>49.822000000000003</v>
      </c>
      <c r="Y202" s="254">
        <v>48.42</v>
      </c>
      <c r="Z202" s="254">
        <v>48.02</v>
      </c>
      <c r="AA202" s="254">
        <v>48.54</v>
      </c>
      <c r="AB202" s="254">
        <v>48.81</v>
      </c>
      <c r="AC202" s="254">
        <v>50.9</v>
      </c>
      <c r="AD202" s="254">
        <v>50.97</v>
      </c>
      <c r="AE202" s="254">
        <v>51.91</v>
      </c>
      <c r="AF202" s="254">
        <v>54.97</v>
      </c>
      <c r="AG202" s="254">
        <v>58.65</v>
      </c>
      <c r="AH202" s="254">
        <v>55.67</v>
      </c>
      <c r="AI202" s="254">
        <v>54.405000000000001</v>
      </c>
      <c r="AJ202" s="254">
        <v>55.37</v>
      </c>
      <c r="AK202" s="254">
        <v>56.69</v>
      </c>
      <c r="AL202" s="254">
        <v>55.387999999999998</v>
      </c>
      <c r="AM202" s="254">
        <v>56.16</v>
      </c>
      <c r="AN202" s="254">
        <v>58.66</v>
      </c>
      <c r="AO202" s="254">
        <v>56.02</v>
      </c>
      <c r="AP202" s="256">
        <v>58.076000000000001</v>
      </c>
      <c r="AQ202" s="254">
        <f>1/0.017467</f>
        <v>57.250815824125496</v>
      </c>
      <c r="AR202" s="254">
        <v>56.38</v>
      </c>
      <c r="AS202" s="254">
        <v>58.15</v>
      </c>
      <c r="AT202" s="256">
        <v>58.856000000000002</v>
      </c>
      <c r="AU202" s="254">
        <v>60.625999999999998</v>
      </c>
      <c r="AV202" s="254">
        <v>61.35</v>
      </c>
      <c r="AW202" s="203"/>
      <c r="AY202" s="55">
        <v>48.42</v>
      </c>
      <c r="AZ202" s="163"/>
    </row>
    <row r="203" spans="2:52" ht="13.5" customHeight="1">
      <c r="B203" s="2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7"/>
      <c r="N203" s="45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203"/>
      <c r="AY203" s="56"/>
    </row>
    <row r="204" spans="2:52" ht="13.5" customHeight="1">
      <c r="B204" s="42" t="s">
        <v>376</v>
      </c>
      <c r="C204" s="43">
        <f t="shared" ref="C204:M204" si="1076">C3</f>
        <v>42735</v>
      </c>
      <c r="D204" s="43">
        <f t="shared" si="1076"/>
        <v>43100</v>
      </c>
      <c r="E204" s="43">
        <f t="shared" si="1076"/>
        <v>43465</v>
      </c>
      <c r="F204" s="43">
        <f t="shared" si="1076"/>
        <v>43830</v>
      </c>
      <c r="G204" s="43">
        <f t="shared" si="1076"/>
        <v>44196</v>
      </c>
      <c r="H204" s="43">
        <f t="shared" si="1076"/>
        <v>44561</v>
      </c>
      <c r="I204" s="43">
        <f t="shared" si="1076"/>
        <v>44926</v>
      </c>
      <c r="J204" s="43">
        <f t="shared" si="1076"/>
        <v>45291</v>
      </c>
      <c r="K204" s="43">
        <f t="shared" si="1076"/>
        <v>45657</v>
      </c>
      <c r="L204" s="43">
        <f t="shared" si="1076"/>
        <v>46022</v>
      </c>
      <c r="M204" s="43">
        <f t="shared" si="1076"/>
        <v>46203</v>
      </c>
      <c r="N204" s="194"/>
      <c r="O204" s="43">
        <f t="shared" ref="O204:AT204" si="1077">O3</f>
        <v>43190</v>
      </c>
      <c r="P204" s="43">
        <f t="shared" si="1077"/>
        <v>43281</v>
      </c>
      <c r="Q204" s="43">
        <f t="shared" si="1077"/>
        <v>43373</v>
      </c>
      <c r="R204" s="43">
        <f t="shared" si="1077"/>
        <v>43465</v>
      </c>
      <c r="S204" s="43">
        <f t="shared" si="1077"/>
        <v>43555</v>
      </c>
      <c r="T204" s="43">
        <f t="shared" si="1077"/>
        <v>43646</v>
      </c>
      <c r="U204" s="43">
        <f t="shared" si="1077"/>
        <v>43738</v>
      </c>
      <c r="V204" s="43">
        <f t="shared" si="1077"/>
        <v>43830</v>
      </c>
      <c r="W204" s="43">
        <f t="shared" si="1077"/>
        <v>43921</v>
      </c>
      <c r="X204" s="43">
        <f t="shared" si="1077"/>
        <v>44012</v>
      </c>
      <c r="Y204" s="43">
        <f t="shared" si="1077"/>
        <v>44104</v>
      </c>
      <c r="Z204" s="43">
        <f t="shared" si="1077"/>
        <v>44196</v>
      </c>
      <c r="AA204" s="43">
        <f t="shared" si="1077"/>
        <v>44286</v>
      </c>
      <c r="AB204" s="43">
        <f t="shared" si="1077"/>
        <v>44348</v>
      </c>
      <c r="AC204" s="43">
        <f t="shared" si="1077"/>
        <v>44469</v>
      </c>
      <c r="AD204" s="43">
        <f t="shared" si="1077"/>
        <v>44561</v>
      </c>
      <c r="AE204" s="43">
        <f t="shared" si="1077"/>
        <v>44651</v>
      </c>
      <c r="AF204" s="43">
        <f t="shared" si="1077"/>
        <v>44742</v>
      </c>
      <c r="AG204" s="43">
        <f t="shared" si="1077"/>
        <v>44834</v>
      </c>
      <c r="AH204" s="43">
        <f t="shared" si="1077"/>
        <v>44926</v>
      </c>
      <c r="AI204" s="43">
        <f t="shared" si="1077"/>
        <v>45016</v>
      </c>
      <c r="AJ204" s="43">
        <f t="shared" si="1077"/>
        <v>45107</v>
      </c>
      <c r="AK204" s="43">
        <f t="shared" si="1077"/>
        <v>45199</v>
      </c>
      <c r="AL204" s="43">
        <f t="shared" si="1077"/>
        <v>45291</v>
      </c>
      <c r="AM204" s="43">
        <f t="shared" si="1077"/>
        <v>45382</v>
      </c>
      <c r="AN204" s="43">
        <f t="shared" si="1077"/>
        <v>45473</v>
      </c>
      <c r="AO204" s="43">
        <f t="shared" si="1077"/>
        <v>45565</v>
      </c>
      <c r="AP204" s="43">
        <f t="shared" si="1077"/>
        <v>45657</v>
      </c>
      <c r="AQ204" s="43">
        <f t="shared" si="1077"/>
        <v>45747</v>
      </c>
      <c r="AR204" s="43">
        <f t="shared" si="1077"/>
        <v>45838</v>
      </c>
      <c r="AS204" s="43">
        <f t="shared" si="1077"/>
        <v>45930</v>
      </c>
      <c r="AT204" s="43">
        <f t="shared" si="1077"/>
        <v>46022</v>
      </c>
      <c r="AU204" s="43">
        <f>AU3</f>
        <v>46112</v>
      </c>
      <c r="AV204" s="43">
        <f t="shared" ref="AV204" si="1078">AV3</f>
        <v>46203</v>
      </c>
      <c r="AW204" s="194"/>
      <c r="AY204" s="43">
        <f>AY3</f>
        <v>44104</v>
      </c>
    </row>
    <row r="205" spans="2:52" ht="13.5" customHeight="1">
      <c r="B205" s="4"/>
      <c r="C205" s="44" t="str">
        <f t="shared" ref="C205:M205" si="1079">C4</f>
        <v>Act</v>
      </c>
      <c r="D205" s="44" t="str">
        <f t="shared" si="1079"/>
        <v>Act</v>
      </c>
      <c r="E205" s="44" t="str">
        <f t="shared" si="1079"/>
        <v>Act</v>
      </c>
      <c r="F205" s="44" t="str">
        <f t="shared" si="1079"/>
        <v>Act</v>
      </c>
      <c r="G205" s="44" t="str">
        <f t="shared" si="1079"/>
        <v>Act</v>
      </c>
      <c r="H205" s="44" t="str">
        <f t="shared" si="1079"/>
        <v>Act</v>
      </c>
      <c r="I205" s="44" t="str">
        <f t="shared" si="1079"/>
        <v>Act</v>
      </c>
      <c r="J205" s="44" t="str">
        <f t="shared" si="1079"/>
        <v>Act</v>
      </c>
      <c r="K205" s="44" t="str">
        <f t="shared" si="1079"/>
        <v>Act</v>
      </c>
      <c r="L205" s="44" t="str">
        <f t="shared" si="1079"/>
        <v>Act</v>
      </c>
      <c r="M205" s="44" t="str">
        <f t="shared" si="1079"/>
        <v>Act</v>
      </c>
      <c r="N205" s="194"/>
      <c r="O205" s="145" t="str">
        <f t="shared" ref="O205:AT205" si="1080">O4</f>
        <v>Act</v>
      </c>
      <c r="P205" s="145" t="str">
        <f t="shared" si="1080"/>
        <v>Act</v>
      </c>
      <c r="Q205" s="145" t="str">
        <f t="shared" si="1080"/>
        <v>Act</v>
      </c>
      <c r="R205" s="145" t="str">
        <f t="shared" si="1080"/>
        <v>Act</v>
      </c>
      <c r="S205" s="145" t="str">
        <f t="shared" si="1080"/>
        <v>Act</v>
      </c>
      <c r="T205" s="145" t="str">
        <f t="shared" si="1080"/>
        <v>Act</v>
      </c>
      <c r="U205" s="145" t="str">
        <f t="shared" si="1080"/>
        <v>Act</v>
      </c>
      <c r="V205" s="145" t="str">
        <f t="shared" si="1080"/>
        <v>Act</v>
      </c>
      <c r="W205" s="145" t="str">
        <f t="shared" si="1080"/>
        <v>Act</v>
      </c>
      <c r="X205" s="145" t="str">
        <f t="shared" si="1080"/>
        <v>Act</v>
      </c>
      <c r="Y205" s="145" t="str">
        <f t="shared" si="1080"/>
        <v>Act</v>
      </c>
      <c r="Z205" s="145" t="str">
        <f t="shared" si="1080"/>
        <v>Act</v>
      </c>
      <c r="AA205" s="145" t="str">
        <f t="shared" si="1080"/>
        <v>Act</v>
      </c>
      <c r="AB205" s="145" t="str">
        <f t="shared" si="1080"/>
        <v>Act</v>
      </c>
      <c r="AC205" s="145" t="str">
        <f t="shared" si="1080"/>
        <v>Act</v>
      </c>
      <c r="AD205" s="145" t="str">
        <f t="shared" si="1080"/>
        <v>Act</v>
      </c>
      <c r="AE205" s="145" t="str">
        <f t="shared" si="1080"/>
        <v>Restated</v>
      </c>
      <c r="AF205" s="145" t="str">
        <f t="shared" si="1080"/>
        <v>Restated</v>
      </c>
      <c r="AG205" s="145" t="str">
        <f t="shared" si="1080"/>
        <v>Restated</v>
      </c>
      <c r="AH205" s="145" t="str">
        <f t="shared" si="1080"/>
        <v>Act</v>
      </c>
      <c r="AI205" s="145" t="str">
        <f t="shared" si="1080"/>
        <v>Act</v>
      </c>
      <c r="AJ205" s="145" t="str">
        <f t="shared" si="1080"/>
        <v>Act</v>
      </c>
      <c r="AK205" s="145" t="str">
        <f t="shared" si="1080"/>
        <v>Act</v>
      </c>
      <c r="AL205" s="145" t="str">
        <f t="shared" si="1080"/>
        <v>Act</v>
      </c>
      <c r="AM205" s="145" t="str">
        <f t="shared" si="1080"/>
        <v>Act</v>
      </c>
      <c r="AN205" s="145" t="str">
        <f t="shared" si="1080"/>
        <v>Act</v>
      </c>
      <c r="AO205" s="145" t="str">
        <f t="shared" si="1080"/>
        <v>Act</v>
      </c>
      <c r="AP205" s="145" t="str">
        <f t="shared" si="1080"/>
        <v>Act</v>
      </c>
      <c r="AQ205" s="145" t="str">
        <f t="shared" si="1080"/>
        <v>Act</v>
      </c>
      <c r="AR205" s="145" t="str">
        <f t="shared" si="1080"/>
        <v>Act</v>
      </c>
      <c r="AS205" s="145" t="str">
        <f t="shared" si="1080"/>
        <v>Act</v>
      </c>
      <c r="AT205" s="145" t="str">
        <f t="shared" si="1080"/>
        <v>Act</v>
      </c>
      <c r="AU205" s="145" t="str">
        <f>AU4</f>
        <v>Act</v>
      </c>
      <c r="AV205" s="145" t="str">
        <f t="shared" ref="AV205" si="1081">AV4</f>
        <v>Act</v>
      </c>
      <c r="AW205" s="195"/>
      <c r="AY205" s="145" t="str">
        <f>AY4</f>
        <v>Act</v>
      </c>
    </row>
    <row r="206" spans="2:52" ht="13.5" customHeight="1">
      <c r="B206" s="1" t="s">
        <v>365</v>
      </c>
      <c r="C206" s="12">
        <f t="shared" ref="C206:I207" si="1082">C147/C$201</f>
        <v>3480.6655433866895</v>
      </c>
      <c r="D206" s="12">
        <f t="shared" si="1082"/>
        <v>3152.8069827415197</v>
      </c>
      <c r="E206" s="12">
        <f t="shared" si="1082"/>
        <v>3092.5208807896734</v>
      </c>
      <c r="F206" s="12">
        <f t="shared" si="1082"/>
        <v>3266.7889553967948</v>
      </c>
      <c r="G206" s="12">
        <f t="shared" si="1082"/>
        <v>3647.0683054604069</v>
      </c>
      <c r="H206" s="12">
        <f t="shared" si="1082"/>
        <v>3899.8782467532465</v>
      </c>
      <c r="I206" s="12">
        <f t="shared" si="1082"/>
        <v>3749.8302721150844</v>
      </c>
      <c r="J206" s="12">
        <f t="shared" ref="J206:K206" si="1083">J147/J$201</f>
        <v>3792.7544048903274</v>
      </c>
      <c r="K206" s="12">
        <f t="shared" si="1083"/>
        <v>3803.7206936172829</v>
      </c>
      <c r="L206" s="12">
        <f t="shared" ref="L206" si="1084">L147/L$201</f>
        <v>3783.4775603544608</v>
      </c>
      <c r="M206" s="12">
        <f t="shared" ref="M206" si="1085">M147/M$201</f>
        <v>3746.9033155733532</v>
      </c>
      <c r="N206" s="12"/>
      <c r="O206" s="63"/>
      <c r="P206" s="63"/>
      <c r="Q206" s="63"/>
      <c r="R206" s="12">
        <f t="shared" ref="R206:AV206" si="1086">R147/AVERAGE(O$201:R$201)</f>
        <v>3092.5208807896734</v>
      </c>
      <c r="S206" s="12">
        <f t="shared" si="1086"/>
        <v>3081.1755811755811</v>
      </c>
      <c r="T206" s="12">
        <f t="shared" si="1086"/>
        <v>3070.1963004907511</v>
      </c>
      <c r="U206" s="12">
        <f t="shared" si="1086"/>
        <v>3115.3165933702176</v>
      </c>
      <c r="V206" s="12">
        <f t="shared" si="1086"/>
        <v>3266.7889553967948</v>
      </c>
      <c r="W206" s="12">
        <f t="shared" si="1086"/>
        <v>3350.1604902246863</v>
      </c>
      <c r="X206" s="12">
        <f t="shared" si="1086"/>
        <v>3413.1925707165351</v>
      </c>
      <c r="Y206" s="12">
        <f t="shared" si="1086"/>
        <v>3526.8018151913284</v>
      </c>
      <c r="Z206" s="12">
        <f t="shared" si="1086"/>
        <v>3647.0683054604069</v>
      </c>
      <c r="AA206" s="12">
        <f t="shared" si="1086"/>
        <v>3781.2653061224482</v>
      </c>
      <c r="AB206" s="12">
        <f t="shared" si="1086"/>
        <v>3919.9598147625697</v>
      </c>
      <c r="AC206" s="12">
        <f t="shared" si="1086"/>
        <v>3954.472059195265</v>
      </c>
      <c r="AD206" s="12">
        <f t="shared" si="1086"/>
        <v>3899.8782467532465</v>
      </c>
      <c r="AE206" s="12">
        <f t="shared" si="1086"/>
        <v>3874.3786805070367</v>
      </c>
      <c r="AF206" s="12">
        <f t="shared" si="1086"/>
        <v>3863.57258922337</v>
      </c>
      <c r="AG206" s="12">
        <f t="shared" si="1086"/>
        <v>3858.5335260273223</v>
      </c>
      <c r="AH206" s="12">
        <f t="shared" si="1086"/>
        <v>3749.8302721150844</v>
      </c>
      <c r="AI206" s="12">
        <f t="shared" si="1086"/>
        <v>3740.4792681714225</v>
      </c>
      <c r="AJ206" s="12">
        <f t="shared" si="1086"/>
        <v>3701.6902613843022</v>
      </c>
      <c r="AK206" s="12">
        <f t="shared" si="1086"/>
        <v>3680.3853584945605</v>
      </c>
      <c r="AL206" s="12">
        <f t="shared" si="1086"/>
        <v>3792.7544048903274</v>
      </c>
      <c r="AM206" s="12">
        <f t="shared" si="1086"/>
        <v>3806.9129596751477</v>
      </c>
      <c r="AN206" s="12">
        <f t="shared" si="1086"/>
        <v>3808.9132953622284</v>
      </c>
      <c r="AO206" s="12">
        <f t="shared" si="1086"/>
        <v>3810.0448549395678</v>
      </c>
      <c r="AP206" s="12">
        <f t="shared" si="1086"/>
        <v>3803.7206936172829</v>
      </c>
      <c r="AQ206" s="12">
        <f t="shared" si="1086"/>
        <v>3789.2393643616442</v>
      </c>
      <c r="AR206" s="12">
        <f t="shared" si="1086"/>
        <v>3801.5852678668375</v>
      </c>
      <c r="AS206" s="12">
        <f t="shared" si="1086"/>
        <v>3805.8474962557793</v>
      </c>
      <c r="AT206" s="12">
        <f t="shared" si="1086"/>
        <v>3783.4775603544608</v>
      </c>
      <c r="AU206" s="12">
        <f t="shared" si="1086"/>
        <v>3787.5839114257506</v>
      </c>
      <c r="AV206" s="12">
        <f t="shared" si="1086"/>
        <v>3746.9033155733532</v>
      </c>
      <c r="AW206" s="12"/>
      <c r="AY206" s="12">
        <f>AY147/AVERAGE(V201,W201,X201,AY201)</f>
        <v>3526.8018151913284</v>
      </c>
    </row>
    <row r="207" spans="2:52" ht="13.5" customHeight="1">
      <c r="B207" s="1" t="s">
        <v>366</v>
      </c>
      <c r="C207" s="12">
        <f t="shared" si="1082"/>
        <v>1148.4625105307498</v>
      </c>
      <c r="D207" s="12">
        <f t="shared" si="1082"/>
        <v>1173.5369966276533</v>
      </c>
      <c r="E207" s="12">
        <f t="shared" si="1082"/>
        <v>1076.4236902050113</v>
      </c>
      <c r="F207" s="12">
        <f t="shared" si="1082"/>
        <v>1516.2193473643561</v>
      </c>
      <c r="G207" s="12">
        <f t="shared" si="1082"/>
        <v>1708.1200886560548</v>
      </c>
      <c r="H207" s="12">
        <f t="shared" si="1082"/>
        <v>1951.481331168831</v>
      </c>
      <c r="I207" s="12">
        <f t="shared" si="1082"/>
        <v>1839.7034807978127</v>
      </c>
      <c r="J207" s="12">
        <f t="shared" ref="J207:K207" si="1087">J148/J$201</f>
        <v>1875.1708018698312</v>
      </c>
      <c r="K207" s="12">
        <f t="shared" si="1087"/>
        <v>1903.5882502565544</v>
      </c>
      <c r="L207" s="12">
        <f t="shared" ref="L207" si="1088">L148/L$201</f>
        <v>1927.0289233647775</v>
      </c>
      <c r="M207" s="12">
        <f t="shared" ref="M207" si="1089">M148/M$201</f>
        <v>1896.1719890046493</v>
      </c>
      <c r="N207" s="12"/>
      <c r="O207" s="63"/>
      <c r="P207" s="63"/>
      <c r="Q207" s="63"/>
      <c r="R207" s="12">
        <f t="shared" ref="R207:AD207" si="1090">R148/AVERAGE(O$201:R$201)</f>
        <v>1076.4236902050113</v>
      </c>
      <c r="S207" s="12">
        <f t="shared" si="1090"/>
        <v>1164.014364014364</v>
      </c>
      <c r="T207" s="12">
        <f t="shared" si="1090"/>
        <v>1251.0947527368817</v>
      </c>
      <c r="U207" s="12">
        <f t="shared" si="1090"/>
        <v>1314.1533077977963</v>
      </c>
      <c r="V207" s="12">
        <f t="shared" si="1090"/>
        <v>1516.2193473643561</v>
      </c>
      <c r="W207" s="12">
        <f t="shared" si="1090"/>
        <v>1556.7162727361151</v>
      </c>
      <c r="X207" s="12">
        <f t="shared" si="1090"/>
        <v>1607.6961568273466</v>
      </c>
      <c r="Y207" s="12">
        <f t="shared" si="1090"/>
        <v>1712.6805778491171</v>
      </c>
      <c r="Z207" s="12">
        <f t="shared" si="1090"/>
        <v>1708.1200886560548</v>
      </c>
      <c r="AA207" s="12">
        <f t="shared" si="1090"/>
        <v>1766.7755102040815</v>
      </c>
      <c r="AB207" s="12">
        <f t="shared" si="1090"/>
        <v>1824.5818051704086</v>
      </c>
      <c r="AC207" s="12">
        <f t="shared" si="1090"/>
        <v>1867.9111933458635</v>
      </c>
      <c r="AD207" s="12">
        <f t="shared" si="1090"/>
        <v>1951.481331168831</v>
      </c>
      <c r="AE207" s="12">
        <f t="shared" ref="AE207:AF207" si="1091">AE148/AVERAGE(AB$201:AE$201)</f>
        <v>1876.5146222177862</v>
      </c>
      <c r="AF207" s="12">
        <f t="shared" si="1091"/>
        <v>1851.5782535777446</v>
      </c>
      <c r="AG207" s="12">
        <f t="shared" ref="AG207:AV207" si="1092">AG148/AVERAGE(AD$201:AG$201)</f>
        <v>1822.6905192311701</v>
      </c>
      <c r="AH207" s="12">
        <f t="shared" si="1092"/>
        <v>1839.7034807978127</v>
      </c>
      <c r="AI207" s="12">
        <f t="shared" si="1092"/>
        <v>1905.068382944489</v>
      </c>
      <c r="AJ207" s="12">
        <f t="shared" si="1092"/>
        <v>1919.4451378240558</v>
      </c>
      <c r="AK207" s="12">
        <f t="shared" si="1092"/>
        <v>1928.2746208612336</v>
      </c>
      <c r="AL207" s="12">
        <f t="shared" si="1092"/>
        <v>1875.1708018698312</v>
      </c>
      <c r="AM207" s="12">
        <f t="shared" si="1092"/>
        <v>1888.8506276580997</v>
      </c>
      <c r="AN207" s="12">
        <f t="shared" si="1092"/>
        <v>1884.1422540275864</v>
      </c>
      <c r="AO207" s="12">
        <f t="shared" si="1092"/>
        <v>1885.250900413196</v>
      </c>
      <c r="AP207" s="12">
        <f t="shared" si="1092"/>
        <v>1903.5882502565544</v>
      </c>
      <c r="AQ207" s="12">
        <f t="shared" si="1092"/>
        <v>1896.741375187496</v>
      </c>
      <c r="AR207" s="12">
        <f t="shared" si="1092"/>
        <v>1912.9362201133574</v>
      </c>
      <c r="AS207" s="12">
        <f t="shared" si="1092"/>
        <v>1921.2432983872718</v>
      </c>
      <c r="AT207" s="12">
        <f t="shared" si="1092"/>
        <v>1927.0289233647775</v>
      </c>
      <c r="AU207" s="12">
        <f t="shared" si="1092"/>
        <v>1925.5586550027808</v>
      </c>
      <c r="AV207" s="12">
        <f t="shared" si="1092"/>
        <v>1896.1719890046493</v>
      </c>
      <c r="AW207" s="12"/>
      <c r="AY207" s="12">
        <f>AY148/AVERAGE(V201,W201,X201,AY201)</f>
        <v>1712.6805778491171</v>
      </c>
    </row>
    <row r="208" spans="2:52" ht="13.5" customHeight="1">
      <c r="B208" s="1" t="s">
        <v>367</v>
      </c>
      <c r="C208" s="45">
        <f t="shared" ref="C208:H208" si="1093">C207/C206</f>
        <v>0.3299548595563408</v>
      </c>
      <c r="D208" s="45">
        <f t="shared" si="1093"/>
        <v>0.37221974039375083</v>
      </c>
      <c r="E208" s="45">
        <f t="shared" si="1093"/>
        <v>0.34807321654369788</v>
      </c>
      <c r="F208" s="45">
        <f t="shared" si="1093"/>
        <v>0.46413140489517518</v>
      </c>
      <c r="G208" s="45">
        <f t="shared" si="1093"/>
        <v>0.46835429051291683</v>
      </c>
      <c r="H208" s="45">
        <f t="shared" si="1093"/>
        <v>0.50039545024091248</v>
      </c>
      <c r="I208" s="45">
        <f t="shared" ref="I208:J208" si="1094">I207/I206</f>
        <v>0.49060980025640777</v>
      </c>
      <c r="J208" s="45">
        <f t="shared" si="1094"/>
        <v>0.49440870715277813</v>
      </c>
      <c r="K208" s="45">
        <f t="shared" ref="K208:L208" si="1095">K207/K206</f>
        <v>0.5004542666476044</v>
      </c>
      <c r="L208" s="45">
        <f t="shared" si="1095"/>
        <v>0.50932743557338311</v>
      </c>
      <c r="M208" s="45">
        <f t="shared" ref="M208" si="1096">M207/M206</f>
        <v>0.50606376234036776</v>
      </c>
      <c r="N208" s="45"/>
      <c r="O208" s="155"/>
      <c r="P208" s="155"/>
      <c r="Q208" s="155"/>
      <c r="R208" s="45">
        <f t="shared" ref="R208:W208" si="1097">R207/R206</f>
        <v>0.34807321654369788</v>
      </c>
      <c r="S208" s="45">
        <f t="shared" si="1097"/>
        <v>0.37778254868885142</v>
      </c>
      <c r="T208" s="45">
        <f t="shared" si="1097"/>
        <v>0.40749666480182462</v>
      </c>
      <c r="U208" s="45">
        <f t="shared" si="1097"/>
        <v>0.42183619815542295</v>
      </c>
      <c r="V208" s="45">
        <f t="shared" si="1097"/>
        <v>0.46413140489517518</v>
      </c>
      <c r="W208" s="45">
        <f t="shared" si="1097"/>
        <v>0.46466916354556803</v>
      </c>
      <c r="X208" s="45">
        <f t="shared" ref="X208:AA208" si="1098">X207/X206</f>
        <v>0.47102415803332226</v>
      </c>
      <c r="Y208" s="45">
        <f t="shared" si="1098"/>
        <v>0.48561860506930821</v>
      </c>
      <c r="Z208" s="45">
        <f t="shared" si="1098"/>
        <v>0.46835429051291683</v>
      </c>
      <c r="AA208" s="45">
        <f t="shared" si="1098"/>
        <v>0.46724452456255872</v>
      </c>
      <c r="AB208" s="45">
        <f t="shared" ref="AB208:AC208" si="1099">AB207/AB206</f>
        <v>0.46545931371516441</v>
      </c>
      <c r="AC208" s="45">
        <f t="shared" si="1099"/>
        <v>0.4723541260084117</v>
      </c>
      <c r="AD208" s="45">
        <f>AD207/AD206</f>
        <v>0.50039545024091248</v>
      </c>
      <c r="AE208" s="45">
        <f t="shared" ref="AE208:AG208" si="1100">AE207/AE206</f>
        <v>0.48433949723577568</v>
      </c>
      <c r="AF208" s="45">
        <f t="shared" si="1100"/>
        <v>0.47923992906004564</v>
      </c>
      <c r="AG208" s="45">
        <f t="shared" si="1100"/>
        <v>0.47237908053316308</v>
      </c>
      <c r="AH208" s="45">
        <f>AH207/AH206</f>
        <v>0.49060980025640777</v>
      </c>
      <c r="AI208" s="45">
        <f t="shared" ref="AI208:AK208" si="1101">AI207/AI206</f>
        <v>0.50931130648287326</v>
      </c>
      <c r="AJ208" s="45">
        <f t="shared" si="1101"/>
        <v>0.51853207650773314</v>
      </c>
      <c r="AK208" s="45">
        <f t="shared" si="1101"/>
        <v>0.52393280405016684</v>
      </c>
      <c r="AL208" s="45">
        <f>AL207/AL206</f>
        <v>0.49440870715277813</v>
      </c>
      <c r="AM208" s="45">
        <f t="shared" ref="AM208:AO208" si="1102">AM207/AM206</f>
        <v>0.49616333435143195</v>
      </c>
      <c r="AN208" s="45">
        <f t="shared" si="1102"/>
        <v>0.49466661693815328</v>
      </c>
      <c r="AO208" s="45">
        <f t="shared" si="1102"/>
        <v>0.49481068391335209</v>
      </c>
      <c r="AP208" s="45">
        <f>AP207/AP206</f>
        <v>0.5004542666476044</v>
      </c>
      <c r="AQ208" s="45">
        <f t="shared" ref="AQ208:AS208" si="1103">AQ207/AQ206</f>
        <v>0.50055992583277498</v>
      </c>
      <c r="AR208" s="45">
        <f t="shared" si="1103"/>
        <v>0.50319434796914408</v>
      </c>
      <c r="AS208" s="45">
        <f t="shared" si="1103"/>
        <v>0.50481352715194316</v>
      </c>
      <c r="AT208" s="45">
        <f>AT207/AT206</f>
        <v>0.50932743557338311</v>
      </c>
      <c r="AU208" s="45">
        <f t="shared" ref="AU208:AV208" si="1104">AU207/AU206</f>
        <v>0.5083870615233308</v>
      </c>
      <c r="AV208" s="45">
        <f t="shared" si="1104"/>
        <v>0.50606376234036776</v>
      </c>
      <c r="AW208" s="45"/>
      <c r="AY208" s="45">
        <f t="shared" ref="AY208" si="1105">AY207/AY206</f>
        <v>0.48561860506930821</v>
      </c>
    </row>
    <row r="209" spans="2:51" ht="13.5" customHeight="1">
      <c r="B209" s="1" t="s">
        <v>37</v>
      </c>
      <c r="C209" s="12">
        <f t="shared" ref="C209:H211" si="1106">C150/C$202</f>
        <v>3717.7416114124972</v>
      </c>
      <c r="D209" s="12">
        <f t="shared" si="1106"/>
        <v>3454.9839871897516</v>
      </c>
      <c r="E209" s="12">
        <f t="shared" si="1106"/>
        <v>3353.8051750380514</v>
      </c>
      <c r="F209" s="12">
        <f t="shared" si="1106"/>
        <v>4111.6338582677172</v>
      </c>
      <c r="G209" s="12">
        <f t="shared" si="1106"/>
        <v>5056.0183256976261</v>
      </c>
      <c r="H209" s="12">
        <f t="shared" si="1106"/>
        <v>5380.4787129684128</v>
      </c>
      <c r="I209" s="12">
        <f t="shared" ref="I209:J209" si="1107">I150/I$202</f>
        <v>5245.4643434524878</v>
      </c>
      <c r="J209" s="12">
        <f t="shared" si="1107"/>
        <v>5458.6553043980648</v>
      </c>
      <c r="K209" s="12">
        <f t="shared" ref="K209:L209" si="1108">K150/K$202</f>
        <v>5779.0481438115576</v>
      </c>
      <c r="L209" s="12">
        <f t="shared" si="1108"/>
        <v>6103.3879298627153</v>
      </c>
      <c r="M209" s="12">
        <f t="shared" ref="M209" si="1109">M150/M$202</f>
        <v>5884.5476772616139</v>
      </c>
      <c r="N209" s="12"/>
      <c r="O209" s="12">
        <f t="shared" ref="O209:V211" si="1110">O150/O$202</f>
        <v>3296.4401913875599</v>
      </c>
      <c r="P209" s="12">
        <f t="shared" si="1110"/>
        <v>3442.1348314606744</v>
      </c>
      <c r="Q209" s="12">
        <f t="shared" si="1110"/>
        <v>3312.8096118299445</v>
      </c>
      <c r="R209" s="12">
        <f t="shared" si="1110"/>
        <v>4811.6628614916281</v>
      </c>
      <c r="S209" s="12">
        <f t="shared" si="1110"/>
        <v>3631.8449553486603</v>
      </c>
      <c r="T209" s="12">
        <f t="shared" si="1110"/>
        <v>3810.2869412453642</v>
      </c>
      <c r="U209" s="12">
        <f t="shared" si="1110"/>
        <v>3860.2509652509652</v>
      </c>
      <c r="V209" s="12">
        <f t="shared" si="1110"/>
        <v>4111.6338582677172</v>
      </c>
      <c r="W209" s="12">
        <f t="shared" ref="W209:Z209" si="1111">W150/W$202</f>
        <v>4365.3209925167384</v>
      </c>
      <c r="X209" s="12">
        <f t="shared" si="1111"/>
        <v>5056.1197864397254</v>
      </c>
      <c r="Y209" s="12">
        <f t="shared" si="1111"/>
        <v>4975.4853366377529</v>
      </c>
      <c r="Z209" s="12">
        <f t="shared" si="1111"/>
        <v>5056.0183256976261</v>
      </c>
      <c r="AA209" s="12">
        <f t="shared" ref="AA209:AC209" si="1112">AA150/AA$202</f>
        <v>4985.5170992995472</v>
      </c>
      <c r="AB209" s="12">
        <f t="shared" si="1112"/>
        <v>5265.4783855767255</v>
      </c>
      <c r="AC209" s="12">
        <f t="shared" si="1112"/>
        <v>5258.3889980353633</v>
      </c>
      <c r="AD209" s="12">
        <f>AD150/AD$202</f>
        <v>5380.4787129684128</v>
      </c>
      <c r="AE209" s="12">
        <f t="shared" ref="AE209:AG209" si="1113">AE150/AE$202</f>
        <v>5356.6942785590445</v>
      </c>
      <c r="AF209" s="12">
        <f t="shared" si="1113"/>
        <v>5340.6585410223761</v>
      </c>
      <c r="AG209" s="12">
        <f t="shared" si="1113"/>
        <v>5012.7195225916457</v>
      </c>
      <c r="AH209" s="12">
        <f>AH150/AH$202</f>
        <v>5245.4643434524878</v>
      </c>
      <c r="AI209" s="12">
        <f t="shared" ref="AI209:AK209" si="1114">AI150/AI$202</f>
        <v>5260.8399963238671</v>
      </c>
      <c r="AJ209" s="12">
        <f t="shared" si="1114"/>
        <v>5609.3191258804409</v>
      </c>
      <c r="AK209" s="12">
        <f t="shared" si="1114"/>
        <v>5577.9502557770329</v>
      </c>
      <c r="AL209" s="12">
        <f>AL150/AL$202</f>
        <v>5458.6553043980648</v>
      </c>
      <c r="AM209" s="12">
        <f t="shared" ref="AM209:AO209" si="1115">AM150/AM$202</f>
        <v>5421.6524216524222</v>
      </c>
      <c r="AN209" s="12">
        <f t="shared" si="1115"/>
        <v>5374.1732015001708</v>
      </c>
      <c r="AO209" s="12">
        <f t="shared" si="1115"/>
        <v>5768.6183505890749</v>
      </c>
      <c r="AP209" s="12">
        <f>AP150/AP$202</f>
        <v>5779.0481438115576</v>
      </c>
      <c r="AQ209" s="12">
        <f t="shared" ref="AQ209:AS209" si="1116">AQ150/AQ$202</f>
        <v>5884.3004270000001</v>
      </c>
      <c r="AR209" s="12">
        <f t="shared" si="1116"/>
        <v>6164.9166371053561</v>
      </c>
      <c r="AS209" s="12">
        <f t="shared" si="1116"/>
        <v>6161.4961306964751</v>
      </c>
      <c r="AT209" s="12">
        <f t="shared" ref="AT209:AU211" si="1117">AT150/AT$202</f>
        <v>6103.3879298627153</v>
      </c>
      <c r="AU209" s="12">
        <f t="shared" si="1117"/>
        <v>5893.4780457229572</v>
      </c>
      <c r="AV209" s="12">
        <f t="shared" ref="AV209" si="1118">AV150/AV$202</f>
        <v>5884.5476772616139</v>
      </c>
      <c r="AW209" s="12"/>
      <c r="AY209" s="12">
        <f t="shared" ref="AY209" si="1119">AY150/AY$202</f>
        <v>4975.4853366377529</v>
      </c>
    </row>
    <row r="210" spans="2:51" ht="13.5" customHeight="1">
      <c r="B210" s="1" t="s">
        <v>368</v>
      </c>
      <c r="C210" s="12">
        <f t="shared" si="1106"/>
        <v>778.01888687964629</v>
      </c>
      <c r="D210" s="12">
        <f t="shared" si="1106"/>
        <v>658.62690152121695</v>
      </c>
      <c r="E210" s="12">
        <f t="shared" si="1106"/>
        <v>982.7625570776255</v>
      </c>
      <c r="F210" s="12">
        <f t="shared" si="1106"/>
        <v>479.70472440944883</v>
      </c>
      <c r="G210" s="12">
        <f t="shared" si="1106"/>
        <v>837.92169929196166</v>
      </c>
      <c r="H210" s="12">
        <f t="shared" si="1106"/>
        <v>469.04061212477927</v>
      </c>
      <c r="I210" s="12">
        <f t="shared" ref="I210:J210" si="1120">I151/I$202</f>
        <v>459.74492545356566</v>
      </c>
      <c r="J210" s="12">
        <f t="shared" si="1120"/>
        <v>299.12616451216871</v>
      </c>
      <c r="K210" s="12">
        <f t="shared" ref="K210:L210" si="1121">K151/K$202</f>
        <v>174.71933328741648</v>
      </c>
      <c r="L210" s="12">
        <f t="shared" si="1121"/>
        <v>201.78061709936114</v>
      </c>
      <c r="M210" s="12">
        <f t="shared" ref="M210" si="1122">M151/M$202</f>
        <v>194.06682966585166</v>
      </c>
      <c r="N210" s="12"/>
      <c r="O210" s="12">
        <f t="shared" si="1110"/>
        <v>559.23444976076553</v>
      </c>
      <c r="P210" s="12">
        <f t="shared" si="1110"/>
        <v>980.59925093632967</v>
      </c>
      <c r="Q210" s="12">
        <f t="shared" si="1110"/>
        <v>835.60073937153413</v>
      </c>
      <c r="R210" s="12">
        <f t="shared" si="1110"/>
        <v>982.7625570776255</v>
      </c>
      <c r="S210" s="12">
        <f t="shared" si="1110"/>
        <v>860.45981379441378</v>
      </c>
      <c r="T210" s="12">
        <f t="shared" si="1110"/>
        <v>626.60550458715602</v>
      </c>
      <c r="U210" s="12">
        <f t="shared" si="1110"/>
        <v>523.89961389961388</v>
      </c>
      <c r="V210" s="12">
        <f t="shared" si="1110"/>
        <v>479.70472440944883</v>
      </c>
      <c r="W210" s="12">
        <f t="shared" ref="W210:Z210" si="1123">W151/W$202</f>
        <v>609.37376920047257</v>
      </c>
      <c r="X210" s="12">
        <f t="shared" si="1123"/>
        <v>918.69053831640633</v>
      </c>
      <c r="Y210" s="12">
        <f t="shared" si="1123"/>
        <v>695.39446509706727</v>
      </c>
      <c r="Z210" s="12">
        <f t="shared" si="1123"/>
        <v>837.92169929196166</v>
      </c>
      <c r="AA210" s="12">
        <f t="shared" ref="AA210:AC210" si="1124">AA151/AA$202</f>
        <v>648.55789039967044</v>
      </c>
      <c r="AB210" s="12">
        <f t="shared" si="1124"/>
        <v>474.69780782626509</v>
      </c>
      <c r="AC210" s="12">
        <f t="shared" si="1124"/>
        <v>355.36345776031436</v>
      </c>
      <c r="AD210" s="12">
        <f>AD151/AD$202</f>
        <v>469.04061212477927</v>
      </c>
      <c r="AE210" s="12">
        <f t="shared" ref="AE210:AG210" si="1125">AE151/AE$202</f>
        <v>497.59198612984017</v>
      </c>
      <c r="AF210" s="12">
        <f t="shared" si="1125"/>
        <v>706.98562852464977</v>
      </c>
      <c r="AG210" s="12">
        <f t="shared" si="1125"/>
        <v>336.50468883205457</v>
      </c>
      <c r="AH210" s="12">
        <f>AH151/AH$202</f>
        <v>459.74492545356566</v>
      </c>
      <c r="AI210" s="12">
        <f t="shared" ref="AI210:AK210" si="1126">AI151/AI$202</f>
        <v>479.47798915540852</v>
      </c>
      <c r="AJ210" s="12">
        <f t="shared" si="1126"/>
        <v>292.30630305219432</v>
      </c>
      <c r="AK210" s="12">
        <f t="shared" si="1126"/>
        <v>378.76168636443816</v>
      </c>
      <c r="AL210" s="12">
        <f>AL151/AL$202</f>
        <v>299.12616451216871</v>
      </c>
      <c r="AM210" s="12">
        <f t="shared" ref="AM210:AO210" si="1127">AM151/AM$202</f>
        <v>250.30270655270658</v>
      </c>
      <c r="AN210" s="12">
        <f t="shared" si="1127"/>
        <v>203.98908966928062</v>
      </c>
      <c r="AO210" s="12">
        <f t="shared" si="1127"/>
        <v>219.67154587647266</v>
      </c>
      <c r="AP210" s="12">
        <f>AP151/AP$202</f>
        <v>174.71933328741648</v>
      </c>
      <c r="AQ210" s="12">
        <f t="shared" ref="AQ210:AS210" si="1128">AQ151/AQ$202</f>
        <v>242.075153</v>
      </c>
      <c r="AR210" s="12">
        <f t="shared" si="1128"/>
        <v>192.39091876551967</v>
      </c>
      <c r="AS210" s="12">
        <f t="shared" si="1128"/>
        <v>173.7231298366294</v>
      </c>
      <c r="AT210" s="12">
        <f t="shared" si="1117"/>
        <v>201.78061709936114</v>
      </c>
      <c r="AU210" s="12">
        <f t="shared" si="1117"/>
        <v>239.89707386269919</v>
      </c>
      <c r="AV210" s="12">
        <f t="shared" ref="AV210" si="1129">AV151/AV$202</f>
        <v>194.06682966585166</v>
      </c>
      <c r="AW210" s="12"/>
      <c r="AY210" s="12">
        <f t="shared" ref="AY210" si="1130">AY151/AY$202</f>
        <v>695.39446509706727</v>
      </c>
    </row>
    <row r="211" spans="2:51" s="2" customFormat="1" ht="13.5" customHeight="1">
      <c r="B211" s="2" t="s">
        <v>350</v>
      </c>
      <c r="C211" s="6">
        <f t="shared" si="1106"/>
        <v>2939.7227245328509</v>
      </c>
      <c r="D211" s="6">
        <f t="shared" si="1106"/>
        <v>2796.3570856685346</v>
      </c>
      <c r="E211" s="6">
        <f t="shared" si="1106"/>
        <v>2371.042617960426</v>
      </c>
      <c r="F211" s="6">
        <f t="shared" si="1106"/>
        <v>3631.929133858268</v>
      </c>
      <c r="G211" s="6">
        <f t="shared" si="1106"/>
        <v>4218.0966264056642</v>
      </c>
      <c r="H211" s="6">
        <f t="shared" si="1106"/>
        <v>4911.4381008436339</v>
      </c>
      <c r="I211" s="6">
        <f t="shared" ref="I211:J211" si="1131">I152/I$202</f>
        <v>4785.7194179989219</v>
      </c>
      <c r="J211" s="6">
        <f t="shared" si="1131"/>
        <v>5159.5291398858963</v>
      </c>
      <c r="K211" s="6">
        <f t="shared" ref="K211:L211" si="1132">K152/K$202</f>
        <v>5604.3288105241409</v>
      </c>
      <c r="L211" s="6">
        <f t="shared" si="1132"/>
        <v>5901.6073127633545</v>
      </c>
      <c r="M211" s="6">
        <f t="shared" ref="M211" si="1133">M152/M$202</f>
        <v>5690.4808475957616</v>
      </c>
      <c r="N211" s="6"/>
      <c r="O211" s="6">
        <f t="shared" si="1110"/>
        <v>2737.2057416267944</v>
      </c>
      <c r="P211" s="6">
        <f t="shared" si="1110"/>
        <v>2461.5355805243448</v>
      </c>
      <c r="Q211" s="6">
        <f t="shared" si="1110"/>
        <v>2477.2088724584105</v>
      </c>
      <c r="R211" s="6">
        <f t="shared" si="1110"/>
        <v>3828.9003044140027</v>
      </c>
      <c r="S211" s="6">
        <f t="shared" si="1110"/>
        <v>2771.3851415542463</v>
      </c>
      <c r="T211" s="6">
        <f t="shared" si="1110"/>
        <v>3183.6814366582084</v>
      </c>
      <c r="U211" s="6">
        <f t="shared" si="1110"/>
        <v>3336.3513513513517</v>
      </c>
      <c r="V211" s="6">
        <f t="shared" si="1110"/>
        <v>3631.929133858268</v>
      </c>
      <c r="W211" s="6">
        <f t="shared" ref="W211:Z211" si="1134">W152/W$202</f>
        <v>3755.947223316266</v>
      </c>
      <c r="X211" s="6">
        <f t="shared" si="1134"/>
        <v>4137.4292481233188</v>
      </c>
      <c r="Y211" s="6">
        <f t="shared" si="1134"/>
        <v>4280.0908715406858</v>
      </c>
      <c r="Z211" s="6">
        <f t="shared" si="1134"/>
        <v>4218.0966264056642</v>
      </c>
      <c r="AA211" s="6">
        <f t="shared" ref="AA211:AC211" si="1135">AA152/AA$202</f>
        <v>4336.9592088998761</v>
      </c>
      <c r="AB211" s="6">
        <f t="shared" si="1135"/>
        <v>4790.7805777504609</v>
      </c>
      <c r="AC211" s="6">
        <f t="shared" si="1135"/>
        <v>4903.025540275049</v>
      </c>
      <c r="AD211" s="6">
        <f>AD152/AD$202</f>
        <v>4911.4381008436339</v>
      </c>
      <c r="AE211" s="6">
        <f t="shared" ref="AE211:AG211" si="1136">AE152/AE$202</f>
        <v>4859.1022924292047</v>
      </c>
      <c r="AF211" s="6">
        <f t="shared" si="1136"/>
        <v>4633.6729124977264</v>
      </c>
      <c r="AG211" s="6">
        <f t="shared" si="1136"/>
        <v>4676.2148337595909</v>
      </c>
      <c r="AH211" s="6">
        <f>AH152/AH$202</f>
        <v>4785.7194179989219</v>
      </c>
      <c r="AI211" s="6">
        <f t="shared" ref="AI211:AK211" si="1137">AI152/AI$202</f>
        <v>4781.3620071684591</v>
      </c>
      <c r="AJ211" s="6">
        <f t="shared" si="1137"/>
        <v>5317.0128228282465</v>
      </c>
      <c r="AK211" s="6">
        <f t="shared" si="1137"/>
        <v>5199.1885694125949</v>
      </c>
      <c r="AL211" s="6">
        <f>AL152/AL$202</f>
        <v>5159.5291398858963</v>
      </c>
      <c r="AM211" s="6">
        <f t="shared" ref="AM211:AO211" si="1138">AM152/AM$202</f>
        <v>5171.3497150997155</v>
      </c>
      <c r="AN211" s="6">
        <f t="shared" si="1138"/>
        <v>5170.1841118308903</v>
      </c>
      <c r="AO211" s="6">
        <f t="shared" si="1138"/>
        <v>5548.946804712602</v>
      </c>
      <c r="AP211" s="6">
        <f>AP152/AP$202</f>
        <v>5604.3288105241409</v>
      </c>
      <c r="AQ211" s="6">
        <f t="shared" ref="AQ211:AS211" si="1139">AQ152/AQ$202</f>
        <v>5642.2252739999994</v>
      </c>
      <c r="AR211" s="6">
        <f t="shared" si="1139"/>
        <v>5972.5257183398362</v>
      </c>
      <c r="AS211" s="6">
        <f t="shared" si="1139"/>
        <v>5987.7730008598455</v>
      </c>
      <c r="AT211" s="6">
        <f t="shared" si="1117"/>
        <v>5901.6073127633545</v>
      </c>
      <c r="AU211" s="6">
        <f t="shared" si="1117"/>
        <v>5653.5809718602586</v>
      </c>
      <c r="AV211" s="6">
        <f t="shared" ref="AV211" si="1140">AV152/AV$202</f>
        <v>5690.4808475957616</v>
      </c>
      <c r="AW211" s="6"/>
      <c r="AX211" s="204"/>
      <c r="AY211" s="6">
        <f t="shared" ref="AY211" si="1141">AY152/AY$202</f>
        <v>4280.0908715406858</v>
      </c>
    </row>
    <row r="212" spans="2:51" ht="13.5" customHeight="1">
      <c r="B212" s="1" t="s">
        <v>369</v>
      </c>
      <c r="C212" s="46">
        <f t="shared" ref="C212:D212" si="1142">C209/C207</f>
        <v>3.2371466872648567</v>
      </c>
      <c r="D212" s="46">
        <f t="shared" si="1142"/>
        <v>2.9440776022555761</v>
      </c>
      <c r="E212" s="46">
        <f t="shared" ref="E212:J212" si="1143">E209/E207</f>
        <v>3.1156924597221556</v>
      </c>
      <c r="F212" s="46">
        <f t="shared" si="1143"/>
        <v>2.7117671763092654</v>
      </c>
      <c r="G212" s="46">
        <f t="shared" si="1143"/>
        <v>2.9599899674944345</v>
      </c>
      <c r="H212" s="46">
        <f t="shared" si="1143"/>
        <v>2.7571253831804783</v>
      </c>
      <c r="I212" s="46">
        <f t="shared" si="1143"/>
        <v>2.8512553235903648</v>
      </c>
      <c r="J212" s="46">
        <f t="shared" si="1143"/>
        <v>2.9110176518080131</v>
      </c>
      <c r="K212" s="46">
        <f t="shared" ref="K212:L212" si="1144">K209/K207</f>
        <v>3.0358708838598325</v>
      </c>
      <c r="L212" s="46">
        <f t="shared" si="1144"/>
        <v>3.1672528916720224</v>
      </c>
      <c r="M212" s="46">
        <f t="shared" ref="M212" si="1145">M209/M207</f>
        <v>3.1033828742246996</v>
      </c>
      <c r="N212" s="46"/>
      <c r="O212" s="156"/>
      <c r="P212" s="156"/>
      <c r="Q212" s="156"/>
      <c r="R212" s="46">
        <f t="shared" ref="R212" si="1146">R209/R207</f>
        <v>4.4700454897784887</v>
      </c>
      <c r="S212" s="46">
        <f t="shared" ref="S212:X212" si="1147">S209/S207</f>
        <v>3.1201032114616098</v>
      </c>
      <c r="T212" s="46">
        <f t="shared" si="1147"/>
        <v>3.045562242915671</v>
      </c>
      <c r="U212" s="46">
        <f t="shared" si="1147"/>
        <v>2.9374434035552626</v>
      </c>
      <c r="V212" s="46">
        <f t="shared" si="1147"/>
        <v>2.7117671763092654</v>
      </c>
      <c r="W212" s="46">
        <f t="shared" si="1147"/>
        <v>2.8041853669610357</v>
      </c>
      <c r="X212" s="46">
        <f t="shared" si="1147"/>
        <v>3.1449473614576235</v>
      </c>
      <c r="Y212" s="46">
        <f t="shared" ref="Y212:AB212" si="1148">Y209/Y207</f>
        <v>2.9050865648784634</v>
      </c>
      <c r="Z212" s="46">
        <f t="shared" si="1148"/>
        <v>2.9599899674944345</v>
      </c>
      <c r="AA212" s="46">
        <f t="shared" si="1148"/>
        <v>2.8218169600526481</v>
      </c>
      <c r="AB212" s="46">
        <f t="shared" si="1148"/>
        <v>2.8858549233888424</v>
      </c>
      <c r="AC212" s="46">
        <f t="shared" ref="AC212" si="1149">AC209/AC207</f>
        <v>2.8151172372474331</v>
      </c>
      <c r="AD212" s="46">
        <f>AD209/AD207</f>
        <v>2.7571253831804783</v>
      </c>
      <c r="AE212" s="46">
        <f t="shared" ref="AE212:AG212" si="1150">AE209/AE207</f>
        <v>2.8545976754650368</v>
      </c>
      <c r="AF212" s="46">
        <f t="shared" si="1150"/>
        <v>2.8843817595625758</v>
      </c>
      <c r="AG212" s="46">
        <f t="shared" si="1150"/>
        <v>2.7501758909165024</v>
      </c>
      <c r="AH212" s="46">
        <f>AH209/AH207</f>
        <v>2.8512553235903648</v>
      </c>
      <c r="AI212" s="46">
        <f t="shared" ref="AI212:AK212" si="1151">AI209/AI207</f>
        <v>2.761496670367638</v>
      </c>
      <c r="AJ212" s="46">
        <f t="shared" si="1151"/>
        <v>2.9223649143936168</v>
      </c>
      <c r="AK212" s="46">
        <f t="shared" si="1151"/>
        <v>2.892715692791584</v>
      </c>
      <c r="AL212" s="46">
        <f>AL209/AL207</f>
        <v>2.9110176518080131</v>
      </c>
      <c r="AM212" s="46">
        <f t="shared" ref="AM212:AO212" si="1152">AM209/AM207</f>
        <v>2.8703447177157058</v>
      </c>
      <c r="AN212" s="46">
        <f t="shared" si="1152"/>
        <v>2.8523181782119758</v>
      </c>
      <c r="AO212" s="46">
        <f t="shared" si="1152"/>
        <v>3.0598677074360499</v>
      </c>
      <c r="AP212" s="46">
        <f>AP209/AP207</f>
        <v>3.0358708838598325</v>
      </c>
      <c r="AQ212" s="46">
        <f t="shared" ref="AQ212:AS212" si="1153">AQ209/AQ207</f>
        <v>3.1023209088895038</v>
      </c>
      <c r="AR212" s="46">
        <f t="shared" si="1153"/>
        <v>3.2227507494944256</v>
      </c>
      <c r="AS212" s="46">
        <f t="shared" si="1153"/>
        <v>3.2070358480201606</v>
      </c>
      <c r="AT212" s="46">
        <f>AT209/AT207</f>
        <v>3.1672528916720224</v>
      </c>
      <c r="AU212" s="46">
        <f t="shared" ref="AU212:AV212" si="1154">AU209/AU207</f>
        <v>3.0606588017514564</v>
      </c>
      <c r="AV212" s="46">
        <f t="shared" si="1154"/>
        <v>3.1033828742246996</v>
      </c>
      <c r="AW212" s="46"/>
      <c r="AY212" s="46">
        <f t="shared" ref="AY212" si="1155">AY209/AY207</f>
        <v>2.9050865648784634</v>
      </c>
    </row>
    <row r="213" spans="2:51" s="2" customFormat="1" ht="13.5" customHeight="1">
      <c r="B213" s="2" t="s">
        <v>370</v>
      </c>
      <c r="C213" s="329">
        <f t="shared" ref="C213:D213" si="1156">C211/C207</f>
        <v>2.5597028179651149</v>
      </c>
      <c r="D213" s="329">
        <f t="shared" si="1156"/>
        <v>2.3828452734803549</v>
      </c>
      <c r="E213" s="329">
        <f t="shared" ref="E213:J213" si="1157">E211/E207</f>
        <v>2.2027038605113258</v>
      </c>
      <c r="F213" s="329">
        <f t="shared" si="1157"/>
        <v>2.395385034607064</v>
      </c>
      <c r="G213" s="329">
        <f t="shared" si="1157"/>
        <v>2.4694379829725284</v>
      </c>
      <c r="H213" s="329">
        <f t="shared" si="1157"/>
        <v>2.5167743203066921</v>
      </c>
      <c r="I213" s="329">
        <f t="shared" si="1157"/>
        <v>2.6013536789763148</v>
      </c>
      <c r="J213" s="329">
        <f t="shared" si="1157"/>
        <v>2.7514982287165837</v>
      </c>
      <c r="K213" s="329">
        <f t="shared" ref="K213:L213" si="1158">K211/K207</f>
        <v>2.9440866793377309</v>
      </c>
      <c r="L213" s="329">
        <f t="shared" si="1158"/>
        <v>3.0625421555471943</v>
      </c>
      <c r="M213" s="329">
        <f t="shared" ref="M213" si="1159">M211/M207</f>
        <v>3.0010362354223181</v>
      </c>
      <c r="N213" s="329"/>
      <c r="O213" s="330"/>
      <c r="P213" s="330"/>
      <c r="Q213" s="330"/>
      <c r="R213" s="329">
        <f t="shared" ref="R213" si="1160">R211/R207</f>
        <v>3.5570568905676589</v>
      </c>
      <c r="S213" s="329">
        <f t="shared" ref="S213:X213" si="1161">S211/S207</f>
        <v>2.3808856894140931</v>
      </c>
      <c r="T213" s="329">
        <f t="shared" si="1161"/>
        <v>2.5447164810607834</v>
      </c>
      <c r="U213" s="329">
        <f t="shared" si="1161"/>
        <v>2.5387839695372159</v>
      </c>
      <c r="V213" s="329">
        <f t="shared" si="1161"/>
        <v>2.395385034607064</v>
      </c>
      <c r="W213" s="329">
        <f t="shared" si="1161"/>
        <v>2.4127371757441316</v>
      </c>
      <c r="X213" s="329">
        <f t="shared" si="1161"/>
        <v>2.5735144234518716</v>
      </c>
      <c r="Y213" s="329">
        <f t="shared" ref="Y213:AB213" si="1162">Y211/Y207</f>
        <v>2.4990596185284417</v>
      </c>
      <c r="Z213" s="329">
        <f t="shared" si="1162"/>
        <v>2.4694379829725284</v>
      </c>
      <c r="AA213" s="329">
        <f t="shared" si="1162"/>
        <v>2.4547313361836847</v>
      </c>
      <c r="AB213" s="329">
        <f t="shared" si="1162"/>
        <v>2.6256869185994218</v>
      </c>
      <c r="AC213" s="329">
        <f t="shared" ref="AC213" si="1163">AC211/AC207</f>
        <v>2.6248707956466548</v>
      </c>
      <c r="AD213" s="329">
        <f>AD211/AD207</f>
        <v>2.5167743203066921</v>
      </c>
      <c r="AE213" s="329">
        <f t="shared" ref="AE213:AG213" si="1164">AE211/AE207</f>
        <v>2.5894294853329756</v>
      </c>
      <c r="AF213" s="329">
        <f t="shared" si="1164"/>
        <v>2.5025531076227701</v>
      </c>
      <c r="AG213" s="329">
        <f t="shared" si="1164"/>
        <v>2.5655561294805369</v>
      </c>
      <c r="AH213" s="329">
        <f>AH211/AH207</f>
        <v>2.6013536789763148</v>
      </c>
      <c r="AI213" s="329">
        <f t="shared" ref="AI213:AK213" si="1165">AI211/AI207</f>
        <v>2.5098112225128357</v>
      </c>
      <c r="AJ213" s="329">
        <f t="shared" si="1165"/>
        <v>2.7700780387272657</v>
      </c>
      <c r="AK213" s="329">
        <f t="shared" si="1165"/>
        <v>2.6962905144135845</v>
      </c>
      <c r="AL213" s="329">
        <f>AL211/AL207</f>
        <v>2.7514982287165837</v>
      </c>
      <c r="AM213" s="329">
        <f t="shared" ref="AM213:AO213" si="1166">AM211/AM207</f>
        <v>2.7378288358944709</v>
      </c>
      <c r="AN213" s="329">
        <f t="shared" si="1166"/>
        <v>2.7440518892769292</v>
      </c>
      <c r="AO213" s="329">
        <f t="shared" si="1166"/>
        <v>2.9433465877122367</v>
      </c>
      <c r="AP213" s="329">
        <f>AP211/AP207</f>
        <v>2.9440866793377309</v>
      </c>
      <c r="AQ213" s="329">
        <f t="shared" ref="AQ213:AS213" si="1167">AQ211/AQ207</f>
        <v>2.9746940451711588</v>
      </c>
      <c r="AR213" s="329">
        <f t="shared" si="1167"/>
        <v>3.1221771303937746</v>
      </c>
      <c r="AS213" s="329">
        <f t="shared" si="1167"/>
        <v>3.1166136042666204</v>
      </c>
      <c r="AT213" s="329">
        <f>AT211/AT207</f>
        <v>3.0625421555471943</v>
      </c>
      <c r="AU213" s="329">
        <f t="shared" ref="AU213:AV213" si="1168">AU211/AU207</f>
        <v>2.9360731012642636</v>
      </c>
      <c r="AV213" s="329">
        <f t="shared" si="1168"/>
        <v>3.0010362354223181</v>
      </c>
      <c r="AW213" s="329"/>
      <c r="AX213" s="204"/>
      <c r="AY213" s="329">
        <f t="shared" ref="AY213" si="1169">AY211/AY207</f>
        <v>2.4990596185284417</v>
      </c>
    </row>
    <row r="214" spans="2:51" ht="13.5" customHeight="1"/>
    <row r="215" spans="2:51" ht="13.5" customHeight="1">
      <c r="B215" s="2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7"/>
      <c r="N215" s="239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203"/>
      <c r="AY215" s="56"/>
    </row>
    <row r="216" spans="2:51" s="2" customFormat="1" ht="21">
      <c r="B216" s="48" t="s">
        <v>371</v>
      </c>
      <c r="C216" s="43">
        <f>C204</f>
        <v>42735</v>
      </c>
      <c r="D216" s="43">
        <f t="shared" ref="D216:F216" si="1170">D204</f>
        <v>43100</v>
      </c>
      <c r="E216" s="43">
        <f t="shared" si="1170"/>
        <v>43465</v>
      </c>
      <c r="F216" s="43">
        <f t="shared" si="1170"/>
        <v>43830</v>
      </c>
      <c r="G216" s="43">
        <f t="shared" ref="G216:H216" si="1171">G204</f>
        <v>44196</v>
      </c>
      <c r="H216" s="43">
        <f t="shared" si="1171"/>
        <v>44561</v>
      </c>
      <c r="I216" s="43">
        <f t="shared" ref="I216:J216" si="1172">I204</f>
        <v>44926</v>
      </c>
      <c r="J216" s="43">
        <f t="shared" si="1172"/>
        <v>45291</v>
      </c>
      <c r="K216" s="43">
        <f t="shared" ref="K216:L216" si="1173">K204</f>
        <v>45657</v>
      </c>
      <c r="L216" s="43">
        <f t="shared" si="1173"/>
        <v>46022</v>
      </c>
      <c r="M216" s="43">
        <f t="shared" ref="M216" si="1174">M204</f>
        <v>46203</v>
      </c>
      <c r="N216" s="194"/>
      <c r="O216" s="43">
        <f t="shared" ref="O216:W216" si="1175">O204</f>
        <v>43190</v>
      </c>
      <c r="P216" s="43">
        <f t="shared" si="1175"/>
        <v>43281</v>
      </c>
      <c r="Q216" s="43">
        <f t="shared" si="1175"/>
        <v>43373</v>
      </c>
      <c r="R216" s="43">
        <f t="shared" si="1175"/>
        <v>43465</v>
      </c>
      <c r="S216" s="43">
        <f t="shared" si="1175"/>
        <v>43555</v>
      </c>
      <c r="T216" s="43">
        <f t="shared" si="1175"/>
        <v>43646</v>
      </c>
      <c r="U216" s="43">
        <f t="shared" si="1175"/>
        <v>43738</v>
      </c>
      <c r="V216" s="43">
        <f t="shared" si="1175"/>
        <v>43830</v>
      </c>
      <c r="W216" s="43">
        <f t="shared" si="1175"/>
        <v>43921</v>
      </c>
      <c r="X216" s="43">
        <f t="shared" ref="X216:AB216" si="1176">X204</f>
        <v>44012</v>
      </c>
      <c r="Y216" s="43">
        <f t="shared" si="1176"/>
        <v>44104</v>
      </c>
      <c r="Z216" s="43">
        <f t="shared" si="1176"/>
        <v>44196</v>
      </c>
      <c r="AA216" s="43">
        <f t="shared" si="1176"/>
        <v>44286</v>
      </c>
      <c r="AB216" s="43">
        <f t="shared" si="1176"/>
        <v>44348</v>
      </c>
      <c r="AC216" s="43">
        <f t="shared" ref="AC216" si="1177">AC204</f>
        <v>44469</v>
      </c>
      <c r="AD216" s="43">
        <f>AD204</f>
        <v>44561</v>
      </c>
      <c r="AE216" s="43">
        <f t="shared" ref="AE216:AG217" si="1178">AE204</f>
        <v>44651</v>
      </c>
      <c r="AF216" s="43">
        <f t="shared" si="1178"/>
        <v>44742</v>
      </c>
      <c r="AG216" s="43">
        <f t="shared" si="1178"/>
        <v>44834</v>
      </c>
      <c r="AH216" s="43">
        <f>AH204</f>
        <v>44926</v>
      </c>
      <c r="AI216" s="43">
        <f t="shared" ref="AI216:AK216" si="1179">AI204</f>
        <v>45016</v>
      </c>
      <c r="AJ216" s="43">
        <f t="shared" si="1179"/>
        <v>45107</v>
      </c>
      <c r="AK216" s="43">
        <f t="shared" si="1179"/>
        <v>45199</v>
      </c>
      <c r="AL216" s="43">
        <f>AL204</f>
        <v>45291</v>
      </c>
      <c r="AM216" s="43">
        <f t="shared" ref="AM216:AO216" si="1180">AM204</f>
        <v>45382</v>
      </c>
      <c r="AN216" s="43">
        <f t="shared" si="1180"/>
        <v>45473</v>
      </c>
      <c r="AO216" s="43">
        <f t="shared" si="1180"/>
        <v>45565</v>
      </c>
      <c r="AP216" s="43">
        <f>AP204</f>
        <v>45657</v>
      </c>
      <c r="AQ216" s="43">
        <f t="shared" ref="AQ216:AS216" si="1181">AQ204</f>
        <v>45747</v>
      </c>
      <c r="AR216" s="43">
        <f t="shared" si="1181"/>
        <v>45838</v>
      </c>
      <c r="AS216" s="43">
        <f t="shared" si="1181"/>
        <v>45930</v>
      </c>
      <c r="AT216" s="43">
        <f>AT204</f>
        <v>46022</v>
      </c>
      <c r="AU216" s="43">
        <f t="shared" ref="AU216:AV216" si="1182">AU204</f>
        <v>46112</v>
      </c>
      <c r="AV216" s="43">
        <f t="shared" si="1182"/>
        <v>46203</v>
      </c>
      <c r="AW216" s="194"/>
      <c r="AY216" s="43">
        <f t="shared" ref="AY216" si="1183">AY204</f>
        <v>44104</v>
      </c>
    </row>
    <row r="217" spans="2:51" s="2" customFormat="1" ht="13.5" customHeight="1">
      <c r="B217" s="4" t="s">
        <v>377</v>
      </c>
      <c r="C217" s="44" t="str">
        <f>C205</f>
        <v>Act</v>
      </c>
      <c r="D217" s="44" t="str">
        <f t="shared" ref="D217:F217" si="1184">D205</f>
        <v>Act</v>
      </c>
      <c r="E217" s="44" t="str">
        <f t="shared" si="1184"/>
        <v>Act</v>
      </c>
      <c r="F217" s="44" t="str">
        <f t="shared" si="1184"/>
        <v>Act</v>
      </c>
      <c r="G217" s="44" t="str">
        <f t="shared" ref="G217:H217" si="1185">G205</f>
        <v>Act</v>
      </c>
      <c r="H217" s="44" t="str">
        <f t="shared" si="1185"/>
        <v>Act</v>
      </c>
      <c r="I217" s="44" t="str">
        <f t="shared" ref="I217:J217" si="1186">I205</f>
        <v>Act</v>
      </c>
      <c r="J217" s="44" t="str">
        <f t="shared" si="1186"/>
        <v>Act</v>
      </c>
      <c r="K217" s="44" t="str">
        <f t="shared" ref="K217:L217" si="1187">K205</f>
        <v>Act</v>
      </c>
      <c r="L217" s="44" t="str">
        <f t="shared" si="1187"/>
        <v>Act</v>
      </c>
      <c r="M217" s="44" t="str">
        <f t="shared" ref="M217" si="1188">M205</f>
        <v>Act</v>
      </c>
      <c r="N217" s="194"/>
      <c r="O217" s="44" t="str">
        <f t="shared" ref="O217:W217" si="1189">O205</f>
        <v>Act</v>
      </c>
      <c r="P217" s="44" t="str">
        <f t="shared" si="1189"/>
        <v>Act</v>
      </c>
      <c r="Q217" s="44" t="str">
        <f t="shared" si="1189"/>
        <v>Act</v>
      </c>
      <c r="R217" s="44" t="str">
        <f t="shared" si="1189"/>
        <v>Act</v>
      </c>
      <c r="S217" s="44" t="str">
        <f t="shared" si="1189"/>
        <v>Act</v>
      </c>
      <c r="T217" s="44" t="str">
        <f t="shared" si="1189"/>
        <v>Act</v>
      </c>
      <c r="U217" s="44" t="str">
        <f t="shared" si="1189"/>
        <v>Act</v>
      </c>
      <c r="V217" s="44" t="str">
        <f t="shared" si="1189"/>
        <v>Act</v>
      </c>
      <c r="W217" s="44" t="str">
        <f t="shared" si="1189"/>
        <v>Act</v>
      </c>
      <c r="X217" s="44" t="str">
        <f t="shared" ref="X217:AB217" si="1190">X205</f>
        <v>Act</v>
      </c>
      <c r="Y217" s="44" t="str">
        <f t="shared" si="1190"/>
        <v>Act</v>
      </c>
      <c r="Z217" s="44" t="str">
        <f t="shared" si="1190"/>
        <v>Act</v>
      </c>
      <c r="AA217" s="44" t="str">
        <f t="shared" si="1190"/>
        <v>Act</v>
      </c>
      <c r="AB217" s="44" t="str">
        <f t="shared" si="1190"/>
        <v>Act</v>
      </c>
      <c r="AC217" s="44" t="str">
        <f t="shared" ref="AC217" si="1191">AC205</f>
        <v>Act</v>
      </c>
      <c r="AD217" s="44" t="str">
        <f>AD205</f>
        <v>Act</v>
      </c>
      <c r="AE217" s="44" t="str">
        <f t="shared" ref="AE217:AF217" si="1192">AE205</f>
        <v>Restated</v>
      </c>
      <c r="AF217" s="44" t="str">
        <f t="shared" si="1192"/>
        <v>Restated</v>
      </c>
      <c r="AG217" s="44" t="str">
        <f t="shared" si="1178"/>
        <v>Restated</v>
      </c>
      <c r="AH217" s="44" t="str">
        <f>AH205</f>
        <v>Act</v>
      </c>
      <c r="AI217" s="44" t="str">
        <f t="shared" ref="AI217:AK217" si="1193">AI205</f>
        <v>Act</v>
      </c>
      <c r="AJ217" s="44" t="str">
        <f t="shared" si="1193"/>
        <v>Act</v>
      </c>
      <c r="AK217" s="44" t="str">
        <f t="shared" si="1193"/>
        <v>Act</v>
      </c>
      <c r="AL217" s="44" t="str">
        <f>AL205</f>
        <v>Act</v>
      </c>
      <c r="AM217" s="44" t="str">
        <f t="shared" ref="AM217:AO217" si="1194">AM205</f>
        <v>Act</v>
      </c>
      <c r="AN217" s="44" t="str">
        <f t="shared" si="1194"/>
        <v>Act</v>
      </c>
      <c r="AO217" s="44" t="str">
        <f t="shared" si="1194"/>
        <v>Act</v>
      </c>
      <c r="AP217" s="44" t="str">
        <f>AP205</f>
        <v>Act</v>
      </c>
      <c r="AQ217" s="44" t="str">
        <f t="shared" ref="AQ217:AS217" si="1195">AQ205</f>
        <v>Act</v>
      </c>
      <c r="AR217" s="44" t="str">
        <f t="shared" si="1195"/>
        <v>Act</v>
      </c>
      <c r="AS217" s="44" t="str">
        <f t="shared" si="1195"/>
        <v>Act</v>
      </c>
      <c r="AT217" s="44" t="str">
        <f>AT205</f>
        <v>Act</v>
      </c>
      <c r="AU217" s="44" t="str">
        <f t="shared" ref="AU217:AV217" si="1196">AU205</f>
        <v>Act</v>
      </c>
      <c r="AV217" s="44" t="str">
        <f t="shared" si="1196"/>
        <v>Act</v>
      </c>
      <c r="AW217" s="194"/>
      <c r="AY217" s="44" t="str">
        <f t="shared" ref="AY217" si="1197">AY205</f>
        <v>Act</v>
      </c>
    </row>
    <row r="218" spans="2:51" s="2" customFormat="1" ht="13.5" customHeight="1"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Y218" s="41"/>
    </row>
    <row r="219" spans="2:51" s="2" customFormat="1" ht="13.5" customHeight="1">
      <c r="B219" s="2" t="str">
        <f>B159</f>
        <v xml:space="preserve">Sales </v>
      </c>
      <c r="C219" s="49">
        <f t="shared" ref="C219:F219" si="1198">C159/C$201</f>
        <v>3480.6655433866895</v>
      </c>
      <c r="D219" s="49">
        <f t="shared" si="1198"/>
        <v>3152.8069827415197</v>
      </c>
      <c r="E219" s="49">
        <f t="shared" si="1198"/>
        <v>3092.5208807896734</v>
      </c>
      <c r="F219" s="49">
        <f t="shared" si="1198"/>
        <v>3266.7889553967948</v>
      </c>
      <c r="G219" s="49">
        <f t="shared" ref="G219:L219" si="1199">G159/G$201</f>
        <v>3647.0683054604069</v>
      </c>
      <c r="H219" s="49">
        <f t="shared" si="1199"/>
        <v>3899.8782467532465</v>
      </c>
      <c r="I219" s="49">
        <f t="shared" si="1199"/>
        <v>3749.8302721150844</v>
      </c>
      <c r="J219" s="49">
        <f t="shared" si="1199"/>
        <v>3792.7544048903274</v>
      </c>
      <c r="K219" s="49">
        <f t="shared" si="1199"/>
        <v>3803.7206936172829</v>
      </c>
      <c r="L219" s="49">
        <f t="shared" si="1199"/>
        <v>3783.4775603544608</v>
      </c>
      <c r="M219" s="49">
        <f t="shared" ref="M219" si="1200">M159/M$201</f>
        <v>3746.9033155733532</v>
      </c>
      <c r="N219" s="49"/>
      <c r="O219" s="49">
        <f t="shared" ref="O219:Q219" si="1201">O159/O$201</f>
        <v>787.30806608357625</v>
      </c>
      <c r="P219" s="49">
        <f t="shared" si="1201"/>
        <v>803.46553715825962</v>
      </c>
      <c r="Q219" s="49">
        <f t="shared" si="1201"/>
        <v>769.75238095238092</v>
      </c>
      <c r="R219" s="49">
        <f t="shared" ref="R219:W219" si="1202">R159/R$201</f>
        <v>734.32427503191661</v>
      </c>
      <c r="S219" s="49">
        <f t="shared" si="1202"/>
        <v>775.5967156769143</v>
      </c>
      <c r="T219" s="49">
        <f t="shared" si="1202"/>
        <v>792.14860206817309</v>
      </c>
      <c r="U219" s="49">
        <f t="shared" si="1202"/>
        <v>815.60038424591744</v>
      </c>
      <c r="V219" s="49">
        <f t="shared" si="1202"/>
        <v>885.80760095011863</v>
      </c>
      <c r="W219" s="49">
        <f t="shared" si="1202"/>
        <v>858.66614204210111</v>
      </c>
      <c r="X219" s="49">
        <f t="shared" ref="X219:AA219" si="1203">X159/X$201</f>
        <v>854.22861900796954</v>
      </c>
      <c r="Y219" s="49">
        <f t="shared" si="1203"/>
        <v>928.62564922093486</v>
      </c>
      <c r="Z219" s="49">
        <f t="shared" si="1203"/>
        <v>1012.5879460879881</v>
      </c>
      <c r="AA219" s="49">
        <f t="shared" si="1203"/>
        <v>992.00993583109084</v>
      </c>
      <c r="AB219" s="49">
        <f t="shared" ref="AB219:AC219" si="1204">AB159/AB$201</f>
        <v>989.37317643154438</v>
      </c>
      <c r="AC219" s="49">
        <f t="shared" si="1204"/>
        <v>962.06243143512518</v>
      </c>
      <c r="AD219" s="49">
        <f>AD159/AD$201</f>
        <v>957.71875474763988</v>
      </c>
      <c r="AE219" s="49">
        <f t="shared" ref="AE219:AG219" si="1205">AE159/AE$201</f>
        <v>966.16249757611013</v>
      </c>
      <c r="AF219" s="49">
        <f t="shared" si="1205"/>
        <v>977.21955896452539</v>
      </c>
      <c r="AG219" s="49">
        <f t="shared" si="1205"/>
        <v>957.4305426067499</v>
      </c>
      <c r="AH219" s="49">
        <f>AH159/AH$201</f>
        <v>861.19447284239664</v>
      </c>
      <c r="AI219" s="49">
        <f t="shared" ref="AI219:AK219" si="1206">AI159/AI$201</f>
        <v>955.02298095863421</v>
      </c>
      <c r="AJ219" s="49">
        <f t="shared" si="1206"/>
        <v>935.48153511947862</v>
      </c>
      <c r="AK219" s="49">
        <f t="shared" si="1206"/>
        <v>934.51700485853098</v>
      </c>
      <c r="AL219" s="49">
        <f>AL159/AL$201</f>
        <v>967.551570142483</v>
      </c>
      <c r="AM219" s="49">
        <f t="shared" ref="AM219:AO219" si="1207">AM159/AM$201</f>
        <v>969.02979073216932</v>
      </c>
      <c r="AN219" s="49">
        <f t="shared" si="1207"/>
        <v>937.93285287396725</v>
      </c>
      <c r="AO219" s="49">
        <f t="shared" si="1207"/>
        <v>935.9586037537274</v>
      </c>
      <c r="AP219" s="49">
        <f>AP159/AP$201</f>
        <v>960.90432390612909</v>
      </c>
      <c r="AQ219" s="49">
        <f t="shared" ref="AQ219:AS219" si="1208">AQ159/AQ$201</f>
        <v>954.03866068346565</v>
      </c>
      <c r="AR219" s="49">
        <f t="shared" si="1208"/>
        <v>950.41134255207419</v>
      </c>
      <c r="AS219" s="49">
        <f t="shared" si="1208"/>
        <v>940.28361344537814</v>
      </c>
      <c r="AT219" s="49">
        <f>AT159/AT$201</f>
        <v>938.82036254599973</v>
      </c>
      <c r="AU219" s="49">
        <f>AU159/AU$201</f>
        <v>957.92863802017121</v>
      </c>
      <c r="AV219" s="49">
        <f t="shared" ref="AV219" si="1209">AV159/AV$201</f>
        <v>910.84119819450143</v>
      </c>
      <c r="AW219" s="49"/>
      <c r="AY219" s="49">
        <f t="shared" ref="AY219" si="1210">AY159/AY$201</f>
        <v>928.62564922093486</v>
      </c>
    </row>
    <row r="220" spans="2:51" s="7" customFormat="1" ht="13.5" customHeight="1">
      <c r="B220" s="20" t="str">
        <f>B160</f>
        <v xml:space="preserve">% growth </v>
      </c>
      <c r="C220" s="50"/>
      <c r="D220" s="50">
        <f t="shared" ref="D220:L220" si="1211">D219/C219-1</f>
        <v>-9.4194215605720943E-2</v>
      </c>
      <c r="E220" s="50">
        <f t="shared" si="1211"/>
        <v>-1.9121405871609931E-2</v>
      </c>
      <c r="F220" s="50">
        <f t="shared" si="1211"/>
        <v>5.6351462552654441E-2</v>
      </c>
      <c r="G220" s="50">
        <f t="shared" si="1211"/>
        <v>0.11640768817813707</v>
      </c>
      <c r="H220" s="50">
        <f t="shared" si="1211"/>
        <v>6.9318674650083123E-2</v>
      </c>
      <c r="I220" s="50">
        <f t="shared" si="1211"/>
        <v>-3.8475040794691773E-2</v>
      </c>
      <c r="J220" s="50">
        <f t="shared" si="1211"/>
        <v>1.1446953504653301E-2</v>
      </c>
      <c r="K220" s="50">
        <f t="shared" si="1211"/>
        <v>2.8913785487443278E-3</v>
      </c>
      <c r="L220" s="50">
        <f t="shared" si="1211"/>
        <v>-5.3219294720536769E-3</v>
      </c>
      <c r="M220" s="10"/>
      <c r="N220" s="196"/>
      <c r="O220" s="50"/>
      <c r="P220" s="50"/>
      <c r="Q220" s="50"/>
      <c r="R220" s="50"/>
      <c r="S220" s="50">
        <f t="shared" ref="S220:AC220" si="1212">+S219/O219-1</f>
        <v>-1.4875181534617643E-2</v>
      </c>
      <c r="T220" s="50">
        <f t="shared" si="1212"/>
        <v>-1.408515308585967E-2</v>
      </c>
      <c r="U220" s="50">
        <f t="shared" si="1212"/>
        <v>5.9562015562473203E-2</v>
      </c>
      <c r="V220" s="50">
        <f t="shared" si="1212"/>
        <v>0.20628941609157336</v>
      </c>
      <c r="W220" s="50">
        <f t="shared" si="1212"/>
        <v>0.10710389134730502</v>
      </c>
      <c r="X220" s="50">
        <f t="shared" si="1212"/>
        <v>7.8369155456079254E-2</v>
      </c>
      <c r="Y220" s="50">
        <f t="shared" si="1212"/>
        <v>0.13857921987066946</v>
      </c>
      <c r="Z220" s="50">
        <f t="shared" si="1212"/>
        <v>0.14312402038759298</v>
      </c>
      <c r="AA220" s="50">
        <f t="shared" si="1212"/>
        <v>0.15529178019278622</v>
      </c>
      <c r="AB220" s="50">
        <f t="shared" si="1212"/>
        <v>0.15820654379447108</v>
      </c>
      <c r="AC220" s="50">
        <f t="shared" si="1212"/>
        <v>3.6006739898087003E-2</v>
      </c>
      <c r="AD220" s="50">
        <f>+AD219/Z219-1</f>
        <v>-5.418708720790999E-2</v>
      </c>
      <c r="AE220" s="50">
        <f t="shared" ref="AE220:AV220" si="1213">+AE219/AA219-1</f>
        <v>-2.6055624365623031E-2</v>
      </c>
      <c r="AF220" s="50">
        <f t="shared" si="1213"/>
        <v>-1.2284159058015387E-2</v>
      </c>
      <c r="AG220" s="50">
        <f t="shared" si="1213"/>
        <v>-4.8145408000869194E-3</v>
      </c>
      <c r="AH220" s="50">
        <f>+AH219/AD219-1</f>
        <v>-0.10078562357346499</v>
      </c>
      <c r="AI220" s="50">
        <f t="shared" si="1213"/>
        <v>-1.1529651218529557E-2</v>
      </c>
      <c r="AJ220" s="50">
        <f t="shared" si="1213"/>
        <v>-4.2710999244911729E-2</v>
      </c>
      <c r="AK220" s="50">
        <f t="shared" si="1213"/>
        <v>-2.393232378594623E-2</v>
      </c>
      <c r="AL220" s="50">
        <f>+AL219/AH219-1</f>
        <v>0.12349951219386224</v>
      </c>
      <c r="AM220" s="50">
        <f t="shared" si="1213"/>
        <v>1.4666463585489176E-2</v>
      </c>
      <c r="AN220" s="50">
        <f t="shared" si="1213"/>
        <v>2.6203806942866059E-3</v>
      </c>
      <c r="AO220" s="50">
        <f t="shared" si="1213"/>
        <v>1.5426138718734883E-3</v>
      </c>
      <c r="AP220" s="50">
        <f>+AP219/AL219-1</f>
        <v>-6.8701725483997222E-3</v>
      </c>
      <c r="AQ220" s="50">
        <f t="shared" si="1213"/>
        <v>-1.5470246830468271E-2</v>
      </c>
      <c r="AR220" s="50">
        <f t="shared" si="1213"/>
        <v>1.3304246289988608E-2</v>
      </c>
      <c r="AS220" s="50">
        <f t="shared" si="1213"/>
        <v>4.6209412193070065E-3</v>
      </c>
      <c r="AT220" s="50">
        <f>+AT219/AP219-1</f>
        <v>-2.2982476830114451E-2</v>
      </c>
      <c r="AU220" s="50">
        <f>+AU219/AQ219-1</f>
        <v>4.0773791430199768E-3</v>
      </c>
      <c r="AV220" s="50">
        <f t="shared" si="1213"/>
        <v>-4.1634756011347474E-2</v>
      </c>
      <c r="AW220" s="202"/>
      <c r="AY220" s="50">
        <f>+AY219/AA219-1</f>
        <v>-6.3894810244066291E-2</v>
      </c>
    </row>
    <row r="221" spans="2:51" s="2" customFormat="1" ht="13.5" customHeight="1" thickBot="1">
      <c r="B221" s="51" t="str">
        <f>B161</f>
        <v xml:space="preserve">Adj. EBITDA </v>
      </c>
      <c r="C221" s="52">
        <f t="shared" ref="C221:F221" si="1214">C161/C$201</f>
        <v>1148.4625105307498</v>
      </c>
      <c r="D221" s="52">
        <f t="shared" si="1214"/>
        <v>1173.5369966276533</v>
      </c>
      <c r="E221" s="52">
        <f t="shared" si="1214"/>
        <v>1076.4236902050113</v>
      </c>
      <c r="F221" s="52">
        <f t="shared" si="1214"/>
        <v>1516.2193473643561</v>
      </c>
      <c r="G221" s="52">
        <f t="shared" ref="G221:L221" si="1215">G161/G$201</f>
        <v>1708.1200886560548</v>
      </c>
      <c r="H221" s="52">
        <f t="shared" si="1215"/>
        <v>1951.481331168831</v>
      </c>
      <c r="I221" s="52">
        <f t="shared" si="1215"/>
        <v>1839.7034807978127</v>
      </c>
      <c r="J221" s="52">
        <f t="shared" si="1215"/>
        <v>1875.1708018698312</v>
      </c>
      <c r="K221" s="52">
        <f t="shared" si="1215"/>
        <v>1903.5882502565544</v>
      </c>
      <c r="L221" s="52">
        <f t="shared" si="1215"/>
        <v>1927.0289233647775</v>
      </c>
      <c r="M221" s="52">
        <f t="shared" ref="M221" si="1216">M161/M$201</f>
        <v>1896.1719890046493</v>
      </c>
      <c r="N221" s="49"/>
      <c r="O221" s="52">
        <f t="shared" ref="O221:Q221" si="1217">O161/O$201</f>
        <v>289.48493683187559</v>
      </c>
      <c r="P221" s="52">
        <f t="shared" si="1217"/>
        <v>285.69503273007319</v>
      </c>
      <c r="Q221" s="52">
        <f t="shared" si="1217"/>
        <v>279.31428571428569</v>
      </c>
      <c r="R221" s="52">
        <f t="shared" ref="R221:W221" si="1218">R161/R$201</f>
        <v>224.49389020609149</v>
      </c>
      <c r="S221" s="52">
        <f t="shared" si="1218"/>
        <v>377.62077525300748</v>
      </c>
      <c r="T221" s="52">
        <f t="shared" si="1218"/>
        <v>374.07123707391804</v>
      </c>
      <c r="U221" s="52">
        <f t="shared" si="1218"/>
        <v>343.07396733909707</v>
      </c>
      <c r="V221" s="52">
        <f t="shared" si="1218"/>
        <v>422.76326207442588</v>
      </c>
      <c r="W221" s="52">
        <f t="shared" si="1218"/>
        <v>418.5323627778871</v>
      </c>
      <c r="X221" s="52">
        <f t="shared" ref="X221:AA221" si="1219">X161/X$201</f>
        <v>425.04262321081637</v>
      </c>
      <c r="Y221" s="52">
        <f t="shared" si="1219"/>
        <v>446.56412305233715</v>
      </c>
      <c r="Z221" s="52">
        <f t="shared" si="1219"/>
        <v>417.58497923200798</v>
      </c>
      <c r="AA221" s="52">
        <f t="shared" si="1219"/>
        <v>477.58228110122127</v>
      </c>
      <c r="AB221" s="52">
        <f t="shared" ref="AB221:AC221" si="1220">AB161/AB$201</f>
        <v>482.35546275426248</v>
      </c>
      <c r="AC221" s="52">
        <f t="shared" si="1220"/>
        <v>488.46115488181908</v>
      </c>
      <c r="AD221" s="52">
        <f>AD161/AD$201</f>
        <v>502.40106743465577</v>
      </c>
      <c r="AE221" s="52">
        <f t="shared" ref="AE221:AG221" si="1221">AE161/AE$201</f>
        <v>405.41012216404886</v>
      </c>
      <c r="AF221" s="52">
        <f t="shared" si="1221"/>
        <v>456.93192713326943</v>
      </c>
      <c r="AG221" s="52">
        <f t="shared" si="1221"/>
        <v>458.81036733171732</v>
      </c>
      <c r="AH221" s="52">
        <f>AH161/AH$201</f>
        <v>509.84401279556761</v>
      </c>
      <c r="AI221" s="52">
        <f t="shared" ref="AI221:AK221" si="1222">AI161/AI$201</f>
        <v>474.59327350988542</v>
      </c>
      <c r="AJ221" s="52">
        <f t="shared" si="1222"/>
        <v>472.61042722664735</v>
      </c>
      <c r="AK221" s="52">
        <f t="shared" si="1222"/>
        <v>468.6338953986853</v>
      </c>
      <c r="AL221" s="52">
        <f>AL161/AL$201</f>
        <v>459.57680584107209</v>
      </c>
      <c r="AM221" s="52">
        <f t="shared" ref="AM221:AO221" si="1223">AM161/AM$201</f>
        <v>488.14268098718657</v>
      </c>
      <c r="AN221" s="52">
        <f t="shared" si="1223"/>
        <v>467.93812620847251</v>
      </c>
      <c r="AO221" s="52">
        <f t="shared" si="1223"/>
        <v>469.77723206455011</v>
      </c>
      <c r="AP221" s="52">
        <f>AP161/AP$201</f>
        <v>477.89908020287118</v>
      </c>
      <c r="AQ221" s="52">
        <f t="shared" ref="AQ221:AS221" si="1224">AQ161/AQ$201</f>
        <v>480.9285467725233</v>
      </c>
      <c r="AR221" s="52">
        <f t="shared" si="1224"/>
        <v>484.28146332924905</v>
      </c>
      <c r="AS221" s="52">
        <f t="shared" si="1224"/>
        <v>478.16876750700283</v>
      </c>
      <c r="AT221" s="52">
        <f>AT161/AT$201</f>
        <v>483.61046749352596</v>
      </c>
      <c r="AU221" s="52">
        <f>AU161/AU$201</f>
        <v>479.49826256462416</v>
      </c>
      <c r="AV221" s="52">
        <f t="shared" ref="AV221" si="1225">AV161/AV$201</f>
        <v>455.67501025851459</v>
      </c>
      <c r="AW221" s="49"/>
      <c r="AY221" s="52">
        <f t="shared" ref="AY221" si="1226">AY161/AY$201</f>
        <v>446.56412305233715</v>
      </c>
    </row>
    <row r="222" spans="2:51" s="7" customFormat="1" ht="13.5" customHeight="1" thickTop="1">
      <c r="B222" s="20" t="str">
        <f>B162</f>
        <v xml:space="preserve">% growth </v>
      </c>
      <c r="C222" s="50"/>
      <c r="D222" s="50">
        <f t="shared" ref="D222:L222" si="1227">D221/C221-1</f>
        <v>2.1833090646829589E-2</v>
      </c>
      <c r="E222" s="50">
        <f t="shared" si="1227"/>
        <v>-8.2752658588278516E-2</v>
      </c>
      <c r="F222" s="50">
        <f t="shared" si="1227"/>
        <v>0.40857114272130435</v>
      </c>
      <c r="G222" s="50">
        <f t="shared" si="1227"/>
        <v>0.12656528992673777</v>
      </c>
      <c r="H222" s="50">
        <f t="shared" si="1227"/>
        <v>0.1424731458455315</v>
      </c>
      <c r="I222" s="50">
        <f t="shared" si="1227"/>
        <v>-5.7278462563651322E-2</v>
      </c>
      <c r="J222" s="50">
        <f t="shared" si="1227"/>
        <v>1.9278824790089244E-2</v>
      </c>
      <c r="K222" s="50">
        <f t="shared" si="1227"/>
        <v>1.5154591975507836E-2</v>
      </c>
      <c r="L222" s="50">
        <f t="shared" si="1227"/>
        <v>1.2313940845696925E-2</v>
      </c>
      <c r="M222" s="10"/>
      <c r="N222" s="196"/>
      <c r="O222" s="50"/>
      <c r="P222" s="50"/>
      <c r="Q222" s="50"/>
      <c r="R222" s="50"/>
      <c r="S222" s="50">
        <f t="shared" ref="S222:AC222" si="1228">+S221/O221-1</f>
        <v>0.3044574249205878</v>
      </c>
      <c r="T222" s="50">
        <f t="shared" si="1228"/>
        <v>0.309337560052517</v>
      </c>
      <c r="U222" s="50">
        <f t="shared" si="1228"/>
        <v>0.22827218257655457</v>
      </c>
      <c r="V222" s="50">
        <f t="shared" si="1228"/>
        <v>0.88318382155664787</v>
      </c>
      <c r="W222" s="50">
        <f t="shared" si="1228"/>
        <v>0.10834040446389293</v>
      </c>
      <c r="X222" s="50">
        <f t="shared" si="1228"/>
        <v>0.13626117457094455</v>
      </c>
      <c r="Y222" s="50">
        <f t="shared" si="1228"/>
        <v>0.30165551911710509</v>
      </c>
      <c r="Z222" s="50">
        <f t="shared" si="1228"/>
        <v>-1.2248658544758539E-2</v>
      </c>
      <c r="AA222" s="50">
        <f t="shared" si="1228"/>
        <v>0.14108805811671887</v>
      </c>
      <c r="AB222" s="50">
        <f t="shared" si="1228"/>
        <v>0.13484021698929616</v>
      </c>
      <c r="AC222" s="50">
        <f t="shared" si="1228"/>
        <v>9.3820863940231147E-2</v>
      </c>
      <c r="AD222" s="50">
        <f>+AD221/Z221-1</f>
        <v>0.20311096524265637</v>
      </c>
      <c r="AE222" s="50">
        <f t="shared" ref="AE222:AV222" si="1229">+AE221/AA221-1</f>
        <v>-0.15111984215736818</v>
      </c>
      <c r="AF222" s="50">
        <f t="shared" si="1229"/>
        <v>-5.2707054411333942E-2</v>
      </c>
      <c r="AG222" s="50">
        <f t="shared" si="1229"/>
        <v>-6.0702447377367519E-2</v>
      </c>
      <c r="AH222" s="50">
        <f>+AH221/AD221-1</f>
        <v>1.4814748302420577E-2</v>
      </c>
      <c r="AI222" s="50">
        <f t="shared" si="1229"/>
        <v>0.17064978786553753</v>
      </c>
      <c r="AJ222" s="50">
        <f t="shared" si="1229"/>
        <v>3.4312551087735788E-2</v>
      </c>
      <c r="AK222" s="50">
        <f t="shared" si="1229"/>
        <v>2.1410867683958834E-2</v>
      </c>
      <c r="AL222" s="50">
        <f>+AL221/AH221-1</f>
        <v>-9.8593306370062583E-2</v>
      </c>
      <c r="AM222" s="50">
        <f t="shared" si="1229"/>
        <v>2.8549514360150186E-2</v>
      </c>
      <c r="AN222" s="50">
        <f t="shared" si="1229"/>
        <v>-9.8861572851717261E-3</v>
      </c>
      <c r="AO222" s="50">
        <f t="shared" si="1229"/>
        <v>2.4397225149328516E-3</v>
      </c>
      <c r="AP222" s="50">
        <f>+AP221/AL221-1</f>
        <v>3.9867709007349594E-2</v>
      </c>
      <c r="AQ222" s="50">
        <f t="shared" si="1229"/>
        <v>-1.4778740920736277E-2</v>
      </c>
      <c r="AR222" s="50">
        <f t="shared" si="1229"/>
        <v>3.4926278081250706E-2</v>
      </c>
      <c r="AS222" s="50">
        <f t="shared" si="1229"/>
        <v>1.7862797235987937E-2</v>
      </c>
      <c r="AT222" s="50">
        <f>+AT221/AP221-1</f>
        <v>1.1951032189118749E-2</v>
      </c>
      <c r="AU222" s="50">
        <f>+AU221/AQ221-1</f>
        <v>-2.9740056345120003E-3</v>
      </c>
      <c r="AV222" s="50">
        <f t="shared" si="1229"/>
        <v>-5.9069890625331967E-2</v>
      </c>
      <c r="AW222" s="202"/>
      <c r="AY222" s="50">
        <f>+AY221/AA221-1</f>
        <v>-6.4948301635817995E-2</v>
      </c>
    </row>
    <row r="223" spans="2:51" s="7" customFormat="1" ht="13.5" customHeight="1">
      <c r="B223" s="20" t="str">
        <f>B163</f>
        <v>% margin</v>
      </c>
      <c r="C223" s="50">
        <f t="shared" ref="C223:H223" si="1230">+C221/C219</f>
        <v>0.3299548595563408</v>
      </c>
      <c r="D223" s="50">
        <f t="shared" si="1230"/>
        <v>0.37221974039375083</v>
      </c>
      <c r="E223" s="50">
        <f t="shared" si="1230"/>
        <v>0.34807321654369788</v>
      </c>
      <c r="F223" s="50">
        <f t="shared" si="1230"/>
        <v>0.46413140489517518</v>
      </c>
      <c r="G223" s="50">
        <f t="shared" si="1230"/>
        <v>0.46835429051291683</v>
      </c>
      <c r="H223" s="50">
        <f t="shared" si="1230"/>
        <v>0.50039545024091248</v>
      </c>
      <c r="I223" s="50">
        <f t="shared" ref="I223:J223" si="1231">+I221/I219</f>
        <v>0.49060980025640777</v>
      </c>
      <c r="J223" s="50">
        <f t="shared" si="1231"/>
        <v>0.49440870715277813</v>
      </c>
      <c r="K223" s="50">
        <f t="shared" ref="K223:L223" si="1232">+K221/K219</f>
        <v>0.5004542666476044</v>
      </c>
      <c r="L223" s="50">
        <f t="shared" si="1232"/>
        <v>0.50932743557338311</v>
      </c>
      <c r="M223" s="50">
        <f t="shared" ref="M223" si="1233">+M221/M219</f>
        <v>0.50606376234036776</v>
      </c>
      <c r="N223" s="202"/>
      <c r="O223" s="50">
        <f t="shared" ref="O223:R223" si="1234">+O221/O219</f>
        <v>0.3676895351420742</v>
      </c>
      <c r="P223" s="50">
        <f t="shared" si="1234"/>
        <v>0.35557845298571839</v>
      </c>
      <c r="Q223" s="50">
        <f t="shared" si="1234"/>
        <v>0.36286251608433134</v>
      </c>
      <c r="R223" s="50">
        <f t="shared" si="1234"/>
        <v>0.30571492437225245</v>
      </c>
      <c r="S223" s="50">
        <f t="shared" ref="S223:X223" si="1235">+S221/S219</f>
        <v>0.4868777389334778</v>
      </c>
      <c r="T223" s="50">
        <f t="shared" si="1235"/>
        <v>0.47222356524682108</v>
      </c>
      <c r="U223" s="50">
        <f t="shared" si="1235"/>
        <v>0.42063978140016961</v>
      </c>
      <c r="V223" s="50">
        <f t="shared" si="1235"/>
        <v>0.47726307792004646</v>
      </c>
      <c r="W223" s="50">
        <f t="shared" si="1235"/>
        <v>0.48742152774595615</v>
      </c>
      <c r="X223" s="50">
        <f t="shared" si="1235"/>
        <v>0.4975747870686254</v>
      </c>
      <c r="Y223" s="50">
        <f t="shared" ref="Y223:AB223" si="1236">+Y221/Y219</f>
        <v>0.48088712973519476</v>
      </c>
      <c r="Z223" s="50">
        <f t="shared" si="1236"/>
        <v>0.41239378845590385</v>
      </c>
      <c r="AA223" s="50">
        <f t="shared" si="1236"/>
        <v>0.4814289291378015</v>
      </c>
      <c r="AB223" s="50">
        <f t="shared" si="1236"/>
        <v>0.48753642634017486</v>
      </c>
      <c r="AC223" s="50">
        <f t="shared" ref="AC223" si="1237">+AC221/AC219</f>
        <v>0.50772292828561361</v>
      </c>
      <c r="AD223" s="50">
        <f>+AD221/AD219</f>
        <v>0.52458100558659215</v>
      </c>
      <c r="AE223" s="50">
        <f t="shared" ref="AE223:AG223" si="1238">+AE221/AE219</f>
        <v>0.41960863020572003</v>
      </c>
      <c r="AF223" s="50">
        <f t="shared" si="1238"/>
        <v>0.46758368980809234</v>
      </c>
      <c r="AG223" s="50">
        <f t="shared" si="1238"/>
        <v>0.47921008043313146</v>
      </c>
      <c r="AH223" s="50">
        <f>+AH221/AH219</f>
        <v>0.59201960634142603</v>
      </c>
      <c r="AI223" s="50">
        <f t="shared" ref="AI223:AK223" si="1239">+AI221/AI219</f>
        <v>0.49694434895534928</v>
      </c>
      <c r="AJ223" s="50">
        <f t="shared" si="1239"/>
        <v>0.50520551126248159</v>
      </c>
      <c r="AK223" s="50">
        <f t="shared" si="1239"/>
        <v>0.50147176879850142</v>
      </c>
      <c r="AL223" s="50">
        <f>+AL221/AL219</f>
        <v>0.4749894682858033</v>
      </c>
      <c r="AM223" s="50">
        <f t="shared" ref="AM223:AO223" si="1240">+AM221/AM219</f>
        <v>0.5037437297137799</v>
      </c>
      <c r="AN223" s="50">
        <f t="shared" si="1240"/>
        <v>0.49890365261717806</v>
      </c>
      <c r="AO223" s="50">
        <f t="shared" si="1240"/>
        <v>0.50192095054255148</v>
      </c>
      <c r="AP223" s="50">
        <f>+AP221/AP219</f>
        <v>0.49734304270812835</v>
      </c>
      <c r="AQ223" s="50">
        <f t="shared" ref="AQ223:AS223" si="1241">+AQ221/AQ219</f>
        <v>0.50409754509108673</v>
      </c>
      <c r="AR223" s="50">
        <f t="shared" si="1241"/>
        <v>0.50954933053391527</v>
      </c>
      <c r="AS223" s="50">
        <f t="shared" si="1241"/>
        <v>0.50853674430728557</v>
      </c>
      <c r="AT223" s="50">
        <f>+AT221/AT219</f>
        <v>0.51512566917702562</v>
      </c>
      <c r="AU223" s="50">
        <f t="shared" ref="AU223:AV223" si="1242">+AU221/AU219</f>
        <v>0.50055739387397591</v>
      </c>
      <c r="AV223" s="50">
        <f t="shared" si="1242"/>
        <v>0.50027931450813623</v>
      </c>
      <c r="AW223" s="202"/>
      <c r="AY223" s="50">
        <f t="shared" ref="AY223" si="1243">+AY221/AY219</f>
        <v>0.48088712973519476</v>
      </c>
    </row>
    <row r="224" spans="2:51" ht="13.5" customHeight="1"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Y224" s="53"/>
    </row>
    <row r="225" spans="2:51" s="2" customFormat="1" ht="13.5" customHeight="1">
      <c r="B225" s="2" t="str">
        <f t="shared" ref="B225:B241" si="1244">B165</f>
        <v xml:space="preserve">Adj EBITDA </v>
      </c>
      <c r="C225" s="49">
        <f t="shared" ref="C225:H234" si="1245">C165/C$201</f>
        <v>1148.4625105307498</v>
      </c>
      <c r="D225" s="49">
        <f t="shared" si="1245"/>
        <v>1173.5369966276533</v>
      </c>
      <c r="E225" s="49">
        <f t="shared" si="1245"/>
        <v>1076.4236902050113</v>
      </c>
      <c r="F225" s="49">
        <f t="shared" si="1245"/>
        <v>1516.2193473643561</v>
      </c>
      <c r="G225" s="49">
        <f t="shared" si="1245"/>
        <v>1708.1200886560548</v>
      </c>
      <c r="H225" s="49">
        <f t="shared" si="1245"/>
        <v>1951.481331168831</v>
      </c>
      <c r="I225" s="49">
        <f t="shared" ref="I225:J225" si="1246">I165/I$201</f>
        <v>1839.7034807978127</v>
      </c>
      <c r="J225" s="49">
        <f t="shared" si="1246"/>
        <v>1875.1708018698312</v>
      </c>
      <c r="K225" s="49">
        <f t="shared" ref="K225:L225" si="1247">K165/K$201</f>
        <v>1903.5882502565544</v>
      </c>
      <c r="L225" s="49">
        <f t="shared" si="1247"/>
        <v>1927.0289233647775</v>
      </c>
      <c r="M225" s="49">
        <f t="shared" ref="M225" si="1248">M165/M$201</f>
        <v>1896.1719890046493</v>
      </c>
      <c r="N225" s="49"/>
      <c r="O225" s="49">
        <f t="shared" ref="O225:V236" si="1249">O165/O$201</f>
        <v>289.48493683187559</v>
      </c>
      <c r="P225" s="49">
        <f t="shared" si="1249"/>
        <v>285.69503273007319</v>
      </c>
      <c r="Q225" s="49">
        <f t="shared" si="1249"/>
        <v>279.31428571428569</v>
      </c>
      <c r="R225" s="49">
        <f t="shared" si="1249"/>
        <v>224.49389020609149</v>
      </c>
      <c r="S225" s="49">
        <f t="shared" si="1249"/>
        <v>377.62077525300748</v>
      </c>
      <c r="T225" s="49">
        <f t="shared" si="1249"/>
        <v>374.07123707391804</v>
      </c>
      <c r="U225" s="49">
        <f t="shared" si="1249"/>
        <v>343.07396733909707</v>
      </c>
      <c r="V225" s="49">
        <f t="shared" si="1249"/>
        <v>422.76326207442588</v>
      </c>
      <c r="W225" s="49">
        <f t="shared" ref="W225:Z225" si="1250">W165/W$201</f>
        <v>418.5323627778871</v>
      </c>
      <c r="X225" s="49">
        <f t="shared" si="1250"/>
        <v>425.04262321081637</v>
      </c>
      <c r="Y225" s="49">
        <f t="shared" si="1250"/>
        <v>446.56412305233715</v>
      </c>
      <c r="Z225" s="49">
        <f t="shared" si="1250"/>
        <v>417.58497923200798</v>
      </c>
      <c r="AA225" s="49">
        <f t="shared" ref="AA225:AC225" si="1251">AA165/AA$201</f>
        <v>477.58228110122127</v>
      </c>
      <c r="AB225" s="49">
        <f t="shared" si="1251"/>
        <v>482.35546275426248</v>
      </c>
      <c r="AC225" s="49">
        <f t="shared" si="1251"/>
        <v>488.46115488181908</v>
      </c>
      <c r="AD225" s="49">
        <f>AD165/AD$201</f>
        <v>502.40106743465577</v>
      </c>
      <c r="AE225" s="49">
        <f>AE165/AE$201</f>
        <v>405.41012216404886</v>
      </c>
      <c r="AF225" s="49">
        <f>AF165/AF$201</f>
        <v>456.93192713326943</v>
      </c>
      <c r="AG225" s="49">
        <f>AG165/AG$201</f>
        <v>458.81036733171732</v>
      </c>
      <c r="AH225" s="49">
        <f>AH165/AH$201</f>
        <v>509.84401279556761</v>
      </c>
      <c r="AI225" s="49">
        <f t="shared" ref="AI225:AL225" si="1252">AI165/AI$201</f>
        <v>474.59327350988542</v>
      </c>
      <c r="AJ225" s="49">
        <f t="shared" si="1252"/>
        <v>472.61042722664735</v>
      </c>
      <c r="AK225" s="49">
        <f t="shared" si="1252"/>
        <v>468.6338953986853</v>
      </c>
      <c r="AL225" s="49">
        <f t="shared" si="1252"/>
        <v>459.57680584107209</v>
      </c>
      <c r="AM225" s="49">
        <f t="shared" ref="AM225:AP225" si="1253">AM165/AM$201</f>
        <v>488.14268098718657</v>
      </c>
      <c r="AN225" s="49">
        <f t="shared" si="1253"/>
        <v>467.93812620847251</v>
      </c>
      <c r="AO225" s="49">
        <f t="shared" si="1253"/>
        <v>469.77723206455011</v>
      </c>
      <c r="AP225" s="49">
        <f t="shared" si="1253"/>
        <v>477.89908020287118</v>
      </c>
      <c r="AQ225" s="49">
        <f t="shared" ref="AQ225:AT225" si="1254">AQ165/AQ$201</f>
        <v>480.9285467725233</v>
      </c>
      <c r="AR225" s="49">
        <f t="shared" si="1254"/>
        <v>484.28146332924905</v>
      </c>
      <c r="AS225" s="49">
        <f t="shared" si="1254"/>
        <v>478.16876750700283</v>
      </c>
      <c r="AT225" s="49">
        <f t="shared" si="1254"/>
        <v>483.61046749352596</v>
      </c>
      <c r="AU225" s="49">
        <f t="shared" ref="AU225:AU240" si="1255">AU165/AU$201</f>
        <v>479.49826256462416</v>
      </c>
      <c r="AV225" s="49">
        <f t="shared" ref="AV225" si="1256">AV165/AV$201</f>
        <v>455.67501025851459</v>
      </c>
      <c r="AW225" s="49"/>
      <c r="AY225" s="49">
        <f t="shared" ref="AY225" si="1257">AY165/AY$201</f>
        <v>446.56412305233715</v>
      </c>
    </row>
    <row r="226" spans="2:51" ht="13.5" customHeight="1">
      <c r="B226" s="1" t="str">
        <f t="shared" si="1244"/>
        <v>Working Capital</v>
      </c>
      <c r="C226" s="28">
        <f t="shared" si="1245"/>
        <v>-367.9233361415333</v>
      </c>
      <c r="D226" s="28">
        <f t="shared" si="1245"/>
        <v>-274.27097798055945</v>
      </c>
      <c r="E226" s="28">
        <f t="shared" si="1245"/>
        <v>-173.84206529992406</v>
      </c>
      <c r="F226" s="28">
        <f t="shared" si="1245"/>
        <v>-321.99266267619231</v>
      </c>
      <c r="G226" s="28">
        <f t="shared" si="1245"/>
        <v>47.934716905097723</v>
      </c>
      <c r="H226" s="28">
        <f t="shared" si="1245"/>
        <v>-259.27353896103898</v>
      </c>
      <c r="I226" s="28">
        <f t="shared" ref="I226:J226" si="1258">I166/I$201</f>
        <v>-385.01623883007028</v>
      </c>
      <c r="J226" s="28">
        <f t="shared" si="1258"/>
        <v>-321.88061848256024</v>
      </c>
      <c r="K226" s="28">
        <f t="shared" ref="K226:L226" si="1259">K166/K$201</f>
        <v>-527.7560937102561</v>
      </c>
      <c r="L226" s="28">
        <f t="shared" si="1259"/>
        <v>-309.90185632736501</v>
      </c>
      <c r="M226" s="28">
        <f t="shared" ref="M226" si="1260">M166/M$201</f>
        <v>-339.97352971120239</v>
      </c>
      <c r="N226" s="28"/>
      <c r="O226" s="28">
        <f t="shared" si="1249"/>
        <v>-32.342079689018462</v>
      </c>
      <c r="P226" s="28">
        <f t="shared" si="1249"/>
        <v>119.32999614940316</v>
      </c>
      <c r="Q226" s="28">
        <f t="shared" si="1249"/>
        <v>-292.70476190476188</v>
      </c>
      <c r="R226" s="28">
        <f t="shared" si="1249"/>
        <v>30.548969542221403</v>
      </c>
      <c r="S226" s="28">
        <f t="shared" si="1249"/>
        <v>-92.209280122207375</v>
      </c>
      <c r="T226" s="28">
        <f t="shared" si="1249"/>
        <v>-27.9011872845653</v>
      </c>
      <c r="U226" s="28">
        <f t="shared" si="1249"/>
        <v>43.342939481268012</v>
      </c>
      <c r="V226" s="28">
        <f t="shared" si="1249"/>
        <v>-250.31670625494849</v>
      </c>
      <c r="W226" s="28">
        <f t="shared" ref="W226:Z226" si="1261">W166/W$201</f>
        <v>-121.20794806216801</v>
      </c>
      <c r="X226" s="28">
        <f t="shared" si="1261"/>
        <v>-157.26973553784543</v>
      </c>
      <c r="Y226" s="28">
        <f t="shared" si="1261"/>
        <v>82.840591290451457</v>
      </c>
      <c r="Z226" s="28">
        <f t="shared" si="1261"/>
        <v>261.21047723997617</v>
      </c>
      <c r="AA226" s="28">
        <f t="shared" ref="AA226:AC226" si="1262">AA166/AA$201</f>
        <v>-142.14448354377976</v>
      </c>
      <c r="AB226" s="28">
        <f t="shared" si="1262"/>
        <v>-12.113334347387198</v>
      </c>
      <c r="AC226" s="28">
        <f t="shared" si="1262"/>
        <v>0.39892290814800041</v>
      </c>
      <c r="AD226" s="28">
        <f t="shared" ref="AD226:AD240" si="1263">AD166/AD$201</f>
        <v>-105.93760527376129</v>
      </c>
      <c r="AE226" s="28">
        <f t="shared" ref="AE226:AG226" si="1264">AE166/AE$201</f>
        <v>-40.023269342641072</v>
      </c>
      <c r="AF226" s="28">
        <f t="shared" si="1264"/>
        <v>-116.62511984659636</v>
      </c>
      <c r="AG226" s="28">
        <f t="shared" si="1264"/>
        <v>-153.17919075144508</v>
      </c>
      <c r="AH226" s="28">
        <f t="shared" ref="AH226:AK240" si="1265">AH166/AH$201</f>
        <v>-76.212775780760467</v>
      </c>
      <c r="AI226" s="28">
        <f t="shared" si="1265"/>
        <v>33.523017436346393</v>
      </c>
      <c r="AJ226" s="28">
        <f t="shared" si="1265"/>
        <v>-205.70238957277334</v>
      </c>
      <c r="AK226" s="28">
        <f t="shared" si="1265"/>
        <v>-64.07187767933695</v>
      </c>
      <c r="AL226" s="28">
        <f t="shared" ref="AL226:AO226" si="1266">AL166/AL$201</f>
        <v>-84.904657262352075</v>
      </c>
      <c r="AM226" s="28">
        <f t="shared" si="1266"/>
        <v>-69.55340708043677</v>
      </c>
      <c r="AN226" s="28">
        <f t="shared" si="1266"/>
        <v>16.611003691334155</v>
      </c>
      <c r="AO226" s="28">
        <f t="shared" si="1266"/>
        <v>-212.03297667075952</v>
      </c>
      <c r="AP226" s="28">
        <f t="shared" ref="AP226:AS226" si="1267">AP166/AP$201</f>
        <v>-258.74666895899594</v>
      </c>
      <c r="AQ226" s="28">
        <f t="shared" si="1267"/>
        <v>-76.303072143596822</v>
      </c>
      <c r="AR226" s="28">
        <f t="shared" si="1267"/>
        <v>-85.629266584981622</v>
      </c>
      <c r="AS226" s="28">
        <f t="shared" si="1267"/>
        <v>0.82282913165266114</v>
      </c>
      <c r="AT226" s="28">
        <f t="shared" ref="AT226:AV226" si="1268">AT166/AT$201</f>
        <v>-146.89246285947937</v>
      </c>
      <c r="AU226" s="28">
        <f t="shared" si="1255"/>
        <v>-115.67081956097975</v>
      </c>
      <c r="AV226" s="28">
        <f t="shared" si="1268"/>
        <v>-76.109971276159214</v>
      </c>
      <c r="AW226" s="28"/>
      <c r="AY226" s="28">
        <f t="shared" ref="AY226" si="1269">AY166/AY$201</f>
        <v>90.151817818617658</v>
      </c>
    </row>
    <row r="227" spans="2:51" ht="13.5" customHeight="1">
      <c r="B227" s="1" t="str">
        <f t="shared" si="1244"/>
        <v>Taxes</v>
      </c>
      <c r="C227" s="28">
        <f t="shared" si="1245"/>
        <v>-146.69334456613311</v>
      </c>
      <c r="D227" s="28">
        <f t="shared" si="1245"/>
        <v>-90.259869073596519</v>
      </c>
      <c r="E227" s="28">
        <f t="shared" si="1245"/>
        <v>-46.393318147304477</v>
      </c>
      <c r="F227" s="28">
        <f t="shared" si="1245"/>
        <v>-40.490442170303147</v>
      </c>
      <c r="G227" s="28">
        <f t="shared" si="1245"/>
        <v>-45.295184364295785</v>
      </c>
      <c r="H227" s="28">
        <f t="shared" si="1245"/>
        <v>-43.060064935064936</v>
      </c>
      <c r="I227" s="28">
        <f t="shared" ref="I227:J227" si="1270">I167/I$201</f>
        <v>-76.845446705444132</v>
      </c>
      <c r="J227" s="28">
        <f t="shared" si="1270"/>
        <v>-37.001078748651565</v>
      </c>
      <c r="K227" s="28">
        <f t="shared" ref="K227:L227" si="1271">K167/K$201</f>
        <v>-57.573392041118844</v>
      </c>
      <c r="L227" s="28">
        <f t="shared" si="1271"/>
        <v>-46.01405022392003</v>
      </c>
      <c r="M227" s="28">
        <f t="shared" ref="M227" si="1272">M167/M$201</f>
        <v>-43.455390776122442</v>
      </c>
      <c r="N227" s="28"/>
      <c r="O227" s="28">
        <f t="shared" si="1249"/>
        <v>-3.5568513119533525</v>
      </c>
      <c r="P227" s="28">
        <f t="shared" si="1249"/>
        <v>-9.3184443588756256</v>
      </c>
      <c r="Q227" s="28">
        <f t="shared" si="1249"/>
        <v>-19.409523809523808</v>
      </c>
      <c r="R227" s="28">
        <f t="shared" si="1249"/>
        <v>-13.824548604778403</v>
      </c>
      <c r="S227" s="28">
        <f t="shared" si="1249"/>
        <v>-10.57857552033607</v>
      </c>
      <c r="T227" s="28">
        <f t="shared" si="1249"/>
        <v>-11.911145155112983</v>
      </c>
      <c r="U227" s="28">
        <f t="shared" si="1249"/>
        <v>-6.8395773294908748</v>
      </c>
      <c r="V227" s="28">
        <f t="shared" si="1249"/>
        <v>-11.183689627870148</v>
      </c>
      <c r="W227" s="28">
        <f t="shared" ref="W227:Z227" si="1273">W167/W$201</f>
        <v>-7.3185126893566794</v>
      </c>
      <c r="X227" s="28">
        <f t="shared" si="1273"/>
        <v>-9.456405376471988</v>
      </c>
      <c r="Y227" s="28">
        <f t="shared" si="1273"/>
        <v>-5.253695565321614</v>
      </c>
      <c r="Z227" s="28">
        <f t="shared" si="1273"/>
        <v>-24.073917097567168</v>
      </c>
      <c r="AA227" s="28">
        <f t="shared" ref="AA227:AC227" si="1274">AA167/AA$201</f>
        <v>-6.2098944317946589</v>
      </c>
      <c r="AB227" s="28">
        <f t="shared" si="1274"/>
        <v>-0.20742010868813693</v>
      </c>
      <c r="AC227" s="28">
        <f t="shared" si="1274"/>
        <v>-29.001695422359631</v>
      </c>
      <c r="AD227" s="28">
        <f t="shared" si="1263"/>
        <v>-7.0942129981306659</v>
      </c>
      <c r="AE227" s="28">
        <f t="shared" ref="AE227:AG227" si="1275">AE167/AE$201</f>
        <v>-6.9808027923211169</v>
      </c>
      <c r="AF227" s="28">
        <f t="shared" si="1275"/>
        <v>-34.400767018216683</v>
      </c>
      <c r="AG227" s="28">
        <f t="shared" si="1275"/>
        <v>-27.223568898004846</v>
      </c>
      <c r="AH227" s="28">
        <f t="shared" si="1265"/>
        <v>-9.4647627213666166</v>
      </c>
      <c r="AI227" s="28">
        <f t="shared" si="1265"/>
        <v>0</v>
      </c>
      <c r="AJ227" s="28">
        <f t="shared" si="1265"/>
        <v>-24.837074583635047</v>
      </c>
      <c r="AK227" s="28">
        <f t="shared" si="1265"/>
        <v>-17.665761646184624</v>
      </c>
      <c r="AL227" s="28">
        <f t="shared" ref="AL227:AO227" si="1276">AL167/AL$201</f>
        <v>5.3696746296165054</v>
      </c>
      <c r="AM227" s="28">
        <f t="shared" si="1276"/>
        <v>-13.617599227978626</v>
      </c>
      <c r="AN227" s="28">
        <f t="shared" si="1276"/>
        <v>-23.67727192828265</v>
      </c>
      <c r="AO227" s="28">
        <f t="shared" si="1276"/>
        <v>-8.0161375197333804</v>
      </c>
      <c r="AP227" s="28">
        <f t="shared" ref="AP227:AS227" si="1277">AP167/AP$201</f>
        <v>-12.309808303962864</v>
      </c>
      <c r="AQ227" s="28">
        <f t="shared" si="1277"/>
        <v>-15.516051087331723</v>
      </c>
      <c r="AR227" s="28">
        <f t="shared" si="1277"/>
        <v>-36.285664274461752</v>
      </c>
      <c r="AS227" s="28">
        <f t="shared" si="1277"/>
        <v>-11.992296918767508</v>
      </c>
      <c r="AT227" s="28">
        <f t="shared" ref="AT227:AV227" si="1278">AT167/AT$201</f>
        <v>17.053973013493255</v>
      </c>
      <c r="AU227" s="28">
        <f t="shared" si="1255"/>
        <v>-13.848631239935589</v>
      </c>
      <c r="AV227" s="28">
        <f t="shared" si="1278"/>
        <v>-33.8120640131309</v>
      </c>
      <c r="AW227" s="28"/>
      <c r="AY227" s="28">
        <f t="shared" ref="AY227" si="1279">AY167/AY$201</f>
        <v>-5.253695565321614</v>
      </c>
    </row>
    <row r="228" spans="2:51" ht="13.5" customHeight="1">
      <c r="B228" s="1" t="str">
        <f t="shared" si="1244"/>
        <v>Cash interest paid</v>
      </c>
      <c r="C228" s="28">
        <f t="shared" si="1245"/>
        <v>-137.15248525695031</v>
      </c>
      <c r="D228" s="28">
        <f t="shared" si="1245"/>
        <v>-140.36897440983932</v>
      </c>
      <c r="E228" s="28">
        <f t="shared" si="1245"/>
        <v>-125.55049354593774</v>
      </c>
      <c r="F228" s="28">
        <f t="shared" si="1245"/>
        <v>-137.92237883761345</v>
      </c>
      <c r="G228" s="28">
        <f t="shared" si="1245"/>
        <v>-168.20471489018738</v>
      </c>
      <c r="H228" s="28">
        <f t="shared" si="1245"/>
        <v>-181.04707792207793</v>
      </c>
      <c r="I228" s="28">
        <f t="shared" ref="I228:J228" si="1280">I168/I$201</f>
        <v>-165.37918126938109</v>
      </c>
      <c r="J228" s="28">
        <f t="shared" si="1280"/>
        <v>-174.66738583243438</v>
      </c>
      <c r="K228" s="28">
        <f t="shared" ref="K228:L228" si="1281">K168/K$201</f>
        <v>-188.40287340695195</v>
      </c>
      <c r="L228" s="28">
        <f t="shared" si="1281"/>
        <v>-229.25599646578831</v>
      </c>
      <c r="M228" s="28">
        <f t="shared" ref="M228" si="1282">M168/M$201</f>
        <v>-222.50313910476126</v>
      </c>
      <c r="N228" s="28"/>
      <c r="O228" s="28">
        <f t="shared" si="1249"/>
        <v>-29.407191448007772</v>
      </c>
      <c r="P228" s="28">
        <f t="shared" si="1249"/>
        <v>-30.766268771659607</v>
      </c>
      <c r="Q228" s="28">
        <f t="shared" si="1249"/>
        <v>-32.209523809523809</v>
      </c>
      <c r="R228" s="28">
        <f t="shared" si="1249"/>
        <v>-33.047601677913541</v>
      </c>
      <c r="S228" s="28">
        <f t="shared" si="1249"/>
        <v>-32.51861752911973</v>
      </c>
      <c r="T228" s="28">
        <f t="shared" si="1249"/>
        <v>-34.967445423209497</v>
      </c>
      <c r="U228" s="28">
        <f t="shared" si="1249"/>
        <v>-33.102785782901059</v>
      </c>
      <c r="V228" s="28">
        <f t="shared" si="1249"/>
        <v>-37.430720506729998</v>
      </c>
      <c r="W228" s="28">
        <f t="shared" ref="W228:Z228" si="1283">W168/W$201</f>
        <v>-38.46153846153846</v>
      </c>
      <c r="X228" s="28">
        <f t="shared" si="1283"/>
        <v>-42.246540581261648</v>
      </c>
      <c r="Y228" s="28">
        <f t="shared" si="1283"/>
        <v>-88.134238913304031</v>
      </c>
      <c r="Z228" s="28">
        <f t="shared" si="1283"/>
        <v>3.1787742646435522</v>
      </c>
      <c r="AA228" s="28">
        <f t="shared" ref="AA228:AC228" si="1284">AA168/AA$201</f>
        <v>-43.800455392258328</v>
      </c>
      <c r="AB228" s="28">
        <f t="shared" si="1284"/>
        <v>-45.632423911390127</v>
      </c>
      <c r="AC228" s="28">
        <f t="shared" si="1284"/>
        <v>-46.295003490575446</v>
      </c>
      <c r="AD228" s="28">
        <f t="shared" si="1263"/>
        <v>-45.280102516001598</v>
      </c>
      <c r="AE228" s="28">
        <f t="shared" ref="AE228:AG228" si="1285">AE168/AE$201</f>
        <v>-40.139616055846425</v>
      </c>
      <c r="AF228" s="28">
        <f t="shared" si="1285"/>
        <v>-45.254074784276128</v>
      </c>
      <c r="AG228" s="28">
        <f t="shared" si="1285"/>
        <v>-40.275964944993468</v>
      </c>
      <c r="AH228" s="28">
        <f t="shared" si="1265"/>
        <v>-39.953170860402984</v>
      </c>
      <c r="AI228" s="28">
        <f t="shared" si="1265"/>
        <v>-40.180199897862401</v>
      </c>
      <c r="AJ228" s="28">
        <f t="shared" si="1265"/>
        <v>-41.202027516292539</v>
      </c>
      <c r="AK228" s="28">
        <f t="shared" si="1265"/>
        <v>-42.012003429551299</v>
      </c>
      <c r="AL228" s="28">
        <f t="shared" ref="AL228:AO228" si="1286">AL168/AL$201</f>
        <v>-51.109378322818486</v>
      </c>
      <c r="AM228" s="28">
        <f t="shared" si="1286"/>
        <v>-38.243651375163068</v>
      </c>
      <c r="AN228" s="28">
        <f t="shared" si="1286"/>
        <v>-47.776410616980137</v>
      </c>
      <c r="AO228" s="28">
        <f t="shared" si="1286"/>
        <v>-42.571478687949487</v>
      </c>
      <c r="AP228" s="28">
        <f t="shared" ref="AP228:AS228" si="1287">AP168/AP$201</f>
        <v>-59.3999828075303</v>
      </c>
      <c r="AQ228" s="28">
        <f t="shared" si="1287"/>
        <v>-48.463928201587848</v>
      </c>
      <c r="AR228" s="28">
        <f t="shared" si="1287"/>
        <v>-64.51951689130054</v>
      </c>
      <c r="AS228" s="28">
        <f t="shared" si="1287"/>
        <v>-51.400560224089638</v>
      </c>
      <c r="AT228" s="28">
        <f t="shared" ref="AT228:AV228" si="1288">AT168/AT$201</f>
        <v>-64.791467902412435</v>
      </c>
      <c r="AU228" s="28">
        <f t="shared" si="1255"/>
        <v>-52.377320111873892</v>
      </c>
      <c r="AV228" s="28">
        <f t="shared" si="1288"/>
        <v>-53.902338941321297</v>
      </c>
      <c r="AW228" s="28"/>
      <c r="AY228" s="28">
        <f t="shared" ref="AY228" si="1289">AY168/AY$201</f>
        <v>-39.272872552936477</v>
      </c>
    </row>
    <row r="229" spans="2:51" s="2" customFormat="1" ht="13.5" customHeight="1" thickBot="1">
      <c r="B229" s="51" t="str">
        <f t="shared" si="1244"/>
        <v xml:space="preserve">Net cash from operations </v>
      </c>
      <c r="C229" s="52">
        <f t="shared" si="1245"/>
        <v>496.69334456613313</v>
      </c>
      <c r="D229" s="52">
        <f t="shared" si="1245"/>
        <v>668.63717516365807</v>
      </c>
      <c r="E229" s="52">
        <f t="shared" si="1245"/>
        <v>730.63781321184513</v>
      </c>
      <c r="F229" s="52">
        <f t="shared" si="1245"/>
        <v>1015.8138636802472</v>
      </c>
      <c r="G229" s="52">
        <f t="shared" si="1245"/>
        <v>1542.5549063066692</v>
      </c>
      <c r="H229" s="52">
        <f t="shared" si="1245"/>
        <v>1468.1006493506493</v>
      </c>
      <c r="I229" s="52">
        <f t="shared" ref="I229:J229" si="1290">I169/I$201</f>
        <v>1212.4626139929173</v>
      </c>
      <c r="J229" s="52">
        <f t="shared" si="1290"/>
        <v>1341.6217188061848</v>
      </c>
      <c r="K229" s="52">
        <f t="shared" ref="K229:L229" si="1291">K169/K$201</f>
        <v>1129.8558910982274</v>
      </c>
      <c r="L229" s="52">
        <f t="shared" si="1291"/>
        <v>1341.8570203477041</v>
      </c>
      <c r="M229" s="52">
        <f t="shared" ref="M229" si="1292">M169/M$201</f>
        <v>1290.2399294125632</v>
      </c>
      <c r="N229" s="49"/>
      <c r="O229" s="52">
        <f t="shared" si="1249"/>
        <v>224.17881438289601</v>
      </c>
      <c r="P229" s="52">
        <f t="shared" si="1249"/>
        <v>364.94031574894109</v>
      </c>
      <c r="Q229" s="52">
        <f t="shared" si="1249"/>
        <v>-65.009523809523813</v>
      </c>
      <c r="R229" s="52">
        <f t="shared" si="1249"/>
        <v>208.17070946562097</v>
      </c>
      <c r="S229" s="52">
        <f t="shared" si="1249"/>
        <v>242.31430208134429</v>
      </c>
      <c r="T229" s="52">
        <f t="shared" si="1249"/>
        <v>299.29145921103026</v>
      </c>
      <c r="U229" s="52">
        <f t="shared" si="1249"/>
        <v>346.47454370797311</v>
      </c>
      <c r="V229" s="52">
        <f t="shared" si="1249"/>
        <v>123.83214568487725</v>
      </c>
      <c r="W229" s="52">
        <f t="shared" ref="W229:Z229" si="1293">W169/W$201</f>
        <v>251.54436356482393</v>
      </c>
      <c r="X229" s="52">
        <f t="shared" si="1293"/>
        <v>216.06994171523729</v>
      </c>
      <c r="Y229" s="52">
        <f t="shared" si="1293"/>
        <v>436.01677986416297</v>
      </c>
      <c r="Z229" s="52">
        <f t="shared" si="1293"/>
        <v>657.90031363906053</v>
      </c>
      <c r="AA229" s="52">
        <f t="shared" ref="AA229:AC229" si="1294">AA169/AA$201</f>
        <v>285.42744773338853</v>
      </c>
      <c r="AB229" s="52">
        <f t="shared" si="1294"/>
        <v>424.40228438679702</v>
      </c>
      <c r="AC229" s="52">
        <f t="shared" si="1294"/>
        <v>413.56337887703205</v>
      </c>
      <c r="AD229" s="52">
        <f t="shared" si="1263"/>
        <v>344.08914664676223</v>
      </c>
      <c r="AE229" s="52">
        <f t="shared" ref="AE229:AG229" si="1295">AE169/AE$201</f>
        <v>318.26643397324028</v>
      </c>
      <c r="AF229" s="52">
        <f t="shared" si="1295"/>
        <v>260.65196548418027</v>
      </c>
      <c r="AG229" s="52">
        <f t="shared" si="1295"/>
        <v>238.13164273727389</v>
      </c>
      <c r="AH229" s="52">
        <f t="shared" si="1265"/>
        <v>384.21330343303754</v>
      </c>
      <c r="AI229" s="52">
        <f t="shared" si="1265"/>
        <v>467.93609104836941</v>
      </c>
      <c r="AJ229" s="52">
        <f t="shared" si="1265"/>
        <v>200.86893555394641</v>
      </c>
      <c r="AK229" s="52">
        <f t="shared" si="1265"/>
        <v>344.88425264361246</v>
      </c>
      <c r="AL229" s="52">
        <f t="shared" ref="AL229:AO229" si="1296">AL169/AL$201</f>
        <v>328.93244488551801</v>
      </c>
      <c r="AM229" s="52">
        <f t="shared" si="1296"/>
        <v>366.7280233036081</v>
      </c>
      <c r="AN229" s="52">
        <f t="shared" si="1296"/>
        <v>413.09544735454386</v>
      </c>
      <c r="AO229" s="52">
        <f t="shared" si="1296"/>
        <v>207.1566391861077</v>
      </c>
      <c r="AP229" s="52">
        <f t="shared" ref="AP229:AS229" si="1297">AP169/AP$201</f>
        <v>147.44262013238202</v>
      </c>
      <c r="AQ229" s="52">
        <f t="shared" si="1297"/>
        <v>340.6454953400069</v>
      </c>
      <c r="AR229" s="52">
        <f t="shared" si="1297"/>
        <v>297.84701557850514</v>
      </c>
      <c r="AS229" s="52">
        <f t="shared" si="1297"/>
        <v>415.59873949579833</v>
      </c>
      <c r="AT229" s="52">
        <f t="shared" ref="AT229:AV229" si="1298">AT169/AT$201</f>
        <v>288.98050974512745</v>
      </c>
      <c r="AU229" s="52">
        <f t="shared" si="1255"/>
        <v>297.60149165183492</v>
      </c>
      <c r="AV229" s="52">
        <f t="shared" si="1298"/>
        <v>291.85063602790319</v>
      </c>
      <c r="AW229" s="49"/>
      <c r="AY229" s="52">
        <f t="shared" ref="AY229" si="1299">AY169/AY$201</f>
        <v>492.18937275269673</v>
      </c>
    </row>
    <row r="230" spans="2:51" ht="13.5" customHeight="1" thickTop="1">
      <c r="B230" s="1" t="str">
        <f t="shared" si="1244"/>
        <v>Net Capex</v>
      </c>
      <c r="C230" s="28">
        <f t="shared" si="1245"/>
        <v>-862.17354675652916</v>
      </c>
      <c r="D230" s="28">
        <f t="shared" si="1245"/>
        <v>-732.94981154532832</v>
      </c>
      <c r="E230" s="28">
        <f t="shared" si="1245"/>
        <v>-919.24829157175395</v>
      </c>
      <c r="F230" s="28">
        <f t="shared" si="1245"/>
        <v>-1727.6887430005793</v>
      </c>
      <c r="G230" s="28">
        <f t="shared" si="1245"/>
        <v>-1570.6024581906104</v>
      </c>
      <c r="H230" s="28">
        <f t="shared" si="1245"/>
        <v>-2085.2272727272725</v>
      </c>
      <c r="I230" s="28">
        <f t="shared" ref="I230:J230" si="1300">I170/I$201</f>
        <v>-637.03921172865557</v>
      </c>
      <c r="J230" s="28">
        <f t="shared" si="1300"/>
        <v>-979.21610931319674</v>
      </c>
      <c r="K230" s="28">
        <f t="shared" ref="K230:L230" si="1301">K170/K$201</f>
        <v>-1112.6996517879854</v>
      </c>
      <c r="L230" s="28">
        <f t="shared" si="1301"/>
        <v>-1067.9556144590838</v>
      </c>
      <c r="M230" s="28">
        <f t="shared" ref="M230" si="1302">M170/M$201</f>
        <v>-881.85088403977329</v>
      </c>
      <c r="N230" s="28"/>
      <c r="O230" s="28">
        <f t="shared" si="1249"/>
        <v>-251.15646258503401</v>
      </c>
      <c r="P230" s="28">
        <f t="shared" si="1249"/>
        <v>-366.34578359645747</v>
      </c>
      <c r="Q230" s="28">
        <f t="shared" si="1249"/>
        <v>-157.29523809523809</v>
      </c>
      <c r="R230" s="28">
        <f t="shared" si="1249"/>
        <v>-149.88145175998537</v>
      </c>
      <c r="S230" s="28">
        <f t="shared" si="1249"/>
        <v>-360.9127362994081</v>
      </c>
      <c r="T230" s="28">
        <f t="shared" si="1249"/>
        <v>-421.02642665645345</v>
      </c>
      <c r="U230" s="28">
        <f t="shared" si="1249"/>
        <v>-386.12872238232472</v>
      </c>
      <c r="V230" s="28">
        <f t="shared" si="1249"/>
        <v>-563.97466349960405</v>
      </c>
      <c r="W230" s="28">
        <f t="shared" ref="W230:Z230" si="1303">W170/W$201</f>
        <v>-335.25477080464293</v>
      </c>
      <c r="X230" s="28">
        <f t="shared" si="1303"/>
        <v>-474.76309424685775</v>
      </c>
      <c r="Y230" s="28">
        <f t="shared" si="1303"/>
        <v>-383.79944067119453</v>
      </c>
      <c r="Z230" s="28">
        <f t="shared" si="1303"/>
        <v>-376.09137916419417</v>
      </c>
      <c r="AA230" s="28">
        <f t="shared" ref="AA230:AC230" si="1304">AA170/AA$201</f>
        <v>-413.64106810184222</v>
      </c>
      <c r="AB230" s="28">
        <f t="shared" si="1304"/>
        <v>-714.06446616978019</v>
      </c>
      <c r="AC230" s="28">
        <f t="shared" si="1304"/>
        <v>-577.87972474319338</v>
      </c>
      <c r="AD230" s="28">
        <f t="shared" si="1263"/>
        <v>-384.01886505802844</v>
      </c>
      <c r="AE230" s="28">
        <f t="shared" ref="AE230:AG230" si="1305">AE170/AE$201</f>
        <v>-434.26410703897614</v>
      </c>
      <c r="AF230" s="28">
        <f t="shared" si="1305"/>
        <v>246.15532118887825</v>
      </c>
      <c r="AG230" s="28">
        <f t="shared" si="1305"/>
        <v>-282.39791161663248</v>
      </c>
      <c r="AH230" s="28">
        <f t="shared" si="1265"/>
        <v>-165.13867361408828</v>
      </c>
      <c r="AI230" s="28">
        <f t="shared" si="1265"/>
        <v>-286.98840008754649</v>
      </c>
      <c r="AJ230" s="28">
        <f t="shared" si="1265"/>
        <v>-563.64952932657491</v>
      </c>
      <c r="AK230" s="28">
        <f t="shared" si="1265"/>
        <v>-101.68976850528722</v>
      </c>
      <c r="AL230" s="28">
        <f t="shared" ref="AL230:AO230" si="1306">AL170/AL$201</f>
        <v>-33.671227050400532</v>
      </c>
      <c r="AM230" s="28">
        <f t="shared" si="1306"/>
        <v>-306.91423771824793</v>
      </c>
      <c r="AN230" s="28">
        <f t="shared" si="1306"/>
        <v>-325.99753911056422</v>
      </c>
      <c r="AO230" s="28">
        <f t="shared" si="1306"/>
        <v>-166.21645325381513</v>
      </c>
      <c r="AP230" s="28">
        <f t="shared" ref="AP230:AS230" si="1307">AP170/AP$201</f>
        <v>-313.48749247829448</v>
      </c>
      <c r="AQ230" s="28">
        <f t="shared" si="1307"/>
        <v>-277.4767000345185</v>
      </c>
      <c r="AR230" s="28">
        <f t="shared" si="1307"/>
        <v>-296.48170838438648</v>
      </c>
      <c r="AS230" s="28">
        <f t="shared" si="1307"/>
        <v>-315.0385154061625</v>
      </c>
      <c r="AT230" s="28">
        <f t="shared" ref="AT230:AV230" si="1308">AT170/AT$201</f>
        <v>-181.17077824724004</v>
      </c>
      <c r="AU230" s="28">
        <f t="shared" si="1255"/>
        <v>-203.4918213407916</v>
      </c>
      <c r="AV230" s="28">
        <f t="shared" si="1308"/>
        <v>-186.08124743537138</v>
      </c>
      <c r="AW230" s="28"/>
      <c r="AY230" s="28">
        <f t="shared" ref="AY230" si="1309">AY170/AY$201</f>
        <v>-439.97203355972829</v>
      </c>
    </row>
    <row r="231" spans="2:51" ht="13.5" customHeight="1">
      <c r="B231" s="1" t="str">
        <f t="shared" si="1244"/>
        <v>Acquisitions investments in associates and joint ventures  / (Asset Sales)</v>
      </c>
      <c r="C231" s="28">
        <f t="shared" si="1245"/>
        <v>-99.094355518112891</v>
      </c>
      <c r="D231" s="28">
        <f t="shared" si="1245"/>
        <v>181.27355683396152</v>
      </c>
      <c r="E231" s="28">
        <f t="shared" si="1245"/>
        <v>197.55125284738043</v>
      </c>
      <c r="F231" s="28">
        <f t="shared" si="1245"/>
        <v>18.034369569414945</v>
      </c>
      <c r="G231" s="28">
        <f t="shared" si="1245"/>
        <v>29.034857948821276</v>
      </c>
      <c r="H231" s="28">
        <f t="shared" si="1245"/>
        <v>-18.526785714285715</v>
      </c>
      <c r="I231" s="28">
        <f t="shared" ref="I231:J231" si="1310">I171/I$201</f>
        <v>-19.376502321143505</v>
      </c>
      <c r="J231" s="28">
        <f t="shared" si="1310"/>
        <v>-29.413879899316793</v>
      </c>
      <c r="K231" s="28">
        <f t="shared" ref="K231:L231" si="1311">K171/K$201</f>
        <v>-66.642692371788684</v>
      </c>
      <c r="L231" s="28">
        <f t="shared" si="1311"/>
        <v>-0.19057023812617482</v>
      </c>
      <c r="M231" s="28">
        <f t="shared" ref="M231" si="1312">M171/M$201</f>
        <v>-2.8167102182102015</v>
      </c>
      <c r="N231" s="28"/>
      <c r="O231" s="28">
        <f t="shared" si="1249"/>
        <v>32.069970845481045</v>
      </c>
      <c r="P231" s="28">
        <f t="shared" si="1249"/>
        <v>-0.98190219484020025</v>
      </c>
      <c r="Q231" s="28">
        <f t="shared" si="1249"/>
        <v>-32.799999999999997</v>
      </c>
      <c r="R231" s="28">
        <f t="shared" si="1249"/>
        <v>192.04814882363664</v>
      </c>
      <c r="S231" s="28">
        <f t="shared" si="1249"/>
        <v>0</v>
      </c>
      <c r="T231" s="28">
        <f t="shared" si="1249"/>
        <v>-1.3404825737265416</v>
      </c>
      <c r="U231" s="28">
        <f t="shared" si="1249"/>
        <v>0</v>
      </c>
      <c r="V231" s="28">
        <f t="shared" si="1249"/>
        <v>19.873317498020583</v>
      </c>
      <c r="W231" s="28">
        <f t="shared" ref="W231:Z231" si="1313">W171/W$201</f>
        <v>0</v>
      </c>
      <c r="X231" s="28">
        <f t="shared" si="1313"/>
        <v>-1.1894849530153444</v>
      </c>
      <c r="Y231" s="28">
        <f t="shared" si="1313"/>
        <v>0</v>
      </c>
      <c r="Z231" s="28">
        <f t="shared" si="1313"/>
        <v>31.808934474866479</v>
      </c>
      <c r="AA231" s="28">
        <f t="shared" ref="AA231:AC231" si="1314">AA171/AA$201</f>
        <v>-10.494721589732974</v>
      </c>
      <c r="AB231" s="28">
        <f t="shared" si="1314"/>
        <v>-17.692935271098079</v>
      </c>
      <c r="AC231" s="28">
        <f t="shared" si="1314"/>
        <v>-0.15956916325920018</v>
      </c>
      <c r="AD231" s="28">
        <f t="shared" si="1263"/>
        <v>9.016388028350427</v>
      </c>
      <c r="AE231" s="28">
        <f t="shared" ref="AE231:AG231" si="1315">AE171/AE$201</f>
        <v>-0.98894706224549156</v>
      </c>
      <c r="AF231" s="28">
        <f t="shared" si="1315"/>
        <v>-61.744966442953022</v>
      </c>
      <c r="AG231" s="28">
        <f t="shared" si="1315"/>
        <v>0</v>
      </c>
      <c r="AH231" s="28">
        <f t="shared" si="1265"/>
        <v>36.523431058932154</v>
      </c>
      <c r="AI231" s="28">
        <f t="shared" si="1265"/>
        <v>-1.2949587801853066</v>
      </c>
      <c r="AJ231" s="28">
        <f t="shared" si="1265"/>
        <v>0</v>
      </c>
      <c r="AK231" s="28">
        <f t="shared" si="1265"/>
        <v>-1.7862246356101744E-2</v>
      </c>
      <c r="AL231" s="28">
        <f t="shared" ref="AL231:AO231" si="1316">AL171/AL$201</f>
        <v>-27.716736372013909</v>
      </c>
      <c r="AM231" s="28">
        <f t="shared" si="1316"/>
        <v>-1.4475400754150509</v>
      </c>
      <c r="AN231" s="28">
        <f t="shared" si="1316"/>
        <v>-50.887677975039551</v>
      </c>
      <c r="AO231" s="28">
        <f t="shared" si="1316"/>
        <v>-12.55920014032626</v>
      </c>
      <c r="AP231" s="28">
        <f t="shared" ref="AP231:AS231" si="1317">AP171/AP$201</f>
        <v>-1.8395942577151208</v>
      </c>
      <c r="AQ231" s="28">
        <f t="shared" si="1317"/>
        <v>-0.13807386952019332</v>
      </c>
      <c r="AR231" s="28">
        <f t="shared" si="1317"/>
        <v>-1.8729214073166462</v>
      </c>
      <c r="AS231" s="28">
        <f t="shared" si="1317"/>
        <v>-1.2079831932773111</v>
      </c>
      <c r="AT231" s="28">
        <f t="shared" ref="AT231:AV231" si="1318">AT171/AT$201</f>
        <v>2.9473899413929399</v>
      </c>
      <c r="AU231" s="28">
        <f t="shared" si="1255"/>
        <v>0</v>
      </c>
      <c r="AV231" s="28">
        <f t="shared" si="1318"/>
        <v>-4.4316782929831762</v>
      </c>
      <c r="AW231" s="28"/>
      <c r="AY231" s="28">
        <f t="shared" ref="AY231" si="1319">AY171/AY$201</f>
        <v>0</v>
      </c>
    </row>
    <row r="232" spans="2:51" ht="13.5" customHeight="1" thickBot="1">
      <c r="B232" s="51" t="str">
        <f t="shared" si="1244"/>
        <v xml:space="preserve">Free cash flow </v>
      </c>
      <c r="C232" s="52">
        <f t="shared" si="1245"/>
        <v>-464.57455770850885</v>
      </c>
      <c r="D232" s="52">
        <f t="shared" si="1245"/>
        <v>116.96092045229122</v>
      </c>
      <c r="E232" s="52">
        <f t="shared" si="1245"/>
        <v>8.9407744874715256</v>
      </c>
      <c r="F232" s="52">
        <f t="shared" si="1245"/>
        <v>-693.84050975091714</v>
      </c>
      <c r="G232" s="52">
        <f t="shared" si="1245"/>
        <v>0.98730606488011274</v>
      </c>
      <c r="H232" s="52">
        <f t="shared" si="1245"/>
        <v>-635.65340909090912</v>
      </c>
      <c r="I232" s="52">
        <f t="shared" ref="I232:J232" si="1320">I172/I$201</f>
        <v>556.04689994311821</v>
      </c>
      <c r="J232" s="52">
        <f t="shared" si="1320"/>
        <v>332.99172959367138</v>
      </c>
      <c r="K232" s="52">
        <f t="shared" ref="K232:L232" si="1321">K172/K$201</f>
        <v>-49.486453061546698</v>
      </c>
      <c r="L232" s="52">
        <f t="shared" si="1321"/>
        <v>273.71083565049418</v>
      </c>
      <c r="M232" s="52">
        <f t="shared" ref="M232" si="1322">M172/M$201</f>
        <v>405.57233515457972</v>
      </c>
      <c r="N232" s="49"/>
      <c r="O232" s="52">
        <f t="shared" si="1249"/>
        <v>5.0923226433430511</v>
      </c>
      <c r="P232" s="52">
        <f t="shared" si="1249"/>
        <v>-2.3873700423565656</v>
      </c>
      <c r="Q232" s="52">
        <f t="shared" si="1249"/>
        <v>-255.10476190476192</v>
      </c>
      <c r="R232" s="52">
        <f t="shared" si="1249"/>
        <v>250.33740652927224</v>
      </c>
      <c r="S232" s="52">
        <f t="shared" si="1249"/>
        <v>-118.59843421806379</v>
      </c>
      <c r="T232" s="52">
        <f t="shared" si="1249"/>
        <v>-123.07545001914976</v>
      </c>
      <c r="U232" s="52">
        <f t="shared" si="1249"/>
        <v>-39.654178674351584</v>
      </c>
      <c r="V232" s="52">
        <f t="shared" si="1249"/>
        <v>-420.26920031670619</v>
      </c>
      <c r="W232" s="52">
        <f t="shared" ref="W232:Z232" si="1323">W172/W$201</f>
        <v>-83.710407239819006</v>
      </c>
      <c r="X232" s="52">
        <f t="shared" si="1323"/>
        <v>-259.88263748463584</v>
      </c>
      <c r="Y232" s="52">
        <f t="shared" si="1323"/>
        <v>52.217339192968439</v>
      </c>
      <c r="Z232" s="52">
        <f t="shared" si="1323"/>
        <v>313.61786894973289</v>
      </c>
      <c r="AA232" s="52">
        <f t="shared" ref="AA232:AC232" si="1324">AA172/AA$201</f>
        <v>-138.70834195818671</v>
      </c>
      <c r="AB232" s="52">
        <f t="shared" si="1324"/>
        <v>-307.35511705408135</v>
      </c>
      <c r="AC232" s="52">
        <f t="shared" si="1324"/>
        <v>-164.47591502942058</v>
      </c>
      <c r="AD232" s="52">
        <f t="shared" si="1263"/>
        <v>-30.913330382915753</v>
      </c>
      <c r="AE232" s="52">
        <f t="shared" ref="AE232:AG232" si="1325">AE172/AE$201</f>
        <v>-116.98662012798138</v>
      </c>
      <c r="AF232" s="52">
        <f t="shared" si="1325"/>
        <v>445.06232023010546</v>
      </c>
      <c r="AG232" s="52">
        <f t="shared" si="1325"/>
        <v>-44.266268879358563</v>
      </c>
      <c r="AH232" s="52">
        <f t="shared" si="1265"/>
        <v>255.59806087788141</v>
      </c>
      <c r="AI232" s="52">
        <f t="shared" si="1265"/>
        <v>179.65273218063763</v>
      </c>
      <c r="AJ232" s="52">
        <f t="shared" si="1265"/>
        <v>-362.78059377262849</v>
      </c>
      <c r="AK232" s="52">
        <f t="shared" si="1265"/>
        <v>243.17662189196912</v>
      </c>
      <c r="AL232" s="52">
        <f t="shared" ref="AL232:AO232" si="1326">AL172/AL$201</f>
        <v>267.54448146310358</v>
      </c>
      <c r="AM232" s="52">
        <f t="shared" si="1326"/>
        <v>58.366245509945138</v>
      </c>
      <c r="AN232" s="52">
        <f t="shared" si="1326"/>
        <v>36.210230268940059</v>
      </c>
      <c r="AO232" s="52">
        <f t="shared" si="1326"/>
        <v>28.380985791966324</v>
      </c>
      <c r="AP232" s="52">
        <f t="shared" ref="AP232:AS232" si="1327">AP172/AP$201</f>
        <v>-167.8844666036276</v>
      </c>
      <c r="AQ232" s="52">
        <f t="shared" si="1327"/>
        <v>63.030721435968246</v>
      </c>
      <c r="AR232" s="52">
        <f t="shared" si="1327"/>
        <v>-0.50761421319796951</v>
      </c>
      <c r="AS232" s="52">
        <f t="shared" si="1327"/>
        <v>99.352240896358552</v>
      </c>
      <c r="AT232" s="52">
        <f t="shared" ref="AT232:AV232" si="1328">AT172/AT$201</f>
        <v>110.75712143928037</v>
      </c>
      <c r="AU232" s="52">
        <f t="shared" si="1255"/>
        <v>94.109670311043317</v>
      </c>
      <c r="AV232" s="52">
        <f t="shared" si="1328"/>
        <v>101.33771029954863</v>
      </c>
      <c r="AW232" s="49"/>
      <c r="AY232" s="52">
        <f t="shared" ref="AY232" si="1329">AY172/AY$201</f>
        <v>52.217339192968439</v>
      </c>
    </row>
    <row r="233" spans="2:51" ht="13.5" customHeight="1" thickTop="1">
      <c r="B233" s="1" t="str">
        <f t="shared" si="1244"/>
        <v>Other investing activities</v>
      </c>
      <c r="C233" s="28">
        <f t="shared" si="1245"/>
        <v>-376.26368997472622</v>
      </c>
      <c r="D233" s="28">
        <f t="shared" si="1245"/>
        <v>133.9020035707201</v>
      </c>
      <c r="E233" s="28">
        <f t="shared" si="1245"/>
        <v>246.10858010630221</v>
      </c>
      <c r="F233" s="28">
        <f t="shared" si="1245"/>
        <v>81.618072987063144</v>
      </c>
      <c r="G233" s="28">
        <f t="shared" si="1245"/>
        <v>43.52206326818456</v>
      </c>
      <c r="H233" s="28">
        <f t="shared" si="1245"/>
        <v>0.6696428571428571</v>
      </c>
      <c r="I233" s="28">
        <f t="shared" ref="I233:J233" si="1330">I173/I$201</f>
        <v>50.789922750876158</v>
      </c>
      <c r="J233" s="28">
        <f t="shared" si="1330"/>
        <v>17.655519597267173</v>
      </c>
      <c r="K233" s="28">
        <f t="shared" ref="K233:L233" si="1331">K173/K$201</f>
        <v>26.751804650428468</v>
      </c>
      <c r="L233" s="28">
        <f t="shared" si="1331"/>
        <v>11.711407361208561</v>
      </c>
      <c r="M233" s="28">
        <f t="shared" ref="M233" si="1332">M173/M$201</f>
        <v>6.0406556486917573</v>
      </c>
      <c r="N233" s="28"/>
      <c r="O233" s="28">
        <f t="shared" si="1249"/>
        <v>-95.024295432458686</v>
      </c>
      <c r="P233" s="28">
        <f t="shared" si="1249"/>
        <v>461.72506738544479</v>
      </c>
      <c r="Q233" s="28">
        <f t="shared" si="1249"/>
        <v>228.22857142857143</v>
      </c>
      <c r="R233" s="28">
        <f t="shared" si="1249"/>
        <v>-330.29363487142069</v>
      </c>
      <c r="S233" s="28">
        <f t="shared" si="1249"/>
        <v>27.248424670612948</v>
      </c>
      <c r="T233" s="28">
        <f t="shared" si="1249"/>
        <v>45.86365377250096</v>
      </c>
      <c r="U233" s="28">
        <f t="shared" si="1249"/>
        <v>-25.283381364073009</v>
      </c>
      <c r="V233" s="28">
        <f t="shared" si="1249"/>
        <v>34.065716547901815</v>
      </c>
      <c r="W233" s="28">
        <f t="shared" ref="W233:Z233" si="1333">W173/W$201</f>
        <v>-43.242179815069839</v>
      </c>
      <c r="X233" s="28">
        <f t="shared" si="1333"/>
        <v>72.737004876888307</v>
      </c>
      <c r="Y233" s="28">
        <f t="shared" si="1333"/>
        <v>75.409508589692365</v>
      </c>
      <c r="Z233" s="28">
        <f t="shared" si="1333"/>
        <v>-65.397982537933345</v>
      </c>
      <c r="AA233" s="28">
        <f t="shared" ref="AA233:AC233" si="1334">AA173/AA$201</f>
        <v>1.6559718484785757</v>
      </c>
      <c r="AB233" s="28">
        <f t="shared" si="1334"/>
        <v>-25.533415379509659</v>
      </c>
      <c r="AC233" s="28">
        <f t="shared" si="1334"/>
        <v>42.904158771317448</v>
      </c>
      <c r="AD233" s="28">
        <f t="shared" si="1263"/>
        <v>-19.162301589922777</v>
      </c>
      <c r="AE233" s="28">
        <f t="shared" ref="AE233:AG233" si="1335">AE173/AE$201</f>
        <v>-16.32732208648439</v>
      </c>
      <c r="AF233" s="28">
        <f t="shared" si="1335"/>
        <v>-59.75071907957814</v>
      </c>
      <c r="AG233" s="28">
        <f t="shared" si="1335"/>
        <v>102.68506432966623</v>
      </c>
      <c r="AH233" s="28">
        <f t="shared" si="1265"/>
        <v>20.100253932658372</v>
      </c>
      <c r="AI233" s="28">
        <f t="shared" si="1265"/>
        <v>5.0886408404464873</v>
      </c>
      <c r="AJ233" s="28">
        <f t="shared" si="1265"/>
        <v>1.0861694424330195</v>
      </c>
      <c r="AK233" s="28">
        <f t="shared" si="1265"/>
        <v>7.8415261503286651</v>
      </c>
      <c r="AL233" s="28">
        <f t="shared" ref="AL233:AO233" si="1336">AL173/AL$201</f>
        <v>3.615226483306162</v>
      </c>
      <c r="AM233" s="28">
        <f t="shared" si="1336"/>
        <v>9.7932340904623185</v>
      </c>
      <c r="AN233" s="28">
        <f t="shared" si="1336"/>
        <v>3.7264897169977149</v>
      </c>
      <c r="AO233" s="28">
        <f t="shared" si="1336"/>
        <v>15.313102964392213</v>
      </c>
      <c r="AP233" s="28">
        <f t="shared" ref="AP233:AS233" si="1337">AP173/AP$201</f>
        <v>-1.8567867274133929</v>
      </c>
      <c r="AQ233" s="28">
        <f t="shared" si="1337"/>
        <v>4.038660683465654</v>
      </c>
      <c r="AR233" s="28">
        <f t="shared" si="1337"/>
        <v>7.4566777524943113</v>
      </c>
      <c r="AS233" s="28">
        <f t="shared" si="1337"/>
        <v>16.631652661064425</v>
      </c>
      <c r="AT233" s="28">
        <f t="shared" ref="AT233:AV233" si="1338">AT173/AT$201</f>
        <v>-15.912498296306392</v>
      </c>
      <c r="AU233" s="28">
        <f t="shared" si="1255"/>
        <v>2.9833036698025257</v>
      </c>
      <c r="AV233" s="28">
        <f t="shared" si="1338"/>
        <v>2.6918342224045961</v>
      </c>
      <c r="AW233" s="28"/>
      <c r="AY233" s="28">
        <f t="shared" ref="AY233" si="1339">AY173/AY$201</f>
        <v>75.409508589692365</v>
      </c>
    </row>
    <row r="234" spans="2:51" ht="13.5" customHeight="1">
      <c r="B234" s="1" t="str">
        <f t="shared" si="1244"/>
        <v>Dividends / Equity movements</v>
      </c>
      <c r="C234" s="28">
        <f t="shared" si="1245"/>
        <v>-484.03538331929235</v>
      </c>
      <c r="D234" s="28">
        <f t="shared" si="1245"/>
        <v>-329.63697679031941</v>
      </c>
      <c r="E234" s="28">
        <f t="shared" si="1245"/>
        <v>-264.38876233864846</v>
      </c>
      <c r="F234" s="28">
        <f t="shared" si="1245"/>
        <v>-301.06198107742807</v>
      </c>
      <c r="G234" s="28">
        <f t="shared" si="1245"/>
        <v>-336.91315736449724</v>
      </c>
      <c r="H234" s="28">
        <f t="shared" si="1245"/>
        <v>-359.41558441558442</v>
      </c>
      <c r="I234" s="28">
        <f t="shared" ref="I234:J234" si="1340">I174/I$201</f>
        <v>-463.0360190095231</v>
      </c>
      <c r="J234" s="28">
        <f t="shared" si="1340"/>
        <v>-419.41747572815535</v>
      </c>
      <c r="K234" s="28">
        <f t="shared" ref="K234:L234" si="1341">K174/K$201</f>
        <v>-363.99996491566606</v>
      </c>
      <c r="L234" s="28">
        <f t="shared" si="1341"/>
        <v>-356.71283663799454</v>
      </c>
      <c r="M234" s="28">
        <f t="shared" ref="M234" si="1342">M174/M$201</f>
        <v>-344.63976651847832</v>
      </c>
      <c r="N234" s="28"/>
      <c r="O234" s="28">
        <f t="shared" si="1249"/>
        <v>-0.31098153547133139</v>
      </c>
      <c r="P234" s="28">
        <f t="shared" si="1249"/>
        <v>-116.2495186753947</v>
      </c>
      <c r="Q234" s="28">
        <f t="shared" si="1249"/>
        <v>-147.50476190476189</v>
      </c>
      <c r="R234" s="28">
        <f t="shared" si="1249"/>
        <v>-2.3709648002918104</v>
      </c>
      <c r="S234" s="28">
        <f t="shared" si="1249"/>
        <v>-0.28642352491884671</v>
      </c>
      <c r="T234" s="28">
        <f t="shared" si="1249"/>
        <v>-149.00421294523173</v>
      </c>
      <c r="U234" s="28">
        <f t="shared" si="1249"/>
        <v>-149.08741594620557</v>
      </c>
      <c r="V234" s="28">
        <f t="shared" si="1249"/>
        <v>-0.7125890736342041</v>
      </c>
      <c r="W234" s="28">
        <f t="shared" ref="W234:Z234" si="1343">W174/W$201</f>
        <v>-0.35412158174306513</v>
      </c>
      <c r="X234" s="28">
        <f t="shared" si="1343"/>
        <v>-167.12263589865589</v>
      </c>
      <c r="Y234" s="28">
        <f t="shared" si="1343"/>
        <v>-171.23451857770675</v>
      </c>
      <c r="Z234" s="28">
        <f t="shared" si="1343"/>
        <v>6.3363567008561477</v>
      </c>
      <c r="AA234" s="28">
        <f t="shared" ref="AA234:AC234" si="1344">AA174/AA$201</f>
        <v>-0.51749120264955495</v>
      </c>
      <c r="AB234" s="28">
        <f t="shared" si="1344"/>
        <v>-180.04065434130285</v>
      </c>
      <c r="AC234" s="28">
        <f t="shared" si="1344"/>
        <v>-179.75466241148899</v>
      </c>
      <c r="AD234" s="28">
        <f t="shared" si="1263"/>
        <v>9.9081187124729977E-2</v>
      </c>
      <c r="AE234" s="28">
        <f t="shared" ref="AE234:AG234" si="1345">AE174/AE$201</f>
        <v>-0.29086678301337987</v>
      </c>
      <c r="AF234" s="28">
        <f t="shared" si="1345"/>
        <v>-173.51869606903165</v>
      </c>
      <c r="AG234" s="28">
        <f t="shared" si="1345"/>
        <v>-301.45440984523589</v>
      </c>
      <c r="AH234" s="28">
        <f t="shared" si="1265"/>
        <v>-6.5956534643669809E-2</v>
      </c>
      <c r="AI234" s="28">
        <f t="shared" si="1265"/>
        <v>-0.45597140147369952</v>
      </c>
      <c r="AJ234" s="28">
        <f t="shared" si="1265"/>
        <v>-230.10499637943519</v>
      </c>
      <c r="AK234" s="28">
        <f t="shared" si="1265"/>
        <v>-188.92897970848813</v>
      </c>
      <c r="AL234" s="28">
        <f t="shared" ref="AL234:AO234" si="1346">AL174/AL$201</f>
        <v>-0.26582547671368839</v>
      </c>
      <c r="AM234" s="28">
        <f t="shared" si="1346"/>
        <v>-0.12509605590006612</v>
      </c>
      <c r="AN234" s="28">
        <f t="shared" si="1346"/>
        <v>-176.21726138161364</v>
      </c>
      <c r="AO234" s="28">
        <f t="shared" si="1346"/>
        <v>-187.89686019996492</v>
      </c>
      <c r="AP234" s="28">
        <f t="shared" ref="AP234:AS234" si="1347">AP174/AP$201</f>
        <v>-0.10315481818963294</v>
      </c>
      <c r="AQ234" s="28">
        <f t="shared" si="1347"/>
        <v>-0.67311011391094233</v>
      </c>
      <c r="AR234" s="28">
        <f t="shared" si="1347"/>
        <v>-178.08506914055661</v>
      </c>
      <c r="AS234" s="28">
        <f t="shared" si="1347"/>
        <v>-181.42507002801122</v>
      </c>
      <c r="AT234" s="28">
        <f t="shared" ref="AT234:AV234" si="1348">AT174/AT$201</f>
        <v>-0.23851710508382173</v>
      </c>
      <c r="AU234" s="28">
        <f t="shared" si="1255"/>
        <v>-0.322061191626409</v>
      </c>
      <c r="AV234" s="28">
        <f t="shared" si="1348"/>
        <v>-162.74107509232664</v>
      </c>
      <c r="AW234" s="28"/>
      <c r="AY234" s="28">
        <f t="shared" ref="AY234" si="1349">AY174/AY$201</f>
        <v>-171.23451857770675</v>
      </c>
    </row>
    <row r="235" spans="2:51" ht="13.5" customHeight="1">
      <c r="B235" s="1" t="str">
        <f t="shared" si="1244"/>
        <v>Principal Repayments</v>
      </c>
      <c r="C235" s="28">
        <f t="shared" ref="C235:H240" si="1350">C175/C$201</f>
        <v>440.58550968828985</v>
      </c>
      <c r="D235" s="28">
        <f t="shared" si="1350"/>
        <v>-256.77444951398536</v>
      </c>
      <c r="E235" s="28">
        <f t="shared" si="1350"/>
        <v>33.409263477600611</v>
      </c>
      <c r="F235" s="28">
        <f t="shared" si="1350"/>
        <v>224.11662483104845</v>
      </c>
      <c r="G235" s="28">
        <f t="shared" si="1350"/>
        <v>410.33649002619381</v>
      </c>
      <c r="H235" s="28">
        <f t="shared" si="1350"/>
        <v>454.30194805194805</v>
      </c>
      <c r="I235" s="28">
        <f t="shared" ref="I235:J235" si="1351">I175/I$201</f>
        <v>-287.78509697425642</v>
      </c>
      <c r="J235" s="28">
        <f t="shared" si="1351"/>
        <v>-95.613088816972322</v>
      </c>
      <c r="K235" s="28">
        <f t="shared" ref="K235:L235" si="1352">K175/K$201</f>
        <v>151.9502504144337</v>
      </c>
      <c r="L235" s="28">
        <f t="shared" si="1352"/>
        <v>-27.546061692783454</v>
      </c>
      <c r="M235" s="28">
        <f t="shared" ref="M235" si="1353">M175/M$201</f>
        <v>-213.37428309634507</v>
      </c>
      <c r="N235" s="28"/>
      <c r="O235" s="28">
        <f t="shared" si="1249"/>
        <v>-36.967930029154516</v>
      </c>
      <c r="P235" s="28">
        <f t="shared" si="1249"/>
        <v>209.81902194840202</v>
      </c>
      <c r="Q235" s="28">
        <f t="shared" si="1249"/>
        <v>-94.361904761904768</v>
      </c>
      <c r="R235" s="28">
        <f t="shared" si="1249"/>
        <v>-41.619551340507009</v>
      </c>
      <c r="S235" s="28">
        <f t="shared" si="1249"/>
        <v>-69.371777735344665</v>
      </c>
      <c r="T235" s="28">
        <f t="shared" si="1249"/>
        <v>-46.629643814630413</v>
      </c>
      <c r="U235" s="28">
        <f t="shared" si="1249"/>
        <v>78.366954851104708</v>
      </c>
      <c r="V235" s="28">
        <f t="shared" si="1249"/>
        <v>269.12114014251779</v>
      </c>
      <c r="W235" s="28">
        <f t="shared" ref="W235:Z235" si="1354">W175/W$201</f>
        <v>218.23726145976786</v>
      </c>
      <c r="X235" s="28">
        <f t="shared" si="1354"/>
        <v>588.73557749494466</v>
      </c>
      <c r="Y235" s="28">
        <f t="shared" si="1354"/>
        <v>-250.19976028765481</v>
      </c>
      <c r="Z235" s="28">
        <f t="shared" si="1354"/>
        <v>-167.41544460456043</v>
      </c>
      <c r="AA235" s="28">
        <f t="shared" ref="AA235:AC235" si="1355">AA175/AA$201</f>
        <v>-73.649347961084658</v>
      </c>
      <c r="AB235" s="28">
        <f t="shared" si="1355"/>
        <v>263.17463390350815</v>
      </c>
      <c r="AC235" s="28">
        <f t="shared" si="1355"/>
        <v>141.63757853794755</v>
      </c>
      <c r="AD235" s="28">
        <f t="shared" si="1263"/>
        <v>122.00857382539249</v>
      </c>
      <c r="AE235" s="28">
        <f t="shared" ref="AE235:AG235" si="1356">AE175/AE$201</f>
        <v>-59.298041496994379</v>
      </c>
      <c r="AF235" s="28">
        <f t="shared" si="1356"/>
        <v>46.38542665388303</v>
      </c>
      <c r="AG235" s="28">
        <f t="shared" si="1356"/>
        <v>-146.0376654857356</v>
      </c>
      <c r="AH235" s="28">
        <f t="shared" si="1265"/>
        <v>-118.93612109619758</v>
      </c>
      <c r="AI235" s="28">
        <f t="shared" si="1265"/>
        <v>-114.22995549719121</v>
      </c>
      <c r="AJ235" s="28">
        <f t="shared" si="1265"/>
        <v>353.11368573497464</v>
      </c>
      <c r="AK235" s="28">
        <f t="shared" si="1265"/>
        <v>14.093312374964276</v>
      </c>
      <c r="AL235" s="28">
        <f t="shared" ref="AL235:AO235" si="1357">AL175/AL$201</f>
        <v>-342.91486496065801</v>
      </c>
      <c r="AM235" s="28">
        <f t="shared" si="1357"/>
        <v>-140.4471290455171</v>
      </c>
      <c r="AN235" s="28">
        <f t="shared" si="1357"/>
        <v>139.69063104236244</v>
      </c>
      <c r="AO235" s="28">
        <f t="shared" si="1357"/>
        <v>107.59515874408</v>
      </c>
      <c r="AP235" s="28">
        <f t="shared" ref="AP235:AS235" si="1358">AP175/AP$201</f>
        <v>41.949626063784066</v>
      </c>
      <c r="AQ235" s="28">
        <f t="shared" si="1358"/>
        <v>-35.295132896099418</v>
      </c>
      <c r="AR235" s="28">
        <f t="shared" si="1358"/>
        <v>109.95974094171189</v>
      </c>
      <c r="AS235" s="28">
        <f t="shared" si="1358"/>
        <v>13.970588235294118</v>
      </c>
      <c r="AT235" s="28">
        <f t="shared" ref="AT235:AV235" si="1359">AT175/AT$201</f>
        <v>-112.86970151287993</v>
      </c>
      <c r="AU235" s="28">
        <f t="shared" si="1255"/>
        <v>-92.601067887109082</v>
      </c>
      <c r="AV235" s="28">
        <f t="shared" si="1359"/>
        <v>-21.091505949938451</v>
      </c>
      <c r="AW235" s="28"/>
      <c r="AY235" s="28">
        <f t="shared" ref="AY235" si="1360">AY175/AY$201</f>
        <v>-250.19976028765481</v>
      </c>
    </row>
    <row r="236" spans="2:51" ht="13.5" customHeight="1">
      <c r="B236" s="1" t="str">
        <f t="shared" si="1244"/>
        <v>Other financing activities</v>
      </c>
      <c r="C236" s="28">
        <f t="shared" si="1350"/>
        <v>-142.50210614995788</v>
      </c>
      <c r="D236" s="28">
        <f t="shared" si="1350"/>
        <v>-73.04106328109502</v>
      </c>
      <c r="E236" s="28">
        <f t="shared" si="1350"/>
        <v>12.110858010630221</v>
      </c>
      <c r="F236" s="28">
        <f t="shared" si="1350"/>
        <v>-9.3647422282293888</v>
      </c>
      <c r="G236" s="28">
        <f t="shared" si="1350"/>
        <v>169.39351198871648</v>
      </c>
      <c r="H236" s="28">
        <f t="shared" si="1350"/>
        <v>-194.39935064935065</v>
      </c>
      <c r="I236" s="28">
        <f t="shared" ref="I236:J236" si="1361">I176/I$201</f>
        <v>-25.413310335969467</v>
      </c>
      <c r="J236" s="28">
        <f t="shared" si="1361"/>
        <v>-19.003955411722401</v>
      </c>
      <c r="K236" s="28">
        <f t="shared" ref="K236:L236" si="1362">K176/K$201</f>
        <v>8.718456990992097</v>
      </c>
      <c r="L236" s="28">
        <f t="shared" si="1362"/>
        <v>-8.9048274906230791</v>
      </c>
      <c r="M236" s="28">
        <f t="shared" ref="M236" si="1363">M176/M$201</f>
        <v>13.455730138799336</v>
      </c>
      <c r="N236" s="28"/>
      <c r="O236" s="28">
        <f t="shared" si="1249"/>
        <v>-24.509232264334305</v>
      </c>
      <c r="P236" s="28">
        <f t="shared" si="1249"/>
        <v>-195.14824797843667</v>
      </c>
      <c r="Q236" s="28">
        <f t="shared" si="1249"/>
        <v>226.99047619047619</v>
      </c>
      <c r="R236" s="28">
        <f t="shared" si="1249"/>
        <v>2.1521065110341051</v>
      </c>
      <c r="S236" s="28">
        <f t="shared" si="1249"/>
        <v>-0.64922665648271916</v>
      </c>
      <c r="T236" s="28">
        <f t="shared" si="1249"/>
        <v>-1.7234775947912677</v>
      </c>
      <c r="U236" s="28">
        <f t="shared" si="1249"/>
        <v>-5.1296829971181559</v>
      </c>
      <c r="V236" s="28">
        <f t="shared" si="1249"/>
        <v>-1.8606492478226442</v>
      </c>
      <c r="W236" s="28">
        <f t="shared" ref="W236:Z236" si="1364">W176/W$201</f>
        <v>-4.4068463505803663</v>
      </c>
      <c r="X236" s="28">
        <f t="shared" si="1364"/>
        <v>-12.608540501962651</v>
      </c>
      <c r="Y236" s="28">
        <f t="shared" si="1364"/>
        <v>-9.488613663603676</v>
      </c>
      <c r="Z236" s="28">
        <f t="shared" si="1364"/>
        <v>206.45079257438326</v>
      </c>
      <c r="AA236" s="28">
        <f t="shared" ref="AA236:AC236" si="1365">AA176/AA$201</f>
        <v>-4.9679155454357273</v>
      </c>
      <c r="AB236" s="28">
        <f t="shared" si="1365"/>
        <v>-4.6462104346142672</v>
      </c>
      <c r="AC236" s="28">
        <f t="shared" si="1365"/>
        <v>0.27924603570360029</v>
      </c>
      <c r="AD236" s="28">
        <f t="shared" si="1263"/>
        <v>-180.92224768975694</v>
      </c>
      <c r="AE236" s="28">
        <f t="shared" ref="AE236:AG236" si="1366">AE176/AE$201</f>
        <v>-2.7341477603257709</v>
      </c>
      <c r="AF236" s="28">
        <f t="shared" si="1366"/>
        <v>152.77085330776606</v>
      </c>
      <c r="AG236" s="28">
        <f t="shared" si="1366"/>
        <v>11.914972962893902</v>
      </c>
      <c r="AH236" s="28">
        <f t="shared" si="1265"/>
        <v>-162.41796656003689</v>
      </c>
      <c r="AI236" s="28">
        <f t="shared" si="1265"/>
        <v>-24.221200846282919</v>
      </c>
      <c r="AJ236" s="28">
        <f t="shared" si="1265"/>
        <v>4.8515568428674873</v>
      </c>
      <c r="AK236" s="28">
        <f t="shared" si="1265"/>
        <v>-6.394684195484424</v>
      </c>
      <c r="AL236" s="28">
        <f t="shared" ref="AL236:AO236" si="1367">AL176/AL$201</f>
        <v>6.3975331395761001</v>
      </c>
      <c r="AM236" s="28">
        <f t="shared" si="1367"/>
        <v>-10.043426202262451</v>
      </c>
      <c r="AN236" s="28">
        <f t="shared" si="1367"/>
        <v>-61.117946915099317</v>
      </c>
      <c r="AO236" s="28">
        <f t="shared" si="1367"/>
        <v>67.181196281354147</v>
      </c>
      <c r="AP236" s="28">
        <f t="shared" ref="AP236:AS236" si="1368">AP176/AP$201</f>
        <v>12.137883606980143</v>
      </c>
      <c r="AQ236" s="28">
        <f t="shared" si="1368"/>
        <v>-0.44874007594062826</v>
      </c>
      <c r="AR236" s="28">
        <f t="shared" si="1368"/>
        <v>-14.493260983721337</v>
      </c>
      <c r="AS236" s="28">
        <f t="shared" si="1368"/>
        <v>-5.9348739495798322</v>
      </c>
      <c r="AT236" s="28">
        <f t="shared" ref="AT236:AV236" si="1369">AT176/AT$201</f>
        <v>11.568079596565354</v>
      </c>
      <c r="AU236" s="28">
        <f t="shared" si="1255"/>
        <v>3.5935248749894062</v>
      </c>
      <c r="AV236" s="28">
        <f t="shared" si="1369"/>
        <v>3.9556832170701686</v>
      </c>
      <c r="AW236" s="28"/>
      <c r="AY236" s="28">
        <f t="shared" ref="AY236" si="1370">AY176/AY$201</f>
        <v>-9.488613663603676</v>
      </c>
    </row>
    <row r="237" spans="2:51" s="2" customFormat="1" ht="13.5" customHeight="1">
      <c r="B237" s="2" t="str">
        <f t="shared" si="1244"/>
        <v>Cash flow after financing activities</v>
      </c>
      <c r="C237" s="28">
        <f t="shared" si="1350"/>
        <v>-1026.7902274641956</v>
      </c>
      <c r="D237" s="28">
        <f t="shared" si="1350"/>
        <v>-408.58956556238843</v>
      </c>
      <c r="E237" s="28">
        <f t="shared" si="1350"/>
        <v>36.180713743356115</v>
      </c>
      <c r="F237" s="28">
        <f t="shared" si="1350"/>
        <v>-698.53253523846308</v>
      </c>
      <c r="G237" s="28">
        <f t="shared" si="1350"/>
        <v>287.32621398347771</v>
      </c>
      <c r="H237" s="28">
        <f t="shared" si="1350"/>
        <v>-734.4967532467532</v>
      </c>
      <c r="I237" s="28">
        <f t="shared" ref="I237:J237" si="1371">I177/I$201</f>
        <v>-169.39760362575458</v>
      </c>
      <c r="J237" s="28">
        <f t="shared" si="1371"/>
        <v>-183.38727076591155</v>
      </c>
      <c r="K237" s="28">
        <f t="shared" ref="K237:L237" si="1372">K177/K$201</f>
        <v>-226.06590592135848</v>
      </c>
      <c r="L237" s="28">
        <f t="shared" si="1372"/>
        <v>-107.7414828096983</v>
      </c>
      <c r="M237" s="28">
        <f t="shared" ref="M237" si="1373">M177/M$201</f>
        <v>-132.94532867275257</v>
      </c>
      <c r="N237" s="28"/>
      <c r="O237" s="28">
        <f t="shared" ref="O237:Q237" si="1374">O177/O$201</f>
        <v>-151.72011661807579</v>
      </c>
      <c r="P237" s="28">
        <f t="shared" si="1374"/>
        <v>357.75895263765887</v>
      </c>
      <c r="Q237" s="28">
        <f t="shared" si="1374"/>
        <v>-41.752380952380953</v>
      </c>
      <c r="R237" s="28">
        <f t="shared" ref="R237:V240" si="1375">R177/R$201</f>
        <v>-121.79463797191316</v>
      </c>
      <c r="S237" s="28">
        <f t="shared" si="1375"/>
        <v>-161.65743746419707</v>
      </c>
      <c r="T237" s="28">
        <f t="shared" si="1375"/>
        <v>-274.56913060130216</v>
      </c>
      <c r="U237" s="28">
        <f t="shared" si="1375"/>
        <v>-140.78770413064362</v>
      </c>
      <c r="V237" s="28">
        <f t="shared" si="1375"/>
        <v>-119.65558194774344</v>
      </c>
      <c r="W237" s="28">
        <f t="shared" ref="W237:Z237" si="1376">W177/W$201</f>
        <v>86.523706472555574</v>
      </c>
      <c r="X237" s="28">
        <f t="shared" si="1376"/>
        <v>221.85876848657864</v>
      </c>
      <c r="Y237" s="28">
        <f t="shared" si="1376"/>
        <v>-303.2960447463044</v>
      </c>
      <c r="Z237" s="28">
        <f t="shared" si="1376"/>
        <v>293.59159108247849</v>
      </c>
      <c r="AA237" s="28">
        <f t="shared" ref="AA237:AC237" si="1377">AA177/AA$201</f>
        <v>-216.18712481887806</v>
      </c>
      <c r="AB237" s="28">
        <f t="shared" si="1377"/>
        <v>-254.40076330599996</v>
      </c>
      <c r="AC237" s="28">
        <f t="shared" si="1377"/>
        <v>-159.40959409594097</v>
      </c>
      <c r="AD237" s="28">
        <f t="shared" si="1263"/>
        <v>-108.89022465007824</v>
      </c>
      <c r="AE237" s="28">
        <f t="shared" ref="AE237:AG237" si="1378">AE177/AE$201</f>
        <v>-195.63699825479929</v>
      </c>
      <c r="AF237" s="28">
        <f t="shared" si="1378"/>
        <v>410.94918504314478</v>
      </c>
      <c r="AG237" s="28">
        <f t="shared" si="1378"/>
        <v>-377.15830691776989</v>
      </c>
      <c r="AH237" s="28">
        <f t="shared" si="1265"/>
        <v>-5.7217293803383553</v>
      </c>
      <c r="AI237" s="28">
        <f t="shared" si="1265"/>
        <v>45.834245276136279</v>
      </c>
      <c r="AJ237" s="28">
        <f t="shared" si="1265"/>
        <v>-233.83417813178855</v>
      </c>
      <c r="AK237" s="28">
        <f t="shared" si="1265"/>
        <v>69.787796513289507</v>
      </c>
      <c r="AL237" s="28">
        <f t="shared" ref="AL237:AO237" si="1379">AL177/AL$201</f>
        <v>-65.623449351385872</v>
      </c>
      <c r="AM237" s="28">
        <f t="shared" si="1379"/>
        <v>-82.456171703272148</v>
      </c>
      <c r="AN237" s="28">
        <f t="shared" si="1379"/>
        <v>-57.707857268412724</v>
      </c>
      <c r="AO237" s="28">
        <f t="shared" si="1379"/>
        <v>30.573583581827751</v>
      </c>
      <c r="AP237" s="28">
        <f t="shared" ref="AP237:AS237" si="1380">AP177/AP$201</f>
        <v>-115.75689847846644</v>
      </c>
      <c r="AQ237" s="28">
        <f t="shared" si="1380"/>
        <v>30.652399033482915</v>
      </c>
      <c r="AR237" s="28">
        <f t="shared" si="1380"/>
        <v>-75.669525643269736</v>
      </c>
      <c r="AS237" s="28">
        <f t="shared" si="1380"/>
        <v>-57.405462184873954</v>
      </c>
      <c r="AT237" s="28">
        <f t="shared" ref="AT237:AV237" si="1381">AT177/AT$201</f>
        <v>-6.6955158784244242</v>
      </c>
      <c r="AU237" s="28">
        <f t="shared" si="1255"/>
        <v>7.7633697770997543</v>
      </c>
      <c r="AV237" s="28">
        <f t="shared" si="1381"/>
        <v>-75.84735330324169</v>
      </c>
      <c r="AW237" s="28"/>
      <c r="AY237" s="28">
        <f t="shared" ref="AY237" si="1382">AY177/AY$201</f>
        <v>-303.2960447463044</v>
      </c>
    </row>
    <row r="238" spans="2:51" ht="13.5" customHeight="1">
      <c r="B238" s="1" t="str">
        <f t="shared" si="1244"/>
        <v xml:space="preserve">FX </v>
      </c>
      <c r="C238" s="28">
        <f t="shared" si="1350"/>
        <v>12.931760741364785</v>
      </c>
      <c r="D238" s="28">
        <f t="shared" si="1350"/>
        <v>-10.950208292005556</v>
      </c>
      <c r="E238" s="28">
        <f t="shared" si="1350"/>
        <v>15.774487471526196</v>
      </c>
      <c r="F238" s="28">
        <f t="shared" si="1350"/>
        <v>-14.442942653021818</v>
      </c>
      <c r="G238" s="28">
        <f t="shared" si="1350"/>
        <v>-20.189401571630061</v>
      </c>
      <c r="H238" s="28">
        <f t="shared" si="1350"/>
        <v>4.9512987012987013</v>
      </c>
      <c r="I238" s="28">
        <f t="shared" ref="I238:J238" si="1383">I178/I$201</f>
        <v>7.5964696599937609</v>
      </c>
      <c r="J238" s="28">
        <f t="shared" si="1383"/>
        <v>-4.7285149226896799</v>
      </c>
      <c r="K238" s="28">
        <f t="shared" ref="K238:L238" si="1384">K178/K$201</f>
        <v>2.4208190437764778</v>
      </c>
      <c r="L238" s="28">
        <f t="shared" si="1384"/>
        <v>0.39846504335472915</v>
      </c>
      <c r="M238" s="28">
        <f t="shared" ref="M238" si="1385">M178/M$201</f>
        <v>-23.500865374826077</v>
      </c>
      <c r="N238" s="28"/>
      <c r="O238" s="28">
        <f t="shared" ref="O238:Q240" si="1386">O178/O$201</f>
        <v>16.559766763848394</v>
      </c>
      <c r="P238" s="28">
        <f t="shared" si="1386"/>
        <v>10.569888332691567</v>
      </c>
      <c r="Q238" s="28">
        <f t="shared" si="1386"/>
        <v>5.7904761904761903</v>
      </c>
      <c r="R238" s="28">
        <f t="shared" si="1375"/>
        <v>-15.940178734269557</v>
      </c>
      <c r="S238" s="28">
        <f t="shared" si="1375"/>
        <v>0.26732862325759021</v>
      </c>
      <c r="T238" s="28">
        <f t="shared" si="1375"/>
        <v>-14.228265032554576</v>
      </c>
      <c r="U238" s="28">
        <f t="shared" si="1375"/>
        <v>5.1681075888568691</v>
      </c>
      <c r="V238" s="28">
        <f t="shared" si="1375"/>
        <v>-5.7007125890736328</v>
      </c>
      <c r="W238" s="28">
        <f t="shared" ref="W238:Z238" si="1387">W178/W$201</f>
        <v>-3.9346842415896123E-2</v>
      </c>
      <c r="X238" s="28">
        <f t="shared" si="1387"/>
        <v>-6.0267237619444112</v>
      </c>
      <c r="Y238" s="28">
        <f t="shared" si="1387"/>
        <v>-13.383939272872553</v>
      </c>
      <c r="Z238" s="28">
        <f t="shared" si="1387"/>
        <v>-0.55098753920488241</v>
      </c>
      <c r="AA238" s="28">
        <f t="shared" ref="AA238:AC238" si="1388">AA178/AA$201</f>
        <v>1.7594700890084867</v>
      </c>
      <c r="AB238" s="28">
        <f t="shared" si="1388"/>
        <v>-2.0742010868813693E-2</v>
      </c>
      <c r="AC238" s="28">
        <f t="shared" si="1388"/>
        <v>4.6474518799242048</v>
      </c>
      <c r="AD238" s="28">
        <f t="shared" si="1263"/>
        <v>-1.4465853320210575</v>
      </c>
      <c r="AE238" s="28">
        <f t="shared" ref="AE238:AG238" si="1389">AE178/AE$201</f>
        <v>2.1136319565638937</v>
      </c>
      <c r="AF238" s="28">
        <f t="shared" si="1389"/>
        <v>5.2732502396931933</v>
      </c>
      <c r="AG238" s="28">
        <f t="shared" si="1389"/>
        <v>10.479209397725153</v>
      </c>
      <c r="AH238" s="28">
        <f t="shared" si="1265"/>
        <v>-8.772219107608084</v>
      </c>
      <c r="AI238" s="28">
        <f t="shared" si="1265"/>
        <v>-7.4961698402276209</v>
      </c>
      <c r="AJ238" s="28">
        <f t="shared" si="1265"/>
        <v>2.0818247646632875</v>
      </c>
      <c r="AK238" s="28">
        <f t="shared" si="1265"/>
        <v>-3.3759645613032294</v>
      </c>
      <c r="AL238" s="28">
        <f t="shared" ref="AL238:AO238" si="1390">AL178/AL$201</f>
        <v>3.9342170553625881</v>
      </c>
      <c r="AM238" s="28">
        <f t="shared" si="1390"/>
        <v>24.804760798470255</v>
      </c>
      <c r="AN238" s="28">
        <f t="shared" si="1390"/>
        <v>2.6190894709087713</v>
      </c>
      <c r="AO238" s="28">
        <f t="shared" si="1390"/>
        <v>23.68005613050342</v>
      </c>
      <c r="AP238" s="28">
        <f t="shared" ref="AP238:AS238" si="1391">AP178/AP$201</f>
        <v>-47.262099200550161</v>
      </c>
      <c r="AQ238" s="28">
        <f t="shared" si="1391"/>
        <v>-0.48325854332067658</v>
      </c>
      <c r="AR238" s="28">
        <f t="shared" si="1391"/>
        <v>27.393663574304217</v>
      </c>
      <c r="AS238" s="28">
        <f t="shared" si="1391"/>
        <v>1.1204481792717087</v>
      </c>
      <c r="AT238" s="28">
        <f t="shared" ref="AT238:AV238" si="1392">AT178/AT$201</f>
        <v>-26.884285130162194</v>
      </c>
      <c r="AU238" s="28">
        <f t="shared" si="1255"/>
        <v>1.7967624374947031</v>
      </c>
      <c r="AV238" s="28">
        <f t="shared" si="1392"/>
        <v>0.37751333606893722</v>
      </c>
      <c r="AW238" s="28"/>
      <c r="AY238" s="28">
        <f t="shared" ref="AY238" si="1393">AY178/AY$201</f>
        <v>-13.383939272872553</v>
      </c>
    </row>
    <row r="239" spans="2:51" ht="13.5" customHeight="1">
      <c r="B239" s="1" t="str">
        <f t="shared" si="1244"/>
        <v>Balancing figure</v>
      </c>
      <c r="C239" s="28">
        <f t="shared" si="1350"/>
        <v>850.98989048020223</v>
      </c>
      <c r="D239" s="28">
        <f t="shared" si="1350"/>
        <v>304.14600277722678</v>
      </c>
      <c r="E239" s="28">
        <f t="shared" si="1350"/>
        <v>303.94836750189825</v>
      </c>
      <c r="F239" s="28">
        <f t="shared" si="1350"/>
        <v>186.13631975284804</v>
      </c>
      <c r="G239" s="28">
        <f t="shared" si="1350"/>
        <v>52.589159782389679</v>
      </c>
      <c r="H239" s="28">
        <f t="shared" si="1350"/>
        <v>398.1737012987013</v>
      </c>
      <c r="I239" s="28">
        <f t="shared" ref="I239:J239" si="1394">I179/I$201</f>
        <v>185.72817849868804</v>
      </c>
      <c r="J239" s="28">
        <f t="shared" si="1394"/>
        <v>25.692197051420354</v>
      </c>
      <c r="K239" s="28">
        <f t="shared" ref="K239:L239" si="1395">K179/K$201</f>
        <v>115.48008525493155</v>
      </c>
      <c r="L239" s="28">
        <f t="shared" si="1395"/>
        <v>139.48008974125759</v>
      </c>
      <c r="M239" s="28">
        <f t="shared" ref="M239" si="1396">M179/M$201</f>
        <v>174.41544778905217</v>
      </c>
      <c r="N239" s="28"/>
      <c r="O239" s="28">
        <f t="shared" si="1386"/>
        <v>63.537414965986393</v>
      </c>
      <c r="P239" s="28">
        <f t="shared" si="1386"/>
        <v>77.262225644974976</v>
      </c>
      <c r="Q239" s="28">
        <f t="shared" si="1386"/>
        <v>-100.38095238095238</v>
      </c>
      <c r="R239" s="28">
        <f t="shared" si="1375"/>
        <v>255.33467080065651</v>
      </c>
      <c r="S239" s="28">
        <f t="shared" si="1375"/>
        <v>39.79377506205843</v>
      </c>
      <c r="T239" s="28">
        <f t="shared" si="1375"/>
        <v>36.307927996936037</v>
      </c>
      <c r="U239" s="28">
        <f t="shared" si="1375"/>
        <v>40.268972142170995</v>
      </c>
      <c r="V239" s="28">
        <f t="shared" si="1375"/>
        <v>70.546318289786214</v>
      </c>
      <c r="W239" s="28">
        <f t="shared" ref="W239:Z239" si="1397">W179/W$201</f>
        <v>42.868384812118826</v>
      </c>
      <c r="X239" s="28">
        <f t="shared" si="1397"/>
        <v>78.109511914674286</v>
      </c>
      <c r="Y239" s="28">
        <f t="shared" si="1397"/>
        <v>74.970035956851774</v>
      </c>
      <c r="Z239" s="28">
        <f t="shared" si="1397"/>
        <v>-153.89505806560985</v>
      </c>
      <c r="AA239" s="28">
        <f t="shared" ref="AA239:AC239" si="1398">AA179/AA$201</f>
        <v>33.181535913889462</v>
      </c>
      <c r="AB239" s="28">
        <f t="shared" si="1398"/>
        <v>82.034652986158164</v>
      </c>
      <c r="AC239" s="28">
        <f t="shared" si="1398"/>
        <v>53.395831255609856</v>
      </c>
      <c r="AD239" s="28">
        <f t="shared" si="1263"/>
        <v>225.64749555786003</v>
      </c>
      <c r="AE239" s="28">
        <f t="shared" ref="AE239:AG239" si="1399">AE179/AE$201</f>
        <v>230.81248788055072</v>
      </c>
      <c r="AF239" s="28">
        <f t="shared" si="1399"/>
        <v>-166.30872483221478</v>
      </c>
      <c r="AG239" s="28">
        <f t="shared" si="1399"/>
        <v>10.031698676114114</v>
      </c>
      <c r="AH239" s="28">
        <f t="shared" si="1265"/>
        <v>104.77195528146949</v>
      </c>
      <c r="AI239" s="28">
        <f t="shared" si="1265"/>
        <v>-22.379076384329174</v>
      </c>
      <c r="AJ239" s="28">
        <f t="shared" si="1265"/>
        <v>52.516292541636496</v>
      </c>
      <c r="AK239" s="28">
        <f t="shared" si="1265"/>
        <v>28.025864532723634</v>
      </c>
      <c r="AL239" s="28">
        <f t="shared" ref="AL239:AO239" si="1400">AL179/AL$201</f>
        <v>-32.147160983908712</v>
      </c>
      <c r="AM239" s="28">
        <f t="shared" si="1400"/>
        <v>19.765176832210447</v>
      </c>
      <c r="AN239" s="28">
        <f t="shared" si="1400"/>
        <v>18.333626296361398</v>
      </c>
      <c r="AO239" s="28">
        <f t="shared" si="1400"/>
        <v>-48.289773723908091</v>
      </c>
      <c r="AP239" s="28">
        <f t="shared" ref="AP239:AS239" si="1401">AP179/AP$201</f>
        <v>123.562279721482</v>
      </c>
      <c r="AQ239" s="28">
        <f t="shared" si="1401"/>
        <v>34.518467380048328</v>
      </c>
      <c r="AR239" s="28">
        <f t="shared" si="1401"/>
        <v>-2.8706458953264482</v>
      </c>
      <c r="AS239" s="28">
        <f t="shared" si="1401"/>
        <v>43.242296918767508</v>
      </c>
      <c r="AT239" s="28">
        <f t="shared" ref="AT239:AV239" si="1402">AT179/AT$201</f>
        <v>63.803325609922311</v>
      </c>
      <c r="AU239" s="28">
        <f t="shared" si="1255"/>
        <v>35.664039325366559</v>
      </c>
      <c r="AV239" s="28">
        <f t="shared" si="1402"/>
        <v>32.170701682396391</v>
      </c>
      <c r="AW239" s="28"/>
      <c r="AY239" s="28">
        <f t="shared" ref="AY239" si="1403">AY179/AY$201</f>
        <v>74.970035956851774</v>
      </c>
    </row>
    <row r="240" spans="2:51" ht="13.5" customHeight="1" thickBot="1">
      <c r="B240" s="51" t="str">
        <f t="shared" si="1244"/>
        <v xml:space="preserve">Net change in cash </v>
      </c>
      <c r="C240" s="52">
        <f t="shared" si="1350"/>
        <v>-162.86857624262848</v>
      </c>
      <c r="D240" s="52">
        <f t="shared" si="1350"/>
        <v>-115.39377107716723</v>
      </c>
      <c r="E240" s="52">
        <f t="shared" si="1350"/>
        <v>355.90356871678057</v>
      </c>
      <c r="F240" s="52">
        <f t="shared" si="1350"/>
        <v>-526.83915813863678</v>
      </c>
      <c r="G240" s="52">
        <f t="shared" si="1350"/>
        <v>319.72597219423733</v>
      </c>
      <c r="H240" s="52">
        <f t="shared" si="1350"/>
        <v>-331.37175324675326</v>
      </c>
      <c r="I240" s="52">
        <f t="shared" ref="I240:J240" si="1404">I180/I$201</f>
        <v>23.927044532927209</v>
      </c>
      <c r="J240" s="52">
        <f t="shared" si="1404"/>
        <v>-162.42358863718087</v>
      </c>
      <c r="K240" s="52">
        <f t="shared" ref="K240:L240" si="1405">K180/K$201</f>
        <v>-108.16500162265045</v>
      </c>
      <c r="L240" s="52">
        <f t="shared" si="1405"/>
        <v>32.137071974914029</v>
      </c>
      <c r="M240" s="52">
        <f t="shared" ref="M240" si="1406">M180/M$201</f>
        <v>17.969253741473512</v>
      </c>
      <c r="N240" s="49"/>
      <c r="O240" s="52">
        <f t="shared" si="1386"/>
        <v>-71.622934888241005</v>
      </c>
      <c r="P240" s="52">
        <f t="shared" si="1386"/>
        <v>445.59106661532542</v>
      </c>
      <c r="Q240" s="52">
        <f t="shared" si="1386"/>
        <v>-136.34285714285716</v>
      </c>
      <c r="R240" s="52">
        <f t="shared" si="1375"/>
        <v>117.5998540944738</v>
      </c>
      <c r="S240" s="52">
        <f t="shared" si="1375"/>
        <v>-121.59633377888105</v>
      </c>
      <c r="T240" s="52">
        <f t="shared" si="1375"/>
        <v>-252.48946763692072</v>
      </c>
      <c r="U240" s="52">
        <f t="shared" si="1375"/>
        <v>-95.350624399615754</v>
      </c>
      <c r="V240" s="52">
        <f t="shared" si="1375"/>
        <v>-54.809976247030868</v>
      </c>
      <c r="W240" s="52">
        <f t="shared" ref="W240:Z240" si="1407">W180/W$201</f>
        <v>129.35274444225851</v>
      </c>
      <c r="X240" s="52">
        <f t="shared" si="1407"/>
        <v>293.94155663930849</v>
      </c>
      <c r="Y240" s="52">
        <f t="shared" si="1407"/>
        <v>-241.7099480623252</v>
      </c>
      <c r="Z240" s="52">
        <f t="shared" si="1407"/>
        <v>139.14554547766377</v>
      </c>
      <c r="AA240" s="52">
        <f t="shared" ref="AA240:AC240" si="1408">AA180/AA$201</f>
        <v>-181.24611881598011</v>
      </c>
      <c r="AB240" s="52">
        <f t="shared" si="1408"/>
        <v>-172.38685233071061</v>
      </c>
      <c r="AC240" s="52">
        <f t="shared" si="1408"/>
        <v>-101.36631096040691</v>
      </c>
      <c r="AD240" s="52">
        <f t="shared" si="1263"/>
        <v>115.31068557576074</v>
      </c>
      <c r="AE240" s="52">
        <f t="shared" ref="AE240:AG240" si="1409">AE180/AE$201</f>
        <v>37.289121582315296</v>
      </c>
      <c r="AF240" s="52">
        <f t="shared" si="1409"/>
        <v>249.9137104506232</v>
      </c>
      <c r="AG240" s="52">
        <f t="shared" si="1409"/>
        <v>-356.6473988439306</v>
      </c>
      <c r="AH240" s="52">
        <f t="shared" si="1265"/>
        <v>90.278006793523048</v>
      </c>
      <c r="AI240" s="52">
        <f t="shared" si="1265"/>
        <v>15.958999051579484</v>
      </c>
      <c r="AJ240" s="52">
        <f t="shared" si="1265"/>
        <v>-179.23606082548878</v>
      </c>
      <c r="AK240" s="52">
        <f t="shared" si="1265"/>
        <v>94.437696484709917</v>
      </c>
      <c r="AL240" s="52">
        <f t="shared" ref="AL240:AO240" si="1410">AL180/AL$201</f>
        <v>-93.836393279931997</v>
      </c>
      <c r="AM240" s="52">
        <f t="shared" si="1410"/>
        <v>-37.886234072591456</v>
      </c>
      <c r="AN240" s="52">
        <f t="shared" si="1410"/>
        <v>-36.755141501142553</v>
      </c>
      <c r="AO240" s="52">
        <f t="shared" si="1410"/>
        <v>5.963865988423084</v>
      </c>
      <c r="AP240" s="52">
        <f t="shared" ref="AP240:AS240" si="1411">AP180/AP$201</f>
        <v>-39.4567179575346</v>
      </c>
      <c r="AQ240" s="52">
        <f t="shared" si="1411"/>
        <v>64.68760787021057</v>
      </c>
      <c r="AR240" s="52">
        <f t="shared" si="1411"/>
        <v>-51.146507964291963</v>
      </c>
      <c r="AS240" s="52">
        <f t="shared" si="1411"/>
        <v>-13.042717086834735</v>
      </c>
      <c r="AT240" s="52">
        <f t="shared" ref="AT240:AV240" si="1412">AT180/AT$201</f>
        <v>30.223524601335697</v>
      </c>
      <c r="AU240" s="52">
        <f t="shared" si="1255"/>
        <v>45.224171539961013</v>
      </c>
      <c r="AV240" s="52">
        <f t="shared" si="1412"/>
        <v>-43.299138284776369</v>
      </c>
      <c r="AW240" s="49"/>
      <c r="AY240" s="52">
        <f t="shared" ref="AY240" si="1413">AY180/AY$201</f>
        <v>-241.7099480623252</v>
      </c>
    </row>
    <row r="241" spans="2:51" ht="13.5" customHeight="1" thickTop="1" thickBot="1">
      <c r="B241" s="51" t="str">
        <f t="shared" si="1244"/>
        <v>Cash and cash equivalents</v>
      </c>
      <c r="C241" s="52">
        <f t="shared" ref="C241:H241" si="1414">C181/C$202</f>
        <v>778.01888687964629</v>
      </c>
      <c r="D241" s="52">
        <f t="shared" si="1414"/>
        <v>658.62690152121695</v>
      </c>
      <c r="E241" s="52">
        <f t="shared" si="1414"/>
        <v>982.7625570776255</v>
      </c>
      <c r="F241" s="52">
        <f t="shared" si="1414"/>
        <v>479.70472440944883</v>
      </c>
      <c r="G241" s="52">
        <f t="shared" si="1414"/>
        <v>837.92169929196166</v>
      </c>
      <c r="H241" s="52">
        <f t="shared" si="1414"/>
        <v>469.04061212477927</v>
      </c>
      <c r="I241" s="52">
        <f t="shared" ref="I241:J241" si="1415">I181/I$202</f>
        <v>452.86509789832945</v>
      </c>
      <c r="J241" s="52">
        <f t="shared" si="1415"/>
        <v>292.06687369105225</v>
      </c>
      <c r="K241" s="52">
        <f t="shared" ref="K241:L241" si="1416">K181/K$202</f>
        <v>172.37757421310008</v>
      </c>
      <c r="L241" s="52">
        <f t="shared" si="1416"/>
        <v>201.61071088759005</v>
      </c>
      <c r="M241" s="52">
        <f t="shared" ref="M241" si="1417">M181/M$202</f>
        <v>193.9038304808476</v>
      </c>
      <c r="N241" s="49"/>
      <c r="O241" s="52">
        <f t="shared" ref="O241:Q241" si="1418">O181/O$202</f>
        <v>559.23444976076553</v>
      </c>
      <c r="P241" s="52">
        <f t="shared" si="1418"/>
        <v>980.59925093632967</v>
      </c>
      <c r="Q241" s="52">
        <f t="shared" si="1418"/>
        <v>835.60073937153413</v>
      </c>
      <c r="R241" s="52">
        <f t="shared" ref="R241:W241" si="1419">R181/R$202</f>
        <v>982.7625570776255</v>
      </c>
      <c r="S241" s="52">
        <f t="shared" si="1419"/>
        <v>860.45981379441378</v>
      </c>
      <c r="T241" s="52">
        <f t="shared" si="1419"/>
        <v>626.60550458715602</v>
      </c>
      <c r="U241" s="52">
        <f t="shared" si="1419"/>
        <v>523.89961389961388</v>
      </c>
      <c r="V241" s="52">
        <f t="shared" si="1419"/>
        <v>479.70472440944883</v>
      </c>
      <c r="W241" s="52">
        <f t="shared" si="1419"/>
        <v>609.37376920047257</v>
      </c>
      <c r="X241" s="52">
        <f t="shared" ref="X241:AA241" si="1420">X181/X$202</f>
        <v>918.69053831640633</v>
      </c>
      <c r="Y241" s="52">
        <f t="shared" si="1420"/>
        <v>695.39446509706727</v>
      </c>
      <c r="Z241" s="52">
        <f t="shared" si="1420"/>
        <v>837.92169929196166</v>
      </c>
      <c r="AA241" s="52">
        <f t="shared" si="1420"/>
        <v>648.55789039967044</v>
      </c>
      <c r="AB241" s="52">
        <f t="shared" ref="AB241:AC241" si="1421">AB181/AB$202</f>
        <v>474.69780782626509</v>
      </c>
      <c r="AC241" s="52">
        <f t="shared" si="1421"/>
        <v>355.36345776031436</v>
      </c>
      <c r="AD241" s="52">
        <f>AD181/AD$202</f>
        <v>469.04061212477927</v>
      </c>
      <c r="AE241" s="52">
        <f t="shared" ref="AE241:AG241" si="1422">AE181/AE$202</f>
        <v>497.59198612984017</v>
      </c>
      <c r="AF241" s="52">
        <f t="shared" si="1422"/>
        <v>706.98562852464977</v>
      </c>
      <c r="AG241" s="52">
        <f t="shared" si="1422"/>
        <v>336.50468883205457</v>
      </c>
      <c r="AH241" s="52">
        <f>AH181/AH$202</f>
        <v>452.86509789832945</v>
      </c>
      <c r="AI241" s="52">
        <f t="shared" ref="AI241:AK241" si="1423">AI181/AI$202</f>
        <v>479.47798915540852</v>
      </c>
      <c r="AJ241" s="52">
        <f t="shared" si="1423"/>
        <v>292.30630305219432</v>
      </c>
      <c r="AK241" s="52">
        <f t="shared" si="1423"/>
        <v>378.76168636443816</v>
      </c>
      <c r="AL241" s="52">
        <f>AL181/AL$202</f>
        <v>292.06687369105225</v>
      </c>
      <c r="AM241" s="52">
        <f t="shared" ref="AM241:AO241" si="1424">AM181/AM$202</f>
        <v>250.30270655270658</v>
      </c>
      <c r="AN241" s="52">
        <f t="shared" si="1424"/>
        <v>203.98908966928062</v>
      </c>
      <c r="AO241" s="52">
        <f t="shared" si="1424"/>
        <v>219.67154587647266</v>
      </c>
      <c r="AP241" s="52">
        <f>AP181/AP$202</f>
        <v>172.37757421310008</v>
      </c>
      <c r="AQ241" s="52">
        <f t="shared" ref="AQ241:AS241" si="1425">AQ181/AQ$202</f>
        <v>240.328453</v>
      </c>
      <c r="AR241" s="52">
        <f t="shared" si="1425"/>
        <v>192.2135509045761</v>
      </c>
      <c r="AS241" s="52">
        <f t="shared" si="1425"/>
        <v>173.55116079105761</v>
      </c>
      <c r="AT241" s="52">
        <f>AT181/AT$202</f>
        <v>201.61071088759005</v>
      </c>
      <c r="AU241" s="52">
        <f>AU181/AU$202</f>
        <v>239.73212812984528</v>
      </c>
      <c r="AV241" s="52">
        <f t="shared" ref="AV241" si="1426">AV181/AV$202</f>
        <v>193.9038304808476</v>
      </c>
      <c r="AW241" s="49"/>
      <c r="AY241" s="52">
        <f t="shared" ref="AY241" si="1427">AY181/AY$202</f>
        <v>695.39446509706727</v>
      </c>
    </row>
    <row r="242" spans="2:51" ht="13.5" customHeight="1" thickTop="1"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Y242" s="28"/>
    </row>
    <row r="243" spans="2:51" ht="13.5" customHeight="1">
      <c r="B243" s="1" t="s">
        <v>378</v>
      </c>
      <c r="C243" s="28">
        <f t="shared" ref="C243:I244" si="1428">C183/C$202</f>
        <v>3717.7416114124972</v>
      </c>
      <c r="D243" s="28">
        <f t="shared" si="1428"/>
        <v>3454.9839871897516</v>
      </c>
      <c r="E243" s="28">
        <f t="shared" si="1428"/>
        <v>3353.8051750380514</v>
      </c>
      <c r="F243" s="28">
        <f t="shared" si="1428"/>
        <v>4111.6338582677172</v>
      </c>
      <c r="G243" s="28">
        <f t="shared" si="1428"/>
        <v>5056.0183256976261</v>
      </c>
      <c r="H243" s="28">
        <f t="shared" si="1428"/>
        <v>5380.4787129684128</v>
      </c>
      <c r="I243" s="28">
        <f t="shared" si="1428"/>
        <v>5245.4643434524878</v>
      </c>
      <c r="J243" s="28">
        <f t="shared" ref="J243" si="1429">J183/J$202</f>
        <v>5458.6553043980648</v>
      </c>
      <c r="K243" s="28">
        <f>K183/K$202</f>
        <v>5779.0481438115576</v>
      </c>
      <c r="L243" s="28">
        <f>L183/L$202</f>
        <v>6103.3879298627153</v>
      </c>
      <c r="M243" s="28">
        <f t="shared" ref="M243" si="1430">M183/M$202</f>
        <v>5884.5476772616139</v>
      </c>
      <c r="N243" s="28"/>
      <c r="O243" s="28">
        <f t="shared" ref="O243:V244" si="1431">O183/O$202</f>
        <v>3296.4401913875599</v>
      </c>
      <c r="P243" s="28">
        <f t="shared" si="1431"/>
        <v>3442.1348314606744</v>
      </c>
      <c r="Q243" s="28">
        <f t="shared" si="1431"/>
        <v>3312.8096118299445</v>
      </c>
      <c r="R243" s="28">
        <f t="shared" si="1431"/>
        <v>4811.6628614916281</v>
      </c>
      <c r="S243" s="28">
        <f t="shared" si="1431"/>
        <v>3631.8449553486603</v>
      </c>
      <c r="T243" s="28">
        <f t="shared" si="1431"/>
        <v>3810.2869412453642</v>
      </c>
      <c r="U243" s="28">
        <f t="shared" si="1431"/>
        <v>3860.2509652509652</v>
      </c>
      <c r="V243" s="28">
        <f t="shared" si="1431"/>
        <v>4111.6338582677172</v>
      </c>
      <c r="W243" s="28">
        <f t="shared" ref="W243:X243" si="1432">W183/W$202</f>
        <v>4365.3209925167384</v>
      </c>
      <c r="X243" s="28">
        <f t="shared" si="1432"/>
        <v>5056.1197864397254</v>
      </c>
      <c r="Y243" s="28">
        <f>Y183/Y$202</f>
        <v>4975.4853366377529</v>
      </c>
      <c r="Z243" s="28">
        <f>Z183/Z$202</f>
        <v>5056.0183256976261</v>
      </c>
      <c r="AA243" s="28">
        <f t="shared" ref="AA243:AB243" si="1433">AA183/AA$202</f>
        <v>4985.5170992995472</v>
      </c>
      <c r="AB243" s="28">
        <f t="shared" si="1433"/>
        <v>5265.4783855767255</v>
      </c>
      <c r="AC243" s="28">
        <f>AC183/AC$202</f>
        <v>5258.3889980353633</v>
      </c>
      <c r="AD243" s="28">
        <f>AD183/AD$202</f>
        <v>5380.4787129684128</v>
      </c>
      <c r="AE243" s="28">
        <f t="shared" ref="AE243:AF243" si="1434">AE183/AE$202</f>
        <v>5356.6942785590445</v>
      </c>
      <c r="AF243" s="28">
        <f t="shared" si="1434"/>
        <v>5340.6585410223761</v>
      </c>
      <c r="AG243" s="28">
        <f>AG183/AG$202</f>
        <v>5012.7195225916457</v>
      </c>
      <c r="AH243" s="28">
        <f>AH183/AH$202</f>
        <v>5245.4643434524878</v>
      </c>
      <c r="AI243" s="28">
        <f t="shared" ref="AI243:AJ243" si="1435">AI183/AI$202</f>
        <v>5260.8399963238671</v>
      </c>
      <c r="AJ243" s="28">
        <f t="shared" si="1435"/>
        <v>5609.3191258804409</v>
      </c>
      <c r="AK243" s="28">
        <f>AK183/AK$202</f>
        <v>5577.9502557770329</v>
      </c>
      <c r="AL243" s="28">
        <f>AL183/AL$202</f>
        <v>5458.6553043980648</v>
      </c>
      <c r="AM243" s="28">
        <f t="shared" ref="AM243:AN243" si="1436">AM183/AM$202</f>
        <v>5421.6524216524222</v>
      </c>
      <c r="AN243" s="28">
        <f t="shared" si="1436"/>
        <v>5374.1732015001708</v>
      </c>
      <c r="AO243" s="28">
        <f>AO183/AO$202</f>
        <v>5768.6183505890749</v>
      </c>
      <c r="AP243" s="28">
        <f>AP183/AP$202</f>
        <v>5779.0481438115576</v>
      </c>
      <c r="AQ243" s="28">
        <f t="shared" ref="AQ243:AR243" si="1437">AQ183/AQ$202</f>
        <v>5884.3004270000001</v>
      </c>
      <c r="AR243" s="28">
        <f t="shared" si="1437"/>
        <v>6164.9166371053561</v>
      </c>
      <c r="AS243" s="28">
        <f t="shared" ref="AS243:AU244" si="1438">AS183/AS$202</f>
        <v>6161.4961306964751</v>
      </c>
      <c r="AT243" s="28">
        <f t="shared" si="1438"/>
        <v>6103.3879298627153</v>
      </c>
      <c r="AU243" s="28">
        <f t="shared" si="1438"/>
        <v>5893.4780457229572</v>
      </c>
      <c r="AV243" s="28">
        <f t="shared" ref="AV243" si="1439">AV183/AV$202</f>
        <v>5884.5476772616139</v>
      </c>
      <c r="AW243" s="28"/>
      <c r="AY243" s="28">
        <f>AY183/AY$202</f>
        <v>4975.4853366377529</v>
      </c>
    </row>
    <row r="244" spans="2:51" ht="13.5" customHeight="1">
      <c r="B244" s="1" t="s">
        <v>379</v>
      </c>
      <c r="C244" s="28">
        <f t="shared" si="1428"/>
        <v>2939.7227245328509</v>
      </c>
      <c r="D244" s="28">
        <f t="shared" si="1428"/>
        <v>2796.3570856685346</v>
      </c>
      <c r="E244" s="28">
        <f t="shared" si="1428"/>
        <v>2371.042617960426</v>
      </c>
      <c r="F244" s="28">
        <f t="shared" si="1428"/>
        <v>3631.929133858268</v>
      </c>
      <c r="G244" s="28">
        <f t="shared" si="1428"/>
        <v>4218.0966264056642</v>
      </c>
      <c r="H244" s="28">
        <f t="shared" si="1428"/>
        <v>4911.4381008436339</v>
      </c>
      <c r="I244" s="28">
        <f t="shared" si="1428"/>
        <v>4785.7194179989219</v>
      </c>
      <c r="J244" s="28">
        <f t="shared" ref="J244:K244" si="1440">J184/J$202</f>
        <v>5159.5291398858963</v>
      </c>
      <c r="K244" s="28">
        <f t="shared" si="1440"/>
        <v>5604.3288105241409</v>
      </c>
      <c r="L244" s="28">
        <f t="shared" ref="L244" si="1441">L184/L$202</f>
        <v>5901.6073127633545</v>
      </c>
      <c r="M244" s="28">
        <f>M184/M$202</f>
        <v>5690.4808475957616</v>
      </c>
      <c r="N244" s="28"/>
      <c r="O244" s="28">
        <f t="shared" si="1431"/>
        <v>2737.2057416267944</v>
      </c>
      <c r="P244" s="28">
        <f t="shared" si="1431"/>
        <v>2461.5355805243448</v>
      </c>
      <c r="Q244" s="28">
        <f t="shared" si="1431"/>
        <v>2477.2088724584105</v>
      </c>
      <c r="R244" s="28">
        <f t="shared" si="1431"/>
        <v>3828.9003044140027</v>
      </c>
      <c r="S244" s="28">
        <f t="shared" si="1431"/>
        <v>2771.3851415542463</v>
      </c>
      <c r="T244" s="28">
        <f t="shared" si="1431"/>
        <v>3183.6814366582084</v>
      </c>
      <c r="U244" s="28">
        <f t="shared" si="1431"/>
        <v>3336.3513513513517</v>
      </c>
      <c r="V244" s="28">
        <f t="shared" si="1431"/>
        <v>3631.929133858268</v>
      </c>
      <c r="W244" s="28">
        <f t="shared" ref="W244:X244" si="1442">W184/W$202</f>
        <v>3755.947223316266</v>
      </c>
      <c r="X244" s="28">
        <f t="shared" si="1442"/>
        <v>4137.4292481233188</v>
      </c>
      <c r="Y244" s="28">
        <f>Y184/Y$202</f>
        <v>4280.0908715406858</v>
      </c>
      <c r="Z244" s="28">
        <f>Z184/Z$202</f>
        <v>4218.0966264056642</v>
      </c>
      <c r="AA244" s="28">
        <f t="shared" ref="AA244:AB244" si="1443">AA184/AA$202</f>
        <v>4336.9592088998761</v>
      </c>
      <c r="AB244" s="28">
        <f t="shared" si="1443"/>
        <v>4790.7805777504609</v>
      </c>
      <c r="AC244" s="28">
        <f>AC184/AC$202</f>
        <v>4903.025540275049</v>
      </c>
      <c r="AD244" s="28">
        <f>AD184/AD$202</f>
        <v>4911.4381008436339</v>
      </c>
      <c r="AE244" s="28">
        <f t="shared" ref="AE244:AF244" si="1444">AE184/AE$202</f>
        <v>4859.1022924292047</v>
      </c>
      <c r="AF244" s="28">
        <f t="shared" si="1444"/>
        <v>4633.6729124977264</v>
      </c>
      <c r="AG244" s="28">
        <f>AG184/AG$202</f>
        <v>4676.2148337595909</v>
      </c>
      <c r="AH244" s="28">
        <f>AH184/AH$202</f>
        <v>4785.7194179989219</v>
      </c>
      <c r="AI244" s="28">
        <f t="shared" ref="AI244:AJ244" si="1445">AI184/AI$202</f>
        <v>4781.3620071684591</v>
      </c>
      <c r="AJ244" s="28">
        <f t="shared" si="1445"/>
        <v>5317.0128228282465</v>
      </c>
      <c r="AK244" s="28">
        <f>AK184/AK$202</f>
        <v>5199.1885694125949</v>
      </c>
      <c r="AL244" s="28">
        <f>AL184/AL$202</f>
        <v>5159.5291398858963</v>
      </c>
      <c r="AM244" s="28">
        <f t="shared" ref="AM244:AN244" si="1446">AM184/AM$202</f>
        <v>5171.3497150997155</v>
      </c>
      <c r="AN244" s="28">
        <f t="shared" si="1446"/>
        <v>5170.1841118308903</v>
      </c>
      <c r="AO244" s="28">
        <f>AO184/AO$202</f>
        <v>5548.946804712602</v>
      </c>
      <c r="AP244" s="28">
        <f>AP184/AP$202</f>
        <v>5604.3288105241409</v>
      </c>
      <c r="AQ244" s="28">
        <f t="shared" ref="AQ244:AR244" si="1447">AQ184/AQ$202</f>
        <v>5642.2252739999994</v>
      </c>
      <c r="AR244" s="28">
        <f t="shared" si="1447"/>
        <v>5972.5257183398362</v>
      </c>
      <c r="AS244" s="28">
        <f t="shared" si="1438"/>
        <v>5987.7730008598455</v>
      </c>
      <c r="AT244" s="28">
        <f t="shared" si="1438"/>
        <v>5901.6073127633545</v>
      </c>
      <c r="AU244" s="28">
        <f t="shared" si="1438"/>
        <v>5653.5809718602586</v>
      </c>
      <c r="AV244" s="28">
        <f t="shared" ref="AV244" si="1448">AV184/AV$202</f>
        <v>5690.4808475957616</v>
      </c>
      <c r="AW244" s="28"/>
      <c r="AY244" s="28">
        <f>AY184/AY$202</f>
        <v>4280.0908715406858</v>
      </c>
    </row>
    <row r="245" spans="2:51" ht="13.5" customHeight="1"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Y245" s="28"/>
    </row>
    <row r="246" spans="2:51" s="2" customFormat="1" ht="13.5" customHeight="1">
      <c r="B246" s="2" t="str">
        <f>B186</f>
        <v>LTM Adjusted EBITDA</v>
      </c>
      <c r="C246" s="49">
        <f t="shared" ref="C246:D246" si="1449">C186/C$201</f>
        <v>1148.4625105307498</v>
      </c>
      <c r="D246" s="49">
        <f t="shared" si="1449"/>
        <v>1173.5369966276533</v>
      </c>
      <c r="E246" s="49">
        <f t="shared" ref="E246:J246" si="1450">E186/E$201</f>
        <v>1076.4236902050113</v>
      </c>
      <c r="F246" s="49">
        <f t="shared" si="1450"/>
        <v>1516.2193473643561</v>
      </c>
      <c r="G246" s="49">
        <f t="shared" si="1450"/>
        <v>1708.1200886560548</v>
      </c>
      <c r="H246" s="49">
        <f t="shared" si="1450"/>
        <v>1951.481331168831</v>
      </c>
      <c r="I246" s="49">
        <f t="shared" si="1450"/>
        <v>1839.7034807978127</v>
      </c>
      <c r="J246" s="49">
        <f t="shared" si="1450"/>
        <v>1875.1708018698312</v>
      </c>
      <c r="K246" s="49">
        <f t="shared" ref="K246:M246" si="1451">K186/K$201</f>
        <v>1903.5882502565544</v>
      </c>
      <c r="L246" s="49">
        <f t="shared" ref="L246" si="1452">L186/L$201</f>
        <v>1927.0289233647775</v>
      </c>
      <c r="M246" s="49">
        <f t="shared" si="1451"/>
        <v>1896.1719890046493</v>
      </c>
      <c r="N246" s="49"/>
      <c r="O246" s="285"/>
      <c r="P246" s="285"/>
      <c r="Q246" s="285"/>
      <c r="R246" s="49">
        <f t="shared" ref="R246" si="1453">R186/AVERAGE(O$201:R$201)</f>
        <v>1076.4236902050113</v>
      </c>
      <c r="S246" s="49">
        <f t="shared" ref="S246" si="1454">S186/AVERAGE(P$201:S$201)</f>
        <v>1164.014364014364</v>
      </c>
      <c r="T246" s="49">
        <f t="shared" ref="T246" si="1455">T186/AVERAGE(Q$201:T$201)</f>
        <v>1251.0947527368817</v>
      </c>
      <c r="U246" s="49">
        <f t="shared" ref="U246" si="1456">U186/AVERAGE(R$201:U$201)</f>
        <v>1314.1533077977963</v>
      </c>
      <c r="V246" s="49">
        <f t="shared" ref="V246" si="1457">V186/AVERAGE(S$201:V$201)</f>
        <v>1516.2193473643561</v>
      </c>
      <c r="W246" s="49">
        <f t="shared" ref="W246:AC246" si="1458">W186/AVERAGE(T$201:W$201)</f>
        <v>1556.7162727361151</v>
      </c>
      <c r="X246" s="49">
        <f t="shared" si="1458"/>
        <v>1607.6961568273466</v>
      </c>
      <c r="Y246" s="49">
        <f t="shared" si="1458"/>
        <v>1712.6805778491171</v>
      </c>
      <c r="Z246" s="49">
        <f t="shared" si="1458"/>
        <v>1708.1200886560548</v>
      </c>
      <c r="AA246" s="49">
        <f t="shared" si="1458"/>
        <v>1766.7755102040815</v>
      </c>
      <c r="AB246" s="49">
        <f t="shared" si="1458"/>
        <v>1824.5818051704086</v>
      </c>
      <c r="AC246" s="49">
        <f t="shared" si="1458"/>
        <v>1867.9111933458635</v>
      </c>
      <c r="AD246" s="49">
        <f>AD186/AVERAGE(AA$201:AD$201)</f>
        <v>1951.481331168831</v>
      </c>
      <c r="AE246" s="49">
        <f t="shared" ref="AE246:AV246" si="1459">AE186/AVERAGE(AB$201:AE$201)</f>
        <v>1876.5146222177862</v>
      </c>
      <c r="AF246" s="49">
        <f t="shared" si="1459"/>
        <v>1851.5782535777446</v>
      </c>
      <c r="AG246" s="49">
        <f t="shared" si="1459"/>
        <v>1822.6905192311701</v>
      </c>
      <c r="AH246" s="49">
        <f>AH186/AVERAGE(AE$201:AH$201)</f>
        <v>1839.7034807978127</v>
      </c>
      <c r="AI246" s="49">
        <f t="shared" si="1459"/>
        <v>1905.068382944489</v>
      </c>
      <c r="AJ246" s="49">
        <f t="shared" si="1459"/>
        <v>1919.4451378240558</v>
      </c>
      <c r="AK246" s="49">
        <f t="shared" si="1459"/>
        <v>1928.2746208612336</v>
      </c>
      <c r="AL246" s="49">
        <f>AL186/AVERAGE(AI$201:AL$201)</f>
        <v>1875.1708018698312</v>
      </c>
      <c r="AM246" s="49">
        <f t="shared" si="1459"/>
        <v>1888.8506276580997</v>
      </c>
      <c r="AN246" s="49">
        <f t="shared" si="1459"/>
        <v>1884.1422540275864</v>
      </c>
      <c r="AO246" s="49">
        <f t="shared" si="1459"/>
        <v>1885.250900413196</v>
      </c>
      <c r="AP246" s="49">
        <f>AP186/AVERAGE(AM$201:AP$201)</f>
        <v>1903.5882502565544</v>
      </c>
      <c r="AQ246" s="49">
        <f t="shared" si="1459"/>
        <v>1896.741375187496</v>
      </c>
      <c r="AR246" s="49">
        <f t="shared" si="1459"/>
        <v>1912.9362201133574</v>
      </c>
      <c r="AS246" s="49">
        <f t="shared" si="1459"/>
        <v>1921.2432983872718</v>
      </c>
      <c r="AT246" s="49">
        <f>AT186/AVERAGE(AQ$201:AT$201)</f>
        <v>1927.0289233647775</v>
      </c>
      <c r="AU246" s="49">
        <f t="shared" si="1459"/>
        <v>1925.5586550027808</v>
      </c>
      <c r="AV246" s="49">
        <f t="shared" si="1459"/>
        <v>1896.1719890046493</v>
      </c>
      <c r="AW246" s="49"/>
      <c r="AX246" s="204"/>
      <c r="AY246" s="49">
        <f>AY186/AVERAGE(V201,W201,X201,AY201)</f>
        <v>1712.6805778491171</v>
      </c>
    </row>
    <row r="247" spans="2:51" ht="13.5" customHeight="1"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74"/>
      <c r="P247" s="74"/>
      <c r="Q247" s="74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Y247" s="28"/>
    </row>
    <row r="248" spans="2:51" ht="13.5" customHeight="1">
      <c r="B248" s="2" t="s">
        <v>352</v>
      </c>
      <c r="C248" s="28">
        <f t="shared" ref="C248:G248" si="1460">C125/C$202</f>
        <v>2897.3879847297567</v>
      </c>
      <c r="D248" s="28">
        <f t="shared" si="1460"/>
        <v>2785.3682946357085</v>
      </c>
      <c r="E248" s="28">
        <f t="shared" si="1460"/>
        <v>2356.8302891933026</v>
      </c>
      <c r="F248" s="28">
        <f t="shared" si="1460"/>
        <v>3314.2519685039374</v>
      </c>
      <c r="G248" s="28">
        <f t="shared" si="1460"/>
        <v>3782.7571845064554</v>
      </c>
      <c r="H248" s="28">
        <f t="shared" ref="H248:J248" si="1461">H125/H$202</f>
        <v>4486.1487149303512</v>
      </c>
      <c r="I248" s="28">
        <f t="shared" si="1461"/>
        <v>4053.6913957248066</v>
      </c>
      <c r="J248" s="28">
        <f t="shared" si="1461"/>
        <v>4328.8076839748683</v>
      </c>
      <c r="K248" s="28">
        <f>K125/K$202</f>
        <v>4701.3051863075971</v>
      </c>
      <c r="L248" s="28">
        <f>L125/L$202</f>
        <v>4837.110914775044</v>
      </c>
      <c r="M248" s="28">
        <f>M125/M$202</f>
        <v>4683.6022819885902</v>
      </c>
      <c r="N248" s="28"/>
      <c r="O248" s="28">
        <f t="shared" ref="O248:AP248" si="1462">O125/O$202</f>
        <v>2580.4976076555022</v>
      </c>
      <c r="P248" s="28">
        <f t="shared" si="1462"/>
        <v>2389.7003745318352</v>
      </c>
      <c r="Q248" s="28">
        <f t="shared" si="1462"/>
        <v>2396.0443622920516</v>
      </c>
      <c r="R248" s="28">
        <f t="shared" si="1462"/>
        <v>2356.8302891933026</v>
      </c>
      <c r="S248" s="28">
        <f t="shared" si="1462"/>
        <v>2450.7315219456582</v>
      </c>
      <c r="T248" s="28">
        <f t="shared" si="1462"/>
        <v>2754.2260394300215</v>
      </c>
      <c r="U248" s="28">
        <f t="shared" si="1462"/>
        <v>2918.7837837837837</v>
      </c>
      <c r="V248" s="28">
        <f t="shared" si="1462"/>
        <v>3314.2519685039374</v>
      </c>
      <c r="W248" s="28">
        <f t="shared" si="1462"/>
        <v>3387.7313903111462</v>
      </c>
      <c r="X248" s="28">
        <f t="shared" si="1462"/>
        <v>3791.3773031993896</v>
      </c>
      <c r="Y248" s="28">
        <f t="shared" si="1462"/>
        <v>3906.8153655514247</v>
      </c>
      <c r="Z248" s="28">
        <f t="shared" si="1462"/>
        <v>3782.7571845064554</v>
      </c>
      <c r="AA248" s="28">
        <f t="shared" si="1462"/>
        <v>3895.8590852904822</v>
      </c>
      <c r="AB248" s="28">
        <f t="shared" si="1462"/>
        <v>4308.3384552345833</v>
      </c>
      <c r="AC248" s="28">
        <f t="shared" si="1462"/>
        <v>4468.2121807465619</v>
      </c>
      <c r="AD248" s="28">
        <f t="shared" si="1462"/>
        <v>4486.1487149303512</v>
      </c>
      <c r="AE248" s="28">
        <f t="shared" si="1462"/>
        <v>4423.6370641494896</v>
      </c>
      <c r="AF248" s="28">
        <f t="shared" si="1462"/>
        <v>3921.6481717300348</v>
      </c>
      <c r="AG248" s="28">
        <f t="shared" si="1462"/>
        <v>4037.4083546462066</v>
      </c>
      <c r="AH248" s="28">
        <f t="shared" si="1462"/>
        <v>4053.6913957248066</v>
      </c>
      <c r="AI248" s="28">
        <f t="shared" si="1462"/>
        <v>4057.2006249425604</v>
      </c>
      <c r="AJ248" s="28">
        <f t="shared" si="1462"/>
        <v>4573.9931370778404</v>
      </c>
      <c r="AK248" s="28">
        <f t="shared" si="1462"/>
        <v>4447.4334097724468</v>
      </c>
      <c r="AL248" s="28">
        <f t="shared" si="1462"/>
        <v>4328.8076839748683</v>
      </c>
      <c r="AM248" s="28">
        <f t="shared" si="1462"/>
        <v>4312.393162393163</v>
      </c>
      <c r="AN248" s="28">
        <f t="shared" si="1462"/>
        <v>4307.5690419365837</v>
      </c>
      <c r="AO248" s="28">
        <f t="shared" si="1462"/>
        <v>4637.3795073188148</v>
      </c>
      <c r="AP248" s="28">
        <f t="shared" si="1462"/>
        <v>4701.3051863075971</v>
      </c>
      <c r="AQ248" s="28">
        <f t="shared" ref="AQ248:AS248" si="1463">AQ125/AQ$202</f>
        <v>4728.6313060000002</v>
      </c>
      <c r="AR248" s="28">
        <f t="shared" si="1463"/>
        <v>5011.2805959560128</v>
      </c>
      <c r="AS248" s="28">
        <f t="shared" si="1463"/>
        <v>4970.3009458297511</v>
      </c>
      <c r="AT248" s="28">
        <f>AT125/AT$202</f>
        <v>4837.110914775044</v>
      </c>
      <c r="AU248" s="28">
        <f>AU125/AU$202</f>
        <v>4655.9561904133543</v>
      </c>
      <c r="AV248" s="28">
        <f t="shared" ref="AV248" si="1464">AV125/AV$202</f>
        <v>4683.6022819885902</v>
      </c>
      <c r="AW248" s="28"/>
      <c r="AY248" s="28"/>
    </row>
    <row r="249" spans="2:51" ht="13.5" customHeight="1"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74"/>
      <c r="P249" s="74"/>
      <c r="Q249" s="74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Y249" s="28"/>
    </row>
    <row r="250" spans="2:51" ht="13.5" customHeight="1">
      <c r="B250" s="58" t="s">
        <v>344</v>
      </c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74"/>
      <c r="P250" s="74"/>
      <c r="Q250" s="74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Y250" s="28"/>
    </row>
    <row r="251" spans="2:51" ht="13.5" customHeight="1">
      <c r="B251" s="64" t="s">
        <v>36</v>
      </c>
      <c r="C251" s="28">
        <f t="shared" ref="C251:K251" si="1465">C110/C$202</f>
        <v>0</v>
      </c>
      <c r="D251" s="28">
        <f t="shared" si="1465"/>
        <v>0</v>
      </c>
      <c r="E251" s="28">
        <f t="shared" si="1465"/>
        <v>0</v>
      </c>
      <c r="F251" s="28">
        <f t="shared" si="1465"/>
        <v>63.287401574803155</v>
      </c>
      <c r="G251" s="28">
        <f t="shared" si="1465"/>
        <v>84.194085797584336</v>
      </c>
      <c r="H251" s="28">
        <f t="shared" si="1465"/>
        <v>89.366293898371595</v>
      </c>
      <c r="I251" s="28">
        <f t="shared" si="1465"/>
        <v>188.19831147835458</v>
      </c>
      <c r="J251" s="28">
        <f t="shared" si="1465"/>
        <v>106.9004116415108</v>
      </c>
      <c r="K251" s="28">
        <f t="shared" si="1465"/>
        <v>126.30002066258007</v>
      </c>
      <c r="L251" s="28">
        <f t="shared" ref="L251" si="1466">L110/L$202</f>
        <v>151.16555661274975</v>
      </c>
      <c r="M251" s="28">
        <f>M110/M$202</f>
        <v>166.04726976365117</v>
      </c>
      <c r="N251" s="28"/>
      <c r="O251" s="28">
        <f t="shared" ref="O251:AP251" si="1467">O110/O$202</f>
        <v>0</v>
      </c>
      <c r="P251" s="28">
        <f t="shared" si="1467"/>
        <v>0</v>
      </c>
      <c r="Q251" s="28">
        <f t="shared" si="1467"/>
        <v>0</v>
      </c>
      <c r="R251" s="28">
        <f t="shared" si="1467"/>
        <v>0</v>
      </c>
      <c r="S251" s="28">
        <f t="shared" si="1467"/>
        <v>154.96864905947177</v>
      </c>
      <c r="T251" s="28">
        <f t="shared" si="1467"/>
        <v>89.810657817684955</v>
      </c>
      <c r="U251" s="28">
        <f t="shared" si="1467"/>
        <v>86.409266409266408</v>
      </c>
      <c r="V251" s="28">
        <f t="shared" si="1467"/>
        <v>63.287401574803155</v>
      </c>
      <c r="W251" s="28">
        <f t="shared" si="1467"/>
        <v>72.016541945647887</v>
      </c>
      <c r="X251" s="28">
        <f t="shared" si="1467"/>
        <v>71.655092127975593</v>
      </c>
      <c r="Y251" s="28">
        <f t="shared" si="1467"/>
        <v>79.863692688971497</v>
      </c>
      <c r="Z251" s="28">
        <f t="shared" si="1467"/>
        <v>84.194085797584336</v>
      </c>
      <c r="AA251" s="28">
        <f t="shared" si="1467"/>
        <v>86.938607334157396</v>
      </c>
      <c r="AB251" s="28">
        <f t="shared" si="1467"/>
        <v>87.523048555623845</v>
      </c>
      <c r="AC251" s="28">
        <f t="shared" si="1467"/>
        <v>87.662082514734777</v>
      </c>
      <c r="AD251" s="28">
        <f t="shared" si="1467"/>
        <v>89.366293898371595</v>
      </c>
      <c r="AE251" s="28">
        <f t="shared" si="1467"/>
        <v>89.616644191870549</v>
      </c>
      <c r="AF251" s="28">
        <f t="shared" si="1467"/>
        <v>98.453702019283241</v>
      </c>
      <c r="AG251" s="28">
        <f t="shared" si="1467"/>
        <v>230.53708439897699</v>
      </c>
      <c r="AH251" s="28">
        <f t="shared" si="1467"/>
        <v>188.19831147835458</v>
      </c>
      <c r="AI251" s="28">
        <f t="shared" si="1467"/>
        <v>229.05982905982904</v>
      </c>
      <c r="AJ251" s="28">
        <f t="shared" si="1467"/>
        <v>185.11829510565289</v>
      </c>
      <c r="AK251" s="28">
        <f t="shared" si="1467"/>
        <v>196.17216440289295</v>
      </c>
      <c r="AL251" s="28">
        <f t="shared" si="1467"/>
        <v>106.9004116415108</v>
      </c>
      <c r="AM251" s="28">
        <f t="shared" si="1467"/>
        <v>113.76424501424502</v>
      </c>
      <c r="AN251" s="28">
        <f t="shared" si="1467"/>
        <v>118.61575178997614</v>
      </c>
      <c r="AO251" s="28">
        <f t="shared" si="1467"/>
        <v>126.70474830417707</v>
      </c>
      <c r="AP251" s="28">
        <f t="shared" si="1467"/>
        <v>126.30002066258007</v>
      </c>
      <c r="AQ251" s="28">
        <f t="shared" ref="AQ251:AT251" si="1468">AQ110/AQ$202</f>
        <v>132.469728</v>
      </c>
      <c r="AR251" s="28">
        <f t="shared" si="1468"/>
        <v>139.5707697765165</v>
      </c>
      <c r="AS251" s="28">
        <f t="shared" si="1468"/>
        <v>149.04557179707652</v>
      </c>
      <c r="AT251" s="28">
        <f t="shared" si="1468"/>
        <v>151.16555661274975</v>
      </c>
      <c r="AU251" s="28">
        <f>AU110/AU$202</f>
        <v>159.65097482928118</v>
      </c>
      <c r="AV251" s="28">
        <f t="shared" ref="AV251" si="1469">AV110/AV$202</f>
        <v>166.04726976365117</v>
      </c>
      <c r="AW251" s="28"/>
      <c r="AY251" s="28"/>
    </row>
    <row r="252" spans="2:51" ht="13.5" customHeight="1">
      <c r="B252" s="64" t="s">
        <v>343</v>
      </c>
      <c r="C252" s="28">
        <f t="shared" ref="C252:K252" si="1470">C111/C$202</f>
        <v>0</v>
      </c>
      <c r="D252" s="28">
        <f t="shared" si="1470"/>
        <v>0</v>
      </c>
      <c r="E252" s="28">
        <f t="shared" si="1470"/>
        <v>0</v>
      </c>
      <c r="F252" s="28">
        <f t="shared" si="1470"/>
        <v>257.87401574803152</v>
      </c>
      <c r="G252" s="28">
        <f t="shared" si="1470"/>
        <v>332.81965847563515</v>
      </c>
      <c r="H252" s="28">
        <f t="shared" si="1470"/>
        <v>336.09966647047281</v>
      </c>
      <c r="I252" s="28">
        <f t="shared" si="1470"/>
        <v>574.06143344709892</v>
      </c>
      <c r="J252" s="28">
        <f t="shared" si="1470"/>
        <v>751.51657398714531</v>
      </c>
      <c r="K252" s="28">
        <f t="shared" si="1470"/>
        <v>804.17039741028998</v>
      </c>
      <c r="L252" s="28">
        <f t="shared" ref="L252" si="1471">L111/L$202</f>
        <v>939.17357618594531</v>
      </c>
      <c r="M252" s="28">
        <f>M111/M$202</f>
        <v>862.34718826405867</v>
      </c>
      <c r="N252" s="28"/>
      <c r="O252" s="28">
        <f t="shared" ref="O252:AP252" si="1472">O111/O$202</f>
        <v>0</v>
      </c>
      <c r="P252" s="28">
        <f t="shared" si="1472"/>
        <v>0</v>
      </c>
      <c r="Q252" s="28">
        <f t="shared" si="1472"/>
        <v>0</v>
      </c>
      <c r="R252" s="28">
        <f t="shared" si="1472"/>
        <v>0</v>
      </c>
      <c r="S252" s="28">
        <f t="shared" si="1472"/>
        <v>171.04313129393881</v>
      </c>
      <c r="T252" s="28">
        <f t="shared" si="1472"/>
        <v>346.61331251219991</v>
      </c>
      <c r="U252" s="28">
        <f t="shared" si="1472"/>
        <v>330.13513513513516</v>
      </c>
      <c r="V252" s="28">
        <f t="shared" si="1472"/>
        <v>257.87401574803152</v>
      </c>
      <c r="W252" s="28">
        <f t="shared" si="1472"/>
        <v>249.62583694367862</v>
      </c>
      <c r="X252" s="28">
        <f t="shared" si="1472"/>
        <v>261.65147926618761</v>
      </c>
      <c r="Y252" s="28">
        <f t="shared" si="1472"/>
        <v>293.76290788930191</v>
      </c>
      <c r="Z252" s="28">
        <f t="shared" si="1472"/>
        <v>332.81965847563515</v>
      </c>
      <c r="AA252" s="28">
        <f t="shared" si="1472"/>
        <v>334.73423980222498</v>
      </c>
      <c r="AB252" s="28">
        <f t="shared" si="1472"/>
        <v>347.32636754763365</v>
      </c>
      <c r="AC252" s="28">
        <f t="shared" si="1472"/>
        <v>338.52652259332024</v>
      </c>
      <c r="AD252" s="28">
        <f t="shared" si="1472"/>
        <v>336.09966647047281</v>
      </c>
      <c r="AE252" s="28">
        <f t="shared" si="1472"/>
        <v>319.41822384896938</v>
      </c>
      <c r="AF252" s="28">
        <f t="shared" si="1472"/>
        <v>526.88739312352197</v>
      </c>
      <c r="AG252" s="28">
        <f t="shared" si="1472"/>
        <v>409.2242114236999</v>
      </c>
      <c r="AH252" s="28">
        <f t="shared" si="1472"/>
        <v>574.06143344709892</v>
      </c>
      <c r="AI252" s="28">
        <f t="shared" si="1472"/>
        <v>519.89706828416502</v>
      </c>
      <c r="AJ252" s="28">
        <f t="shared" si="1472"/>
        <v>582.7885136355427</v>
      </c>
      <c r="AK252" s="28">
        <f t="shared" si="1472"/>
        <v>579.27324043041108</v>
      </c>
      <c r="AL252" s="28">
        <f t="shared" si="1472"/>
        <v>751.51657398714531</v>
      </c>
      <c r="AM252" s="28">
        <f t="shared" si="1472"/>
        <v>768.37606837606847</v>
      </c>
      <c r="AN252" s="28">
        <f t="shared" si="1472"/>
        <v>765.71769519263557</v>
      </c>
      <c r="AO252" s="28">
        <f t="shared" si="1472"/>
        <v>811.79935737236701</v>
      </c>
      <c r="AP252" s="28">
        <f t="shared" si="1472"/>
        <v>804.17039741028998</v>
      </c>
      <c r="AQ252" s="28">
        <f t="shared" ref="AQ252:AT252" si="1473">AQ111/AQ$202</f>
        <v>807.51687700000002</v>
      </c>
      <c r="AR252" s="28">
        <f t="shared" si="1473"/>
        <v>849.52110677545227</v>
      </c>
      <c r="AS252" s="28">
        <f t="shared" si="1473"/>
        <v>895.75236457437666</v>
      </c>
      <c r="AT252" s="28">
        <f t="shared" si="1473"/>
        <v>939.17357618594531</v>
      </c>
      <c r="AU252" s="28">
        <f>AU111/AU$202</f>
        <v>860.30745884603971</v>
      </c>
      <c r="AV252" s="28">
        <f t="shared" ref="AV252" si="1474">AV111/AV$202</f>
        <v>862.34718826405867</v>
      </c>
      <c r="AW252" s="28"/>
      <c r="AY252" s="28"/>
    </row>
    <row r="253" spans="2:51" ht="13.5" customHeight="1">
      <c r="B253" s="58" t="s">
        <v>345</v>
      </c>
      <c r="C253" s="49">
        <f t="shared" ref="C253:K253" si="1475">SUM(C251:C252)</f>
        <v>0</v>
      </c>
      <c r="D253" s="49">
        <f t="shared" si="1475"/>
        <v>0</v>
      </c>
      <c r="E253" s="49">
        <f t="shared" si="1475"/>
        <v>0</v>
      </c>
      <c r="F253" s="49">
        <f t="shared" si="1475"/>
        <v>321.16141732283467</v>
      </c>
      <c r="G253" s="49">
        <f t="shared" si="1475"/>
        <v>417.01374427321946</v>
      </c>
      <c r="H253" s="49">
        <f t="shared" si="1475"/>
        <v>425.46596036884443</v>
      </c>
      <c r="I253" s="49">
        <f t="shared" si="1475"/>
        <v>762.25974492545356</v>
      </c>
      <c r="J253" s="49">
        <f t="shared" si="1475"/>
        <v>858.41698562865611</v>
      </c>
      <c r="K253" s="49">
        <f t="shared" si="1475"/>
        <v>930.47041807287007</v>
      </c>
      <c r="L253" s="49">
        <f t="shared" ref="L253" si="1476">SUM(L251:L252)</f>
        <v>1090.3391327986951</v>
      </c>
      <c r="M253" s="49">
        <f>SUM(M251:M252)</f>
        <v>1028.3944580277098</v>
      </c>
      <c r="N253" s="28"/>
      <c r="O253" s="49">
        <f t="shared" ref="O253:AP253" si="1477">SUM(O251:O252)</f>
        <v>0</v>
      </c>
      <c r="P253" s="49">
        <f t="shared" si="1477"/>
        <v>0</v>
      </c>
      <c r="Q253" s="49">
        <f t="shared" si="1477"/>
        <v>0</v>
      </c>
      <c r="R253" s="49">
        <f t="shared" si="1477"/>
        <v>0</v>
      </c>
      <c r="S253" s="49">
        <f t="shared" si="1477"/>
        <v>326.01178035341059</v>
      </c>
      <c r="T253" s="49">
        <f t="shared" si="1477"/>
        <v>436.42397032988487</v>
      </c>
      <c r="U253" s="49">
        <f t="shared" si="1477"/>
        <v>416.54440154440158</v>
      </c>
      <c r="V253" s="49">
        <f t="shared" si="1477"/>
        <v>321.16141732283467</v>
      </c>
      <c r="W253" s="49">
        <f t="shared" si="1477"/>
        <v>321.64237888932649</v>
      </c>
      <c r="X253" s="49">
        <f t="shared" si="1477"/>
        <v>333.3065713941632</v>
      </c>
      <c r="Y253" s="49">
        <f t="shared" si="1477"/>
        <v>373.62660057827338</v>
      </c>
      <c r="Z253" s="49">
        <f t="shared" si="1477"/>
        <v>417.01374427321946</v>
      </c>
      <c r="AA253" s="49">
        <f t="shared" si="1477"/>
        <v>421.67284713638236</v>
      </c>
      <c r="AB253" s="49">
        <f t="shared" si="1477"/>
        <v>434.84941610325751</v>
      </c>
      <c r="AC253" s="49">
        <f t="shared" si="1477"/>
        <v>426.18860510805501</v>
      </c>
      <c r="AD253" s="49">
        <f t="shared" si="1477"/>
        <v>425.46596036884443</v>
      </c>
      <c r="AE253" s="49">
        <f t="shared" si="1477"/>
        <v>409.03486804083991</v>
      </c>
      <c r="AF253" s="49">
        <f t="shared" si="1477"/>
        <v>625.34109514280522</v>
      </c>
      <c r="AG253" s="49">
        <f t="shared" si="1477"/>
        <v>639.76129582267686</v>
      </c>
      <c r="AH253" s="49">
        <f t="shared" si="1477"/>
        <v>762.25974492545356</v>
      </c>
      <c r="AI253" s="49">
        <f t="shared" si="1477"/>
        <v>748.95689734399411</v>
      </c>
      <c r="AJ253" s="49">
        <f t="shared" si="1477"/>
        <v>767.90680874119562</v>
      </c>
      <c r="AK253" s="49">
        <f t="shared" si="1477"/>
        <v>775.445404833304</v>
      </c>
      <c r="AL253" s="49">
        <f t="shared" si="1477"/>
        <v>858.41698562865611</v>
      </c>
      <c r="AM253" s="49">
        <f t="shared" si="1477"/>
        <v>882.14031339031351</v>
      </c>
      <c r="AN253" s="49">
        <f t="shared" si="1477"/>
        <v>884.33344698261169</v>
      </c>
      <c r="AO253" s="49">
        <f t="shared" si="1477"/>
        <v>938.5041056765441</v>
      </c>
      <c r="AP253" s="49">
        <f t="shared" si="1477"/>
        <v>930.47041807287007</v>
      </c>
      <c r="AQ253" s="49">
        <f t="shared" ref="AQ253:AT253" si="1478">SUM(AQ251:AQ252)</f>
        <v>939.98660500000005</v>
      </c>
      <c r="AR253" s="49">
        <f t="shared" si="1478"/>
        <v>989.09187655196877</v>
      </c>
      <c r="AS253" s="49">
        <f t="shared" si="1478"/>
        <v>1044.7979363714533</v>
      </c>
      <c r="AT253" s="49">
        <f t="shared" si="1478"/>
        <v>1090.3391327986951</v>
      </c>
      <c r="AU253" s="49">
        <f t="shared" ref="AU253:AV253" si="1479">SUM(AU251:AU252)</f>
        <v>1019.9584336753209</v>
      </c>
      <c r="AV253" s="49">
        <f t="shared" si="1479"/>
        <v>1028.3944580277098</v>
      </c>
      <c r="AW253" s="49"/>
      <c r="AY253" s="28"/>
    </row>
    <row r="254" spans="2:51" ht="13.5" customHeight="1">
      <c r="B254" s="5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74"/>
      <c r="P254" s="74"/>
      <c r="Q254" s="74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Y254" s="28"/>
    </row>
    <row r="255" spans="2:51" ht="13.5" customHeight="1">
      <c r="B255" s="1" t="s">
        <v>353</v>
      </c>
      <c r="C255" s="28">
        <f t="shared" ref="C255:J255" si="1480">C126/C$202</f>
        <v>2180.7715491259792</v>
      </c>
      <c r="D255" s="28">
        <f t="shared" si="1480"/>
        <v>2225.4403522818252</v>
      </c>
      <c r="E255" s="28">
        <f t="shared" si="1480"/>
        <v>2219.6727549467273</v>
      </c>
      <c r="F255" s="28">
        <f t="shared" si="1480"/>
        <v>2289.1732283464567</v>
      </c>
      <c r="G255" s="28">
        <f t="shared" si="1480"/>
        <v>2491.9825072886297</v>
      </c>
      <c r="H255" s="28">
        <f t="shared" si="1480"/>
        <v>2500.7847753580536</v>
      </c>
      <c r="I255" s="28">
        <f t="shared" si="1480"/>
        <v>2047.0810131129872</v>
      </c>
      <c r="J255" s="28">
        <f t="shared" si="1480"/>
        <v>1992.9587636311114</v>
      </c>
      <c r="K255" s="28">
        <f>K126/K$202</f>
        <v>2010.0385701494592</v>
      </c>
      <c r="L255" s="28">
        <f>L126/L$202</f>
        <v>2176.20973222781</v>
      </c>
      <c r="M255" s="28">
        <f>M126/M$202</f>
        <v>1862.5427872860635</v>
      </c>
      <c r="N255" s="28"/>
      <c r="O255" s="28">
        <f t="shared" ref="O255:AP255" si="1481">O126/O$202</f>
        <v>2170.7559808612441</v>
      </c>
      <c r="P255" s="28">
        <f t="shared" si="1481"/>
        <v>2201.4606741573034</v>
      </c>
      <c r="Q255" s="28">
        <f t="shared" si="1481"/>
        <v>2103.0683918669129</v>
      </c>
      <c r="R255" s="28">
        <f t="shared" si="1481"/>
        <v>2219.6727549467273</v>
      </c>
      <c r="S255" s="28">
        <f t="shared" si="1481"/>
        <v>2160.0608018240546</v>
      </c>
      <c r="T255" s="28">
        <f t="shared" si="1481"/>
        <v>2314.4446613312512</v>
      </c>
      <c r="U255" s="28">
        <f t="shared" si="1481"/>
        <v>2207.4903474903476</v>
      </c>
      <c r="V255" s="28">
        <f t="shared" si="1481"/>
        <v>2289.1732283464567</v>
      </c>
      <c r="W255" s="28">
        <f t="shared" si="1481"/>
        <v>2225.8566364710514</v>
      </c>
      <c r="X255" s="28">
        <f t="shared" si="1481"/>
        <v>2393.1797198024969</v>
      </c>
      <c r="Y255" s="28">
        <f t="shared" si="1481"/>
        <v>2450.4543577034283</v>
      </c>
      <c r="Z255" s="28">
        <f t="shared" si="1481"/>
        <v>2491.9825072886297</v>
      </c>
      <c r="AA255" s="28">
        <f t="shared" si="1481"/>
        <v>2341.7181705809644</v>
      </c>
      <c r="AB255" s="28">
        <f t="shared" si="1481"/>
        <v>2472.9153861913542</v>
      </c>
      <c r="AC255" s="28">
        <f t="shared" si="1481"/>
        <v>2303.0451866404715</v>
      </c>
      <c r="AD255" s="28">
        <f t="shared" si="1481"/>
        <v>2500.7847753580536</v>
      </c>
      <c r="AE255" s="28">
        <f t="shared" si="1481"/>
        <v>2449.3353881718363</v>
      </c>
      <c r="AF255" s="28">
        <f t="shared" si="1481"/>
        <v>2439.0940513007095</v>
      </c>
      <c r="AG255" s="28">
        <f t="shared" si="1481"/>
        <v>2176.16368286445</v>
      </c>
      <c r="AH255" s="28">
        <f t="shared" si="1481"/>
        <v>2047.0810131129872</v>
      </c>
      <c r="AI255" s="28">
        <f t="shared" si="1481"/>
        <v>2021.45023435346</v>
      </c>
      <c r="AJ255" s="28">
        <f t="shared" si="1481"/>
        <v>2149.3769189091568</v>
      </c>
      <c r="AK255" s="28">
        <f t="shared" si="1481"/>
        <v>2068.9539601340625</v>
      </c>
      <c r="AL255" s="28">
        <f t="shared" si="1481"/>
        <v>1992.9587636311114</v>
      </c>
      <c r="AM255" s="28">
        <f t="shared" si="1481"/>
        <v>1891.7378917378919</v>
      </c>
      <c r="AN255" s="28">
        <f t="shared" si="1481"/>
        <v>1947.9543129901126</v>
      </c>
      <c r="AO255" s="28">
        <f t="shared" si="1481"/>
        <v>2015.9050339164583</v>
      </c>
      <c r="AP255" s="28">
        <f t="shared" si="1481"/>
        <v>2010.0385701494592</v>
      </c>
      <c r="AQ255" s="28">
        <f t="shared" ref="AQ255:AT255" si="1482">AQ126/AQ$202</f>
        <v>2040.075732</v>
      </c>
      <c r="AR255" s="28">
        <f t="shared" si="1482"/>
        <v>2026.7293366442</v>
      </c>
      <c r="AS255" s="28">
        <f t="shared" si="1482"/>
        <v>2089.286328460877</v>
      </c>
      <c r="AT255" s="28">
        <f t="shared" si="1482"/>
        <v>2176.20973222781</v>
      </c>
      <c r="AU255" s="28">
        <f>AU126/AU$202</f>
        <v>2097.5818955563618</v>
      </c>
      <c r="AV255" s="28">
        <f t="shared" ref="AV255" si="1483">AV126/AV$202</f>
        <v>1862.5427872860635</v>
      </c>
      <c r="AW255" s="28"/>
      <c r="AY255" s="28"/>
    </row>
    <row r="256" spans="2:51" ht="13.5" customHeight="1"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Y256" s="28"/>
    </row>
    <row r="257" spans="2:51" ht="13.5" customHeight="1">
      <c r="B257" s="2" t="str">
        <f t="shared" ref="B257" si="1484">B188</f>
        <v>Total Net Leverage exc lease</v>
      </c>
      <c r="C257" s="54">
        <f t="shared" ref="C257:J257" si="1485">((C244-C253))/C246</f>
        <v>2.5597028179651149</v>
      </c>
      <c r="D257" s="54">
        <f t="shared" si="1485"/>
        <v>2.3828452734803549</v>
      </c>
      <c r="E257" s="54">
        <f t="shared" si="1485"/>
        <v>2.2027038605113258</v>
      </c>
      <c r="F257" s="54">
        <f t="shared" si="1485"/>
        <v>2.1835677814628474</v>
      </c>
      <c r="G257" s="54">
        <f t="shared" si="1485"/>
        <v>2.2253019020010054</v>
      </c>
      <c r="H257" s="54">
        <f t="shared" si="1485"/>
        <v>2.298752270301216</v>
      </c>
      <c r="I257" s="54">
        <f t="shared" si="1485"/>
        <v>2.1870153071236458</v>
      </c>
      <c r="J257" s="54">
        <f t="shared" si="1485"/>
        <v>2.2937175376069079</v>
      </c>
      <c r="K257" s="54">
        <f>((K244-K253))/K246</f>
        <v>2.4552885277692567</v>
      </c>
      <c r="L257" s="54">
        <f>((L244-L253))/L246</f>
        <v>2.496728576114843</v>
      </c>
      <c r="M257" s="54">
        <f>((M244-M253))/M246</f>
        <v>2.4586832927614886</v>
      </c>
      <c r="N257" s="54"/>
      <c r="O257" s="158"/>
      <c r="P257" s="158"/>
      <c r="Q257" s="158"/>
      <c r="R257" s="54">
        <f t="shared" ref="R257:AR257" si="1486">((R244-R253))/R246</f>
        <v>3.5570568905676589</v>
      </c>
      <c r="S257" s="54">
        <f t="shared" si="1486"/>
        <v>2.1008102965047768</v>
      </c>
      <c r="T257" s="54">
        <f t="shared" si="1486"/>
        <v>2.1958828140861848</v>
      </c>
      <c r="U257" s="54">
        <f t="shared" si="1486"/>
        <v>2.2218160792060413</v>
      </c>
      <c r="V257" s="54">
        <f t="shared" si="1486"/>
        <v>2.1835677814628474</v>
      </c>
      <c r="W257" s="54">
        <f t="shared" si="1486"/>
        <v>2.2061212467386477</v>
      </c>
      <c r="X257" s="54">
        <f t="shared" si="1486"/>
        <v>2.3661950428719516</v>
      </c>
      <c r="Y257" s="54">
        <f t="shared" si="1486"/>
        <v>2.280906504976179</v>
      </c>
      <c r="Z257" s="54">
        <f t="shared" si="1486"/>
        <v>2.2253019020010054</v>
      </c>
      <c r="AA257" s="54">
        <f t="shared" si="1486"/>
        <v>2.2160632967519662</v>
      </c>
      <c r="AB257" s="54">
        <f t="shared" si="1486"/>
        <v>2.3873586535301312</v>
      </c>
      <c r="AC257" s="54">
        <f t="shared" si="1486"/>
        <v>2.3967075903367427</v>
      </c>
      <c r="AD257" s="54">
        <f t="shared" si="1486"/>
        <v>2.298752270301216</v>
      </c>
      <c r="AE257" s="54">
        <f t="shared" si="1486"/>
        <v>2.3714536362786176</v>
      </c>
      <c r="AF257" s="54">
        <f t="shared" si="1486"/>
        <v>2.1648190183751357</v>
      </c>
      <c r="AG257" s="54">
        <f t="shared" si="1486"/>
        <v>2.214557817330137</v>
      </c>
      <c r="AH257" s="54">
        <f t="shared" si="1486"/>
        <v>2.1870153071236458</v>
      </c>
      <c r="AI257" s="54">
        <f t="shared" si="1486"/>
        <v>2.1166721079019468</v>
      </c>
      <c r="AJ257" s="54">
        <f t="shared" si="1486"/>
        <v>2.3700109601694903</v>
      </c>
      <c r="AK257" s="54">
        <f t="shared" si="1486"/>
        <v>2.2941458217209205</v>
      </c>
      <c r="AL257" s="54">
        <f t="shared" si="1486"/>
        <v>2.2937175376069079</v>
      </c>
      <c r="AM257" s="54">
        <f t="shared" si="1486"/>
        <v>2.2708039158328779</v>
      </c>
      <c r="AN257" s="54">
        <f t="shared" si="1486"/>
        <v>2.2746959024387592</v>
      </c>
      <c r="AO257" s="54">
        <f t="shared" si="1486"/>
        <v>2.4455326864055991</v>
      </c>
      <c r="AP257" s="54">
        <f t="shared" si="1486"/>
        <v>2.4552885277692567</v>
      </c>
      <c r="AQ257" s="54">
        <f t="shared" si="1486"/>
        <v>2.4791143012500454</v>
      </c>
      <c r="AR257" s="54">
        <f t="shared" si="1486"/>
        <v>2.605122841728909</v>
      </c>
      <c r="AS257" s="54">
        <f>((AS244-AS253))/AS246</f>
        <v>2.572800159478823</v>
      </c>
      <c r="AT257" s="54">
        <f t="shared" ref="AT257:AV257" si="1487">((AT244-AT253))/AT246</f>
        <v>2.496728576114843</v>
      </c>
      <c r="AU257" s="54">
        <f t="shared" si="1487"/>
        <v>2.4063782872291917</v>
      </c>
      <c r="AV257" s="54">
        <f t="shared" si="1487"/>
        <v>2.4586832927614886</v>
      </c>
      <c r="AW257" s="54"/>
      <c r="AY257" s="54">
        <f t="shared" ref="AY257" si="1488">((AY107-AY119)/AY202)/AY246</f>
        <v>2.280906504976179</v>
      </c>
    </row>
    <row r="258" spans="2:51" ht="13.5" customHeight="1">
      <c r="B258" s="1" t="str">
        <f>B189</f>
        <v>Total Gross Leverage  exc lease</v>
      </c>
      <c r="C258" s="47">
        <f t="shared" ref="C258:J258" si="1489">(C243-C253)/C246</f>
        <v>3.2371466872648567</v>
      </c>
      <c r="D258" s="47">
        <f t="shared" si="1489"/>
        <v>2.9440776022555761</v>
      </c>
      <c r="E258" s="47">
        <f t="shared" si="1489"/>
        <v>3.1156924597221556</v>
      </c>
      <c r="F258" s="47">
        <f t="shared" si="1489"/>
        <v>2.4999499231650488</v>
      </c>
      <c r="G258" s="47">
        <f t="shared" si="1489"/>
        <v>2.7158538865229116</v>
      </c>
      <c r="H258" s="47">
        <f t="shared" si="1489"/>
        <v>2.5391033331750017</v>
      </c>
      <c r="I258" s="47">
        <f t="shared" si="1489"/>
        <v>2.4369169517376958</v>
      </c>
      <c r="J258" s="47">
        <f t="shared" si="1489"/>
        <v>2.4532369606983373</v>
      </c>
      <c r="K258" s="47">
        <f>(K243-K253)/K246</f>
        <v>2.5470727322913578</v>
      </c>
      <c r="L258" s="47">
        <f>(L243-L253)/L246</f>
        <v>2.6014393122396711</v>
      </c>
      <c r="M258" s="47">
        <f>(M243-M253)/M246</f>
        <v>2.5610299315638696</v>
      </c>
      <c r="N258" s="47"/>
      <c r="O258" s="157"/>
      <c r="P258" s="157"/>
      <c r="Q258" s="157"/>
      <c r="R258" s="47">
        <f t="shared" ref="R258:AR258" si="1490">(R243-R253)/R246</f>
        <v>4.4700454897784887</v>
      </c>
      <c r="S258" s="47">
        <f t="shared" si="1490"/>
        <v>2.8400278185522936</v>
      </c>
      <c r="T258" s="47">
        <f t="shared" si="1490"/>
        <v>2.6967285759410728</v>
      </c>
      <c r="U258" s="47">
        <f t="shared" si="1490"/>
        <v>2.6204755132240884</v>
      </c>
      <c r="V258" s="47">
        <f t="shared" si="1490"/>
        <v>2.4999499231650488</v>
      </c>
      <c r="W258" s="47">
        <f t="shared" si="1490"/>
        <v>2.5975694379555518</v>
      </c>
      <c r="X258" s="47">
        <f t="shared" si="1490"/>
        <v>2.9376279808777035</v>
      </c>
      <c r="Y258" s="47">
        <f t="shared" si="1490"/>
        <v>2.6869334513262002</v>
      </c>
      <c r="Z258" s="47">
        <f t="shared" si="1490"/>
        <v>2.7158538865229116</v>
      </c>
      <c r="AA258" s="47">
        <f t="shared" si="1490"/>
        <v>2.5831489206209297</v>
      </c>
      <c r="AB258" s="47">
        <f t="shared" si="1490"/>
        <v>2.6475266583195518</v>
      </c>
      <c r="AC258" s="47">
        <f t="shared" si="1490"/>
        <v>2.5869540319375215</v>
      </c>
      <c r="AD258" s="47">
        <f t="shared" si="1490"/>
        <v>2.5391033331750017</v>
      </c>
      <c r="AE258" s="47">
        <f t="shared" si="1490"/>
        <v>2.6366218264106789</v>
      </c>
      <c r="AF258" s="47">
        <f t="shared" si="1490"/>
        <v>2.5466476703149414</v>
      </c>
      <c r="AG258" s="47">
        <f t="shared" si="1490"/>
        <v>2.3991775787661029</v>
      </c>
      <c r="AH258" s="47">
        <f t="shared" si="1490"/>
        <v>2.4369169517376958</v>
      </c>
      <c r="AI258" s="47">
        <f t="shared" si="1490"/>
        <v>2.3683575557567496</v>
      </c>
      <c r="AJ258" s="47">
        <f t="shared" si="1490"/>
        <v>2.5222978358358423</v>
      </c>
      <c r="AK258" s="47">
        <f t="shared" si="1490"/>
        <v>2.4905710000989205</v>
      </c>
      <c r="AL258" s="47">
        <f t="shared" si="1490"/>
        <v>2.4532369606983373</v>
      </c>
      <c r="AM258" s="47">
        <f t="shared" si="1490"/>
        <v>2.4033197976541132</v>
      </c>
      <c r="AN258" s="47">
        <f t="shared" si="1490"/>
        <v>2.3829621913738057</v>
      </c>
      <c r="AO258" s="47">
        <f t="shared" si="1490"/>
        <v>2.5620538061294127</v>
      </c>
      <c r="AP258" s="47">
        <f t="shared" si="1490"/>
        <v>2.5470727322913578</v>
      </c>
      <c r="AQ258" s="47">
        <f t="shared" si="1490"/>
        <v>2.6067411649683905</v>
      </c>
      <c r="AR258" s="47">
        <f t="shared" si="1490"/>
        <v>2.7056964608295599</v>
      </c>
      <c r="AS258" s="47">
        <f>(AS243-AS253)/AS246</f>
        <v>2.6632224032323633</v>
      </c>
      <c r="AT258" s="47">
        <f t="shared" ref="AT258:AV258" si="1491">(AT243-AT253)/AT246</f>
        <v>2.6014393122396711</v>
      </c>
      <c r="AU258" s="47">
        <f t="shared" si="1491"/>
        <v>2.530963987716385</v>
      </c>
      <c r="AV258" s="47">
        <f t="shared" si="1491"/>
        <v>2.5610299315638696</v>
      </c>
      <c r="AW258" s="47"/>
      <c r="AY258" s="47">
        <f t="shared" ref="AY258" si="1492">(AY107/AY202)/AY246</f>
        <v>2.6869334513262002</v>
      </c>
    </row>
    <row r="259" spans="2:51" s="2" customFormat="1" ht="13.5" customHeight="1"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158"/>
      <c r="P259" s="158"/>
      <c r="Q259" s="158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Y259" s="54"/>
    </row>
    <row r="260" spans="2:51" s="2" customFormat="1" ht="13.5" customHeight="1">
      <c r="B260" s="2" t="str">
        <f>B191</f>
        <v>Total Net Leverage including lease</v>
      </c>
      <c r="C260" s="54">
        <f t="shared" ref="C260:D260" si="1493">C244/C246</f>
        <v>2.5597028179651149</v>
      </c>
      <c r="D260" s="54">
        <f t="shared" si="1493"/>
        <v>2.3828452734803549</v>
      </c>
      <c r="E260" s="54">
        <f t="shared" ref="E260:J260" si="1494">E244/E246</f>
        <v>2.2027038605113258</v>
      </c>
      <c r="F260" s="54">
        <f t="shared" si="1494"/>
        <v>2.395385034607064</v>
      </c>
      <c r="G260" s="54">
        <f t="shared" si="1494"/>
        <v>2.4694379829725284</v>
      </c>
      <c r="H260" s="54">
        <f t="shared" si="1494"/>
        <v>2.5167743203066921</v>
      </c>
      <c r="I260" s="54">
        <f t="shared" si="1494"/>
        <v>2.6013536789763148</v>
      </c>
      <c r="J260" s="54">
        <f t="shared" si="1494"/>
        <v>2.7514982287165837</v>
      </c>
      <c r="K260" s="54">
        <f t="shared" ref="K260:M260" si="1495">K244/K246</f>
        <v>2.9440866793377309</v>
      </c>
      <c r="L260" s="54">
        <f t="shared" ref="L260" si="1496">L244/L246</f>
        <v>3.0625421555471943</v>
      </c>
      <c r="M260" s="54">
        <f t="shared" si="1495"/>
        <v>3.0010362354223181</v>
      </c>
      <c r="N260" s="54"/>
      <c r="O260" s="158"/>
      <c r="P260" s="158"/>
      <c r="Q260" s="158"/>
      <c r="R260" s="54">
        <f t="shared" ref="R260:AR260" si="1497">R244/R246</f>
        <v>3.5570568905676589</v>
      </c>
      <c r="S260" s="54">
        <f t="shared" si="1497"/>
        <v>2.3808856894140931</v>
      </c>
      <c r="T260" s="54">
        <f t="shared" si="1497"/>
        <v>2.5447164810607834</v>
      </c>
      <c r="U260" s="54">
        <f t="shared" si="1497"/>
        <v>2.5387839695372159</v>
      </c>
      <c r="V260" s="54">
        <f t="shared" si="1497"/>
        <v>2.395385034607064</v>
      </c>
      <c r="W260" s="54">
        <f t="shared" si="1497"/>
        <v>2.4127371757441316</v>
      </c>
      <c r="X260" s="54">
        <f t="shared" si="1497"/>
        <v>2.5735144234518716</v>
      </c>
      <c r="Y260" s="54">
        <f t="shared" si="1497"/>
        <v>2.4990596185284417</v>
      </c>
      <c r="Z260" s="54">
        <f t="shared" si="1497"/>
        <v>2.4694379829725284</v>
      </c>
      <c r="AA260" s="54">
        <f t="shared" si="1497"/>
        <v>2.4547313361836847</v>
      </c>
      <c r="AB260" s="54">
        <f t="shared" si="1497"/>
        <v>2.6256869185994218</v>
      </c>
      <c r="AC260" s="54">
        <f t="shared" si="1497"/>
        <v>2.6248707956466548</v>
      </c>
      <c r="AD260" s="54">
        <f t="shared" si="1497"/>
        <v>2.5167743203066921</v>
      </c>
      <c r="AE260" s="54">
        <f t="shared" si="1497"/>
        <v>2.5894294853329756</v>
      </c>
      <c r="AF260" s="54">
        <f t="shared" si="1497"/>
        <v>2.5025531076227701</v>
      </c>
      <c r="AG260" s="54">
        <f t="shared" si="1497"/>
        <v>2.5655561294805369</v>
      </c>
      <c r="AH260" s="54">
        <f t="shared" si="1497"/>
        <v>2.6013536789763148</v>
      </c>
      <c r="AI260" s="54">
        <f t="shared" si="1497"/>
        <v>2.5098112225128357</v>
      </c>
      <c r="AJ260" s="54">
        <f t="shared" si="1497"/>
        <v>2.7700780387272657</v>
      </c>
      <c r="AK260" s="54">
        <f t="shared" si="1497"/>
        <v>2.6962905144135845</v>
      </c>
      <c r="AL260" s="54">
        <f t="shared" si="1497"/>
        <v>2.7514982287165837</v>
      </c>
      <c r="AM260" s="54">
        <f t="shared" si="1497"/>
        <v>2.7378288358944709</v>
      </c>
      <c r="AN260" s="54">
        <f t="shared" si="1497"/>
        <v>2.7440518892769292</v>
      </c>
      <c r="AO260" s="54">
        <f t="shared" si="1497"/>
        <v>2.9433465877122367</v>
      </c>
      <c r="AP260" s="54">
        <f t="shared" si="1497"/>
        <v>2.9440866793377309</v>
      </c>
      <c r="AQ260" s="54">
        <f t="shared" si="1497"/>
        <v>2.9746940451711588</v>
      </c>
      <c r="AR260" s="54">
        <f t="shared" si="1497"/>
        <v>3.1221771303937746</v>
      </c>
      <c r="AS260" s="54">
        <f t="shared" ref="AS260:AV260" si="1498">AS244/AS246</f>
        <v>3.1166136042666204</v>
      </c>
      <c r="AT260" s="54">
        <f t="shared" si="1498"/>
        <v>3.0625421555471943</v>
      </c>
      <c r="AU260" s="54">
        <f t="shared" si="1498"/>
        <v>2.9360731012642636</v>
      </c>
      <c r="AV260" s="54">
        <f t="shared" si="1498"/>
        <v>3.0010362354223181</v>
      </c>
      <c r="AW260" s="54"/>
      <c r="AY260" s="54">
        <f t="shared" ref="AY260" si="1499">AY244/AY246</f>
        <v>2.4990596185284417</v>
      </c>
    </row>
    <row r="261" spans="2:51" ht="13.5" customHeight="1">
      <c r="B261" s="1" t="str">
        <f>B192</f>
        <v>Total Gross Leverage  including lease</v>
      </c>
      <c r="C261" s="47">
        <f t="shared" ref="C261:D261" si="1500">C243/C246</f>
        <v>3.2371466872648567</v>
      </c>
      <c r="D261" s="47">
        <f t="shared" si="1500"/>
        <v>2.9440776022555761</v>
      </c>
      <c r="E261" s="47">
        <f t="shared" ref="E261:J261" si="1501">E243/E246</f>
        <v>3.1156924597221556</v>
      </c>
      <c r="F261" s="47">
        <f t="shared" si="1501"/>
        <v>2.7117671763092654</v>
      </c>
      <c r="G261" s="47">
        <f t="shared" si="1501"/>
        <v>2.9599899674944345</v>
      </c>
      <c r="H261" s="47">
        <f t="shared" si="1501"/>
        <v>2.7571253831804783</v>
      </c>
      <c r="I261" s="47">
        <f t="shared" si="1501"/>
        <v>2.8512553235903648</v>
      </c>
      <c r="J261" s="47">
        <f t="shared" si="1501"/>
        <v>2.9110176518080131</v>
      </c>
      <c r="K261" s="47">
        <f t="shared" ref="K261:M261" si="1502">K243/K246</f>
        <v>3.0358708838598325</v>
      </c>
      <c r="L261" s="47">
        <f t="shared" ref="L261" si="1503">L243/L246</f>
        <v>3.1672528916720224</v>
      </c>
      <c r="M261" s="47">
        <f t="shared" si="1502"/>
        <v>3.1033828742246996</v>
      </c>
      <c r="N261" s="47"/>
      <c r="O261" s="157"/>
      <c r="P261" s="157"/>
      <c r="Q261" s="157"/>
      <c r="R261" s="47">
        <f t="shared" ref="R261:AR261" si="1504">R243/R246</f>
        <v>4.4700454897784887</v>
      </c>
      <c r="S261" s="47">
        <f t="shared" si="1504"/>
        <v>3.1201032114616098</v>
      </c>
      <c r="T261" s="47">
        <f t="shared" si="1504"/>
        <v>3.045562242915671</v>
      </c>
      <c r="U261" s="47">
        <f t="shared" si="1504"/>
        <v>2.9374434035552626</v>
      </c>
      <c r="V261" s="47">
        <f t="shared" si="1504"/>
        <v>2.7117671763092654</v>
      </c>
      <c r="W261" s="47">
        <f t="shared" si="1504"/>
        <v>2.8041853669610357</v>
      </c>
      <c r="X261" s="47">
        <f t="shared" si="1504"/>
        <v>3.1449473614576235</v>
      </c>
      <c r="Y261" s="47">
        <f t="shared" si="1504"/>
        <v>2.9050865648784634</v>
      </c>
      <c r="Z261" s="47">
        <f t="shared" si="1504"/>
        <v>2.9599899674944345</v>
      </c>
      <c r="AA261" s="47">
        <f t="shared" si="1504"/>
        <v>2.8218169600526481</v>
      </c>
      <c r="AB261" s="47">
        <f t="shared" si="1504"/>
        <v>2.8858549233888424</v>
      </c>
      <c r="AC261" s="47">
        <f t="shared" si="1504"/>
        <v>2.8151172372474331</v>
      </c>
      <c r="AD261" s="47">
        <f t="shared" si="1504"/>
        <v>2.7571253831804783</v>
      </c>
      <c r="AE261" s="47">
        <f t="shared" si="1504"/>
        <v>2.8545976754650368</v>
      </c>
      <c r="AF261" s="47">
        <f t="shared" si="1504"/>
        <v>2.8843817595625758</v>
      </c>
      <c r="AG261" s="47">
        <f t="shared" si="1504"/>
        <v>2.7501758909165024</v>
      </c>
      <c r="AH261" s="47">
        <f t="shared" si="1504"/>
        <v>2.8512553235903648</v>
      </c>
      <c r="AI261" s="47">
        <f t="shared" si="1504"/>
        <v>2.761496670367638</v>
      </c>
      <c r="AJ261" s="47">
        <f t="shared" si="1504"/>
        <v>2.9223649143936168</v>
      </c>
      <c r="AK261" s="47">
        <f t="shared" si="1504"/>
        <v>2.892715692791584</v>
      </c>
      <c r="AL261" s="47">
        <f t="shared" si="1504"/>
        <v>2.9110176518080131</v>
      </c>
      <c r="AM261" s="47">
        <f t="shared" si="1504"/>
        <v>2.8703447177157058</v>
      </c>
      <c r="AN261" s="47">
        <f t="shared" si="1504"/>
        <v>2.8523181782119758</v>
      </c>
      <c r="AO261" s="47">
        <f t="shared" si="1504"/>
        <v>3.0598677074360499</v>
      </c>
      <c r="AP261" s="47">
        <f t="shared" si="1504"/>
        <v>3.0358708838598325</v>
      </c>
      <c r="AQ261" s="47">
        <f t="shared" si="1504"/>
        <v>3.1023209088895038</v>
      </c>
      <c r="AR261" s="47">
        <f t="shared" si="1504"/>
        <v>3.2227507494944256</v>
      </c>
      <c r="AS261" s="47">
        <f t="shared" ref="AS261:AV261" si="1505">AS243/AS246</f>
        <v>3.2070358480201606</v>
      </c>
      <c r="AT261" s="47">
        <f t="shared" si="1505"/>
        <v>3.1672528916720224</v>
      </c>
      <c r="AU261" s="47">
        <f t="shared" si="1505"/>
        <v>3.0606588017514564</v>
      </c>
      <c r="AV261" s="47">
        <f t="shared" si="1505"/>
        <v>3.1033828742246996</v>
      </c>
      <c r="AW261" s="47"/>
      <c r="AY261" s="47">
        <f t="shared" ref="AY261" si="1506">AY243/AY246</f>
        <v>2.9050865648784634</v>
      </c>
    </row>
    <row r="262" spans="2:51" s="2" customFormat="1" ht="13.5" customHeight="1"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158"/>
      <c r="P262" s="158"/>
      <c r="Q262" s="158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Y262" s="54"/>
    </row>
    <row r="263" spans="2:51" s="2" customFormat="1" ht="13.5" customHeight="1">
      <c r="B263" s="2" t="str">
        <f>B194</f>
        <v>Net Leverage (based on company reported debt)</v>
      </c>
      <c r="C263" s="54">
        <f t="shared" ref="C263:K263" si="1507">+(C248)/C246</f>
        <v>2.5228407180577097</v>
      </c>
      <c r="D263" s="54">
        <f t="shared" si="1507"/>
        <v>2.3734814519183551</v>
      </c>
      <c r="E263" s="54">
        <f t="shared" si="1507"/>
        <v>2.1895005755070573</v>
      </c>
      <c r="F263" s="54">
        <f t="shared" si="1507"/>
        <v>2.1858657682116385</v>
      </c>
      <c r="G263" s="54">
        <f t="shared" si="1507"/>
        <v>2.2145733251593103</v>
      </c>
      <c r="H263" s="54">
        <f t="shared" si="1507"/>
        <v>2.2988427525685795</v>
      </c>
      <c r="I263" s="54">
        <f t="shared" si="1507"/>
        <v>2.2034482393689161</v>
      </c>
      <c r="J263" s="54">
        <f t="shared" si="1507"/>
        <v>2.3084871413624759</v>
      </c>
      <c r="K263" s="54">
        <f t="shared" si="1507"/>
        <v>2.4697069787407981</v>
      </c>
      <c r="L263" s="54">
        <f t="shared" ref="L263" si="1508">+(L248)/L246</f>
        <v>2.5101392387660608</v>
      </c>
      <c r="M263" s="54">
        <f>+(M248)/M246</f>
        <v>2.4700303079823138</v>
      </c>
      <c r="N263" s="54"/>
      <c r="O263" s="158"/>
      <c r="P263" s="158"/>
      <c r="Q263" s="158"/>
      <c r="R263" s="54">
        <f t="shared" ref="R263:AR263" si="1509">+(R248)/R246</f>
        <v>2.1895005755070573</v>
      </c>
      <c r="S263" s="54">
        <f t="shared" si="1509"/>
        <v>2.105413470581035</v>
      </c>
      <c r="T263" s="54">
        <f t="shared" si="1509"/>
        <v>2.2014527943666184</v>
      </c>
      <c r="U263" s="54">
        <f t="shared" si="1509"/>
        <v>2.2210375048821058</v>
      </c>
      <c r="V263" s="54">
        <f t="shared" si="1509"/>
        <v>2.1858657682116385</v>
      </c>
      <c r="W263" s="54">
        <f t="shared" si="1509"/>
        <v>2.1762034929825735</v>
      </c>
      <c r="X263" s="54">
        <f t="shared" si="1509"/>
        <v>2.3582673175516913</v>
      </c>
      <c r="Y263" s="54">
        <f t="shared" si="1509"/>
        <v>2.2811115020979735</v>
      </c>
      <c r="Z263" s="54">
        <f t="shared" si="1509"/>
        <v>2.2145733251593103</v>
      </c>
      <c r="AA263" s="54">
        <f t="shared" si="1509"/>
        <v>2.205067402615553</v>
      </c>
      <c r="AB263" s="54">
        <f t="shared" si="1509"/>
        <v>2.3612744811034667</v>
      </c>
      <c r="AC263" s="54">
        <f t="shared" si="1509"/>
        <v>2.3920902646035085</v>
      </c>
      <c r="AD263" s="54">
        <f t="shared" si="1509"/>
        <v>2.2988427525685795</v>
      </c>
      <c r="AE263" s="54">
        <f t="shared" si="1509"/>
        <v>2.3573688218434183</v>
      </c>
      <c r="AF263" s="54">
        <f t="shared" si="1509"/>
        <v>2.1180029329856089</v>
      </c>
      <c r="AG263" s="54">
        <f t="shared" si="1509"/>
        <v>2.2150816674841911</v>
      </c>
      <c r="AH263" s="54">
        <f t="shared" si="1509"/>
        <v>2.2034482393689161</v>
      </c>
      <c r="AI263" s="54">
        <f t="shared" si="1509"/>
        <v>2.1296876591231433</v>
      </c>
      <c r="AJ263" s="54">
        <f t="shared" si="1509"/>
        <v>2.3829767503868671</v>
      </c>
      <c r="AK263" s="54">
        <f t="shared" si="1509"/>
        <v>2.3064315433379869</v>
      </c>
      <c r="AL263" s="54">
        <f t="shared" si="1509"/>
        <v>2.3084871413624759</v>
      </c>
      <c r="AM263" s="54">
        <f t="shared" si="1509"/>
        <v>2.2830779201105509</v>
      </c>
      <c r="AN263" s="54">
        <f t="shared" si="1509"/>
        <v>2.2862228330841918</v>
      </c>
      <c r="AO263" s="54">
        <f t="shared" si="1509"/>
        <v>2.4598208685657843</v>
      </c>
      <c r="AP263" s="54">
        <f t="shared" si="1509"/>
        <v>2.4697069787407981</v>
      </c>
      <c r="AQ263" s="54">
        <f t="shared" si="1509"/>
        <v>2.4930290274985789</v>
      </c>
      <c r="AR263" s="54">
        <f t="shared" si="1509"/>
        <v>2.6196799157574908</v>
      </c>
      <c r="AS263" s="54">
        <f>+(AS248)/AS246</f>
        <v>2.5870231792100022</v>
      </c>
      <c r="AT263" s="54">
        <f t="shared" ref="AT263:AV263" si="1510">+(AT248)/AT246</f>
        <v>2.5101392387660608</v>
      </c>
      <c r="AU263" s="54">
        <f t="shared" si="1510"/>
        <v>2.4179768184764177</v>
      </c>
      <c r="AV263" s="54">
        <f t="shared" si="1510"/>
        <v>2.4700303079823138</v>
      </c>
      <c r="AW263" s="54"/>
      <c r="AY263" s="54">
        <f t="shared" ref="AY263" si="1511">+(AY125/AY$202)/AY207</f>
        <v>2.2811115020979735</v>
      </c>
    </row>
    <row r="264" spans="2:51" ht="13.5" customHeight="1">
      <c r="B264" s="2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157"/>
      <c r="P264" s="157"/>
      <c r="Q264" s="15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Y264" s="47"/>
    </row>
    <row r="265" spans="2:51" s="2" customFormat="1" ht="13.5" customHeight="1">
      <c r="B265" s="2" t="str">
        <f t="shared" ref="B265" si="1512">B196</f>
        <v>EBITDA - Capex / Interest</v>
      </c>
      <c r="C265" s="54">
        <f t="shared" ref="C265:J265" si="1513">(C246+C230)/-C228</f>
        <v>2.087377149877149</v>
      </c>
      <c r="D265" s="54">
        <f t="shared" si="1513"/>
        <v>3.1387789711701526</v>
      </c>
      <c r="E265" s="54">
        <f t="shared" si="1513"/>
        <v>1.2518899304505591</v>
      </c>
      <c r="F265" s="54">
        <f t="shared" si="1513"/>
        <v>-1.5332493350132996</v>
      </c>
      <c r="G265" s="54">
        <f t="shared" si="1513"/>
        <v>0.81756109247724096</v>
      </c>
      <c r="H265" s="54">
        <f t="shared" si="1513"/>
        <v>-0.73873570948217837</v>
      </c>
      <c r="I265" s="54">
        <f t="shared" si="1513"/>
        <v>7.272162432042605</v>
      </c>
      <c r="J265" s="54">
        <f t="shared" si="1513"/>
        <v>5.1294904786412774</v>
      </c>
      <c r="K265" s="54">
        <f>(K246+K230)/-K228</f>
        <v>4.1978584729981385</v>
      </c>
      <c r="L265" s="54">
        <f>(L246+L230)/-L228</f>
        <v>3.7472228519610065</v>
      </c>
      <c r="M265" s="54">
        <f>(M246+M230)/-M228</f>
        <v>4.558682223747426</v>
      </c>
      <c r="N265" s="54"/>
      <c r="O265" s="158"/>
      <c r="P265" s="158"/>
      <c r="Q265" s="158"/>
      <c r="R265" s="54">
        <f t="shared" ref="R265:AV265" si="1514">(SUM(R246)+SUM(O230:R230))/-SUM(O228:R228)</f>
        <v>1.209790684726916</v>
      </c>
      <c r="S265" s="54">
        <f t="shared" si="1514"/>
        <v>1.0080685097473594</v>
      </c>
      <c r="T265" s="54">
        <f t="shared" si="1514"/>
        <v>1.2202426492060348</v>
      </c>
      <c r="U265" s="54">
        <f t="shared" si="1514"/>
        <v>-2.840564298617369E-2</v>
      </c>
      <c r="V265" s="54">
        <f t="shared" si="1514"/>
        <v>-1.5637144983047828</v>
      </c>
      <c r="W265" s="54">
        <f t="shared" si="1514"/>
        <v>-1.0396340770822996</v>
      </c>
      <c r="X265" s="54">
        <f t="shared" si="1514"/>
        <v>-1.0078252867493434</v>
      </c>
      <c r="Y265" s="54">
        <f t="shared" si="1514"/>
        <v>-0.21869746870146706</v>
      </c>
      <c r="Z265" s="54">
        <f t="shared" si="1514"/>
        <v>0.83428979417811244</v>
      </c>
      <c r="AA265" s="54">
        <f t="shared" si="1514"/>
        <v>0.69285861495156098</v>
      </c>
      <c r="AB265" s="54">
        <f t="shared" si="1514"/>
        <v>-0.36134610552776109</v>
      </c>
      <c r="AC265" s="54">
        <f t="shared" si="1514"/>
        <v>-1.6127263865033188</v>
      </c>
      <c r="AD265" s="54">
        <f t="shared" si="1514"/>
        <v>-0.76307568788905933</v>
      </c>
      <c r="AE265" s="54">
        <f t="shared" si="1514"/>
        <v>-1.3178252151106027</v>
      </c>
      <c r="AF265" s="54">
        <f t="shared" si="1514"/>
        <v>3.9643761523347263</v>
      </c>
      <c r="AG265" s="54">
        <f t="shared" si="1514"/>
        <v>5.6634473562755643</v>
      </c>
      <c r="AH265" s="54">
        <f t="shared" si="1514"/>
        <v>7.2698802097734294</v>
      </c>
      <c r="AI265" s="54">
        <f t="shared" si="1514"/>
        <v>8.5516694039188383</v>
      </c>
      <c r="AJ265" s="54">
        <f t="shared" si="1514"/>
        <v>3.8442261162985711</v>
      </c>
      <c r="AK265" s="54">
        <f t="shared" si="1514"/>
        <v>4.963704600557107</v>
      </c>
      <c r="AL265" s="54">
        <f t="shared" si="1514"/>
        <v>5.0954354534381361</v>
      </c>
      <c r="AM265" s="54">
        <f t="shared" si="1514"/>
        <v>5.1164217653328912</v>
      </c>
      <c r="AN265" s="54">
        <f t="shared" si="1514"/>
        <v>6.2289856457476782</v>
      </c>
      <c r="AO265" s="54">
        <f t="shared" si="1514"/>
        <v>5.8566837004496248</v>
      </c>
      <c r="AP265" s="54">
        <f t="shared" si="1514"/>
        <v>4.2074903858508748</v>
      </c>
      <c r="AQ265" s="54">
        <f t="shared" si="1514"/>
        <v>4.1045144084322436</v>
      </c>
      <c r="AR265" s="54">
        <f t="shared" si="1514"/>
        <v>3.99746104706428</v>
      </c>
      <c r="AS265" s="54">
        <f>(SUM(AS246)+SUM(AP230:AS230))/-SUM(AP228:AS228)</f>
        <v>3.2118423132400733</v>
      </c>
      <c r="AT265" s="54">
        <f t="shared" si="1514"/>
        <v>3.7388871036482754</v>
      </c>
      <c r="AU265" s="54">
        <f>(SUM(AU246)+SUM(AR230:AU230))/-SUM(AR228:AU228)</f>
        <v>3.987216768622353</v>
      </c>
      <c r="AV265" s="54">
        <f t="shared" si="1514"/>
        <v>4.5416548927368048</v>
      </c>
      <c r="AW265" s="54"/>
      <c r="AY265" s="54">
        <f t="shared" ref="AY265" si="1515">AY196</f>
        <v>-0.63943094548659196</v>
      </c>
    </row>
    <row r="266" spans="2:51" ht="13.5" customHeight="1">
      <c r="B266" s="1" t="str">
        <f>B197</f>
        <v>EBITDA/Interest</v>
      </c>
      <c r="C266" s="47">
        <f t="shared" ref="C266:J266" si="1516">C246/-C228</f>
        <v>8.3736179361179346</v>
      </c>
      <c r="D266" s="47">
        <f t="shared" si="1516"/>
        <v>8.3603730921424528</v>
      </c>
      <c r="E266" s="47">
        <f t="shared" si="1516"/>
        <v>8.5736316903537944</v>
      </c>
      <c r="F266" s="47">
        <f t="shared" si="1516"/>
        <v>10.993280134397311</v>
      </c>
      <c r="G266" s="47">
        <f t="shared" si="1516"/>
        <v>10.155007187350265</v>
      </c>
      <c r="H266" s="47">
        <f t="shared" si="1516"/>
        <v>10.778861241874019</v>
      </c>
      <c r="I266" s="47">
        <f t="shared" si="1516"/>
        <v>11.124153999778098</v>
      </c>
      <c r="J266" s="47">
        <f t="shared" si="1516"/>
        <v>10.735666495110655</v>
      </c>
      <c r="K266" s="47">
        <f>K246/-K228</f>
        <v>10.103817504655495</v>
      </c>
      <c r="L266" s="47">
        <f>L246/-L228</f>
        <v>8.4055769666742233</v>
      </c>
      <c r="M266" s="47">
        <f>M246/-M228</f>
        <v>8.5220010676427975</v>
      </c>
      <c r="N266" s="47"/>
      <c r="O266" s="157"/>
      <c r="P266" s="157"/>
      <c r="Q266" s="157"/>
      <c r="R266" s="47">
        <f t="shared" ref="R266:AV266" si="1517">SUM(R246)/-SUM(O228:R228)</f>
        <v>8.5818278224307107</v>
      </c>
      <c r="S266" s="47">
        <f t="shared" si="1517"/>
        <v>9.0555169303882632</v>
      </c>
      <c r="T266" s="47">
        <f t="shared" si="1517"/>
        <v>9.4249261859833755</v>
      </c>
      <c r="U266" s="47">
        <f t="shared" si="1517"/>
        <v>9.8337938768578859</v>
      </c>
      <c r="V266" s="47">
        <f t="shared" si="1517"/>
        <v>10.985538903590488</v>
      </c>
      <c r="W266" s="47">
        <f t="shared" si="1517"/>
        <v>10.813346385231975</v>
      </c>
      <c r="X266" s="47">
        <f t="shared" si="1517"/>
        <v>10.629987468682026</v>
      </c>
      <c r="Y266" s="47">
        <f t="shared" si="1517"/>
        <v>8.3029783757110085</v>
      </c>
      <c r="Z266" s="47">
        <f t="shared" si="1517"/>
        <v>10.310778404193361</v>
      </c>
      <c r="AA266" s="47">
        <f t="shared" si="1517"/>
        <v>10.331871855970919</v>
      </c>
      <c r="AB266" s="47">
        <f t="shared" si="1517"/>
        <v>10.462750914530092</v>
      </c>
      <c r="AC266" s="47">
        <f t="shared" si="1517"/>
        <v>14.092219963358037</v>
      </c>
      <c r="AD266" s="47">
        <f t="shared" si="1517"/>
        <v>10.781189171429267</v>
      </c>
      <c r="AE266" s="47">
        <f t="shared" si="1517"/>
        <v>10.581025208575191</v>
      </c>
      <c r="AF266" s="47">
        <f t="shared" si="1517"/>
        <v>10.462738553744515</v>
      </c>
      <c r="AG266" s="47">
        <f t="shared" si="1517"/>
        <v>10.662141539975806</v>
      </c>
      <c r="AH266" s="47">
        <f t="shared" si="1517"/>
        <v>11.107789415617891</v>
      </c>
      <c r="AI266" s="47">
        <f t="shared" si="1517"/>
        <v>11.49963276343289</v>
      </c>
      <c r="AJ266" s="47">
        <f t="shared" si="1517"/>
        <v>11.876919416962419</v>
      </c>
      <c r="AK266" s="47">
        <f t="shared" si="1517"/>
        <v>11.804746208048961</v>
      </c>
      <c r="AL266" s="47">
        <f t="shared" si="1517"/>
        <v>10.745742227488256</v>
      </c>
      <c r="AM266" s="47">
        <f t="shared" si="1517"/>
        <v>10.945603527179767</v>
      </c>
      <c r="AN266" s="47">
        <f t="shared" si="1517"/>
        <v>10.51762347474827</v>
      </c>
      <c r="AO266" s="47">
        <f t="shared" si="1517"/>
        <v>10.491047629993782</v>
      </c>
      <c r="AP266" s="47">
        <f t="shared" si="1517"/>
        <v>10.125925972305252</v>
      </c>
      <c r="AQ266" s="47">
        <f t="shared" si="1517"/>
        <v>9.5692656652242167</v>
      </c>
      <c r="AR266" s="47">
        <f t="shared" si="1517"/>
        <v>8.8992442669688359</v>
      </c>
      <c r="AS266" s="47">
        <f>SUM(AS246)/-SUM(AP228:AS228)</f>
        <v>8.5852581075565411</v>
      </c>
      <c r="AT266" s="47">
        <f t="shared" si="1517"/>
        <v>8.408530355776886</v>
      </c>
      <c r="AU266" s="47">
        <f>SUM(AU246)/-SUM(AR228:AU228)</f>
        <v>8.2610495097289043</v>
      </c>
      <c r="AV266" s="47">
        <f t="shared" si="1517"/>
        <v>8.5232058651717448</v>
      </c>
      <c r="AW266" s="47"/>
      <c r="AY266" s="47">
        <f t="shared" ref="AY266" si="1518">AY197</f>
        <v>10.880901422636283</v>
      </c>
    </row>
    <row r="267" spans="2:51" ht="13.5" customHeight="1"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157"/>
      <c r="P267" s="157"/>
      <c r="Q267" s="15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Y267" s="47"/>
    </row>
    <row r="268" spans="2:51" s="290" customFormat="1" ht="13.5" customHeight="1" thickBot="1">
      <c r="B268" s="286" t="str">
        <f t="shared" ref="B268" si="1519">B199</f>
        <v xml:space="preserve">Gearing (Net debt / Equity) </v>
      </c>
      <c r="C268" s="287">
        <f t="shared" ref="C268:J268" si="1520">C244/C255</f>
        <v>1.3480195693634429</v>
      </c>
      <c r="D268" s="287">
        <f t="shared" si="1520"/>
        <v>1.256541017961379</v>
      </c>
      <c r="E268" s="287">
        <f t="shared" si="1520"/>
        <v>1.0681946753981453</v>
      </c>
      <c r="F268" s="287">
        <f t="shared" si="1520"/>
        <v>1.5865680626021155</v>
      </c>
      <c r="G268" s="287">
        <f t="shared" si="1520"/>
        <v>1.6926670287887018</v>
      </c>
      <c r="H268" s="287">
        <f t="shared" si="1520"/>
        <v>1.9639587337700548</v>
      </c>
      <c r="I268" s="287">
        <f t="shared" si="1520"/>
        <v>2.3378260984020849</v>
      </c>
      <c r="J268" s="287">
        <f t="shared" si="1520"/>
        <v>2.5888790245139783</v>
      </c>
      <c r="K268" s="287">
        <f>K244/K255</f>
        <v>2.788169786268043</v>
      </c>
      <c r="L268" s="287">
        <f>L244/L255</f>
        <v>2.7118743314881759</v>
      </c>
      <c r="M268" s="287">
        <f>M244/M255</f>
        <v>3.055221542527589</v>
      </c>
      <c r="N268" s="288"/>
      <c r="O268" s="289"/>
      <c r="P268" s="289"/>
      <c r="Q268" s="289"/>
      <c r="R268" s="287">
        <f t="shared" ref="R268:AB268" si="1521">R244/R255</f>
        <v>1.72498414276653</v>
      </c>
      <c r="S268" s="287">
        <f t="shared" si="1521"/>
        <v>1.2830125611343723</v>
      </c>
      <c r="T268" s="287">
        <f t="shared" si="1521"/>
        <v>1.3755703430070256</v>
      </c>
      <c r="U268" s="287">
        <f t="shared" si="1521"/>
        <v>1.5113775492356667</v>
      </c>
      <c r="V268" s="287">
        <f t="shared" si="1521"/>
        <v>1.5865680626021155</v>
      </c>
      <c r="W268" s="287">
        <f t="shared" si="1521"/>
        <v>1.6874165037291315</v>
      </c>
      <c r="X268" s="287">
        <f t="shared" si="1521"/>
        <v>1.7288418474751117</v>
      </c>
      <c r="Y268" s="287">
        <f t="shared" si="1521"/>
        <v>1.7466519456220344</v>
      </c>
      <c r="Z268" s="287">
        <f t="shared" si="1521"/>
        <v>1.6926670287887018</v>
      </c>
      <c r="AA268" s="287">
        <f t="shared" si="1521"/>
        <v>1.8520414896143997</v>
      </c>
      <c r="AB268" s="287">
        <f t="shared" si="1521"/>
        <v>1.9373006470427412</v>
      </c>
      <c r="AC268" s="287">
        <f t="shared" ref="AC268:AO268" si="1522">AC244/AC255</f>
        <v>2.12893154190659</v>
      </c>
      <c r="AD268" s="287">
        <f t="shared" si="1522"/>
        <v>1.9639587337700548</v>
      </c>
      <c r="AE268" s="287">
        <f t="shared" si="1522"/>
        <v>1.9838452160918634</v>
      </c>
      <c r="AF268" s="287">
        <f t="shared" si="1522"/>
        <v>1.8997516352543689</v>
      </c>
      <c r="AG268" s="287">
        <f t="shared" si="1522"/>
        <v>2.148834148176006</v>
      </c>
      <c r="AH268" s="287">
        <f t="shared" si="1522"/>
        <v>2.3378260984020849</v>
      </c>
      <c r="AI268" s="287">
        <f t="shared" si="1522"/>
        <v>2.3653127472107807</v>
      </c>
      <c r="AJ268" s="287">
        <f t="shared" si="1522"/>
        <v>2.4737461243078371</v>
      </c>
      <c r="AK268" s="287">
        <f t="shared" si="1522"/>
        <v>2.5129551790875531</v>
      </c>
      <c r="AL268" s="287">
        <f t="shared" si="1522"/>
        <v>2.5888790245139783</v>
      </c>
      <c r="AM268" s="287">
        <f t="shared" si="1522"/>
        <v>2.7336502259036144</v>
      </c>
      <c r="AN268" s="287">
        <f t="shared" si="1522"/>
        <v>2.6541608688422729</v>
      </c>
      <c r="AO268" s="287">
        <f t="shared" si="1522"/>
        <v>2.7525834359033392</v>
      </c>
      <c r="AP268" s="287">
        <f>AP244/AP255</f>
        <v>2.788169786268043</v>
      </c>
      <c r="AQ268" s="287">
        <f t="shared" ref="AQ268:AS268" si="1523">AQ244/AQ255</f>
        <v>2.7656940306174866</v>
      </c>
      <c r="AR268" s="287">
        <f t="shared" si="1523"/>
        <v>2.9468788014037295</v>
      </c>
      <c r="AS268" s="287">
        <f t="shared" si="1523"/>
        <v>2.865941790405953</v>
      </c>
      <c r="AT268" s="287">
        <f>AT244/AT255</f>
        <v>2.7118743314881759</v>
      </c>
      <c r="AU268" s="287">
        <f t="shared" ref="AU268:AV268" si="1524">AU244/AU255</f>
        <v>2.6952849773527938</v>
      </c>
      <c r="AV268" s="287">
        <f t="shared" si="1524"/>
        <v>3.055221542527589</v>
      </c>
      <c r="AW268" s="288"/>
      <c r="AY268" s="287">
        <f t="shared" ref="AY268" si="1525">AY199</f>
        <v>1.7466519456220344</v>
      </c>
    </row>
    <row r="269" spans="2:51" s="2" customFormat="1" ht="13.5" customHeight="1" thickTop="1"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AA269" s="54"/>
      <c r="AC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Y269" s="54"/>
    </row>
  </sheetData>
  <sortState xmlns:xlrd2="http://schemas.microsoft.com/office/spreadsheetml/2017/richdata2" ref="O202:AE202">
    <sortCondition ref="AE202"/>
  </sortState>
  <phoneticPr fontId="24" type="noConversion"/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O71:AC71 AX86:AY86 D161:I161 AX169:AY169 AX220:AY220 AD63:AH71 AD122:AD132 AY221 O21:Z21 R63:Z66 S75:W75 R107:Z107 R115:Z116 S161:AH161 AD8:AH12 O220:AH221 O169:AH169 C86:I86 AD15:AG15 AD13:AD14 AD19:AH19 AD16:AD17 AD21:AG21 AD20 AD22 AD18:AE18 AX8:AX12 AG18 O86:AH86 C169:I169 D220:I221 AD73:AH79 AD72:AF72 AH72 AD107:AD119 AX13:AX22 AD81:AH83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W93"/>
  <sheetViews>
    <sheetView showGridLines="0" zoomScaleNormal="100" workbookViewId="0">
      <pane xSplit="2" ySplit="6" topLeftCell="J7" activePane="bottomRight" state="frozen"/>
      <selection pane="bottomRight" activeCell="L5" sqref="L5"/>
      <selection pane="bottomLeft" activeCell="M2" sqref="M2"/>
      <selection pane="topRight" activeCell="M2" sqref="M2"/>
    </sheetView>
  </sheetViews>
  <sheetFormatPr defaultRowHeight="12.75" outlineLevelRow="1" outlineLevelCol="1"/>
  <cols>
    <col min="1" max="1" width="2.7109375" style="1" customWidth="1"/>
    <col min="2" max="2" width="50.7109375" style="1" customWidth="1"/>
    <col min="3" max="5" width="12.7109375" style="1" hidden="1" customWidth="1" outlineLevel="1"/>
    <col min="6" max="6" width="12.7109375" style="1" hidden="1" customWidth="1" outlineLevel="1" collapsed="1"/>
    <col min="7" max="9" width="12.7109375" style="1" hidden="1" customWidth="1" outlineLevel="1"/>
    <col min="10" max="10" width="12.7109375" style="1" customWidth="1" collapsed="1"/>
    <col min="11" max="14" width="12.7109375" style="1" customWidth="1"/>
    <col min="15" max="26" width="12.7109375" style="1" hidden="1" customWidth="1" outlineLevel="1"/>
    <col min="27" max="27" width="12.7109375" style="1" hidden="1" customWidth="1" outlineLevel="1" collapsed="1"/>
    <col min="28" max="41" width="12.7109375" style="1" hidden="1" customWidth="1" outlineLevel="1"/>
    <col min="42" max="42" width="12.7109375" style="1" customWidth="1" collapsed="1"/>
    <col min="43" max="58" width="12.7109375" style="1" customWidth="1"/>
    <col min="59" max="272" width="9.28515625" style="1"/>
    <col min="273" max="273" width="2.5703125" style="1" customWidth="1"/>
    <col min="274" max="274" width="29.42578125" style="1" customWidth="1"/>
    <col min="275" max="279" width="11.28515625" style="1" customWidth="1"/>
    <col min="280" max="280" width="6.28515625" style="1" customWidth="1"/>
    <col min="281" max="284" width="11.28515625" style="1" customWidth="1"/>
    <col min="285" max="528" width="9.28515625" style="1"/>
    <col min="529" max="529" width="2.5703125" style="1" customWidth="1"/>
    <col min="530" max="530" width="29.42578125" style="1" customWidth="1"/>
    <col min="531" max="535" width="11.28515625" style="1" customWidth="1"/>
    <col min="536" max="536" width="6.28515625" style="1" customWidth="1"/>
    <col min="537" max="540" width="11.28515625" style="1" customWidth="1"/>
    <col min="541" max="784" width="9.28515625" style="1"/>
    <col min="785" max="785" width="2.5703125" style="1" customWidth="1"/>
    <col min="786" max="786" width="29.42578125" style="1" customWidth="1"/>
    <col min="787" max="791" width="11.28515625" style="1" customWidth="1"/>
    <col min="792" max="792" width="6.28515625" style="1" customWidth="1"/>
    <col min="793" max="796" width="11.28515625" style="1" customWidth="1"/>
    <col min="797" max="1040" width="9.28515625" style="1"/>
    <col min="1041" max="1041" width="2.5703125" style="1" customWidth="1"/>
    <col min="1042" max="1042" width="29.42578125" style="1" customWidth="1"/>
    <col min="1043" max="1047" width="11.28515625" style="1" customWidth="1"/>
    <col min="1048" max="1048" width="6.28515625" style="1" customWidth="1"/>
    <col min="1049" max="1052" width="11.28515625" style="1" customWidth="1"/>
    <col min="1053" max="1296" width="9.28515625" style="1"/>
    <col min="1297" max="1297" width="2.5703125" style="1" customWidth="1"/>
    <col min="1298" max="1298" width="29.42578125" style="1" customWidth="1"/>
    <col min="1299" max="1303" width="11.28515625" style="1" customWidth="1"/>
    <col min="1304" max="1304" width="6.28515625" style="1" customWidth="1"/>
    <col min="1305" max="1308" width="11.28515625" style="1" customWidth="1"/>
    <col min="1309" max="1552" width="9.28515625" style="1"/>
    <col min="1553" max="1553" width="2.5703125" style="1" customWidth="1"/>
    <col min="1554" max="1554" width="29.42578125" style="1" customWidth="1"/>
    <col min="1555" max="1559" width="11.28515625" style="1" customWidth="1"/>
    <col min="1560" max="1560" width="6.28515625" style="1" customWidth="1"/>
    <col min="1561" max="1564" width="11.28515625" style="1" customWidth="1"/>
    <col min="1565" max="1808" width="9.28515625" style="1"/>
    <col min="1809" max="1809" width="2.5703125" style="1" customWidth="1"/>
    <col min="1810" max="1810" width="29.42578125" style="1" customWidth="1"/>
    <col min="1811" max="1815" width="11.28515625" style="1" customWidth="1"/>
    <col min="1816" max="1816" width="6.28515625" style="1" customWidth="1"/>
    <col min="1817" max="1820" width="11.28515625" style="1" customWidth="1"/>
    <col min="1821" max="2064" width="9.28515625" style="1"/>
    <col min="2065" max="2065" width="2.5703125" style="1" customWidth="1"/>
    <col min="2066" max="2066" width="29.42578125" style="1" customWidth="1"/>
    <col min="2067" max="2071" width="11.28515625" style="1" customWidth="1"/>
    <col min="2072" max="2072" width="6.28515625" style="1" customWidth="1"/>
    <col min="2073" max="2076" width="11.28515625" style="1" customWidth="1"/>
    <col min="2077" max="2320" width="9.28515625" style="1"/>
    <col min="2321" max="2321" width="2.5703125" style="1" customWidth="1"/>
    <col min="2322" max="2322" width="29.42578125" style="1" customWidth="1"/>
    <col min="2323" max="2327" width="11.28515625" style="1" customWidth="1"/>
    <col min="2328" max="2328" width="6.28515625" style="1" customWidth="1"/>
    <col min="2329" max="2332" width="11.28515625" style="1" customWidth="1"/>
    <col min="2333" max="2576" width="9.28515625" style="1"/>
    <col min="2577" max="2577" width="2.5703125" style="1" customWidth="1"/>
    <col min="2578" max="2578" width="29.42578125" style="1" customWidth="1"/>
    <col min="2579" max="2583" width="11.28515625" style="1" customWidth="1"/>
    <col min="2584" max="2584" width="6.28515625" style="1" customWidth="1"/>
    <col min="2585" max="2588" width="11.28515625" style="1" customWidth="1"/>
    <col min="2589" max="2832" width="9.28515625" style="1"/>
    <col min="2833" max="2833" width="2.5703125" style="1" customWidth="1"/>
    <col min="2834" max="2834" width="29.42578125" style="1" customWidth="1"/>
    <col min="2835" max="2839" width="11.28515625" style="1" customWidth="1"/>
    <col min="2840" max="2840" width="6.28515625" style="1" customWidth="1"/>
    <col min="2841" max="2844" width="11.28515625" style="1" customWidth="1"/>
    <col min="2845" max="3088" width="9.28515625" style="1"/>
    <col min="3089" max="3089" width="2.5703125" style="1" customWidth="1"/>
    <col min="3090" max="3090" width="29.42578125" style="1" customWidth="1"/>
    <col min="3091" max="3095" width="11.28515625" style="1" customWidth="1"/>
    <col min="3096" max="3096" width="6.28515625" style="1" customWidth="1"/>
    <col min="3097" max="3100" width="11.28515625" style="1" customWidth="1"/>
    <col min="3101" max="3344" width="9.28515625" style="1"/>
    <col min="3345" max="3345" width="2.5703125" style="1" customWidth="1"/>
    <col min="3346" max="3346" width="29.42578125" style="1" customWidth="1"/>
    <col min="3347" max="3351" width="11.28515625" style="1" customWidth="1"/>
    <col min="3352" max="3352" width="6.28515625" style="1" customWidth="1"/>
    <col min="3353" max="3356" width="11.28515625" style="1" customWidth="1"/>
    <col min="3357" max="3600" width="9.28515625" style="1"/>
    <col min="3601" max="3601" width="2.5703125" style="1" customWidth="1"/>
    <col min="3602" max="3602" width="29.42578125" style="1" customWidth="1"/>
    <col min="3603" max="3607" width="11.28515625" style="1" customWidth="1"/>
    <col min="3608" max="3608" width="6.28515625" style="1" customWidth="1"/>
    <col min="3609" max="3612" width="11.28515625" style="1" customWidth="1"/>
    <col min="3613" max="3856" width="9.28515625" style="1"/>
    <col min="3857" max="3857" width="2.5703125" style="1" customWidth="1"/>
    <col min="3858" max="3858" width="29.42578125" style="1" customWidth="1"/>
    <col min="3859" max="3863" width="11.28515625" style="1" customWidth="1"/>
    <col min="3864" max="3864" width="6.28515625" style="1" customWidth="1"/>
    <col min="3865" max="3868" width="11.28515625" style="1" customWidth="1"/>
    <col min="3869" max="4112" width="9.28515625" style="1"/>
    <col min="4113" max="4113" width="2.5703125" style="1" customWidth="1"/>
    <col min="4114" max="4114" width="29.42578125" style="1" customWidth="1"/>
    <col min="4115" max="4119" width="11.28515625" style="1" customWidth="1"/>
    <col min="4120" max="4120" width="6.28515625" style="1" customWidth="1"/>
    <col min="4121" max="4124" width="11.28515625" style="1" customWidth="1"/>
    <col min="4125" max="4368" width="9.28515625" style="1"/>
    <col min="4369" max="4369" width="2.5703125" style="1" customWidth="1"/>
    <col min="4370" max="4370" width="29.42578125" style="1" customWidth="1"/>
    <col min="4371" max="4375" width="11.28515625" style="1" customWidth="1"/>
    <col min="4376" max="4376" width="6.28515625" style="1" customWidth="1"/>
    <col min="4377" max="4380" width="11.28515625" style="1" customWidth="1"/>
    <col min="4381" max="4624" width="9.28515625" style="1"/>
    <col min="4625" max="4625" width="2.5703125" style="1" customWidth="1"/>
    <col min="4626" max="4626" width="29.42578125" style="1" customWidth="1"/>
    <col min="4627" max="4631" width="11.28515625" style="1" customWidth="1"/>
    <col min="4632" max="4632" width="6.28515625" style="1" customWidth="1"/>
    <col min="4633" max="4636" width="11.28515625" style="1" customWidth="1"/>
    <col min="4637" max="4880" width="9.28515625" style="1"/>
    <col min="4881" max="4881" width="2.5703125" style="1" customWidth="1"/>
    <col min="4882" max="4882" width="29.42578125" style="1" customWidth="1"/>
    <col min="4883" max="4887" width="11.28515625" style="1" customWidth="1"/>
    <col min="4888" max="4888" width="6.28515625" style="1" customWidth="1"/>
    <col min="4889" max="4892" width="11.28515625" style="1" customWidth="1"/>
    <col min="4893" max="5136" width="9.28515625" style="1"/>
    <col min="5137" max="5137" width="2.5703125" style="1" customWidth="1"/>
    <col min="5138" max="5138" width="29.42578125" style="1" customWidth="1"/>
    <col min="5139" max="5143" width="11.28515625" style="1" customWidth="1"/>
    <col min="5144" max="5144" width="6.28515625" style="1" customWidth="1"/>
    <col min="5145" max="5148" width="11.28515625" style="1" customWidth="1"/>
    <col min="5149" max="5392" width="9.28515625" style="1"/>
    <col min="5393" max="5393" width="2.5703125" style="1" customWidth="1"/>
    <col min="5394" max="5394" width="29.42578125" style="1" customWidth="1"/>
    <col min="5395" max="5399" width="11.28515625" style="1" customWidth="1"/>
    <col min="5400" max="5400" width="6.28515625" style="1" customWidth="1"/>
    <col min="5401" max="5404" width="11.28515625" style="1" customWidth="1"/>
    <col min="5405" max="5648" width="9.28515625" style="1"/>
    <col min="5649" max="5649" width="2.5703125" style="1" customWidth="1"/>
    <col min="5650" max="5650" width="29.42578125" style="1" customWidth="1"/>
    <col min="5651" max="5655" width="11.28515625" style="1" customWidth="1"/>
    <col min="5656" max="5656" width="6.28515625" style="1" customWidth="1"/>
    <col min="5657" max="5660" width="11.28515625" style="1" customWidth="1"/>
    <col min="5661" max="5904" width="9.28515625" style="1"/>
    <col min="5905" max="5905" width="2.5703125" style="1" customWidth="1"/>
    <col min="5906" max="5906" width="29.42578125" style="1" customWidth="1"/>
    <col min="5907" max="5911" width="11.28515625" style="1" customWidth="1"/>
    <col min="5912" max="5912" width="6.28515625" style="1" customWidth="1"/>
    <col min="5913" max="5916" width="11.28515625" style="1" customWidth="1"/>
    <col min="5917" max="6160" width="9.28515625" style="1"/>
    <col min="6161" max="6161" width="2.5703125" style="1" customWidth="1"/>
    <col min="6162" max="6162" width="29.42578125" style="1" customWidth="1"/>
    <col min="6163" max="6167" width="11.28515625" style="1" customWidth="1"/>
    <col min="6168" max="6168" width="6.28515625" style="1" customWidth="1"/>
    <col min="6169" max="6172" width="11.28515625" style="1" customWidth="1"/>
    <col min="6173" max="6416" width="9.28515625" style="1"/>
    <col min="6417" max="6417" width="2.5703125" style="1" customWidth="1"/>
    <col min="6418" max="6418" width="29.42578125" style="1" customWidth="1"/>
    <col min="6419" max="6423" width="11.28515625" style="1" customWidth="1"/>
    <col min="6424" max="6424" width="6.28515625" style="1" customWidth="1"/>
    <col min="6425" max="6428" width="11.28515625" style="1" customWidth="1"/>
    <col min="6429" max="6672" width="9.28515625" style="1"/>
    <col min="6673" max="6673" width="2.5703125" style="1" customWidth="1"/>
    <col min="6674" max="6674" width="29.42578125" style="1" customWidth="1"/>
    <col min="6675" max="6679" width="11.28515625" style="1" customWidth="1"/>
    <col min="6680" max="6680" width="6.28515625" style="1" customWidth="1"/>
    <col min="6681" max="6684" width="11.28515625" style="1" customWidth="1"/>
    <col min="6685" max="6928" width="9.28515625" style="1"/>
    <col min="6929" max="6929" width="2.5703125" style="1" customWidth="1"/>
    <col min="6930" max="6930" width="29.42578125" style="1" customWidth="1"/>
    <col min="6931" max="6935" width="11.28515625" style="1" customWidth="1"/>
    <col min="6936" max="6936" width="6.28515625" style="1" customWidth="1"/>
    <col min="6937" max="6940" width="11.28515625" style="1" customWidth="1"/>
    <col min="6941" max="7184" width="9.28515625" style="1"/>
    <col min="7185" max="7185" width="2.5703125" style="1" customWidth="1"/>
    <col min="7186" max="7186" width="29.42578125" style="1" customWidth="1"/>
    <col min="7187" max="7191" width="11.28515625" style="1" customWidth="1"/>
    <col min="7192" max="7192" width="6.28515625" style="1" customWidth="1"/>
    <col min="7193" max="7196" width="11.28515625" style="1" customWidth="1"/>
    <col min="7197" max="7440" width="9.28515625" style="1"/>
    <col min="7441" max="7441" width="2.5703125" style="1" customWidth="1"/>
    <col min="7442" max="7442" width="29.42578125" style="1" customWidth="1"/>
    <col min="7443" max="7447" width="11.28515625" style="1" customWidth="1"/>
    <col min="7448" max="7448" width="6.28515625" style="1" customWidth="1"/>
    <col min="7449" max="7452" width="11.28515625" style="1" customWidth="1"/>
    <col min="7453" max="7696" width="9.28515625" style="1"/>
    <col min="7697" max="7697" width="2.5703125" style="1" customWidth="1"/>
    <col min="7698" max="7698" width="29.42578125" style="1" customWidth="1"/>
    <col min="7699" max="7703" width="11.28515625" style="1" customWidth="1"/>
    <col min="7704" max="7704" width="6.28515625" style="1" customWidth="1"/>
    <col min="7705" max="7708" width="11.28515625" style="1" customWidth="1"/>
    <col min="7709" max="7952" width="9.28515625" style="1"/>
    <col min="7953" max="7953" width="2.5703125" style="1" customWidth="1"/>
    <col min="7954" max="7954" width="29.42578125" style="1" customWidth="1"/>
    <col min="7955" max="7959" width="11.28515625" style="1" customWidth="1"/>
    <col min="7960" max="7960" width="6.28515625" style="1" customWidth="1"/>
    <col min="7961" max="7964" width="11.28515625" style="1" customWidth="1"/>
    <col min="7965" max="8208" width="9.28515625" style="1"/>
    <col min="8209" max="8209" width="2.5703125" style="1" customWidth="1"/>
    <col min="8210" max="8210" width="29.42578125" style="1" customWidth="1"/>
    <col min="8211" max="8215" width="11.28515625" style="1" customWidth="1"/>
    <col min="8216" max="8216" width="6.28515625" style="1" customWidth="1"/>
    <col min="8217" max="8220" width="11.28515625" style="1" customWidth="1"/>
    <col min="8221" max="8464" width="9.28515625" style="1"/>
    <col min="8465" max="8465" width="2.5703125" style="1" customWidth="1"/>
    <col min="8466" max="8466" width="29.42578125" style="1" customWidth="1"/>
    <col min="8467" max="8471" width="11.28515625" style="1" customWidth="1"/>
    <col min="8472" max="8472" width="6.28515625" style="1" customWidth="1"/>
    <col min="8473" max="8476" width="11.28515625" style="1" customWidth="1"/>
    <col min="8477" max="8720" width="9.28515625" style="1"/>
    <col min="8721" max="8721" width="2.5703125" style="1" customWidth="1"/>
    <col min="8722" max="8722" width="29.42578125" style="1" customWidth="1"/>
    <col min="8723" max="8727" width="11.28515625" style="1" customWidth="1"/>
    <col min="8728" max="8728" width="6.28515625" style="1" customWidth="1"/>
    <col min="8729" max="8732" width="11.28515625" style="1" customWidth="1"/>
    <col min="8733" max="8976" width="9.28515625" style="1"/>
    <col min="8977" max="8977" width="2.5703125" style="1" customWidth="1"/>
    <col min="8978" max="8978" width="29.42578125" style="1" customWidth="1"/>
    <col min="8979" max="8983" width="11.28515625" style="1" customWidth="1"/>
    <col min="8984" max="8984" width="6.28515625" style="1" customWidth="1"/>
    <col min="8985" max="8988" width="11.28515625" style="1" customWidth="1"/>
    <col min="8989" max="9232" width="9.28515625" style="1"/>
    <col min="9233" max="9233" width="2.5703125" style="1" customWidth="1"/>
    <col min="9234" max="9234" width="29.42578125" style="1" customWidth="1"/>
    <col min="9235" max="9239" width="11.28515625" style="1" customWidth="1"/>
    <col min="9240" max="9240" width="6.28515625" style="1" customWidth="1"/>
    <col min="9241" max="9244" width="11.28515625" style="1" customWidth="1"/>
    <col min="9245" max="9488" width="9.28515625" style="1"/>
    <col min="9489" max="9489" width="2.5703125" style="1" customWidth="1"/>
    <col min="9490" max="9490" width="29.42578125" style="1" customWidth="1"/>
    <col min="9491" max="9495" width="11.28515625" style="1" customWidth="1"/>
    <col min="9496" max="9496" width="6.28515625" style="1" customWidth="1"/>
    <col min="9497" max="9500" width="11.28515625" style="1" customWidth="1"/>
    <col min="9501" max="9744" width="9.28515625" style="1"/>
    <col min="9745" max="9745" width="2.5703125" style="1" customWidth="1"/>
    <col min="9746" max="9746" width="29.42578125" style="1" customWidth="1"/>
    <col min="9747" max="9751" width="11.28515625" style="1" customWidth="1"/>
    <col min="9752" max="9752" width="6.28515625" style="1" customWidth="1"/>
    <col min="9753" max="9756" width="11.28515625" style="1" customWidth="1"/>
    <col min="9757" max="10000" width="9.28515625" style="1"/>
    <col min="10001" max="10001" width="2.5703125" style="1" customWidth="1"/>
    <col min="10002" max="10002" width="29.42578125" style="1" customWidth="1"/>
    <col min="10003" max="10007" width="11.28515625" style="1" customWidth="1"/>
    <col min="10008" max="10008" width="6.28515625" style="1" customWidth="1"/>
    <col min="10009" max="10012" width="11.28515625" style="1" customWidth="1"/>
    <col min="10013" max="10256" width="9.28515625" style="1"/>
    <col min="10257" max="10257" width="2.5703125" style="1" customWidth="1"/>
    <col min="10258" max="10258" width="29.42578125" style="1" customWidth="1"/>
    <col min="10259" max="10263" width="11.28515625" style="1" customWidth="1"/>
    <col min="10264" max="10264" width="6.28515625" style="1" customWidth="1"/>
    <col min="10265" max="10268" width="11.28515625" style="1" customWidth="1"/>
    <col min="10269" max="10512" width="9.28515625" style="1"/>
    <col min="10513" max="10513" width="2.5703125" style="1" customWidth="1"/>
    <col min="10514" max="10514" width="29.42578125" style="1" customWidth="1"/>
    <col min="10515" max="10519" width="11.28515625" style="1" customWidth="1"/>
    <col min="10520" max="10520" width="6.28515625" style="1" customWidth="1"/>
    <col min="10521" max="10524" width="11.28515625" style="1" customWidth="1"/>
    <col min="10525" max="10768" width="9.28515625" style="1"/>
    <col min="10769" max="10769" width="2.5703125" style="1" customWidth="1"/>
    <col min="10770" max="10770" width="29.42578125" style="1" customWidth="1"/>
    <col min="10771" max="10775" width="11.28515625" style="1" customWidth="1"/>
    <col min="10776" max="10776" width="6.28515625" style="1" customWidth="1"/>
    <col min="10777" max="10780" width="11.28515625" style="1" customWidth="1"/>
    <col min="10781" max="11024" width="9.28515625" style="1"/>
    <col min="11025" max="11025" width="2.5703125" style="1" customWidth="1"/>
    <col min="11026" max="11026" width="29.42578125" style="1" customWidth="1"/>
    <col min="11027" max="11031" width="11.28515625" style="1" customWidth="1"/>
    <col min="11032" max="11032" width="6.28515625" style="1" customWidth="1"/>
    <col min="11033" max="11036" width="11.28515625" style="1" customWidth="1"/>
    <col min="11037" max="11280" width="9.28515625" style="1"/>
    <col min="11281" max="11281" width="2.5703125" style="1" customWidth="1"/>
    <col min="11282" max="11282" width="29.42578125" style="1" customWidth="1"/>
    <col min="11283" max="11287" width="11.28515625" style="1" customWidth="1"/>
    <col min="11288" max="11288" width="6.28515625" style="1" customWidth="1"/>
    <col min="11289" max="11292" width="11.28515625" style="1" customWidth="1"/>
    <col min="11293" max="11536" width="9.28515625" style="1"/>
    <col min="11537" max="11537" width="2.5703125" style="1" customWidth="1"/>
    <col min="11538" max="11538" width="29.42578125" style="1" customWidth="1"/>
    <col min="11539" max="11543" width="11.28515625" style="1" customWidth="1"/>
    <col min="11544" max="11544" width="6.28515625" style="1" customWidth="1"/>
    <col min="11545" max="11548" width="11.28515625" style="1" customWidth="1"/>
    <col min="11549" max="11792" width="9.28515625" style="1"/>
    <col min="11793" max="11793" width="2.5703125" style="1" customWidth="1"/>
    <col min="11794" max="11794" width="29.42578125" style="1" customWidth="1"/>
    <col min="11795" max="11799" width="11.28515625" style="1" customWidth="1"/>
    <col min="11800" max="11800" width="6.28515625" style="1" customWidth="1"/>
    <col min="11801" max="11804" width="11.28515625" style="1" customWidth="1"/>
    <col min="11805" max="12048" width="9.28515625" style="1"/>
    <col min="12049" max="12049" width="2.5703125" style="1" customWidth="1"/>
    <col min="12050" max="12050" width="29.42578125" style="1" customWidth="1"/>
    <col min="12051" max="12055" width="11.28515625" style="1" customWidth="1"/>
    <col min="12056" max="12056" width="6.28515625" style="1" customWidth="1"/>
    <col min="12057" max="12060" width="11.28515625" style="1" customWidth="1"/>
    <col min="12061" max="12304" width="9.28515625" style="1"/>
    <col min="12305" max="12305" width="2.5703125" style="1" customWidth="1"/>
    <col min="12306" max="12306" width="29.42578125" style="1" customWidth="1"/>
    <col min="12307" max="12311" width="11.28515625" style="1" customWidth="1"/>
    <col min="12312" max="12312" width="6.28515625" style="1" customWidth="1"/>
    <col min="12313" max="12316" width="11.28515625" style="1" customWidth="1"/>
    <col min="12317" max="12560" width="9.28515625" style="1"/>
    <col min="12561" max="12561" width="2.5703125" style="1" customWidth="1"/>
    <col min="12562" max="12562" width="29.42578125" style="1" customWidth="1"/>
    <col min="12563" max="12567" width="11.28515625" style="1" customWidth="1"/>
    <col min="12568" max="12568" width="6.28515625" style="1" customWidth="1"/>
    <col min="12569" max="12572" width="11.28515625" style="1" customWidth="1"/>
    <col min="12573" max="12816" width="9.28515625" style="1"/>
    <col min="12817" max="12817" width="2.5703125" style="1" customWidth="1"/>
    <col min="12818" max="12818" width="29.42578125" style="1" customWidth="1"/>
    <col min="12819" max="12823" width="11.28515625" style="1" customWidth="1"/>
    <col min="12824" max="12824" width="6.28515625" style="1" customWidth="1"/>
    <col min="12825" max="12828" width="11.28515625" style="1" customWidth="1"/>
    <col min="12829" max="13072" width="9.28515625" style="1"/>
    <col min="13073" max="13073" width="2.5703125" style="1" customWidth="1"/>
    <col min="13074" max="13074" width="29.42578125" style="1" customWidth="1"/>
    <col min="13075" max="13079" width="11.28515625" style="1" customWidth="1"/>
    <col min="13080" max="13080" width="6.28515625" style="1" customWidth="1"/>
    <col min="13081" max="13084" width="11.28515625" style="1" customWidth="1"/>
    <col min="13085" max="13328" width="9.28515625" style="1"/>
    <col min="13329" max="13329" width="2.5703125" style="1" customWidth="1"/>
    <col min="13330" max="13330" width="29.42578125" style="1" customWidth="1"/>
    <col min="13331" max="13335" width="11.28515625" style="1" customWidth="1"/>
    <col min="13336" max="13336" width="6.28515625" style="1" customWidth="1"/>
    <col min="13337" max="13340" width="11.28515625" style="1" customWidth="1"/>
    <col min="13341" max="13584" width="9.28515625" style="1"/>
    <col min="13585" max="13585" width="2.5703125" style="1" customWidth="1"/>
    <col min="13586" max="13586" width="29.42578125" style="1" customWidth="1"/>
    <col min="13587" max="13591" width="11.28515625" style="1" customWidth="1"/>
    <col min="13592" max="13592" width="6.28515625" style="1" customWidth="1"/>
    <col min="13593" max="13596" width="11.28515625" style="1" customWidth="1"/>
    <col min="13597" max="13840" width="9.28515625" style="1"/>
    <col min="13841" max="13841" width="2.5703125" style="1" customWidth="1"/>
    <col min="13842" max="13842" width="29.42578125" style="1" customWidth="1"/>
    <col min="13843" max="13847" width="11.28515625" style="1" customWidth="1"/>
    <col min="13848" max="13848" width="6.28515625" style="1" customWidth="1"/>
    <col min="13849" max="13852" width="11.28515625" style="1" customWidth="1"/>
    <col min="13853" max="14096" width="9.28515625" style="1"/>
    <col min="14097" max="14097" width="2.5703125" style="1" customWidth="1"/>
    <col min="14098" max="14098" width="29.42578125" style="1" customWidth="1"/>
    <col min="14099" max="14103" width="11.28515625" style="1" customWidth="1"/>
    <col min="14104" max="14104" width="6.28515625" style="1" customWidth="1"/>
    <col min="14105" max="14108" width="11.28515625" style="1" customWidth="1"/>
    <col min="14109" max="14352" width="9.28515625" style="1"/>
    <col min="14353" max="14353" width="2.5703125" style="1" customWidth="1"/>
    <col min="14354" max="14354" width="29.42578125" style="1" customWidth="1"/>
    <col min="14355" max="14359" width="11.28515625" style="1" customWidth="1"/>
    <col min="14360" max="14360" width="6.28515625" style="1" customWidth="1"/>
    <col min="14361" max="14364" width="11.28515625" style="1" customWidth="1"/>
    <col min="14365" max="14608" width="9.28515625" style="1"/>
    <col min="14609" max="14609" width="2.5703125" style="1" customWidth="1"/>
    <col min="14610" max="14610" width="29.42578125" style="1" customWidth="1"/>
    <col min="14611" max="14615" width="11.28515625" style="1" customWidth="1"/>
    <col min="14616" max="14616" width="6.28515625" style="1" customWidth="1"/>
    <col min="14617" max="14620" width="11.28515625" style="1" customWidth="1"/>
    <col min="14621" max="14864" width="9.28515625" style="1"/>
    <col min="14865" max="14865" width="2.5703125" style="1" customWidth="1"/>
    <col min="14866" max="14866" width="29.42578125" style="1" customWidth="1"/>
    <col min="14867" max="14871" width="11.28515625" style="1" customWidth="1"/>
    <col min="14872" max="14872" width="6.28515625" style="1" customWidth="1"/>
    <col min="14873" max="14876" width="11.28515625" style="1" customWidth="1"/>
    <col min="14877" max="15120" width="9.28515625" style="1"/>
    <col min="15121" max="15121" width="2.5703125" style="1" customWidth="1"/>
    <col min="15122" max="15122" width="29.42578125" style="1" customWidth="1"/>
    <col min="15123" max="15127" width="11.28515625" style="1" customWidth="1"/>
    <col min="15128" max="15128" width="6.28515625" style="1" customWidth="1"/>
    <col min="15129" max="15132" width="11.28515625" style="1" customWidth="1"/>
    <col min="15133" max="15376" width="9.28515625" style="1"/>
    <col min="15377" max="15377" width="2.5703125" style="1" customWidth="1"/>
    <col min="15378" max="15378" width="29.42578125" style="1" customWidth="1"/>
    <col min="15379" max="15383" width="11.28515625" style="1" customWidth="1"/>
    <col min="15384" max="15384" width="6.28515625" style="1" customWidth="1"/>
    <col min="15385" max="15388" width="11.28515625" style="1" customWidth="1"/>
    <col min="15389" max="15632" width="9.28515625" style="1"/>
    <col min="15633" max="15633" width="2.5703125" style="1" customWidth="1"/>
    <col min="15634" max="15634" width="29.42578125" style="1" customWidth="1"/>
    <col min="15635" max="15639" width="11.28515625" style="1" customWidth="1"/>
    <col min="15640" max="15640" width="6.28515625" style="1" customWidth="1"/>
    <col min="15641" max="15644" width="11.28515625" style="1" customWidth="1"/>
    <col min="15645" max="15888" width="9.28515625" style="1"/>
    <col min="15889" max="15889" width="2.5703125" style="1" customWidth="1"/>
    <col min="15890" max="15890" width="29.42578125" style="1" customWidth="1"/>
    <col min="15891" max="15895" width="11.28515625" style="1" customWidth="1"/>
    <col min="15896" max="15896" width="6.28515625" style="1" customWidth="1"/>
    <col min="15897" max="15900" width="11.28515625" style="1" customWidth="1"/>
    <col min="15901" max="16144" width="9.28515625" style="1"/>
    <col min="16145" max="16145" width="2.5703125" style="1" customWidth="1"/>
    <col min="16146" max="16146" width="29.42578125" style="1" customWidth="1"/>
    <col min="16147" max="16151" width="11.28515625" style="1" customWidth="1"/>
    <col min="16152" max="16152" width="6.28515625" style="1" customWidth="1"/>
    <col min="16153" max="16156" width="11.28515625" style="1" customWidth="1"/>
    <col min="16157" max="16384" width="9.28515625" style="1"/>
  </cols>
  <sheetData>
    <row r="2" spans="2:48" s="324" customFormat="1" ht="21">
      <c r="B2" s="273" t="s">
        <v>224</v>
      </c>
      <c r="C2" s="276" t="s">
        <v>225</v>
      </c>
      <c r="D2" s="276" t="s">
        <v>225</v>
      </c>
      <c r="E2" s="276" t="s">
        <v>225</v>
      </c>
      <c r="F2" s="276" t="s">
        <v>225</v>
      </c>
      <c r="G2" s="276" t="s">
        <v>225</v>
      </c>
      <c r="H2" s="276" t="s">
        <v>225</v>
      </c>
      <c r="I2" s="276" t="s">
        <v>225</v>
      </c>
      <c r="J2" s="276" t="s">
        <v>225</v>
      </c>
      <c r="K2" s="276" t="s">
        <v>225</v>
      </c>
      <c r="L2" s="276" t="s">
        <v>225</v>
      </c>
      <c r="M2" s="332" t="s">
        <v>226</v>
      </c>
      <c r="N2" s="277"/>
      <c r="O2" s="276" t="s">
        <v>380</v>
      </c>
      <c r="P2" s="276" t="s">
        <v>380</v>
      </c>
      <c r="Q2" s="276" t="s">
        <v>380</v>
      </c>
      <c r="R2" s="276" t="s">
        <v>380</v>
      </c>
      <c r="S2" s="276" t="s">
        <v>380</v>
      </c>
      <c r="T2" s="276" t="s">
        <v>380</v>
      </c>
      <c r="U2" s="276" t="s">
        <v>380</v>
      </c>
      <c r="V2" s="276" t="s">
        <v>380</v>
      </c>
      <c r="W2" s="276" t="s">
        <v>380</v>
      </c>
      <c r="X2" s="276" t="s">
        <v>380</v>
      </c>
      <c r="Y2" s="276" t="s">
        <v>380</v>
      </c>
      <c r="Z2" s="276" t="s">
        <v>380</v>
      </c>
      <c r="AA2" s="276" t="s">
        <v>380</v>
      </c>
      <c r="AB2" s="276" t="s">
        <v>380</v>
      </c>
      <c r="AC2" s="276" t="s">
        <v>380</v>
      </c>
      <c r="AD2" s="276" t="s">
        <v>380</v>
      </c>
      <c r="AE2" s="276" t="s">
        <v>380</v>
      </c>
      <c r="AF2" s="276" t="s">
        <v>380</v>
      </c>
      <c r="AG2" s="276" t="s">
        <v>380</v>
      </c>
      <c r="AH2" s="276" t="s">
        <v>380</v>
      </c>
      <c r="AI2" s="276" t="s">
        <v>380</v>
      </c>
      <c r="AJ2" s="276" t="s">
        <v>380</v>
      </c>
      <c r="AK2" s="276" t="s">
        <v>380</v>
      </c>
      <c r="AL2" s="276" t="s">
        <v>380</v>
      </c>
      <c r="AM2" s="276" t="s">
        <v>380</v>
      </c>
      <c r="AN2" s="276" t="s">
        <v>380</v>
      </c>
      <c r="AO2" s="276" t="s">
        <v>380</v>
      </c>
      <c r="AP2" s="276" t="s">
        <v>380</v>
      </c>
      <c r="AQ2" s="276" t="s">
        <v>380</v>
      </c>
      <c r="AR2" s="276" t="s">
        <v>380</v>
      </c>
      <c r="AS2" s="276" t="s">
        <v>380</v>
      </c>
      <c r="AT2" s="276" t="s">
        <v>380</v>
      </c>
      <c r="AU2" s="276" t="s">
        <v>380</v>
      </c>
      <c r="AV2" s="337" t="s">
        <v>380</v>
      </c>
    </row>
    <row r="3" spans="2:48" s="324" customFormat="1">
      <c r="B3" s="315" t="s">
        <v>228</v>
      </c>
      <c r="C3" s="310">
        <v>42735</v>
      </c>
      <c r="D3" s="310">
        <f t="shared" ref="D3:L3" si="0">EDATE(C3,12)</f>
        <v>43100</v>
      </c>
      <c r="E3" s="310">
        <f t="shared" si="0"/>
        <v>43465</v>
      </c>
      <c r="F3" s="310">
        <f t="shared" si="0"/>
        <v>43830</v>
      </c>
      <c r="G3" s="310">
        <f t="shared" si="0"/>
        <v>44196</v>
      </c>
      <c r="H3" s="310">
        <f t="shared" si="0"/>
        <v>44561</v>
      </c>
      <c r="I3" s="310">
        <f t="shared" si="0"/>
        <v>44926</v>
      </c>
      <c r="J3" s="310">
        <f t="shared" si="0"/>
        <v>45291</v>
      </c>
      <c r="K3" s="310">
        <f t="shared" si="0"/>
        <v>45657</v>
      </c>
      <c r="L3" s="310">
        <f t="shared" si="0"/>
        <v>46022</v>
      </c>
      <c r="M3" s="332">
        <f>AV3</f>
        <v>46203</v>
      </c>
      <c r="N3" s="277"/>
      <c r="O3" s="276">
        <v>43160</v>
      </c>
      <c r="P3" s="276">
        <v>43252</v>
      </c>
      <c r="Q3" s="276">
        <v>43344</v>
      </c>
      <c r="R3" s="276">
        <v>43435</v>
      </c>
      <c r="S3" s="276">
        <v>43525</v>
      </c>
      <c r="T3" s="276">
        <v>43617</v>
      </c>
      <c r="U3" s="276">
        <v>43709</v>
      </c>
      <c r="V3" s="276">
        <v>43800</v>
      </c>
      <c r="W3" s="276">
        <v>43891</v>
      </c>
      <c r="X3" s="276">
        <v>43983</v>
      </c>
      <c r="Y3" s="276">
        <v>44075</v>
      </c>
      <c r="Z3" s="276">
        <v>44166</v>
      </c>
      <c r="AA3" s="276">
        <v>44256</v>
      </c>
      <c r="AB3" s="276">
        <v>44348</v>
      </c>
      <c r="AC3" s="276">
        <v>44440</v>
      </c>
      <c r="AD3" s="276">
        <v>44531</v>
      </c>
      <c r="AE3" s="276">
        <v>44651</v>
      </c>
      <c r="AF3" s="276">
        <v>44742</v>
      </c>
      <c r="AG3" s="276">
        <v>44805</v>
      </c>
      <c r="AH3" s="276">
        <v>44896</v>
      </c>
      <c r="AI3" s="276">
        <v>45016</v>
      </c>
      <c r="AJ3" s="276">
        <v>45107</v>
      </c>
      <c r="AK3" s="276">
        <v>45170</v>
      </c>
      <c r="AL3" s="276">
        <v>45261</v>
      </c>
      <c r="AM3" s="276">
        <v>45382</v>
      </c>
      <c r="AN3" s="276">
        <v>45473</v>
      </c>
      <c r="AO3" s="276">
        <v>45536</v>
      </c>
      <c r="AP3" s="276">
        <v>45627</v>
      </c>
      <c r="AQ3" s="276">
        <v>45747</v>
      </c>
      <c r="AR3" s="276">
        <v>45838</v>
      </c>
      <c r="AS3" s="276">
        <v>45901</v>
      </c>
      <c r="AT3" s="276">
        <v>45992</v>
      </c>
      <c r="AU3" s="276">
        <v>46112</v>
      </c>
      <c r="AV3" s="337">
        <v>46203</v>
      </c>
    </row>
    <row r="4" spans="2:48" s="324" customFormat="1">
      <c r="B4" s="333"/>
      <c r="C4" s="310"/>
      <c r="D4" s="310"/>
      <c r="E4" s="310"/>
      <c r="F4" s="310"/>
      <c r="G4" s="310"/>
      <c r="H4" s="310"/>
      <c r="I4" s="310" t="s">
        <v>229</v>
      </c>
      <c r="J4" s="310" t="s">
        <v>229</v>
      </c>
      <c r="K4" s="310" t="s">
        <v>229</v>
      </c>
      <c r="L4" s="310" t="s">
        <v>229</v>
      </c>
      <c r="M4" s="332" t="s">
        <v>229</v>
      </c>
      <c r="N4" s="277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310" t="s">
        <v>229</v>
      </c>
      <c r="AN4" s="310" t="s">
        <v>229</v>
      </c>
      <c r="AO4" s="310" t="s">
        <v>229</v>
      </c>
      <c r="AP4" s="310" t="s">
        <v>229</v>
      </c>
      <c r="AQ4" s="310" t="s">
        <v>229</v>
      </c>
      <c r="AR4" s="310" t="s">
        <v>229</v>
      </c>
      <c r="AS4" s="310" t="s">
        <v>229</v>
      </c>
      <c r="AT4" s="310" t="s">
        <v>229</v>
      </c>
      <c r="AU4" s="310" t="s">
        <v>229</v>
      </c>
      <c r="AV4" s="332" t="s">
        <v>229</v>
      </c>
    </row>
    <row r="5" spans="2:48" s="324" customFormat="1">
      <c r="B5" s="319"/>
      <c r="C5" s="319" t="s">
        <v>381</v>
      </c>
      <c r="D5" s="319" t="s">
        <v>381</v>
      </c>
      <c r="E5" s="319" t="s">
        <v>381</v>
      </c>
      <c r="F5" s="319" t="s">
        <v>381</v>
      </c>
      <c r="G5" s="319" t="s">
        <v>381</v>
      </c>
      <c r="H5" s="319" t="s">
        <v>381</v>
      </c>
      <c r="I5" s="319" t="s">
        <v>381</v>
      </c>
      <c r="J5" s="319" t="s">
        <v>381</v>
      </c>
      <c r="K5" s="319" t="s">
        <v>381</v>
      </c>
      <c r="L5" s="319" t="s">
        <v>381</v>
      </c>
      <c r="M5" s="320" t="s">
        <v>226</v>
      </c>
      <c r="N5" s="277"/>
      <c r="O5" s="334" t="s">
        <v>382</v>
      </c>
      <c r="P5" s="334" t="s">
        <v>383</v>
      </c>
      <c r="Q5" s="334" t="s">
        <v>384</v>
      </c>
      <c r="R5" s="334" t="s">
        <v>385</v>
      </c>
      <c r="S5" s="334" t="s">
        <v>382</v>
      </c>
      <c r="T5" s="334" t="s">
        <v>383</v>
      </c>
      <c r="U5" s="334" t="s">
        <v>384</v>
      </c>
      <c r="V5" s="334" t="s">
        <v>385</v>
      </c>
      <c r="W5" s="334" t="s">
        <v>382</v>
      </c>
      <c r="X5" s="334" t="s">
        <v>383</v>
      </c>
      <c r="Y5" s="334" t="s">
        <v>384</v>
      </c>
      <c r="Z5" s="334" t="s">
        <v>385</v>
      </c>
      <c r="AA5" s="334" t="s">
        <v>382</v>
      </c>
      <c r="AB5" s="334" t="s">
        <v>383</v>
      </c>
      <c r="AC5" s="334" t="s">
        <v>384</v>
      </c>
      <c r="AD5" s="334" t="s">
        <v>385</v>
      </c>
      <c r="AE5" s="334" t="s">
        <v>382</v>
      </c>
      <c r="AF5" s="334" t="s">
        <v>383</v>
      </c>
      <c r="AG5" s="334" t="s">
        <v>384</v>
      </c>
      <c r="AH5" s="334" t="s">
        <v>385</v>
      </c>
      <c r="AI5" s="334" t="s">
        <v>382</v>
      </c>
      <c r="AJ5" s="334" t="s">
        <v>383</v>
      </c>
      <c r="AK5" s="334" t="s">
        <v>384</v>
      </c>
      <c r="AL5" s="334" t="s">
        <v>385</v>
      </c>
      <c r="AM5" s="334" t="s">
        <v>382</v>
      </c>
      <c r="AN5" s="334" t="s">
        <v>383</v>
      </c>
      <c r="AO5" s="334" t="s">
        <v>384</v>
      </c>
      <c r="AP5" s="334" t="s">
        <v>385</v>
      </c>
      <c r="AQ5" s="334" t="s">
        <v>382</v>
      </c>
      <c r="AR5" s="334" t="s">
        <v>383</v>
      </c>
      <c r="AS5" s="334" t="s">
        <v>384</v>
      </c>
      <c r="AT5" s="334" t="s">
        <v>385</v>
      </c>
      <c r="AU5" s="334" t="s">
        <v>382</v>
      </c>
      <c r="AV5" s="334" t="s">
        <v>383</v>
      </c>
    </row>
    <row r="6" spans="2:48" s="324" customFormat="1"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277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</row>
    <row r="7" spans="2:48">
      <c r="B7" s="7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75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</row>
    <row r="8" spans="2:48">
      <c r="B8" s="294" t="s">
        <v>386</v>
      </c>
      <c r="C8" s="295"/>
      <c r="D8" s="295"/>
      <c r="E8" s="295"/>
      <c r="F8" s="295"/>
      <c r="G8" s="295"/>
      <c r="H8" s="295"/>
      <c r="I8" s="295"/>
      <c r="J8" s="295"/>
      <c r="K8" s="295"/>
      <c r="L8" s="295"/>
      <c r="M8" s="295"/>
      <c r="N8" s="75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7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</row>
    <row r="9" spans="2:48">
      <c r="B9" s="78" t="s">
        <v>387</v>
      </c>
      <c r="C9" s="79">
        <v>104087</v>
      </c>
      <c r="D9" s="79">
        <v>92572</v>
      </c>
      <c r="E9" s="79">
        <v>89929</v>
      </c>
      <c r="F9" s="79">
        <v>96906</v>
      </c>
      <c r="G9" s="79">
        <v>104211</v>
      </c>
      <c r="H9" s="79">
        <v>106619</v>
      </c>
      <c r="I9" s="79">
        <v>104274</v>
      </c>
      <c r="J9" s="79">
        <v>104401</v>
      </c>
      <c r="K9" s="79">
        <v>105734</v>
      </c>
      <c r="L9" s="79">
        <v>103316</v>
      </c>
      <c r="M9" s="80">
        <f>SUM(AS9:AV9)</f>
        <v>104236</v>
      </c>
      <c r="N9" s="75"/>
      <c r="O9" s="79">
        <v>22592</v>
      </c>
      <c r="P9" s="79">
        <f>45235-O9</f>
        <v>22643</v>
      </c>
      <c r="Q9" s="79">
        <f>67363-P9-O9</f>
        <v>22128</v>
      </c>
      <c r="R9" s="80">
        <f>+E9-SUM(O9:Q9)</f>
        <v>22566</v>
      </c>
      <c r="S9" s="79">
        <v>22489</v>
      </c>
      <c r="T9" s="79">
        <f>46231-S9</f>
        <v>23742</v>
      </c>
      <c r="U9" s="79">
        <f>70635-T9-S9</f>
        <v>24404</v>
      </c>
      <c r="V9" s="80">
        <f>+F9-SUM(S9:U9)</f>
        <v>26271</v>
      </c>
      <c r="W9" s="79">
        <v>25354</v>
      </c>
      <c r="X9" s="79">
        <f>49911-W9</f>
        <v>24557</v>
      </c>
      <c r="Y9" s="79">
        <f>76716-X9-W9</f>
        <v>26805</v>
      </c>
      <c r="Z9" s="80">
        <f>+G9-SUM(W9:Y9)</f>
        <v>27495</v>
      </c>
      <c r="AA9" s="79">
        <v>27383</v>
      </c>
      <c r="AB9" s="79">
        <f>53902-AA9</f>
        <v>26519</v>
      </c>
      <c r="AC9" s="79">
        <f>79821-AB9-AA9</f>
        <v>25919</v>
      </c>
      <c r="AD9" s="80">
        <f>+H9-SUM(AA9:AC9)</f>
        <v>26798</v>
      </c>
      <c r="AE9" s="79">
        <v>25747</v>
      </c>
      <c r="AF9" s="79">
        <f>52012-AE9</f>
        <v>26265</v>
      </c>
      <c r="AG9" s="79">
        <f>77971-AF9-AE9</f>
        <v>25959</v>
      </c>
      <c r="AH9" s="80">
        <f>+I9-SUM(AE9:AG9)</f>
        <v>26303</v>
      </c>
      <c r="AI9" s="79">
        <v>25879</v>
      </c>
      <c r="AJ9" s="79">
        <f>51589-AI9</f>
        <v>25710</v>
      </c>
      <c r="AK9" s="79">
        <f>77234-AJ9-AI9</f>
        <v>25645</v>
      </c>
      <c r="AL9" s="80">
        <f>+J9-SUM(AI9:AK9)</f>
        <v>27167</v>
      </c>
      <c r="AM9" s="79">
        <v>26668</v>
      </c>
      <c r="AN9" s="79">
        <f>52999-AM9</f>
        <v>26331</v>
      </c>
      <c r="AO9" s="79">
        <f>78535-AN9-AM9</f>
        <v>25536</v>
      </c>
      <c r="AP9" s="80">
        <f>+K9-SUM(AM9:AO9)</f>
        <v>27199</v>
      </c>
      <c r="AQ9" s="79">
        <v>26117</v>
      </c>
      <c r="AR9" s="79">
        <f>51372-AQ9</f>
        <v>25255</v>
      </c>
      <c r="AS9" s="79">
        <f>76468-AR9-AQ9</f>
        <v>25096</v>
      </c>
      <c r="AT9" s="80">
        <f>+L9-SUM(AQ9:AS9)</f>
        <v>26848</v>
      </c>
      <c r="AU9" s="79">
        <v>26145</v>
      </c>
      <c r="AV9" s="79">
        <f>52292-AU9</f>
        <v>26147</v>
      </c>
    </row>
    <row r="10" spans="2:48">
      <c r="B10" s="78" t="s">
        <v>388</v>
      </c>
      <c r="C10" s="79">
        <v>72728</v>
      </c>
      <c r="D10" s="79">
        <v>78341</v>
      </c>
      <c r="E10" s="79">
        <v>85222</v>
      </c>
      <c r="F10" s="79">
        <v>89406</v>
      </c>
      <c r="G10" s="79">
        <v>98739</v>
      </c>
      <c r="H10" s="79">
        <v>115992</v>
      </c>
      <c r="I10" s="79">
        <v>127810</v>
      </c>
      <c r="J10" s="79">
        <v>120734</v>
      </c>
      <c r="K10" s="79">
        <v>126490</v>
      </c>
      <c r="L10" s="79">
        <v>130810</v>
      </c>
      <c r="M10" s="80">
        <f t="shared" ref="M10:M12" si="1">SUM(AS10:AV10)</f>
        <v>129615</v>
      </c>
      <c r="N10" s="75"/>
      <c r="O10" s="79">
        <v>20457</v>
      </c>
      <c r="P10" s="79">
        <f>41652-O10</f>
        <v>21195</v>
      </c>
      <c r="Q10" s="79">
        <f>63336-P10-O10</f>
        <v>21684</v>
      </c>
      <c r="R10" s="80">
        <f>+E10-SUM(O10:Q10)</f>
        <v>21886</v>
      </c>
      <c r="S10" s="79">
        <v>21999</v>
      </c>
      <c r="T10" s="79">
        <f>44217-S10</f>
        <v>22218</v>
      </c>
      <c r="U10" s="79">
        <f>66468-T10-S10</f>
        <v>22251</v>
      </c>
      <c r="V10" s="80">
        <f>+F10-SUM(S10:U10)</f>
        <v>22938</v>
      </c>
      <c r="W10" s="79">
        <v>22695</v>
      </c>
      <c r="X10" s="79">
        <f>46483-W10</f>
        <v>23788</v>
      </c>
      <c r="Y10" s="79">
        <f>72031-X10-W10</f>
        <v>25548</v>
      </c>
      <c r="Z10" s="80">
        <f>+G10-SUM(W10:Y10)</f>
        <v>26708</v>
      </c>
      <c r="AA10" s="79">
        <v>26555</v>
      </c>
      <c r="AB10" s="79">
        <f>54840-AA10</f>
        <v>28285</v>
      </c>
      <c r="AC10" s="79">
        <f>84779-AB10-AA10</f>
        <v>29939</v>
      </c>
      <c r="AD10" s="80">
        <f>+H10-SUM(AA10:AC10)</f>
        <v>31213</v>
      </c>
      <c r="AE10" s="79">
        <v>34214</v>
      </c>
      <c r="AF10" s="79">
        <f>70446-AE10</f>
        <v>36232</v>
      </c>
      <c r="AG10" s="79">
        <f>105104-AF10-AE10</f>
        <v>34658</v>
      </c>
      <c r="AH10" s="80">
        <f>+I10-SUM(AE10:AG10)</f>
        <v>22706</v>
      </c>
      <c r="AI10" s="79">
        <v>30047</v>
      </c>
      <c r="AJ10" s="79">
        <f>59606-AI10</f>
        <v>29559</v>
      </c>
      <c r="AK10" s="79">
        <f>89727-AJ10-AI10</f>
        <v>30121</v>
      </c>
      <c r="AL10" s="80">
        <f>+J10-SUM(AI10:AK10)</f>
        <v>31007</v>
      </c>
      <c r="AM10" s="79">
        <v>31845</v>
      </c>
      <c r="AN10" s="79">
        <f>64106-AM10</f>
        <v>32261</v>
      </c>
      <c r="AO10" s="79">
        <f>95435-AN10-AM10</f>
        <v>31329</v>
      </c>
      <c r="AP10" s="80">
        <f>+K10-SUM(AM10:AO10)</f>
        <v>31055</v>
      </c>
      <c r="AQ10" s="79">
        <v>33467</v>
      </c>
      <c r="AR10" s="79">
        <f>67092-AQ10</f>
        <v>33625</v>
      </c>
      <c r="AS10" s="79">
        <f>100248-AR10-AQ10</f>
        <v>33156</v>
      </c>
      <c r="AT10" s="80">
        <f t="shared" ref="AT10:AT12" si="2">+L10-SUM(AQ10:AS10)</f>
        <v>30562</v>
      </c>
      <c r="AU10" s="79">
        <v>33932</v>
      </c>
      <c r="AV10" s="79">
        <f>65897-AU10</f>
        <v>31965</v>
      </c>
    </row>
    <row r="11" spans="2:48">
      <c r="B11" s="78" t="s">
        <v>389</v>
      </c>
      <c r="C11" s="81">
        <v>847</v>
      </c>
      <c r="D11" s="81">
        <v>1279</v>
      </c>
      <c r="E11" s="79">
        <v>1138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  <c r="K11" s="81">
        <v>0</v>
      </c>
      <c r="L11" s="81">
        <v>0</v>
      </c>
      <c r="M11" s="80">
        <f t="shared" si="1"/>
        <v>0</v>
      </c>
      <c r="N11" s="75"/>
      <c r="O11" s="81">
        <v>312</v>
      </c>
      <c r="P11" s="79">
        <f>612-O11</f>
        <v>300</v>
      </c>
      <c r="Q11" s="81">
        <f>922-P11-O11</f>
        <v>310</v>
      </c>
      <c r="R11" s="80">
        <f>+E11-SUM(O11:Q11)</f>
        <v>216</v>
      </c>
      <c r="S11" s="81">
        <v>0</v>
      </c>
      <c r="T11" s="81">
        <f>0-S11</f>
        <v>0</v>
      </c>
      <c r="U11" s="81">
        <f>0-T11-S11</f>
        <v>0</v>
      </c>
      <c r="V11" s="80">
        <f>+F11-SUM(S11:U11)</f>
        <v>0</v>
      </c>
      <c r="W11" s="81">
        <v>0</v>
      </c>
      <c r="X11" s="81">
        <f>0-W11</f>
        <v>0</v>
      </c>
      <c r="Y11" s="81">
        <f>0-X11-W11</f>
        <v>0</v>
      </c>
      <c r="Z11" s="80">
        <f>+G11-SUM(W11:Y11)</f>
        <v>0</v>
      </c>
      <c r="AA11" s="81">
        <v>0</v>
      </c>
      <c r="AB11" s="81">
        <f>0-AA11</f>
        <v>0</v>
      </c>
      <c r="AC11" s="81">
        <f>0-AB11-AA11</f>
        <v>0</v>
      </c>
      <c r="AD11" s="80">
        <f>+H11-SUM(AA11:AC11)</f>
        <v>0</v>
      </c>
      <c r="AE11" s="81">
        <v>0</v>
      </c>
      <c r="AF11" s="81">
        <f>0-AE11</f>
        <v>0</v>
      </c>
      <c r="AG11" s="81">
        <f>0-AF11-AE11</f>
        <v>0</v>
      </c>
      <c r="AH11" s="80">
        <f>+I11-SUM(AE11:AG11)</f>
        <v>0</v>
      </c>
      <c r="AI11" s="81">
        <v>0</v>
      </c>
      <c r="AJ11" s="81">
        <f>0-AI11</f>
        <v>0</v>
      </c>
      <c r="AK11" s="81">
        <f>0-AJ11-AI11</f>
        <v>0</v>
      </c>
      <c r="AL11" s="80">
        <f>+J11-SUM(AI11:AK11)</f>
        <v>0</v>
      </c>
      <c r="AM11" s="81">
        <v>0</v>
      </c>
      <c r="AN11" s="81">
        <f>0-AM11</f>
        <v>0</v>
      </c>
      <c r="AO11" s="81">
        <f>0-AN11-AM11</f>
        <v>0</v>
      </c>
      <c r="AP11" s="80">
        <f>+K11-SUM(AM11:AO11)</f>
        <v>0</v>
      </c>
      <c r="AQ11" s="81">
        <v>0</v>
      </c>
      <c r="AR11" s="81">
        <f>0-AQ11</f>
        <v>0</v>
      </c>
      <c r="AS11" s="81">
        <f>0-AR11-AQ11</f>
        <v>0</v>
      </c>
      <c r="AT11" s="80">
        <f t="shared" si="2"/>
        <v>0</v>
      </c>
      <c r="AU11" s="81">
        <v>0</v>
      </c>
      <c r="AV11" s="81">
        <f>0-AU11</f>
        <v>0</v>
      </c>
    </row>
    <row r="12" spans="2:48">
      <c r="B12" s="78" t="s">
        <v>390</v>
      </c>
      <c r="C12" s="79">
        <v>-13216</v>
      </c>
      <c r="D12" s="79">
        <v>-13259</v>
      </c>
      <c r="E12" s="79">
        <v>-13375</v>
      </c>
      <c r="F12" s="79">
        <v>-17125</v>
      </c>
      <c r="G12" s="79">
        <v>-21946</v>
      </c>
      <c r="H12" s="79">
        <v>-30425</v>
      </c>
      <c r="I12" s="79">
        <v>-27722</v>
      </c>
      <c r="J12" s="79">
        <v>-14182</v>
      </c>
      <c r="K12" s="79">
        <v>-15391</v>
      </c>
      <c r="L12" s="79">
        <v>-15738</v>
      </c>
      <c r="M12" s="80">
        <f t="shared" si="1"/>
        <v>-13031</v>
      </c>
      <c r="N12" s="75"/>
      <c r="O12" s="79">
        <v>-2854</v>
      </c>
      <c r="P12" s="79">
        <f>-5260-O12</f>
        <v>-2406</v>
      </c>
      <c r="Q12" s="79">
        <f>-9745-P12-O12</f>
        <v>-4485</v>
      </c>
      <c r="R12" s="80">
        <f>+E12-SUM(O12:Q12)</f>
        <v>-3630</v>
      </c>
      <c r="S12" s="79">
        <v>-3870</v>
      </c>
      <c r="T12" s="79">
        <f>-8464-S12</f>
        <v>-4594</v>
      </c>
      <c r="U12" s="79">
        <f>-12667-T12-S12</f>
        <v>-4203</v>
      </c>
      <c r="V12" s="80">
        <f>+F12-SUM(S12:U12)</f>
        <v>-4458</v>
      </c>
      <c r="W12" s="79">
        <v>-4403</v>
      </c>
      <c r="X12" s="79">
        <f>-9659-W12</f>
        <v>-5256</v>
      </c>
      <c r="Y12" s="79">
        <f>-15525-X12-W12</f>
        <v>-5866</v>
      </c>
      <c r="Z12" s="80">
        <f>+G12-SUM(W12:Y12)</f>
        <v>-6421</v>
      </c>
      <c r="AA12" s="79">
        <v>-6014</v>
      </c>
      <c r="AB12" s="79">
        <f>-13119-AA12</f>
        <v>-7105</v>
      </c>
      <c r="AC12" s="79">
        <f>-20744-AB12-AA12</f>
        <v>-7625</v>
      </c>
      <c r="AD12" s="80">
        <f>+H12-SUM(AA12:AC12)</f>
        <v>-9681</v>
      </c>
      <c r="AE12" s="79">
        <v>-10136</v>
      </c>
      <c r="AF12" s="79">
        <f>-21671-AE12</f>
        <v>-11535</v>
      </c>
      <c r="AG12" s="79">
        <f>-30941-AF12-AE12</f>
        <v>-9270</v>
      </c>
      <c r="AH12" s="80">
        <f>+I12-SUM(AE12:AG12)</f>
        <v>3219</v>
      </c>
      <c r="AI12" s="79">
        <v>-3564</v>
      </c>
      <c r="AJ12" s="79">
        <f>-7157-AI12</f>
        <v>-3593</v>
      </c>
      <c r="AK12" s="79">
        <f>-10605-AJ12-AI12</f>
        <v>-3448</v>
      </c>
      <c r="AL12" s="80">
        <f>+J12-SUM(AI12:AK12)</f>
        <v>-3577</v>
      </c>
      <c r="AM12" s="79">
        <v>-4289</v>
      </c>
      <c r="AN12" s="79">
        <f>-9522-AM12</f>
        <v>-5233</v>
      </c>
      <c r="AO12" s="79">
        <f>-13028-AN12-AM12</f>
        <v>-3506</v>
      </c>
      <c r="AP12" s="80">
        <f>+K12-SUM(AM12:AO12)</f>
        <v>-2363</v>
      </c>
      <c r="AQ12" s="79">
        <v>-4307</v>
      </c>
      <c r="AR12" s="79">
        <f>-8890-AQ12</f>
        <v>-4583</v>
      </c>
      <c r="AS12" s="79">
        <f>-13433-AR12-AQ12</f>
        <v>-4543</v>
      </c>
      <c r="AT12" s="80">
        <f t="shared" si="2"/>
        <v>-2305</v>
      </c>
      <c r="AU12" s="79">
        <v>-3564</v>
      </c>
      <c r="AV12" s="79">
        <f>-6183-AU12</f>
        <v>-2619</v>
      </c>
    </row>
    <row r="13" spans="2:48" s="84" customFormat="1">
      <c r="B13" s="82" t="s">
        <v>119</v>
      </c>
      <c r="C13" s="83">
        <f>+C9+C10+C11+C12</f>
        <v>164446</v>
      </c>
      <c r="D13" s="83">
        <f t="shared" ref="D13:F13" si="3">+D9+D10+D11+D12</f>
        <v>158933</v>
      </c>
      <c r="E13" s="83">
        <f t="shared" si="3"/>
        <v>162914</v>
      </c>
      <c r="F13" s="83">
        <f t="shared" si="3"/>
        <v>169187</v>
      </c>
      <c r="G13" s="83">
        <f t="shared" ref="G13:H13" si="4">+G9+G10+G11+G12</f>
        <v>181004</v>
      </c>
      <c r="H13" s="83">
        <f t="shared" si="4"/>
        <v>192186</v>
      </c>
      <c r="I13" s="83">
        <f t="shared" ref="I13:J13" si="5">+I9+I10+I11+I12</f>
        <v>204362</v>
      </c>
      <c r="J13" s="83">
        <f t="shared" si="5"/>
        <v>210953</v>
      </c>
      <c r="K13" s="83">
        <f t="shared" ref="K13:M13" si="6">+K9+K10+K11+K12</f>
        <v>216833</v>
      </c>
      <c r="L13" s="83">
        <f t="shared" ref="L13" si="7">+L9+L10+L11+L12</f>
        <v>218388</v>
      </c>
      <c r="M13" s="83">
        <f t="shared" si="6"/>
        <v>220820</v>
      </c>
      <c r="N13" s="75"/>
      <c r="O13" s="83">
        <f t="shared" ref="O13:W13" si="8">+O9+O10+O11+O12</f>
        <v>40507</v>
      </c>
      <c r="P13" s="83">
        <f t="shared" si="8"/>
        <v>41732</v>
      </c>
      <c r="Q13" s="83">
        <f t="shared" si="8"/>
        <v>39637</v>
      </c>
      <c r="R13" s="83">
        <f t="shared" si="8"/>
        <v>41038</v>
      </c>
      <c r="S13" s="83">
        <f t="shared" si="8"/>
        <v>40618</v>
      </c>
      <c r="T13" s="83">
        <f t="shared" si="8"/>
        <v>41366</v>
      </c>
      <c r="U13" s="83">
        <f t="shared" si="8"/>
        <v>42452</v>
      </c>
      <c r="V13" s="83">
        <f t="shared" si="8"/>
        <v>44751</v>
      </c>
      <c r="W13" s="83">
        <f t="shared" si="8"/>
        <v>43646</v>
      </c>
      <c r="X13" s="83">
        <f t="shared" ref="X13" si="9">+X9+X10+X11+X12</f>
        <v>43089</v>
      </c>
      <c r="Y13" s="83">
        <f>+Y9+Y10+Y11+Y12</f>
        <v>46487</v>
      </c>
      <c r="Z13" s="83">
        <f t="shared" ref="Z13" si="10">+Z9+Z10+Z11+Z12</f>
        <v>47782</v>
      </c>
      <c r="AA13" s="83">
        <f>+AA9+AA10+AA11+AA12</f>
        <v>47924</v>
      </c>
      <c r="AB13" s="83">
        <f>+AB9+AB10+AB11+AB12</f>
        <v>47699</v>
      </c>
      <c r="AC13" s="83">
        <f>+AC9+AC10+AC11+AC12</f>
        <v>48233</v>
      </c>
      <c r="AD13" s="83">
        <f t="shared" ref="AD13" si="11">+AD9+AD10+AD11+AD12</f>
        <v>48330</v>
      </c>
      <c r="AE13" s="83">
        <f>+AE9+AE10+AE11+AE12</f>
        <v>49825</v>
      </c>
      <c r="AF13" s="83">
        <f>+AF9+AF10+AF11+AF12</f>
        <v>50962</v>
      </c>
      <c r="AG13" s="83">
        <f>+AG9+AG10+AG11+AG12</f>
        <v>51347</v>
      </c>
      <c r="AH13" s="83">
        <f t="shared" ref="AH13" si="12">+AH9+AH10+AH11+AH12</f>
        <v>52228</v>
      </c>
      <c r="AI13" s="83">
        <f>+AI9+AI10+AI11+AI12</f>
        <v>52362</v>
      </c>
      <c r="AJ13" s="83">
        <f>+AJ9+AJ10+AJ11+AJ12</f>
        <v>51676</v>
      </c>
      <c r="AK13" s="83">
        <f>+AK9+AK10+AK11+AK12</f>
        <v>52318</v>
      </c>
      <c r="AL13" s="83">
        <f t="shared" ref="AL13" si="13">+AL9+AL10+AL11+AL12</f>
        <v>54597</v>
      </c>
      <c r="AM13" s="83">
        <f>+AM9+AM10+AM11+AM12</f>
        <v>54224</v>
      </c>
      <c r="AN13" s="83">
        <f>+AN9+AN10+AN11+AN12</f>
        <v>53359</v>
      </c>
      <c r="AO13" s="83">
        <f>+AO9+AO10+AO11+AO12</f>
        <v>53359</v>
      </c>
      <c r="AP13" s="83">
        <f t="shared" ref="AP13" si="14">+AP9+AP10+AP11+AP12</f>
        <v>55891</v>
      </c>
      <c r="AQ13" s="83">
        <f>+AQ9+AQ10+AQ11+AQ12</f>
        <v>55277</v>
      </c>
      <c r="AR13" s="83">
        <f>+AR9+AR10+AR11+AR12</f>
        <v>54297</v>
      </c>
      <c r="AS13" s="83">
        <f>+AS9+AS10+AS11+AS12</f>
        <v>53709</v>
      </c>
      <c r="AT13" s="83">
        <f t="shared" ref="AT13" si="15">+AT9+AT10+AT11+AT12</f>
        <v>55105</v>
      </c>
      <c r="AU13" s="83">
        <f>+AU9+AU10+AU11+AU12</f>
        <v>56513</v>
      </c>
      <c r="AV13" s="83">
        <f>+AV9+AV10+AV11+AV12</f>
        <v>55493</v>
      </c>
    </row>
    <row r="14" spans="2:48">
      <c r="B14" s="85" t="s">
        <v>294</v>
      </c>
      <c r="C14" s="85">
        <f>C13-Model!C10</f>
        <v>-816</v>
      </c>
      <c r="D14" s="85">
        <f>D13-Model!D10</f>
        <v>0</v>
      </c>
      <c r="E14" s="85">
        <f>E13-Model!E10</f>
        <v>0</v>
      </c>
      <c r="F14" s="85">
        <f>F13-Model!F10</f>
        <v>0</v>
      </c>
      <c r="G14" s="85">
        <f>G13-Model!G10</f>
        <v>0</v>
      </c>
      <c r="H14" s="85">
        <f>H13-Model!H10</f>
        <v>0</v>
      </c>
      <c r="I14" s="85">
        <f>I13-Model!I10</f>
        <v>0</v>
      </c>
      <c r="J14" s="85">
        <f>J13-Model!J10</f>
        <v>0</v>
      </c>
      <c r="K14" s="85">
        <f>K13-Model!K10</f>
        <v>0</v>
      </c>
      <c r="L14" s="85">
        <f>L13-Model!L10</f>
        <v>0</v>
      </c>
      <c r="M14" s="85">
        <f>M13-Model!M10</f>
        <v>0</v>
      </c>
      <c r="N14" s="75"/>
      <c r="O14" s="85">
        <f>O13-Model!O10</f>
        <v>0</v>
      </c>
      <c r="P14" s="85">
        <f>P13-Model!P10</f>
        <v>0</v>
      </c>
      <c r="Q14" s="85">
        <f>Q13-Model!Q10</f>
        <v>-775</v>
      </c>
      <c r="R14" s="85">
        <f>R13-Model!R10</f>
        <v>775</v>
      </c>
      <c r="S14" s="85">
        <f>S13-Model!S10</f>
        <v>0</v>
      </c>
      <c r="T14" s="85">
        <f>T13-Model!T10</f>
        <v>0</v>
      </c>
      <c r="U14" s="85">
        <f>U13-Model!U10</f>
        <v>0</v>
      </c>
      <c r="V14" s="85">
        <f>V13-Model!V10</f>
        <v>0</v>
      </c>
      <c r="W14" s="85">
        <f>W13-Model!W10</f>
        <v>0</v>
      </c>
      <c r="X14" s="85">
        <f>X13-Model!X10</f>
        <v>0</v>
      </c>
      <c r="Y14" s="85">
        <f>Y13-Model!Y10</f>
        <v>0</v>
      </c>
      <c r="Z14" s="85">
        <f>Z13-Model!Z10</f>
        <v>0</v>
      </c>
      <c r="AA14" s="85">
        <f>AA13-Model!AA10</f>
        <v>0</v>
      </c>
      <c r="AB14" s="85">
        <f>AB13-Model!AB10</f>
        <v>0</v>
      </c>
      <c r="AC14" s="85">
        <f>AC13-Model!AC10</f>
        <v>0</v>
      </c>
      <c r="AD14" s="85">
        <f>AD13-Model!AD10</f>
        <v>0</v>
      </c>
      <c r="AE14" s="85">
        <f>AE13-Model!AE10</f>
        <v>0</v>
      </c>
      <c r="AF14" s="85">
        <f>AF13-Model!AF10</f>
        <v>0</v>
      </c>
      <c r="AG14" s="85">
        <f>AG13-Model!AG10</f>
        <v>0</v>
      </c>
      <c r="AH14" s="85">
        <f>AH13-Model!AH10</f>
        <v>0</v>
      </c>
      <c r="AI14" s="85">
        <f>AI13-Model!AI10</f>
        <v>0</v>
      </c>
      <c r="AJ14" s="85">
        <f>AJ13-Model!AJ10</f>
        <v>0</v>
      </c>
      <c r="AK14" s="85">
        <f>AK13-Model!AK10</f>
        <v>0</v>
      </c>
      <c r="AL14" s="85">
        <f>AL13-Model!AL10</f>
        <v>0</v>
      </c>
      <c r="AM14" s="85">
        <f>AM13-Model!AM10</f>
        <v>0</v>
      </c>
      <c r="AN14" s="85">
        <f>AN13-Model!AN10</f>
        <v>0</v>
      </c>
      <c r="AO14" s="85">
        <f>AO13-Model!AO10</f>
        <v>0</v>
      </c>
      <c r="AP14" s="85">
        <f>AP13-Model!AP10</f>
        <v>0</v>
      </c>
      <c r="AQ14" s="85">
        <f>AQ13-Model!AQ10</f>
        <v>0</v>
      </c>
      <c r="AR14" s="85">
        <f>AR13-Model!AR10</f>
        <v>0</v>
      </c>
      <c r="AS14" s="85">
        <f>AS13-Model!AS10</f>
        <v>0</v>
      </c>
      <c r="AT14" s="85">
        <f>AT13-Model!AT10</f>
        <v>0</v>
      </c>
      <c r="AU14" s="85">
        <f>AU13-Model!AU10</f>
        <v>0</v>
      </c>
      <c r="AV14" s="85">
        <f>AV13-Model!AV10</f>
        <v>0</v>
      </c>
    </row>
    <row r="15" spans="2:48">
      <c r="B15" s="77"/>
      <c r="C15" s="3"/>
      <c r="D15" s="3"/>
      <c r="E15" s="3"/>
      <c r="F15" s="3"/>
      <c r="G15" s="3"/>
      <c r="H15" s="3"/>
      <c r="I15" s="3"/>
      <c r="J15" s="3"/>
      <c r="K15" s="3"/>
      <c r="L15" s="3"/>
      <c r="M15" s="86"/>
      <c r="N15" s="75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</row>
    <row r="16" spans="2:48">
      <c r="B16" s="77" t="s">
        <v>391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75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</row>
    <row r="17" spans="2:49">
      <c r="B17" s="78" t="s">
        <v>387</v>
      </c>
      <c r="C17" s="292">
        <f t="shared" ref="C17:M17" si="16">+C9/C$13</f>
        <v>0.63295549906960336</v>
      </c>
      <c r="D17" s="292">
        <f t="shared" si="16"/>
        <v>0.58245927529210417</v>
      </c>
      <c r="E17" s="292">
        <f t="shared" si="16"/>
        <v>0.55200289723412355</v>
      </c>
      <c r="F17" s="292">
        <f t="shared" si="16"/>
        <v>0.57277450395124918</v>
      </c>
      <c r="G17" s="292">
        <f t="shared" si="16"/>
        <v>0.57573865770922195</v>
      </c>
      <c r="H17" s="292">
        <f t="shared" si="16"/>
        <v>0.55476985836637427</v>
      </c>
      <c r="I17" s="292">
        <f t="shared" si="16"/>
        <v>0.51024163004863921</v>
      </c>
      <c r="J17" s="292">
        <f t="shared" si="16"/>
        <v>0.49490170796338523</v>
      </c>
      <c r="K17" s="292">
        <f t="shared" si="16"/>
        <v>0.48762872809950514</v>
      </c>
      <c r="L17" s="292">
        <f t="shared" si="16"/>
        <v>0.47308460171804312</v>
      </c>
      <c r="M17" s="292">
        <f t="shared" si="16"/>
        <v>0.47204057603477945</v>
      </c>
      <c r="N17" s="75"/>
      <c r="O17" s="292">
        <f t="shared" ref="O17:AU17" si="17">+O9/O$13</f>
        <v>0.5577307625842447</v>
      </c>
      <c r="P17" s="292">
        <f t="shared" si="17"/>
        <v>0.54258123262724045</v>
      </c>
      <c r="Q17" s="292">
        <f t="shared" si="17"/>
        <v>0.55826626636728305</v>
      </c>
      <c r="R17" s="292">
        <f t="shared" si="17"/>
        <v>0.54988059846971105</v>
      </c>
      <c r="S17" s="292">
        <f t="shared" si="17"/>
        <v>0.55367078635087896</v>
      </c>
      <c r="T17" s="292">
        <f t="shared" si="17"/>
        <v>0.57394962046124842</v>
      </c>
      <c r="U17" s="292">
        <f t="shared" si="17"/>
        <v>0.5748610195043814</v>
      </c>
      <c r="V17" s="292">
        <f t="shared" si="17"/>
        <v>0.58704833411543877</v>
      </c>
      <c r="W17" s="292">
        <f t="shared" si="17"/>
        <v>0.580900884388031</v>
      </c>
      <c r="X17" s="292">
        <f t="shared" si="17"/>
        <v>0.56991343498340641</v>
      </c>
      <c r="Y17" s="292">
        <f t="shared" si="17"/>
        <v>0.57661281648632956</v>
      </c>
      <c r="Z17" s="292">
        <f t="shared" si="17"/>
        <v>0.57542589259553811</v>
      </c>
      <c r="AA17" s="292">
        <f t="shared" si="17"/>
        <v>0.57138385777481016</v>
      </c>
      <c r="AB17" s="292">
        <f t="shared" si="17"/>
        <v>0.55596553386863456</v>
      </c>
      <c r="AC17" s="292">
        <f t="shared" si="17"/>
        <v>0.53737067982501607</v>
      </c>
      <c r="AD17" s="292">
        <f t="shared" si="17"/>
        <v>0.55447961928408851</v>
      </c>
      <c r="AE17" s="292">
        <f t="shared" si="17"/>
        <v>0.51674862017059708</v>
      </c>
      <c r="AF17" s="292">
        <f t="shared" si="17"/>
        <v>0.51538401161649861</v>
      </c>
      <c r="AG17" s="292">
        <f t="shared" si="17"/>
        <v>0.50556020799657231</v>
      </c>
      <c r="AH17" s="292">
        <f t="shared" si="17"/>
        <v>0.50361874856398869</v>
      </c>
      <c r="AI17" s="292">
        <f t="shared" si="17"/>
        <v>0.4942324586532218</v>
      </c>
      <c r="AJ17" s="292">
        <f t="shared" si="17"/>
        <v>0.49752302809815002</v>
      </c>
      <c r="AK17" s="292">
        <f t="shared" si="17"/>
        <v>0.49017546542299018</v>
      </c>
      <c r="AL17" s="292">
        <f t="shared" si="17"/>
        <v>0.49759144275326483</v>
      </c>
      <c r="AM17" s="292">
        <f t="shared" si="17"/>
        <v>0.49181174387724991</v>
      </c>
      <c r="AN17" s="292">
        <f t="shared" si="17"/>
        <v>0.49346876815532525</v>
      </c>
      <c r="AO17" s="292">
        <f t="shared" si="17"/>
        <v>0.47856968833748759</v>
      </c>
      <c r="AP17" s="292">
        <f t="shared" si="17"/>
        <v>0.48664364566745988</v>
      </c>
      <c r="AQ17" s="292">
        <f t="shared" si="17"/>
        <v>0.47247498959784356</v>
      </c>
      <c r="AR17" s="292">
        <f t="shared" si="17"/>
        <v>0.46512698675801611</v>
      </c>
      <c r="AS17" s="292">
        <f t="shared" si="17"/>
        <v>0.46725874620640862</v>
      </c>
      <c r="AT17" s="292">
        <f t="shared" si="17"/>
        <v>0.48721531621449959</v>
      </c>
      <c r="AU17" s="292">
        <f t="shared" si="17"/>
        <v>0.46263691539999646</v>
      </c>
      <c r="AV17" s="292">
        <f t="shared" ref="AV17" si="18">+AV9/AV$13</f>
        <v>0.47117654478943288</v>
      </c>
    </row>
    <row r="18" spans="2:49">
      <c r="B18" s="78" t="s">
        <v>388</v>
      </c>
      <c r="C18" s="292">
        <f t="shared" ref="C18:M18" si="19">+C10/C$13</f>
        <v>0.44226068131787943</v>
      </c>
      <c r="D18" s="292">
        <f t="shared" si="19"/>
        <v>0.49291839957718031</v>
      </c>
      <c r="E18" s="292">
        <f t="shared" si="19"/>
        <v>0.52311035270142525</v>
      </c>
      <c r="F18" s="292">
        <f t="shared" si="19"/>
        <v>0.52844485687434617</v>
      </c>
      <c r="G18" s="292">
        <f t="shared" si="19"/>
        <v>0.54550728160703632</v>
      </c>
      <c r="H18" s="292">
        <f t="shared" si="19"/>
        <v>0.60354032031469518</v>
      </c>
      <c r="I18" s="292">
        <f t="shared" si="19"/>
        <v>0.62540981200027401</v>
      </c>
      <c r="J18" s="292">
        <f t="shared" si="19"/>
        <v>0.57232653719074866</v>
      </c>
      <c r="K18" s="292">
        <f t="shared" si="19"/>
        <v>0.58335216503023068</v>
      </c>
      <c r="L18" s="292">
        <f t="shared" si="19"/>
        <v>0.59897979742476692</v>
      </c>
      <c r="M18" s="292">
        <f t="shared" si="19"/>
        <v>0.58697128883253324</v>
      </c>
      <c r="N18" s="75"/>
      <c r="O18" s="292">
        <f t="shared" ref="O18:AU18" si="20">+O10/O$13</f>
        <v>0.50502382304293081</v>
      </c>
      <c r="P18" s="292">
        <f t="shared" si="20"/>
        <v>0.5078836384549027</v>
      </c>
      <c r="Q18" s="292">
        <f t="shared" si="20"/>
        <v>0.5470646113479829</v>
      </c>
      <c r="R18" s="292">
        <f t="shared" si="20"/>
        <v>0.53331059018470683</v>
      </c>
      <c r="S18" s="292">
        <f t="shared" si="20"/>
        <v>0.54160716923531438</v>
      </c>
      <c r="T18" s="292">
        <f t="shared" si="20"/>
        <v>0.53710776966590923</v>
      </c>
      <c r="U18" s="292">
        <f t="shared" si="20"/>
        <v>0.52414491661170259</v>
      </c>
      <c r="V18" s="292">
        <f t="shared" si="20"/>
        <v>0.51256955151840178</v>
      </c>
      <c r="W18" s="292">
        <f t="shared" si="20"/>
        <v>0.51997892132154144</v>
      </c>
      <c r="X18" s="292">
        <f t="shared" si="20"/>
        <v>0.55206665274199906</v>
      </c>
      <c r="Y18" s="292">
        <f t="shared" si="20"/>
        <v>0.54957299890291911</v>
      </c>
      <c r="Z18" s="292">
        <f t="shared" si="20"/>
        <v>0.55895525511698962</v>
      </c>
      <c r="AA18" s="292">
        <f t="shared" si="20"/>
        <v>0.55410650196143896</v>
      </c>
      <c r="AB18" s="292">
        <f t="shared" si="20"/>
        <v>0.59298937084634895</v>
      </c>
      <c r="AC18" s="292">
        <f t="shared" si="20"/>
        <v>0.62071610722949022</v>
      </c>
      <c r="AD18" s="292">
        <f t="shared" si="20"/>
        <v>0.64583074694806542</v>
      </c>
      <c r="AE18" s="292">
        <f t="shared" si="20"/>
        <v>0.68668339187155047</v>
      </c>
      <c r="AF18" s="292">
        <f t="shared" si="20"/>
        <v>0.71096110827675518</v>
      </c>
      <c r="AG18" s="292">
        <f t="shared" si="20"/>
        <v>0.67497614271525108</v>
      </c>
      <c r="AH18" s="292">
        <f t="shared" si="20"/>
        <v>0.43474764494141072</v>
      </c>
      <c r="AI18" s="292">
        <f t="shared" si="20"/>
        <v>0.57383216836637252</v>
      </c>
      <c r="AJ18" s="292">
        <f t="shared" si="20"/>
        <v>0.57200634724049848</v>
      </c>
      <c r="AK18" s="292">
        <f t="shared" si="20"/>
        <v>0.57572919454107574</v>
      </c>
      <c r="AL18" s="292">
        <f t="shared" si="20"/>
        <v>0.56792497756286975</v>
      </c>
      <c r="AM18" s="292">
        <f t="shared" si="20"/>
        <v>0.58728607258778398</v>
      </c>
      <c r="AN18" s="292">
        <f t="shared" si="20"/>
        <v>0.60460278490976216</v>
      </c>
      <c r="AO18" s="292">
        <f t="shared" si="20"/>
        <v>0.58713619070822165</v>
      </c>
      <c r="AP18" s="292">
        <f t="shared" si="20"/>
        <v>0.55563507541464641</v>
      </c>
      <c r="AQ18" s="292">
        <f t="shared" si="20"/>
        <v>0.60544168460661762</v>
      </c>
      <c r="AR18" s="292">
        <f t="shared" si="20"/>
        <v>0.61927914986095001</v>
      </c>
      <c r="AS18" s="292">
        <f t="shared" si="20"/>
        <v>0.61732670502150477</v>
      </c>
      <c r="AT18" s="292">
        <f t="shared" si="20"/>
        <v>0.55461391888213407</v>
      </c>
      <c r="AU18" s="292">
        <f t="shared" si="20"/>
        <v>0.6004282200555624</v>
      </c>
      <c r="AV18" s="292">
        <f t="shared" ref="AV18" si="21">+AV10/AV$13</f>
        <v>0.57601859694015456</v>
      </c>
    </row>
    <row r="19" spans="2:49">
      <c r="B19" s="78" t="s">
        <v>389</v>
      </c>
      <c r="C19" s="292">
        <f t="shared" ref="C19:M19" si="22">+C11/C$13</f>
        <v>5.1506269535288177E-3</v>
      </c>
      <c r="D19" s="292">
        <f t="shared" si="22"/>
        <v>8.0474162068292932E-3</v>
      </c>
      <c r="E19" s="292">
        <f t="shared" si="22"/>
        <v>6.9852805774825982E-3</v>
      </c>
      <c r="F19" s="292">
        <f t="shared" si="22"/>
        <v>0</v>
      </c>
      <c r="G19" s="292">
        <f t="shared" si="22"/>
        <v>0</v>
      </c>
      <c r="H19" s="292">
        <f t="shared" si="22"/>
        <v>0</v>
      </c>
      <c r="I19" s="292">
        <f t="shared" si="22"/>
        <v>0</v>
      </c>
      <c r="J19" s="292">
        <f t="shared" si="22"/>
        <v>0</v>
      </c>
      <c r="K19" s="292">
        <f t="shared" si="22"/>
        <v>0</v>
      </c>
      <c r="L19" s="292">
        <f t="shared" si="22"/>
        <v>0</v>
      </c>
      <c r="M19" s="292">
        <f t="shared" si="22"/>
        <v>0</v>
      </c>
      <c r="N19" s="75"/>
      <c r="O19" s="292">
        <f t="shared" ref="O19:AU19" si="23">+O11/O$13</f>
        <v>7.7023724294566368E-3</v>
      </c>
      <c r="P19" s="292">
        <f t="shared" si="23"/>
        <v>7.1887280743793735E-3</v>
      </c>
      <c r="Q19" s="292">
        <f t="shared" si="23"/>
        <v>7.8209753513131669E-3</v>
      </c>
      <c r="R19" s="292">
        <f t="shared" si="23"/>
        <v>5.2634143964130804E-3</v>
      </c>
      <c r="S19" s="292">
        <f t="shared" si="23"/>
        <v>0</v>
      </c>
      <c r="T19" s="292">
        <f t="shared" si="23"/>
        <v>0</v>
      </c>
      <c r="U19" s="292">
        <f t="shared" si="23"/>
        <v>0</v>
      </c>
      <c r="V19" s="292">
        <f t="shared" si="23"/>
        <v>0</v>
      </c>
      <c r="W19" s="292">
        <f t="shared" si="23"/>
        <v>0</v>
      </c>
      <c r="X19" s="292">
        <f t="shared" si="23"/>
        <v>0</v>
      </c>
      <c r="Y19" s="292">
        <f t="shared" si="23"/>
        <v>0</v>
      </c>
      <c r="Z19" s="292">
        <f t="shared" si="23"/>
        <v>0</v>
      </c>
      <c r="AA19" s="292">
        <f t="shared" si="23"/>
        <v>0</v>
      </c>
      <c r="AB19" s="292">
        <f t="shared" si="23"/>
        <v>0</v>
      </c>
      <c r="AC19" s="292">
        <f t="shared" si="23"/>
        <v>0</v>
      </c>
      <c r="AD19" s="292">
        <f t="shared" si="23"/>
        <v>0</v>
      </c>
      <c r="AE19" s="292">
        <f t="shared" si="23"/>
        <v>0</v>
      </c>
      <c r="AF19" s="292">
        <f t="shared" si="23"/>
        <v>0</v>
      </c>
      <c r="AG19" s="292">
        <f t="shared" si="23"/>
        <v>0</v>
      </c>
      <c r="AH19" s="292">
        <f t="shared" si="23"/>
        <v>0</v>
      </c>
      <c r="AI19" s="292">
        <f t="shared" si="23"/>
        <v>0</v>
      </c>
      <c r="AJ19" s="292">
        <f t="shared" si="23"/>
        <v>0</v>
      </c>
      <c r="AK19" s="292">
        <f t="shared" si="23"/>
        <v>0</v>
      </c>
      <c r="AL19" s="292">
        <f t="shared" si="23"/>
        <v>0</v>
      </c>
      <c r="AM19" s="292">
        <f t="shared" si="23"/>
        <v>0</v>
      </c>
      <c r="AN19" s="292">
        <f t="shared" si="23"/>
        <v>0</v>
      </c>
      <c r="AO19" s="292">
        <f t="shared" si="23"/>
        <v>0</v>
      </c>
      <c r="AP19" s="292">
        <f t="shared" si="23"/>
        <v>0</v>
      </c>
      <c r="AQ19" s="292">
        <f t="shared" si="23"/>
        <v>0</v>
      </c>
      <c r="AR19" s="292">
        <f t="shared" si="23"/>
        <v>0</v>
      </c>
      <c r="AS19" s="292">
        <f t="shared" si="23"/>
        <v>0</v>
      </c>
      <c r="AT19" s="292">
        <f t="shared" si="23"/>
        <v>0</v>
      </c>
      <c r="AU19" s="292">
        <f t="shared" si="23"/>
        <v>0</v>
      </c>
      <c r="AV19" s="292">
        <f t="shared" ref="AV19" si="24">+AV11/AV$13</f>
        <v>0</v>
      </c>
    </row>
    <row r="20" spans="2:49">
      <c r="B20" s="78" t="s">
        <v>390</v>
      </c>
      <c r="C20" s="292">
        <f t="shared" ref="C20:M20" si="25">+C12/C$13</f>
        <v>-8.0366807341011634E-2</v>
      </c>
      <c r="D20" s="292">
        <f t="shared" si="25"/>
        <v>-8.342509107611383E-2</v>
      </c>
      <c r="E20" s="292">
        <f t="shared" si="25"/>
        <v>-8.2098530513031412E-2</v>
      </c>
      <c r="F20" s="292">
        <f t="shared" si="25"/>
        <v>-0.10121936082559535</v>
      </c>
      <c r="G20" s="292">
        <f t="shared" si="25"/>
        <v>-0.12124593931625821</v>
      </c>
      <c r="H20" s="292">
        <f t="shared" si="25"/>
        <v>-0.15831017868106939</v>
      </c>
      <c r="I20" s="292">
        <f t="shared" si="25"/>
        <v>-0.13565144204891319</v>
      </c>
      <c r="J20" s="292">
        <f t="shared" si="25"/>
        <v>-6.7228245154133864E-2</v>
      </c>
      <c r="K20" s="292">
        <f t="shared" si="25"/>
        <v>-7.0980893129735781E-2</v>
      </c>
      <c r="L20" s="292">
        <f t="shared" si="25"/>
        <v>-7.2064399142810043E-2</v>
      </c>
      <c r="M20" s="292">
        <f t="shared" si="25"/>
        <v>-5.9011864867312747E-2</v>
      </c>
      <c r="N20" s="75"/>
      <c r="O20" s="292">
        <f t="shared" ref="O20:AU20" si="26">+O12/O$13</f>
        <v>-7.0456958056632185E-2</v>
      </c>
      <c r="P20" s="292">
        <f t="shared" si="26"/>
        <v>-5.7653599156522572E-2</v>
      </c>
      <c r="Q20" s="292">
        <f t="shared" si="26"/>
        <v>-0.11315185306657921</v>
      </c>
      <c r="R20" s="292">
        <f t="shared" si="26"/>
        <v>-8.8454603050830943E-2</v>
      </c>
      <c r="S20" s="292">
        <f t="shared" si="26"/>
        <v>-9.5277955586193314E-2</v>
      </c>
      <c r="T20" s="292">
        <f t="shared" si="26"/>
        <v>-0.11105739012715757</v>
      </c>
      <c r="U20" s="292">
        <f t="shared" si="26"/>
        <v>-9.9005936116084048E-2</v>
      </c>
      <c r="V20" s="292">
        <f t="shared" si="26"/>
        <v>-9.961788563384058E-2</v>
      </c>
      <c r="W20" s="292">
        <f t="shared" si="26"/>
        <v>-0.10087980570957247</v>
      </c>
      <c r="X20" s="292">
        <f t="shared" si="26"/>
        <v>-0.12198008772540556</v>
      </c>
      <c r="Y20" s="292">
        <f t="shared" si="26"/>
        <v>-0.12618581538924861</v>
      </c>
      <c r="Z20" s="292">
        <f t="shared" si="26"/>
        <v>-0.13438114771252774</v>
      </c>
      <c r="AA20" s="292">
        <f t="shared" si="26"/>
        <v>-0.12549035973624906</v>
      </c>
      <c r="AB20" s="292">
        <f t="shared" si="26"/>
        <v>-0.14895490471498354</v>
      </c>
      <c r="AC20" s="292">
        <f t="shared" si="26"/>
        <v>-0.15808678705450624</v>
      </c>
      <c r="AD20" s="292">
        <f t="shared" si="26"/>
        <v>-0.20031036623215395</v>
      </c>
      <c r="AE20" s="292">
        <f t="shared" si="26"/>
        <v>-0.2034320120421475</v>
      </c>
      <c r="AF20" s="292">
        <f t="shared" si="26"/>
        <v>-0.22634511989325379</v>
      </c>
      <c r="AG20" s="292">
        <f t="shared" si="26"/>
        <v>-0.18053635071182347</v>
      </c>
      <c r="AH20" s="292">
        <f t="shared" si="26"/>
        <v>6.1633606494600597E-2</v>
      </c>
      <c r="AI20" s="292">
        <f t="shared" si="26"/>
        <v>-6.8064627019594356E-2</v>
      </c>
      <c r="AJ20" s="292">
        <f t="shared" si="26"/>
        <v>-6.9529375338648503E-2</v>
      </c>
      <c r="AK20" s="292">
        <f t="shared" si="26"/>
        <v>-6.5904659964065901E-2</v>
      </c>
      <c r="AL20" s="292">
        <f t="shared" si="26"/>
        <v>-6.5516420316134583E-2</v>
      </c>
      <c r="AM20" s="292">
        <f t="shared" si="26"/>
        <v>-7.9097816465033929E-2</v>
      </c>
      <c r="AN20" s="292">
        <f t="shared" si="26"/>
        <v>-9.8071553065087427E-2</v>
      </c>
      <c r="AO20" s="292">
        <f t="shared" si="26"/>
        <v>-6.5705879045709251E-2</v>
      </c>
      <c r="AP20" s="292">
        <f t="shared" si="26"/>
        <v>-4.2278721082106244E-2</v>
      </c>
      <c r="AQ20" s="292">
        <f t="shared" si="26"/>
        <v>-7.7916674204461162E-2</v>
      </c>
      <c r="AR20" s="292">
        <f t="shared" si="26"/>
        <v>-8.4406136618966052E-2</v>
      </c>
      <c r="AS20" s="292">
        <f t="shared" si="26"/>
        <v>-8.4585451227913389E-2</v>
      </c>
      <c r="AT20" s="292">
        <f t="shared" si="26"/>
        <v>-4.18292350966337E-2</v>
      </c>
      <c r="AU20" s="292">
        <f t="shared" si="26"/>
        <v>-6.3065135455558904E-2</v>
      </c>
      <c r="AV20" s="292">
        <f t="shared" ref="AV20" si="27">+AV12/AV$13</f>
        <v>-4.7195141729587518E-2</v>
      </c>
    </row>
    <row r="21" spans="2:49" s="84" customFormat="1">
      <c r="B21" s="82" t="s">
        <v>119</v>
      </c>
      <c r="C21" s="293">
        <f>+C17+C18+C19+C20</f>
        <v>1.0000000000000002</v>
      </c>
      <c r="D21" s="293">
        <f t="shared" ref="D21:F21" si="28">+D17+D18+D19+D20</f>
        <v>1</v>
      </c>
      <c r="E21" s="293">
        <f t="shared" si="28"/>
        <v>0.99999999999999989</v>
      </c>
      <c r="F21" s="293">
        <f t="shared" si="28"/>
        <v>1</v>
      </c>
      <c r="G21" s="293">
        <f t="shared" ref="G21:H21" si="29">+G17+G18+G19+G20</f>
        <v>1</v>
      </c>
      <c r="H21" s="293">
        <f t="shared" si="29"/>
        <v>1</v>
      </c>
      <c r="I21" s="293">
        <f t="shared" ref="I21:J21" si="30">+I17+I18+I19+I20</f>
        <v>1</v>
      </c>
      <c r="J21" s="293">
        <f t="shared" si="30"/>
        <v>1</v>
      </c>
      <c r="K21" s="293">
        <f t="shared" ref="K21:L21" si="31">+K17+K18+K19+K20</f>
        <v>1</v>
      </c>
      <c r="L21" s="293">
        <f t="shared" si="31"/>
        <v>1</v>
      </c>
      <c r="M21" s="293">
        <f t="shared" ref="M21" si="32">+M17+M18+M19+M20</f>
        <v>1</v>
      </c>
      <c r="N21" s="75"/>
      <c r="O21" s="293">
        <f t="shared" ref="O21:W21" si="33">+O17+O18+O19+O20</f>
        <v>1.0000000000000002</v>
      </c>
      <c r="P21" s="293">
        <f t="shared" si="33"/>
        <v>1</v>
      </c>
      <c r="Q21" s="293">
        <f t="shared" si="33"/>
        <v>1</v>
      </c>
      <c r="R21" s="293">
        <f t="shared" si="33"/>
        <v>0.99999999999999989</v>
      </c>
      <c r="S21" s="293">
        <f t="shared" si="33"/>
        <v>1</v>
      </c>
      <c r="T21" s="293">
        <f t="shared" si="33"/>
        <v>1</v>
      </c>
      <c r="U21" s="293">
        <f t="shared" si="33"/>
        <v>1</v>
      </c>
      <c r="V21" s="293">
        <f t="shared" si="33"/>
        <v>1</v>
      </c>
      <c r="W21" s="293">
        <f t="shared" si="33"/>
        <v>0.99999999999999989</v>
      </c>
      <c r="X21" s="293">
        <f t="shared" ref="X21:AA21" si="34">+X17+X18+X19+X20</f>
        <v>0.99999999999999978</v>
      </c>
      <c r="Y21" s="293">
        <f t="shared" si="34"/>
        <v>1</v>
      </c>
      <c r="Z21" s="293">
        <f t="shared" si="34"/>
        <v>1</v>
      </c>
      <c r="AA21" s="293">
        <f t="shared" si="34"/>
        <v>1</v>
      </c>
      <c r="AB21" s="293">
        <f t="shared" ref="AB21:AF21" si="35">+AB17+AB18+AB19+AB20</f>
        <v>1</v>
      </c>
      <c r="AC21" s="293">
        <f t="shared" si="35"/>
        <v>1.0000000000000002</v>
      </c>
      <c r="AD21" s="293">
        <f t="shared" si="35"/>
        <v>1</v>
      </c>
      <c r="AE21" s="293">
        <f t="shared" si="35"/>
        <v>1</v>
      </c>
      <c r="AF21" s="293">
        <f t="shared" si="35"/>
        <v>1</v>
      </c>
      <c r="AG21" s="293">
        <f t="shared" ref="AG21:AJ21" si="36">+AG17+AG18+AG19+AG20</f>
        <v>0.99999999999999989</v>
      </c>
      <c r="AH21" s="293">
        <f t="shared" si="36"/>
        <v>1</v>
      </c>
      <c r="AI21" s="293">
        <f t="shared" si="36"/>
        <v>1</v>
      </c>
      <c r="AJ21" s="293">
        <f t="shared" si="36"/>
        <v>1</v>
      </c>
      <c r="AK21" s="293">
        <f t="shared" ref="AK21:AN21" si="37">+AK17+AK18+AK19+AK20</f>
        <v>0.99999999999999989</v>
      </c>
      <c r="AL21" s="293">
        <f t="shared" si="37"/>
        <v>0.99999999999999989</v>
      </c>
      <c r="AM21" s="293">
        <f t="shared" si="37"/>
        <v>0.99999999999999989</v>
      </c>
      <c r="AN21" s="293">
        <f t="shared" si="37"/>
        <v>1</v>
      </c>
      <c r="AO21" s="293">
        <f t="shared" ref="AO21:AR21" si="38">+AO17+AO18+AO19+AO20</f>
        <v>1</v>
      </c>
      <c r="AP21" s="293">
        <f t="shared" si="38"/>
        <v>1</v>
      </c>
      <c r="AQ21" s="293">
        <f t="shared" si="38"/>
        <v>1</v>
      </c>
      <c r="AR21" s="293">
        <f t="shared" si="38"/>
        <v>1</v>
      </c>
      <c r="AS21" s="293">
        <f t="shared" ref="AS21:AV21" si="39">+AS17+AS18+AS19+AS20</f>
        <v>1</v>
      </c>
      <c r="AT21" s="293">
        <f t="shared" si="39"/>
        <v>0.99999999999999989</v>
      </c>
      <c r="AU21" s="293">
        <f t="shared" si="39"/>
        <v>1</v>
      </c>
      <c r="AV21" s="293">
        <f t="shared" si="39"/>
        <v>1</v>
      </c>
    </row>
    <row r="22" spans="2:49" s="84" customFormat="1">
      <c r="B22" s="82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75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</row>
    <row r="23" spans="2:49" s="84" customFormat="1">
      <c r="B23" s="77" t="s">
        <v>392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75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</row>
    <row r="24" spans="2:49" s="84" customFormat="1">
      <c r="B24" s="78" t="s">
        <v>387</v>
      </c>
      <c r="C24" s="291"/>
      <c r="D24" s="292">
        <f>D9/C9-1</f>
        <v>-0.1106286087599796</v>
      </c>
      <c r="E24" s="292">
        <f t="shared" ref="E24:L24" si="40">E9/D9-1</f>
        <v>-2.8550749686730326E-2</v>
      </c>
      <c r="F24" s="292">
        <f t="shared" si="40"/>
        <v>7.7583426925685872E-2</v>
      </c>
      <c r="G24" s="292">
        <f t="shared" si="40"/>
        <v>7.5382329267537518E-2</v>
      </c>
      <c r="H24" s="292">
        <f t="shared" si="40"/>
        <v>2.3106965675408597E-2</v>
      </c>
      <c r="I24" s="292">
        <f t="shared" si="40"/>
        <v>-2.1994203659760458E-2</v>
      </c>
      <c r="J24" s="292">
        <f t="shared" si="40"/>
        <v>1.2179450294416139E-3</v>
      </c>
      <c r="K24" s="292">
        <f t="shared" si="40"/>
        <v>1.2768076934128958E-2</v>
      </c>
      <c r="L24" s="292">
        <f t="shared" si="40"/>
        <v>-2.2868708267917648E-2</v>
      </c>
      <c r="M24" s="291"/>
      <c r="N24" s="75"/>
      <c r="O24" s="291"/>
      <c r="P24" s="291"/>
      <c r="Q24" s="291"/>
      <c r="R24" s="291"/>
      <c r="S24" s="292">
        <f>S9/O9-1</f>
        <v>-4.5591359773371476E-3</v>
      </c>
      <c r="T24" s="292">
        <f t="shared" ref="T24:AV28" si="41">T9/P9-1</f>
        <v>4.8535971381884035E-2</v>
      </c>
      <c r="U24" s="292">
        <f t="shared" si="41"/>
        <v>0.10285610990600147</v>
      </c>
      <c r="V24" s="292">
        <f t="shared" si="41"/>
        <v>0.16418505716564735</v>
      </c>
      <c r="W24" s="292">
        <f t="shared" si="41"/>
        <v>0.12739561563431012</v>
      </c>
      <c r="X24" s="292">
        <f t="shared" si="41"/>
        <v>3.4327352371325004E-2</v>
      </c>
      <c r="Y24" s="292">
        <f t="shared" si="41"/>
        <v>9.838551057203726E-2</v>
      </c>
      <c r="Z24" s="292">
        <f t="shared" si="41"/>
        <v>4.6591298389859537E-2</v>
      </c>
      <c r="AA24" s="292">
        <f t="shared" si="41"/>
        <v>8.0026820225605366E-2</v>
      </c>
      <c r="AB24" s="292">
        <f t="shared" si="41"/>
        <v>7.9895752738526671E-2</v>
      </c>
      <c r="AC24" s="292">
        <f t="shared" si="41"/>
        <v>-3.3053534788285766E-2</v>
      </c>
      <c r="AD24" s="292">
        <f t="shared" si="41"/>
        <v>-2.5350063647936016E-2</v>
      </c>
      <c r="AE24" s="292">
        <f t="shared" si="41"/>
        <v>-5.9745097323156693E-2</v>
      </c>
      <c r="AF24" s="292">
        <f t="shared" si="41"/>
        <v>-9.5780383875712083E-3</v>
      </c>
      <c r="AG24" s="292">
        <f t="shared" si="41"/>
        <v>1.5432694162582639E-3</v>
      </c>
      <c r="AH24" s="292">
        <f t="shared" si="41"/>
        <v>-1.8471527725949732E-2</v>
      </c>
      <c r="AI24" s="292">
        <f t="shared" si="41"/>
        <v>5.1268108905890841E-3</v>
      </c>
      <c r="AJ24" s="292">
        <f t="shared" si="41"/>
        <v>-2.1130782410051396E-2</v>
      </c>
      <c r="AK24" s="292">
        <f t="shared" si="41"/>
        <v>-1.2095997534573799E-2</v>
      </c>
      <c r="AL24" s="292">
        <f t="shared" si="41"/>
        <v>3.2847964110557681E-2</v>
      </c>
      <c r="AM24" s="292">
        <f t="shared" si="41"/>
        <v>3.0488040496155167E-2</v>
      </c>
      <c r="AN24" s="292">
        <f t="shared" si="41"/>
        <v>2.4154025670945156E-2</v>
      </c>
      <c r="AO24" s="292">
        <f t="shared" si="41"/>
        <v>-4.2503411971144267E-3</v>
      </c>
      <c r="AP24" s="292">
        <f t="shared" si="41"/>
        <v>1.1778996576730094E-3</v>
      </c>
      <c r="AQ24" s="292">
        <f t="shared" si="41"/>
        <v>-2.0661466926653715E-2</v>
      </c>
      <c r="AR24" s="292">
        <f t="shared" si="41"/>
        <v>-4.0864380388135668E-2</v>
      </c>
      <c r="AS24" s="292">
        <f t="shared" si="41"/>
        <v>-1.7230576441102707E-2</v>
      </c>
      <c r="AT24" s="292">
        <f t="shared" si="41"/>
        <v>-1.2904886209051836E-2</v>
      </c>
      <c r="AU24" s="292">
        <f t="shared" si="41"/>
        <v>1.0720986330743365E-3</v>
      </c>
      <c r="AV24" s="292">
        <f t="shared" si="41"/>
        <v>3.5319738665610778E-2</v>
      </c>
    </row>
    <row r="25" spans="2:49" s="84" customFormat="1">
      <c r="B25" s="78" t="s">
        <v>388</v>
      </c>
      <c r="C25" s="291"/>
      <c r="D25" s="292">
        <f t="shared" ref="D25:L28" si="42">D10/C10-1</f>
        <v>7.7177978220217769E-2</v>
      </c>
      <c r="E25" s="292">
        <f t="shared" si="42"/>
        <v>8.7833956676580671E-2</v>
      </c>
      <c r="F25" s="292">
        <f t="shared" si="42"/>
        <v>4.9095304029475928E-2</v>
      </c>
      <c r="G25" s="292">
        <f t="shared" si="42"/>
        <v>0.10438896718341062</v>
      </c>
      <c r="H25" s="292">
        <f t="shared" si="42"/>
        <v>0.17473338802296956</v>
      </c>
      <c r="I25" s="292">
        <f t="shared" si="42"/>
        <v>0.10188633698875793</v>
      </c>
      <c r="J25" s="292">
        <f t="shared" si="42"/>
        <v>-5.5363430091542098E-2</v>
      </c>
      <c r="K25" s="292">
        <f t="shared" si="42"/>
        <v>4.7675054251494986E-2</v>
      </c>
      <c r="L25" s="292">
        <f t="shared" si="42"/>
        <v>3.4152897462250031E-2</v>
      </c>
      <c r="M25" s="291"/>
      <c r="N25" s="75"/>
      <c r="O25" s="291"/>
      <c r="P25" s="291"/>
      <c r="Q25" s="291"/>
      <c r="R25" s="291"/>
      <c r="S25" s="292">
        <f t="shared" ref="S25:S28" si="43">S10/O10-1</f>
        <v>7.5377621352104462E-2</v>
      </c>
      <c r="T25" s="292">
        <f t="shared" si="41"/>
        <v>4.8266100495399922E-2</v>
      </c>
      <c r="U25" s="292">
        <f t="shared" si="41"/>
        <v>2.6148312119535166E-2</v>
      </c>
      <c r="V25" s="292">
        <f t="shared" si="41"/>
        <v>4.8067257607603109E-2</v>
      </c>
      <c r="W25" s="292">
        <f t="shared" si="41"/>
        <v>3.1637801718259917E-2</v>
      </c>
      <c r="X25" s="292">
        <f t="shared" si="41"/>
        <v>7.0663426050949774E-2</v>
      </c>
      <c r="Y25" s="292">
        <f t="shared" si="41"/>
        <v>0.14817311581501946</v>
      </c>
      <c r="Z25" s="292">
        <f t="shared" si="41"/>
        <v>0.16435609033045595</v>
      </c>
      <c r="AA25" s="292">
        <f t="shared" si="41"/>
        <v>0.1700815157523683</v>
      </c>
      <c r="AB25" s="292">
        <f t="shared" si="41"/>
        <v>0.18904489658651413</v>
      </c>
      <c r="AC25" s="292">
        <f t="shared" si="41"/>
        <v>0.17187255362454978</v>
      </c>
      <c r="AD25" s="292">
        <f t="shared" si="41"/>
        <v>0.16867605211921521</v>
      </c>
      <c r="AE25" s="292">
        <f t="shared" si="41"/>
        <v>0.28842025983807185</v>
      </c>
      <c r="AF25" s="292">
        <f t="shared" si="41"/>
        <v>0.28096164044546579</v>
      </c>
      <c r="AG25" s="292">
        <f t="shared" si="41"/>
        <v>0.15762049500651321</v>
      </c>
      <c r="AH25" s="292">
        <f t="shared" si="41"/>
        <v>-0.27254669528722009</v>
      </c>
      <c r="AI25" s="292">
        <f t="shared" si="41"/>
        <v>-0.1217922487870462</v>
      </c>
      <c r="AJ25" s="292">
        <f t="shared" si="41"/>
        <v>-0.18417421064252593</v>
      </c>
      <c r="AK25" s="292">
        <f t="shared" si="41"/>
        <v>-0.13090772693173292</v>
      </c>
      <c r="AL25" s="292">
        <f t="shared" si="41"/>
        <v>0.36558618867259751</v>
      </c>
      <c r="AM25" s="292">
        <f t="shared" si="41"/>
        <v>5.9839584650713817E-2</v>
      </c>
      <c r="AN25" s="292">
        <f t="shared" si="41"/>
        <v>9.1410399539903153E-2</v>
      </c>
      <c r="AO25" s="292">
        <f t="shared" si="41"/>
        <v>4.010491019554463E-2</v>
      </c>
      <c r="AP25" s="292">
        <f t="shared" si="41"/>
        <v>1.5480375399103963E-3</v>
      </c>
      <c r="AQ25" s="292">
        <f t="shared" si="41"/>
        <v>5.0934212592243622E-2</v>
      </c>
      <c r="AR25" s="292">
        <f t="shared" si="41"/>
        <v>4.2280152506122048E-2</v>
      </c>
      <c r="AS25" s="292">
        <f t="shared" si="41"/>
        <v>5.8316575696638839E-2</v>
      </c>
      <c r="AT25" s="292">
        <f t="shared" si="41"/>
        <v>-1.5875060376750905E-2</v>
      </c>
      <c r="AU25" s="292">
        <f t="shared" si="41"/>
        <v>1.3894283921474848E-2</v>
      </c>
      <c r="AV25" s="292">
        <f t="shared" si="41"/>
        <v>-4.9368029739776942E-2</v>
      </c>
    </row>
    <row r="26" spans="2:49" s="84" customFormat="1">
      <c r="B26" s="78" t="s">
        <v>389</v>
      </c>
      <c r="C26" s="291"/>
      <c r="D26" s="292">
        <f t="shared" si="42"/>
        <v>0.51003541912632833</v>
      </c>
      <c r="E26" s="292">
        <f t="shared" si="42"/>
        <v>-0.11024237685691951</v>
      </c>
      <c r="F26" s="292">
        <f t="shared" si="42"/>
        <v>-1</v>
      </c>
      <c r="G26" s="292" t="e">
        <f t="shared" si="42"/>
        <v>#DIV/0!</v>
      </c>
      <c r="H26" s="292" t="e">
        <f t="shared" si="42"/>
        <v>#DIV/0!</v>
      </c>
      <c r="I26" s="292" t="e">
        <f t="shared" si="42"/>
        <v>#DIV/0!</v>
      </c>
      <c r="J26" s="292" t="e">
        <f t="shared" si="42"/>
        <v>#DIV/0!</v>
      </c>
      <c r="K26" s="292" t="e">
        <f t="shared" si="42"/>
        <v>#DIV/0!</v>
      </c>
      <c r="L26" s="292" t="e">
        <f t="shared" si="42"/>
        <v>#DIV/0!</v>
      </c>
      <c r="M26" s="291"/>
      <c r="N26" s="75"/>
      <c r="O26" s="291"/>
      <c r="P26" s="291"/>
      <c r="Q26" s="291"/>
      <c r="R26" s="291"/>
      <c r="S26" s="292">
        <f t="shared" si="43"/>
        <v>-1</v>
      </c>
      <c r="T26" s="292">
        <f t="shared" si="41"/>
        <v>-1</v>
      </c>
      <c r="U26" s="292">
        <f t="shared" si="41"/>
        <v>-1</v>
      </c>
      <c r="V26" s="292">
        <f t="shared" si="41"/>
        <v>-1</v>
      </c>
      <c r="W26" s="292" t="e">
        <f t="shared" si="41"/>
        <v>#DIV/0!</v>
      </c>
      <c r="X26" s="292" t="e">
        <f t="shared" si="41"/>
        <v>#DIV/0!</v>
      </c>
      <c r="Y26" s="292" t="e">
        <f t="shared" si="41"/>
        <v>#DIV/0!</v>
      </c>
      <c r="Z26" s="292" t="e">
        <f t="shared" si="41"/>
        <v>#DIV/0!</v>
      </c>
      <c r="AA26" s="292" t="e">
        <f t="shared" si="41"/>
        <v>#DIV/0!</v>
      </c>
      <c r="AB26" s="292" t="e">
        <f t="shared" si="41"/>
        <v>#DIV/0!</v>
      </c>
      <c r="AC26" s="292" t="e">
        <f t="shared" si="41"/>
        <v>#DIV/0!</v>
      </c>
      <c r="AD26" s="292" t="e">
        <f t="shared" si="41"/>
        <v>#DIV/0!</v>
      </c>
      <c r="AE26" s="292" t="e">
        <f t="shared" si="41"/>
        <v>#DIV/0!</v>
      </c>
      <c r="AF26" s="292" t="e">
        <f t="shared" si="41"/>
        <v>#DIV/0!</v>
      </c>
      <c r="AG26" s="292" t="e">
        <f t="shared" si="41"/>
        <v>#DIV/0!</v>
      </c>
      <c r="AH26" s="292" t="e">
        <f t="shared" si="41"/>
        <v>#DIV/0!</v>
      </c>
      <c r="AI26" s="292" t="e">
        <f t="shared" si="41"/>
        <v>#DIV/0!</v>
      </c>
      <c r="AJ26" s="292" t="e">
        <f t="shared" si="41"/>
        <v>#DIV/0!</v>
      </c>
      <c r="AK26" s="292" t="e">
        <f t="shared" si="41"/>
        <v>#DIV/0!</v>
      </c>
      <c r="AL26" s="292" t="e">
        <f t="shared" si="41"/>
        <v>#DIV/0!</v>
      </c>
      <c r="AM26" s="292" t="e">
        <f t="shared" si="41"/>
        <v>#DIV/0!</v>
      </c>
      <c r="AN26" s="292" t="e">
        <f t="shared" si="41"/>
        <v>#DIV/0!</v>
      </c>
      <c r="AO26" s="292" t="e">
        <f t="shared" si="41"/>
        <v>#DIV/0!</v>
      </c>
      <c r="AP26" s="292" t="e">
        <f t="shared" si="41"/>
        <v>#DIV/0!</v>
      </c>
      <c r="AQ26" s="292" t="e">
        <f t="shared" si="41"/>
        <v>#DIV/0!</v>
      </c>
      <c r="AR26" s="292" t="e">
        <f t="shared" si="41"/>
        <v>#DIV/0!</v>
      </c>
      <c r="AS26" s="292" t="e">
        <f t="shared" si="41"/>
        <v>#DIV/0!</v>
      </c>
      <c r="AT26" s="292" t="e">
        <f t="shared" si="41"/>
        <v>#DIV/0!</v>
      </c>
      <c r="AU26" s="292" t="e">
        <f t="shared" si="41"/>
        <v>#DIV/0!</v>
      </c>
      <c r="AV26" s="292" t="e">
        <f t="shared" si="41"/>
        <v>#DIV/0!</v>
      </c>
    </row>
    <row r="27" spans="2:49" s="84" customFormat="1">
      <c r="B27" s="78" t="s">
        <v>390</v>
      </c>
      <c r="C27" s="291"/>
      <c r="D27" s="292">
        <f t="shared" si="42"/>
        <v>3.2536319612590514E-3</v>
      </c>
      <c r="E27" s="292">
        <f t="shared" si="42"/>
        <v>8.74877441737687E-3</v>
      </c>
      <c r="F27" s="292">
        <f t="shared" si="42"/>
        <v>0.28037383177570097</v>
      </c>
      <c r="G27" s="292">
        <f t="shared" si="42"/>
        <v>0.28151824817518256</v>
      </c>
      <c r="H27" s="292">
        <f t="shared" si="42"/>
        <v>0.38635742276496865</v>
      </c>
      <c r="I27" s="292">
        <f t="shared" si="42"/>
        <v>-8.884141331142148E-2</v>
      </c>
      <c r="J27" s="292">
        <f t="shared" si="42"/>
        <v>-0.48842074886371833</v>
      </c>
      <c r="K27" s="292">
        <f t="shared" si="42"/>
        <v>8.5248907065293977E-2</v>
      </c>
      <c r="L27" s="292">
        <f t="shared" si="42"/>
        <v>2.2545643557923434E-2</v>
      </c>
      <c r="M27" s="291"/>
      <c r="N27" s="75"/>
      <c r="O27" s="291"/>
      <c r="P27" s="291"/>
      <c r="Q27" s="291"/>
      <c r="R27" s="291"/>
      <c r="S27" s="292">
        <f t="shared" si="43"/>
        <v>0.35599159074982478</v>
      </c>
      <c r="T27" s="292">
        <f t="shared" si="41"/>
        <v>0.90939318370739808</v>
      </c>
      <c r="U27" s="292">
        <f t="shared" si="41"/>
        <v>-6.2876254180602054E-2</v>
      </c>
      <c r="V27" s="292">
        <f t="shared" si="41"/>
        <v>0.228099173553719</v>
      </c>
      <c r="W27" s="292">
        <f t="shared" si="41"/>
        <v>0.13772609819121451</v>
      </c>
      <c r="X27" s="292">
        <f t="shared" si="41"/>
        <v>0.1441010013060513</v>
      </c>
      <c r="Y27" s="292">
        <f t="shared" si="41"/>
        <v>0.3956697596954557</v>
      </c>
      <c r="Z27" s="292">
        <f t="shared" si="41"/>
        <v>0.44033198743831314</v>
      </c>
      <c r="AA27" s="292">
        <f t="shared" si="41"/>
        <v>0.36588689529866003</v>
      </c>
      <c r="AB27" s="292">
        <f t="shared" si="41"/>
        <v>0.35178843226788437</v>
      </c>
      <c r="AC27" s="292">
        <f t="shared" si="41"/>
        <v>0.29986362086600749</v>
      </c>
      <c r="AD27" s="292">
        <f t="shared" si="41"/>
        <v>0.50770907958261957</v>
      </c>
      <c r="AE27" s="292">
        <f t="shared" si="41"/>
        <v>0.68540073162620563</v>
      </c>
      <c r="AF27" s="292">
        <f t="shared" si="41"/>
        <v>0.62350457424349059</v>
      </c>
      <c r="AG27" s="292">
        <f t="shared" si="41"/>
        <v>0.21573770491803268</v>
      </c>
      <c r="AH27" s="292">
        <f t="shared" si="41"/>
        <v>-1.3325069724202045</v>
      </c>
      <c r="AI27" s="292">
        <f t="shared" si="41"/>
        <v>-0.64838200473559593</v>
      </c>
      <c r="AJ27" s="292">
        <f t="shared" si="41"/>
        <v>-0.68851322063285658</v>
      </c>
      <c r="AK27" s="292">
        <f t="shared" si="41"/>
        <v>-0.62804746494066888</v>
      </c>
      <c r="AL27" s="292">
        <f t="shared" si="41"/>
        <v>-2.1112146629388011</v>
      </c>
      <c r="AM27" s="292">
        <f t="shared" si="41"/>
        <v>0.20342312008978669</v>
      </c>
      <c r="AN27" s="292">
        <f t="shared" si="41"/>
        <v>0.456443083774005</v>
      </c>
      <c r="AO27" s="292">
        <f t="shared" si="41"/>
        <v>1.6821345707656699E-2</v>
      </c>
      <c r="AP27" s="292">
        <f t="shared" si="41"/>
        <v>-0.33939055074084423</v>
      </c>
      <c r="AQ27" s="292">
        <f t="shared" si="41"/>
        <v>4.1967824667754616E-3</v>
      </c>
      <c r="AR27" s="292">
        <f t="shared" si="41"/>
        <v>-0.12421173323141599</v>
      </c>
      <c r="AS27" s="292">
        <f t="shared" si="41"/>
        <v>0.29577866514546503</v>
      </c>
      <c r="AT27" s="292">
        <f t="shared" si="41"/>
        <v>-2.4545069826491739E-2</v>
      </c>
      <c r="AU27" s="292">
        <f t="shared" si="41"/>
        <v>-0.17250986765730203</v>
      </c>
      <c r="AV27" s="292">
        <f t="shared" si="41"/>
        <v>-0.42854025747327074</v>
      </c>
    </row>
    <row r="28" spans="2:49" s="84" customFormat="1">
      <c r="B28" s="82" t="s">
        <v>119</v>
      </c>
      <c r="C28" s="291"/>
      <c r="D28" s="293">
        <f t="shared" si="42"/>
        <v>-3.3524682874621403E-2</v>
      </c>
      <c r="E28" s="293">
        <f t="shared" si="42"/>
        <v>2.5048290789200456E-2</v>
      </c>
      <c r="F28" s="293">
        <f t="shared" si="42"/>
        <v>3.8504978086597808E-2</v>
      </c>
      <c r="G28" s="293">
        <f t="shared" si="42"/>
        <v>6.9845791934368462E-2</v>
      </c>
      <c r="H28" s="293">
        <f t="shared" si="42"/>
        <v>6.1777640273143142E-2</v>
      </c>
      <c r="I28" s="293">
        <f t="shared" si="42"/>
        <v>6.3355291228289312E-2</v>
      </c>
      <c r="J28" s="293">
        <f t="shared" si="42"/>
        <v>3.2251592761863845E-2</v>
      </c>
      <c r="K28" s="293">
        <f t="shared" si="42"/>
        <v>2.7873507368940009E-2</v>
      </c>
      <c r="L28" s="293">
        <f t="shared" si="42"/>
        <v>7.1714176347696945E-3</v>
      </c>
      <c r="M28" s="291"/>
      <c r="N28" s="75"/>
      <c r="O28" s="291"/>
      <c r="P28" s="291"/>
      <c r="Q28" s="291"/>
      <c r="R28" s="291"/>
      <c r="S28" s="293">
        <f t="shared" si="43"/>
        <v>2.740267114325956E-3</v>
      </c>
      <c r="T28" s="293">
        <f t="shared" si="41"/>
        <v>-8.7702482507427959E-3</v>
      </c>
      <c r="U28" s="293">
        <f t="shared" si="41"/>
        <v>7.1019501980472688E-2</v>
      </c>
      <c r="V28" s="293">
        <f t="shared" si="41"/>
        <v>9.0477118767971154E-2</v>
      </c>
      <c r="W28" s="293">
        <f t="shared" si="41"/>
        <v>7.4548229848835579E-2</v>
      </c>
      <c r="X28" s="293">
        <f t="shared" si="41"/>
        <v>4.1652564908378764E-2</v>
      </c>
      <c r="Y28" s="293">
        <f t="shared" si="41"/>
        <v>9.5048525393385486E-2</v>
      </c>
      <c r="Z28" s="293">
        <f t="shared" si="41"/>
        <v>6.7730330048490606E-2</v>
      </c>
      <c r="AA28" s="293">
        <f t="shared" si="41"/>
        <v>9.8015854832057991E-2</v>
      </c>
      <c r="AB28" s="293">
        <f t="shared" si="41"/>
        <v>0.10698786233145352</v>
      </c>
      <c r="AC28" s="293">
        <f t="shared" si="41"/>
        <v>3.755888743089475E-2</v>
      </c>
      <c r="AD28" s="293">
        <f t="shared" si="41"/>
        <v>1.1468753924071873E-2</v>
      </c>
      <c r="AE28" s="293">
        <f t="shared" si="41"/>
        <v>3.9666972706785764E-2</v>
      </c>
      <c r="AF28" s="293">
        <f t="shared" si="41"/>
        <v>6.8408142728359156E-2</v>
      </c>
      <c r="AG28" s="293">
        <f t="shared" si="41"/>
        <v>6.4561607198391213E-2</v>
      </c>
      <c r="AH28" s="293">
        <f t="shared" si="41"/>
        <v>8.0653838195737571E-2</v>
      </c>
      <c r="AI28" s="293">
        <f t="shared" si="41"/>
        <v>5.0918213748118335E-2</v>
      </c>
      <c r="AJ28" s="293">
        <f t="shared" si="41"/>
        <v>1.4010439150739851E-2</v>
      </c>
      <c r="AK28" s="293">
        <f t="shared" si="41"/>
        <v>1.8910549788692554E-2</v>
      </c>
      <c r="AL28" s="293">
        <f t="shared" si="41"/>
        <v>4.5358811365550977E-2</v>
      </c>
      <c r="AM28" s="293">
        <f t="shared" si="41"/>
        <v>3.5560139032122517E-2</v>
      </c>
      <c r="AN28" s="293">
        <f t="shared" si="41"/>
        <v>3.2568310240730813E-2</v>
      </c>
      <c r="AO28" s="293">
        <f t="shared" si="41"/>
        <v>1.9897549600519815E-2</v>
      </c>
      <c r="AP28" s="293">
        <f t="shared" si="41"/>
        <v>2.3700935948861579E-2</v>
      </c>
      <c r="AQ28" s="293">
        <f t="shared" si="41"/>
        <v>1.9419445264089674E-2</v>
      </c>
      <c r="AR28" s="293">
        <f t="shared" si="41"/>
        <v>1.7579040086958209E-2</v>
      </c>
      <c r="AS28" s="293">
        <f t="shared" si="41"/>
        <v>6.5593433160291426E-3</v>
      </c>
      <c r="AT28" s="293">
        <f t="shared" si="41"/>
        <v>-1.4063087080209646E-2</v>
      </c>
      <c r="AU28" s="293">
        <f t="shared" si="41"/>
        <v>2.2360113609638743E-2</v>
      </c>
      <c r="AV28" s="293">
        <f t="shared" si="41"/>
        <v>2.202699965007282E-2</v>
      </c>
    </row>
    <row r="29" spans="2:49" s="84" customFormat="1">
      <c r="B29" s="82"/>
      <c r="C29" s="88"/>
      <c r="D29" s="293"/>
      <c r="E29" s="293"/>
      <c r="F29" s="293"/>
      <c r="G29" s="293"/>
      <c r="H29" s="293"/>
      <c r="I29" s="293"/>
      <c r="J29" s="293"/>
      <c r="K29" s="293"/>
      <c r="L29" s="293"/>
      <c r="M29" s="88"/>
      <c r="N29" s="75"/>
      <c r="O29" s="88"/>
      <c r="P29" s="88"/>
      <c r="Q29" s="88"/>
      <c r="R29" s="88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  <c r="AH29" s="293"/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</row>
    <row r="30" spans="2:49" s="84" customFormat="1">
      <c r="B30" s="82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75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</row>
    <row r="31" spans="2:49">
      <c r="B31" s="294" t="s">
        <v>393</v>
      </c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75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7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</row>
    <row r="32" spans="2:49">
      <c r="B32" s="78" t="s">
        <v>387</v>
      </c>
      <c r="C32" s="79">
        <v>32915</v>
      </c>
      <c r="D32" s="79">
        <v>36395</v>
      </c>
      <c r="E32" s="79">
        <v>34235</v>
      </c>
      <c r="F32" s="79">
        <v>52789</v>
      </c>
      <c r="G32" s="79">
        <v>60272</v>
      </c>
      <c r="H32" s="79">
        <v>60971</v>
      </c>
      <c r="I32" s="79">
        <v>52215</v>
      </c>
      <c r="J32" s="79">
        <v>56505</v>
      </c>
      <c r="K32" s="79">
        <v>55634</v>
      </c>
      <c r="L32" s="79">
        <v>57589</v>
      </c>
      <c r="M32" s="80">
        <f>SUM(AS32:AV32)</f>
        <v>59003</v>
      </c>
      <c r="N32" s="75"/>
      <c r="O32" s="79">
        <v>8539</v>
      </c>
      <c r="P32" s="79">
        <f>17577-O32</f>
        <v>9038</v>
      </c>
      <c r="Q32" s="79">
        <f>26046-P32-O32</f>
        <v>8469</v>
      </c>
      <c r="R32" s="80">
        <f>+E32-SUM(O32:Q32)</f>
        <v>8189</v>
      </c>
      <c r="S32" s="79">
        <v>12166</v>
      </c>
      <c r="T32" s="79">
        <f>26005-S32</f>
        <v>13839</v>
      </c>
      <c r="U32" s="79">
        <f>39126-T32-S32</f>
        <v>13121</v>
      </c>
      <c r="V32" s="80">
        <f>+F32-SUM(S32:U32)</f>
        <v>13663</v>
      </c>
      <c r="W32" s="79">
        <v>14213</v>
      </c>
      <c r="X32" s="79">
        <f>29012-W32</f>
        <v>14799</v>
      </c>
      <c r="Y32" s="79">
        <f>44248-X32-W32</f>
        <v>15236</v>
      </c>
      <c r="Z32" s="80">
        <f>+G32-SUM(W32:Y32)</f>
        <v>16024</v>
      </c>
      <c r="AA32" s="79">
        <v>14802</v>
      </c>
      <c r="AB32" s="79">
        <f>30138-AA32</f>
        <v>15336</v>
      </c>
      <c r="AC32" s="79">
        <f>45469-AB32-AA32</f>
        <v>15331</v>
      </c>
      <c r="AD32" s="80">
        <f>+H32-SUM(AA32:AC32)</f>
        <v>15502</v>
      </c>
      <c r="AE32" s="79">
        <v>13292</v>
      </c>
      <c r="AF32" s="79">
        <f>25640-AE32</f>
        <v>12348</v>
      </c>
      <c r="AG32" s="79">
        <f>36160-AF32-AE32</f>
        <v>10520</v>
      </c>
      <c r="AH32" s="80">
        <f>+I32-SUM(AE32:AG32)</f>
        <v>16055</v>
      </c>
      <c r="AI32" s="79">
        <v>13236</v>
      </c>
      <c r="AJ32" s="79">
        <f>25803-AI32</f>
        <v>12567</v>
      </c>
      <c r="AK32" s="79">
        <f>39408-AJ32-AI32</f>
        <v>13605</v>
      </c>
      <c r="AL32" s="80">
        <f>+J32-SUM(AI32:AK32)</f>
        <v>17097</v>
      </c>
      <c r="AM32" s="79">
        <v>12832</v>
      </c>
      <c r="AN32" s="79">
        <f>25015-AM32</f>
        <v>12183</v>
      </c>
      <c r="AO32" s="79">
        <f>38285-AM32-AN32</f>
        <v>13270</v>
      </c>
      <c r="AP32" s="80">
        <f>+K32-SUM(AM32:AO32)</f>
        <v>17349</v>
      </c>
      <c r="AQ32" s="79">
        <v>13706</v>
      </c>
      <c r="AR32" s="79">
        <f>27116-AQ32</f>
        <v>13410</v>
      </c>
      <c r="AS32" s="79">
        <f>40084-AQ32-AR32</f>
        <v>12968</v>
      </c>
      <c r="AT32" s="80">
        <f t="shared" ref="AT32:AT36" si="44">+L32-SUM(AQ32:AS32)</f>
        <v>17505</v>
      </c>
      <c r="AU32" s="79">
        <v>13637</v>
      </c>
      <c r="AV32" s="79">
        <f>28530-AU32</f>
        <v>14893</v>
      </c>
      <c r="AW32" s="79"/>
    </row>
    <row r="33" spans="2:49">
      <c r="B33" s="78" t="s">
        <v>388</v>
      </c>
      <c r="C33" s="79">
        <v>26950</v>
      </c>
      <c r="D33" s="79">
        <v>29478</v>
      </c>
      <c r="E33" s="79">
        <v>30875</v>
      </c>
      <c r="F33" s="79">
        <v>33162</v>
      </c>
      <c r="G33" s="79">
        <v>33405</v>
      </c>
      <c r="H33" s="79">
        <v>46019</v>
      </c>
      <c r="I33" s="79">
        <v>55051</v>
      </c>
      <c r="J33" s="79">
        <v>56966</v>
      </c>
      <c r="K33" s="79">
        <v>61953</v>
      </c>
      <c r="L33" s="79">
        <v>63253</v>
      </c>
      <c r="M33" s="80">
        <f t="shared" ref="M33:M35" si="45">SUM(AS33:AV33)</f>
        <v>60678</v>
      </c>
      <c r="N33" s="75"/>
      <c r="O33" s="79">
        <v>8229</v>
      </c>
      <c r="P33" s="79">
        <f>16127-O33</f>
        <v>7898</v>
      </c>
      <c r="Q33" s="79">
        <f>24320-P33-O33</f>
        <v>8193</v>
      </c>
      <c r="R33" s="80">
        <f>+E33-SUM(O33:Q33)</f>
        <v>6555</v>
      </c>
      <c r="S33" s="79">
        <v>9044</v>
      </c>
      <c r="T33" s="79">
        <f>16389-S33</f>
        <v>7345</v>
      </c>
      <c r="U33" s="79">
        <f>23039-T33-S33</f>
        <v>6650</v>
      </c>
      <c r="V33" s="80">
        <f>+F33-SUM(S33:U33)</f>
        <v>10123</v>
      </c>
      <c r="W33" s="79">
        <v>9068</v>
      </c>
      <c r="X33" s="79">
        <f>17373-W33</f>
        <v>8305</v>
      </c>
      <c r="Y33" s="79">
        <f>26475-X33-W33</f>
        <v>9102</v>
      </c>
      <c r="Z33" s="80">
        <f>+G33-SUM(W33:Y33)</f>
        <v>6930</v>
      </c>
      <c r="AA33" s="79">
        <v>10307</v>
      </c>
      <c r="AB33" s="79">
        <f>20534-AA33</f>
        <v>10227</v>
      </c>
      <c r="AC33" s="79">
        <f>32120-AB33-AA33</f>
        <v>11586</v>
      </c>
      <c r="AD33" s="80">
        <f>+H33-SUM(AA33:AC33)</f>
        <v>13899</v>
      </c>
      <c r="AE33" s="79">
        <v>11213</v>
      </c>
      <c r="AF33" s="79">
        <f>26555-AE33</f>
        <v>15342</v>
      </c>
      <c r="AG33" s="79">
        <f>44410-AF33-AE33</f>
        <v>17855</v>
      </c>
      <c r="AH33" s="80">
        <f>+I33-SUM(AE33:AG33)</f>
        <v>10641</v>
      </c>
      <c r="AI33" s="79">
        <v>13621</v>
      </c>
      <c r="AJ33" s="79">
        <f>28896-AI33</f>
        <v>15275</v>
      </c>
      <c r="AK33" s="79">
        <f>43630-AJ33-AI33</f>
        <v>14734</v>
      </c>
      <c r="AL33" s="80">
        <f>+J33-SUM(AI33:AK33)</f>
        <v>13336</v>
      </c>
      <c r="AM33" s="79">
        <v>15597</v>
      </c>
      <c r="AN33" s="79">
        <f>31989-AM33</f>
        <v>16392</v>
      </c>
      <c r="AO33" s="79">
        <f>47819-AM33-AN33</f>
        <v>15830</v>
      </c>
      <c r="AP33" s="80">
        <f>+K33-SUM(AM33:AO33)</f>
        <v>14134</v>
      </c>
      <c r="AQ33" s="79">
        <v>16449</v>
      </c>
      <c r="AR33" s="79">
        <f>32823-AQ33</f>
        <v>16374</v>
      </c>
      <c r="AS33" s="79">
        <f>49331-AQ33-AR33</f>
        <v>16508</v>
      </c>
      <c r="AT33" s="80">
        <f t="shared" si="44"/>
        <v>13922</v>
      </c>
      <c r="AU33" s="79">
        <v>15846</v>
      </c>
      <c r="AV33" s="79">
        <f>30248-AU33</f>
        <v>14402</v>
      </c>
      <c r="AW33" s="79"/>
    </row>
    <row r="34" spans="2:49">
      <c r="B34" s="78" t="s">
        <v>389</v>
      </c>
      <c r="C34" s="81">
        <v>-276</v>
      </c>
      <c r="D34" s="81">
        <v>-1307</v>
      </c>
      <c r="E34" s="79">
        <v>-2688</v>
      </c>
      <c r="F34" s="81">
        <v>-101</v>
      </c>
      <c r="G34" s="81">
        <v>-12</v>
      </c>
      <c r="H34" s="81">
        <v>-7</v>
      </c>
      <c r="I34" s="81">
        <v>-12</v>
      </c>
      <c r="J34" s="81">
        <v>-18</v>
      </c>
      <c r="K34" s="81">
        <v>-48</v>
      </c>
      <c r="L34" s="81">
        <v>-7</v>
      </c>
      <c r="M34" s="80">
        <f t="shared" si="45"/>
        <v>-3</v>
      </c>
      <c r="N34" s="75"/>
      <c r="O34" s="81">
        <v>-621</v>
      </c>
      <c r="P34" s="81">
        <f>-1313-O34</f>
        <v>-692</v>
      </c>
      <c r="Q34" s="79">
        <f>-1839-P34-O34</f>
        <v>-526</v>
      </c>
      <c r="R34" s="80">
        <f>+E34-SUM(O34:Q34)</f>
        <v>-849</v>
      </c>
      <c r="S34" s="81">
        <v>-6</v>
      </c>
      <c r="T34" s="81">
        <f>-10-S34</f>
        <v>-4</v>
      </c>
      <c r="U34" s="81">
        <f>-91-T34-S34</f>
        <v>-81</v>
      </c>
      <c r="V34" s="80">
        <f>+F34-SUM(S34:U34)</f>
        <v>-10</v>
      </c>
      <c r="W34" s="81">
        <v>-6</v>
      </c>
      <c r="X34" s="81">
        <f>-8-W34</f>
        <v>-2</v>
      </c>
      <c r="Y34" s="81">
        <f>-7-X34-W34</f>
        <v>1</v>
      </c>
      <c r="Z34" s="80">
        <f>+G34-SUM(W34:Y34)</f>
        <v>-5</v>
      </c>
      <c r="AA34" s="81">
        <v>-2</v>
      </c>
      <c r="AB34" s="79">
        <f>-4-AA34</f>
        <v>-2</v>
      </c>
      <c r="AC34" s="79">
        <f>-7-AB34-AA34</f>
        <v>-3</v>
      </c>
      <c r="AD34" s="80">
        <f>+H34-SUM(AA34:AC34)</f>
        <v>0</v>
      </c>
      <c r="AE34" s="81">
        <v>-5</v>
      </c>
      <c r="AF34" s="81">
        <f>-8-AE34</f>
        <v>-3</v>
      </c>
      <c r="AG34" s="79">
        <f>-11-AF34-AE34</f>
        <v>-3</v>
      </c>
      <c r="AH34" s="80">
        <f>+I34-SUM(AE34:AG34)</f>
        <v>-1</v>
      </c>
      <c r="AI34" s="81">
        <v>-5</v>
      </c>
      <c r="AJ34" s="81">
        <f>-7-AI34</f>
        <v>-2</v>
      </c>
      <c r="AK34" s="79">
        <f>-15-AJ34-AI34</f>
        <v>-8</v>
      </c>
      <c r="AL34" s="80">
        <f>+J34-SUM(AI34:AK34)</f>
        <v>-3</v>
      </c>
      <c r="AM34" s="79">
        <v>-31</v>
      </c>
      <c r="AN34" s="79">
        <f>-46-AM34</f>
        <v>-15</v>
      </c>
      <c r="AO34" s="79">
        <f>-102-AM34-AN34</f>
        <v>-56</v>
      </c>
      <c r="AP34" s="80">
        <f>+K34-SUM(AM34:AO34)</f>
        <v>54</v>
      </c>
      <c r="AQ34" s="79">
        <v>-5</v>
      </c>
      <c r="AR34" s="79">
        <f>-6-AQ34</f>
        <v>-1</v>
      </c>
      <c r="AS34" s="79">
        <f>-6-AQ34-AR34</f>
        <v>0</v>
      </c>
      <c r="AT34" s="80">
        <f t="shared" si="44"/>
        <v>-1</v>
      </c>
      <c r="AU34" s="79">
        <v>-1</v>
      </c>
      <c r="AV34" s="79">
        <f>-2-AU34</f>
        <v>-1</v>
      </c>
      <c r="AW34" s="79"/>
    </row>
    <row r="35" spans="2:49">
      <c r="B35" s="78" t="s">
        <v>390</v>
      </c>
      <c r="C35" s="79">
        <v>1572</v>
      </c>
      <c r="D35" s="79">
        <v>1608</v>
      </c>
      <c r="E35" s="79">
        <v>1605</v>
      </c>
      <c r="F35" s="79">
        <v>-6035</v>
      </c>
      <c r="G35" s="79">
        <v>-7507</v>
      </c>
      <c r="H35" s="79">
        <v>-10801</v>
      </c>
      <c r="I35" s="79">
        <v>-9666</v>
      </c>
      <c r="J35" s="79">
        <v>-9156</v>
      </c>
      <c r="K35" s="79">
        <v>-9024</v>
      </c>
      <c r="L35" s="79">
        <v>-9604</v>
      </c>
      <c r="M35" s="80">
        <f t="shared" si="45"/>
        <v>-7929</v>
      </c>
      <c r="N35" s="75"/>
      <c r="O35" s="79">
        <v>386</v>
      </c>
      <c r="P35" s="79">
        <f>794-O35</f>
        <v>408</v>
      </c>
      <c r="Q35" s="79">
        <f>1172-P35-O35</f>
        <v>378</v>
      </c>
      <c r="R35" s="80">
        <f>+E35-SUM(O35:Q35)</f>
        <v>433</v>
      </c>
      <c r="S35" s="79">
        <v>-1357</v>
      </c>
      <c r="T35" s="79">
        <f>-2718-S35</f>
        <v>-1361</v>
      </c>
      <c r="U35" s="79">
        <f>-4139-T35-S35</f>
        <v>-1421</v>
      </c>
      <c r="V35" s="80">
        <f>+F35-SUM(S35:U35)</f>
        <v>-1896</v>
      </c>
      <c r="W35" s="79">
        <v>-1663</v>
      </c>
      <c r="X35" s="79">
        <f>-3212-W35</f>
        <v>-1549</v>
      </c>
      <c r="Y35" s="79">
        <f>-4852-X35-W35</f>
        <v>-1640</v>
      </c>
      <c r="Z35" s="80">
        <f>+G35-SUM(W35:Y35)</f>
        <v>-2655</v>
      </c>
      <c r="AA35" s="79">
        <v>-2035</v>
      </c>
      <c r="AB35" s="79">
        <f>-4341-AA35</f>
        <v>-2306</v>
      </c>
      <c r="AC35" s="79">
        <f>-6766-AB35-AA35</f>
        <v>-2425</v>
      </c>
      <c r="AD35" s="80">
        <f>+H35-SUM(AA35:AC35)</f>
        <v>-4035</v>
      </c>
      <c r="AE35" s="79">
        <v>-3597</v>
      </c>
      <c r="AF35" s="79">
        <f>-7443-AE35</f>
        <v>-3846</v>
      </c>
      <c r="AG35" s="79">
        <f>-11158-AF35-AE35</f>
        <v>-3715</v>
      </c>
      <c r="AH35" s="80">
        <f>+I35-SUM(AE35:AG35)</f>
        <v>1492</v>
      </c>
      <c r="AI35" s="79">
        <v>-2453</v>
      </c>
      <c r="AJ35" s="79">
        <f>-4934-AI35</f>
        <v>-2481</v>
      </c>
      <c r="AK35" s="79">
        <f>-7044-AJ35-AI35</f>
        <v>-2110</v>
      </c>
      <c r="AL35" s="80">
        <f>+J35-SUM(AI35:AK35)</f>
        <v>-2112</v>
      </c>
      <c r="AM35" s="79">
        <v>-1083</v>
      </c>
      <c r="AN35" s="79">
        <f>-3022-AM35</f>
        <v>-1939</v>
      </c>
      <c r="AO35" s="79">
        <f>-5284-AM35-AN35</f>
        <v>-2262</v>
      </c>
      <c r="AP35" s="80">
        <f>+K35-SUM(AM35:AO35)</f>
        <v>-3740</v>
      </c>
      <c r="AQ35" s="79">
        <v>-2285</v>
      </c>
      <c r="AR35" s="79">
        <f>-4401-AQ35</f>
        <v>-2116</v>
      </c>
      <c r="AS35" s="79">
        <f>-6564-AQ35-AR35</f>
        <v>-2163</v>
      </c>
      <c r="AT35" s="80">
        <f t="shared" si="44"/>
        <v>-3040</v>
      </c>
      <c r="AU35" s="79">
        <v>-1194</v>
      </c>
      <c r="AV35" s="79">
        <f>-2726-AU35</f>
        <v>-1532</v>
      </c>
      <c r="AW35" s="79"/>
    </row>
    <row r="36" spans="2:49">
      <c r="B36" s="78" t="s">
        <v>394</v>
      </c>
      <c r="C36" s="79"/>
      <c r="D36" s="79"/>
      <c r="E36" s="79"/>
      <c r="F36" s="79"/>
      <c r="G36" s="79"/>
      <c r="H36" s="79">
        <v>-13</v>
      </c>
      <c r="I36" s="79">
        <v>-326</v>
      </c>
      <c r="J36" s="79">
        <v>0</v>
      </c>
      <c r="K36" s="79">
        <v>0</v>
      </c>
      <c r="L36" s="79">
        <v>0</v>
      </c>
      <c r="M36" s="80">
        <f>SUM(AS36:AV36)</f>
        <v>0</v>
      </c>
      <c r="N36" s="75"/>
      <c r="O36" s="79"/>
      <c r="P36" s="79"/>
      <c r="Q36" s="79"/>
      <c r="R36" s="80"/>
      <c r="S36" s="79"/>
      <c r="T36" s="79"/>
      <c r="U36" s="79"/>
      <c r="V36" s="80"/>
      <c r="W36" s="79"/>
      <c r="X36" s="79"/>
      <c r="Y36" s="79"/>
      <c r="Z36" s="80"/>
      <c r="AA36" s="79"/>
      <c r="AB36" s="79"/>
      <c r="AC36" s="79"/>
      <c r="AD36" s="80">
        <f>+H36-SUM(AA36:AC36)</f>
        <v>-13</v>
      </c>
      <c r="AE36" s="79">
        <v>4</v>
      </c>
      <c r="AF36" s="79">
        <f>-8-AE36</f>
        <v>-12</v>
      </c>
      <c r="AG36" s="79">
        <f>-59-AF36-AE36</f>
        <v>-51</v>
      </c>
      <c r="AH36" s="80">
        <f>+I36-SUM(AE36:AG36)</f>
        <v>-267</v>
      </c>
      <c r="AI36" s="79">
        <v>-21</v>
      </c>
      <c r="AJ36" s="79">
        <f>-39-AI36</f>
        <v>-18</v>
      </c>
      <c r="AK36" s="79">
        <f>-45-AJ36-AI36</f>
        <v>-6</v>
      </c>
      <c r="AL36" s="80">
        <f>+J36-SUM(AI36:AK36)</f>
        <v>45</v>
      </c>
      <c r="AM36" s="79">
        <v>0</v>
      </c>
      <c r="AN36" s="79">
        <f>0-AM36</f>
        <v>0</v>
      </c>
      <c r="AO36" s="79">
        <f>0-AM36-AN36</f>
        <v>0</v>
      </c>
      <c r="AP36" s="80">
        <f>+K36-SUM(AM36:AO36)</f>
        <v>0</v>
      </c>
      <c r="AQ36" s="79">
        <v>0</v>
      </c>
      <c r="AR36" s="79">
        <f>0-AQ36</f>
        <v>0</v>
      </c>
      <c r="AS36" s="79">
        <f>0-AQ36-AR36</f>
        <v>0</v>
      </c>
      <c r="AT36" s="80">
        <f t="shared" si="44"/>
        <v>0</v>
      </c>
      <c r="AU36" s="79">
        <v>0</v>
      </c>
      <c r="AV36" s="79">
        <f>0-AU36</f>
        <v>0</v>
      </c>
      <c r="AW36" s="79"/>
    </row>
    <row r="37" spans="2:49" s="84" customFormat="1">
      <c r="B37" s="82" t="s">
        <v>119</v>
      </c>
      <c r="C37" s="83">
        <f t="shared" ref="C37:AG37" si="46">+C32+C33+C34+C35+C36</f>
        <v>61161</v>
      </c>
      <c r="D37" s="83">
        <f t="shared" si="46"/>
        <v>66174</v>
      </c>
      <c r="E37" s="83">
        <f t="shared" si="46"/>
        <v>64027</v>
      </c>
      <c r="F37" s="83">
        <f t="shared" si="46"/>
        <v>79815</v>
      </c>
      <c r="G37" s="83">
        <f t="shared" si="46"/>
        <v>86158</v>
      </c>
      <c r="H37" s="83">
        <f t="shared" si="46"/>
        <v>96169</v>
      </c>
      <c r="I37" s="238">
        <v>100262</v>
      </c>
      <c r="J37" s="83">
        <f t="shared" ref="J37:K37" si="47">+J32+J33+J34+J35+J36</f>
        <v>104297</v>
      </c>
      <c r="K37" s="83">
        <f t="shared" si="47"/>
        <v>108515</v>
      </c>
      <c r="L37" s="83">
        <f t="shared" ref="L37" si="48">+L32+L33+L34+L35+L36</f>
        <v>111231</v>
      </c>
      <c r="M37" s="83">
        <f t="shared" ref="M37" si="49">+M32+M33+M34+M35+M36</f>
        <v>111749</v>
      </c>
      <c r="N37" s="75"/>
      <c r="O37" s="83">
        <f t="shared" si="46"/>
        <v>16533</v>
      </c>
      <c r="P37" s="83">
        <f t="shared" si="46"/>
        <v>16652</v>
      </c>
      <c r="Q37" s="83">
        <f t="shared" si="46"/>
        <v>16514</v>
      </c>
      <c r="R37" s="83">
        <f t="shared" si="46"/>
        <v>14328</v>
      </c>
      <c r="S37" s="83">
        <f t="shared" si="46"/>
        <v>19847</v>
      </c>
      <c r="T37" s="83">
        <f t="shared" si="46"/>
        <v>19819</v>
      </c>
      <c r="U37" s="83">
        <f t="shared" si="46"/>
        <v>18269</v>
      </c>
      <c r="V37" s="83">
        <f t="shared" si="46"/>
        <v>21880</v>
      </c>
      <c r="W37" s="83">
        <f t="shared" si="46"/>
        <v>21612</v>
      </c>
      <c r="X37" s="83">
        <f t="shared" si="46"/>
        <v>21553</v>
      </c>
      <c r="Y37" s="83">
        <f t="shared" si="46"/>
        <v>22699</v>
      </c>
      <c r="Z37" s="83">
        <f t="shared" si="46"/>
        <v>20294</v>
      </c>
      <c r="AA37" s="83">
        <f t="shared" si="46"/>
        <v>23072</v>
      </c>
      <c r="AB37" s="83">
        <f t="shared" si="46"/>
        <v>23255</v>
      </c>
      <c r="AC37" s="83">
        <f t="shared" si="46"/>
        <v>24489</v>
      </c>
      <c r="AD37" s="83">
        <f t="shared" si="46"/>
        <v>25353</v>
      </c>
      <c r="AE37" s="83">
        <f>+AE32+AE33+AE34+AE35+AE36</f>
        <v>20907</v>
      </c>
      <c r="AF37" s="83">
        <f>+AF32+AF33+AF34+AF35+AF36</f>
        <v>23829</v>
      </c>
      <c r="AG37" s="83">
        <f t="shared" si="46"/>
        <v>24606</v>
      </c>
      <c r="AH37" s="173">
        <f>+AH32+AH33+AH34+AH35+AH36+3000</f>
        <v>30920</v>
      </c>
      <c r="AI37" s="83">
        <f>+AI32+AI33+AI34+AI35+AI36</f>
        <v>24378</v>
      </c>
      <c r="AJ37" s="83">
        <f>+AJ32+AJ33+AJ34+AJ35+AJ36</f>
        <v>25341</v>
      </c>
      <c r="AK37" s="83">
        <f t="shared" ref="AK37:AL37" si="50">+AK32+AK33+AK34+AK35+AK36</f>
        <v>26215</v>
      </c>
      <c r="AL37" s="83">
        <f t="shared" si="50"/>
        <v>28363</v>
      </c>
      <c r="AM37" s="83">
        <f>+AM32+AM33+AM34+AM35+AM36</f>
        <v>27315</v>
      </c>
      <c r="AN37" s="83">
        <f>+AN32+AN33+AN34+AN35+AN36</f>
        <v>26621</v>
      </c>
      <c r="AO37" s="83">
        <f>+AO32+AO33+AO34+AO35+AO36</f>
        <v>26782</v>
      </c>
      <c r="AP37" s="83">
        <f t="shared" ref="AP37" si="51">+AP32+AP33+AP34+AP35+AP36</f>
        <v>27797</v>
      </c>
      <c r="AQ37" s="83">
        <f>+AQ32+AQ33+AQ34+AQ35+AQ36</f>
        <v>27865</v>
      </c>
      <c r="AR37" s="83">
        <f>+AR32+AR33+AR34+AR35+AR36</f>
        <v>27667</v>
      </c>
      <c r="AS37" s="83">
        <f>+AS32+AS33+AS34+AS35+AS36</f>
        <v>27313</v>
      </c>
      <c r="AT37" s="83">
        <f t="shared" ref="AT37" si="52">+AT32+AT33+AT34+AT35+AT36</f>
        <v>28386</v>
      </c>
      <c r="AU37" s="83">
        <f>+AU32+AU33+AU34+AU35+AU36</f>
        <v>28288</v>
      </c>
      <c r="AV37" s="83">
        <f>+AV32+AV33+AV34+AV35+AV36</f>
        <v>27762</v>
      </c>
      <c r="AW37" s="83"/>
    </row>
    <row r="38" spans="2:49">
      <c r="B38" s="85" t="s">
        <v>294</v>
      </c>
      <c r="C38" s="85">
        <f>C37-Model!C55</f>
        <v>0</v>
      </c>
      <c r="D38" s="85">
        <f>D37-Model!D55</f>
        <v>0</v>
      </c>
      <c r="E38" s="85">
        <f>E37-Model!E55</f>
        <v>0</v>
      </c>
      <c r="F38" s="85">
        <f>F37-Model!F55</f>
        <v>0</v>
      </c>
      <c r="G38" s="85">
        <f>G37-Model!G55</f>
        <v>0</v>
      </c>
      <c r="H38" s="85">
        <f>H37-Model!H51</f>
        <v>0</v>
      </c>
      <c r="I38" s="85">
        <f>I37-Model!I51</f>
        <v>0</v>
      </c>
      <c r="J38" s="85">
        <f>J37-Model!J51</f>
        <v>0</v>
      </c>
      <c r="K38" s="85">
        <f>K37-Model!K51</f>
        <v>0</v>
      </c>
      <c r="L38" s="85">
        <f>L37-Model!L51</f>
        <v>0</v>
      </c>
      <c r="M38" s="85">
        <f>M37-Model!M51</f>
        <v>0</v>
      </c>
      <c r="N38" s="85"/>
      <c r="O38" s="85">
        <f>O37-Model!O55</f>
        <v>0</v>
      </c>
      <c r="P38" s="85">
        <f>P37-Model!P55</f>
        <v>0</v>
      </c>
      <c r="Q38" s="85">
        <f>Q37-Model!Q55</f>
        <v>0</v>
      </c>
      <c r="R38" s="85">
        <f>R37-Model!R55</f>
        <v>0</v>
      </c>
      <c r="S38" s="85">
        <f>S37-Model!S55</f>
        <v>0</v>
      </c>
      <c r="T38" s="85">
        <f>T37-Model!T55</f>
        <v>0</v>
      </c>
      <c r="U38" s="85">
        <f>U37-Model!U55</f>
        <v>0</v>
      </c>
      <c r="V38" s="85">
        <f>V37-Model!V55</f>
        <v>0</v>
      </c>
      <c r="W38" s="85">
        <f>W37-Model!W55</f>
        <v>0</v>
      </c>
      <c r="X38" s="85">
        <f>X37-Model!X55</f>
        <v>0</v>
      </c>
      <c r="Y38" s="85">
        <f>Y37-Model!Y55</f>
        <v>0</v>
      </c>
      <c r="Z38" s="85">
        <f>Z37-Model!Z55</f>
        <v>0</v>
      </c>
      <c r="AA38" s="85">
        <f>AA37-Model!AA51</f>
        <v>0</v>
      </c>
      <c r="AB38" s="85">
        <f>AB37-Model!AB51</f>
        <v>0</v>
      </c>
      <c r="AC38" s="85">
        <f>AC37-Model!AC51</f>
        <v>0</v>
      </c>
      <c r="AD38" s="85">
        <f>AD37-Model!AD51</f>
        <v>0</v>
      </c>
      <c r="AE38" s="85">
        <f>AE37-Model!AE51</f>
        <v>0</v>
      </c>
      <c r="AF38" s="85">
        <f>AF37-Model!AF51</f>
        <v>0</v>
      </c>
      <c r="AG38" s="85">
        <f>AG37-Model!AG51</f>
        <v>0</v>
      </c>
      <c r="AH38" s="85">
        <f>AH37-Model!AH51</f>
        <v>0</v>
      </c>
      <c r="AI38" s="85">
        <f>AI37-Model!AI51</f>
        <v>-1643</v>
      </c>
      <c r="AJ38" s="85">
        <f>AJ37-Model!AJ51</f>
        <v>-766</v>
      </c>
      <c r="AK38" s="85">
        <f>AK37-Model!AK51</f>
        <v>-21</v>
      </c>
      <c r="AL38" s="85">
        <f>AL37-Model!AL51</f>
        <v>2430</v>
      </c>
      <c r="AM38" s="85">
        <f>AM37-Model!AM51</f>
        <v>0</v>
      </c>
      <c r="AN38" s="85">
        <f>AN37-Model!AN51</f>
        <v>0</v>
      </c>
      <c r="AO38" s="85">
        <f>AO37-Model!AO51</f>
        <v>0</v>
      </c>
      <c r="AP38" s="85">
        <f>AP37-Model!AP51</f>
        <v>0</v>
      </c>
      <c r="AQ38" s="85">
        <f>AQ37-Model!AQ51</f>
        <v>0</v>
      </c>
      <c r="AR38" s="85">
        <f>AR37-Model!AR51</f>
        <v>0</v>
      </c>
      <c r="AS38" s="85">
        <f>AS37-Model!AS51</f>
        <v>0</v>
      </c>
      <c r="AT38" s="85">
        <f>AT37-Model!AT51</f>
        <v>0</v>
      </c>
      <c r="AU38" s="85">
        <f>AU37-Model!AU51</f>
        <v>0</v>
      </c>
      <c r="AV38" s="85">
        <f>AV37-Model!AV51</f>
        <v>0</v>
      </c>
      <c r="AW38" s="85"/>
    </row>
    <row r="39" spans="2:49" s="84" customFormat="1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</row>
    <row r="40" spans="2:49">
      <c r="B40" s="77" t="s">
        <v>285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</row>
    <row r="41" spans="2:49">
      <c r="B41" s="78" t="s">
        <v>387</v>
      </c>
      <c r="C41" s="87">
        <f t="shared" ref="C41:M41" si="53">+C32/C9</f>
        <v>0.31622584952972033</v>
      </c>
      <c r="D41" s="87">
        <f t="shared" si="53"/>
        <v>0.39315343732446095</v>
      </c>
      <c r="E41" s="87">
        <f t="shared" si="53"/>
        <v>0.38068921037707526</v>
      </c>
      <c r="F41" s="87">
        <f t="shared" si="53"/>
        <v>0.54474439147214826</v>
      </c>
      <c r="G41" s="87">
        <f t="shared" si="53"/>
        <v>0.57836504783564113</v>
      </c>
      <c r="H41" s="87">
        <f t="shared" si="53"/>
        <v>0.57185867434509796</v>
      </c>
      <c r="I41" s="87">
        <f t="shared" si="53"/>
        <v>0.50074802923068074</v>
      </c>
      <c r="J41" s="292">
        <f t="shared" si="53"/>
        <v>0.54123044798421471</v>
      </c>
      <c r="K41" s="292">
        <f t="shared" si="53"/>
        <v>0.52616944407664512</v>
      </c>
      <c r="L41" s="292">
        <f t="shared" si="53"/>
        <v>0.55740640365480665</v>
      </c>
      <c r="M41" s="292">
        <f t="shared" si="53"/>
        <v>0.56605203576499485</v>
      </c>
      <c r="N41" s="292"/>
      <c r="O41" s="292">
        <f t="shared" ref="O41:AU41" si="54">+O32/O9</f>
        <v>0.37796565155807366</v>
      </c>
      <c r="P41" s="292">
        <f t="shared" si="54"/>
        <v>0.39915205582299168</v>
      </c>
      <c r="Q41" s="292">
        <f t="shared" si="54"/>
        <v>0.3827277657266811</v>
      </c>
      <c r="R41" s="292">
        <f t="shared" si="54"/>
        <v>0.3628910750686874</v>
      </c>
      <c r="S41" s="292">
        <f t="shared" si="54"/>
        <v>0.54097558806527635</v>
      </c>
      <c r="T41" s="292">
        <f t="shared" si="54"/>
        <v>0.58289107910032856</v>
      </c>
      <c r="U41" s="292">
        <f t="shared" si="54"/>
        <v>0.53765776102278318</v>
      </c>
      <c r="V41" s="292">
        <f t="shared" si="54"/>
        <v>0.52007917475543375</v>
      </c>
      <c r="W41" s="292">
        <f t="shared" si="54"/>
        <v>0.56058215666167077</v>
      </c>
      <c r="X41" s="292">
        <f t="shared" si="54"/>
        <v>0.60263875880604312</v>
      </c>
      <c r="Y41" s="292">
        <f t="shared" si="54"/>
        <v>0.56840141764596153</v>
      </c>
      <c r="Z41" s="292">
        <f t="shared" si="54"/>
        <v>0.58279687215857434</v>
      </c>
      <c r="AA41" s="292">
        <f t="shared" si="54"/>
        <v>0.54055435854362199</v>
      </c>
      <c r="AB41" s="292">
        <f t="shared" si="54"/>
        <v>0.5783023492590218</v>
      </c>
      <c r="AC41" s="292">
        <f t="shared" si="54"/>
        <v>0.59149658551641648</v>
      </c>
      <c r="AD41" s="292">
        <f t="shared" si="54"/>
        <v>0.57847600567206503</v>
      </c>
      <c r="AE41" s="292">
        <f t="shared" si="54"/>
        <v>0.51625432089175438</v>
      </c>
      <c r="AF41" s="292">
        <f t="shared" si="54"/>
        <v>0.47013135351227869</v>
      </c>
      <c r="AG41" s="292">
        <f t="shared" si="54"/>
        <v>0.40525443969336261</v>
      </c>
      <c r="AH41" s="292">
        <f t="shared" si="54"/>
        <v>0.61038664791088471</v>
      </c>
      <c r="AI41" s="292">
        <f t="shared" si="54"/>
        <v>0.51145716604196456</v>
      </c>
      <c r="AJ41" s="292">
        <f t="shared" si="54"/>
        <v>0.48879813302217034</v>
      </c>
      <c r="AK41" s="292">
        <f t="shared" si="54"/>
        <v>0.53051277052056933</v>
      </c>
      <c r="AL41" s="292">
        <f t="shared" si="54"/>
        <v>0.62932970147605549</v>
      </c>
      <c r="AM41" s="292">
        <f t="shared" si="54"/>
        <v>0.48117594120293983</v>
      </c>
      <c r="AN41" s="292">
        <f t="shared" si="54"/>
        <v>0.46268656716417911</v>
      </c>
      <c r="AO41" s="292">
        <f t="shared" si="54"/>
        <v>0.51965852130325818</v>
      </c>
      <c r="AP41" s="292">
        <f t="shared" si="54"/>
        <v>0.63785433287988524</v>
      </c>
      <c r="AQ41" s="292">
        <f t="shared" si="54"/>
        <v>0.52479228088984187</v>
      </c>
      <c r="AR41" s="292">
        <f t="shared" si="54"/>
        <v>0.53098396357156996</v>
      </c>
      <c r="AS41" s="292">
        <f t="shared" si="54"/>
        <v>0.51673573477845069</v>
      </c>
      <c r="AT41" s="292">
        <f t="shared" si="54"/>
        <v>0.65200387365911805</v>
      </c>
      <c r="AU41" s="292">
        <f t="shared" si="54"/>
        <v>0.5215911264104035</v>
      </c>
      <c r="AV41" s="292">
        <f t="shared" ref="AV41" si="55">+AV32/AV9</f>
        <v>0.56958733315485521</v>
      </c>
    </row>
    <row r="42" spans="2:49">
      <c r="B42" s="78" t="s">
        <v>388</v>
      </c>
      <c r="C42" s="87">
        <f t="shared" ref="C42:M42" si="56">+C33/C10</f>
        <v>0.37055879441205586</v>
      </c>
      <c r="D42" s="87">
        <f t="shared" si="56"/>
        <v>0.37627806640201172</v>
      </c>
      <c r="E42" s="87">
        <f t="shared" si="56"/>
        <v>0.36228908028443357</v>
      </c>
      <c r="F42" s="87">
        <f t="shared" si="56"/>
        <v>0.37091470371116031</v>
      </c>
      <c r="G42" s="87">
        <f t="shared" si="56"/>
        <v>0.338316166864157</v>
      </c>
      <c r="H42" s="87">
        <f t="shared" si="56"/>
        <v>0.39674287881922893</v>
      </c>
      <c r="I42" s="87">
        <f t="shared" si="56"/>
        <v>0.43072529536030046</v>
      </c>
      <c r="J42" s="292">
        <f t="shared" si="56"/>
        <v>0.47183063594347907</v>
      </c>
      <c r="K42" s="292">
        <f t="shared" si="56"/>
        <v>0.48978575381453077</v>
      </c>
      <c r="L42" s="292">
        <f t="shared" si="56"/>
        <v>0.48354865835945265</v>
      </c>
      <c r="M42" s="292">
        <f t="shared" si="56"/>
        <v>0.46814026154380278</v>
      </c>
      <c r="N42" s="292"/>
      <c r="O42" s="292">
        <f t="shared" ref="O42:AU42" si="57">+O33/O10</f>
        <v>0.40225839565918758</v>
      </c>
      <c r="P42" s="292">
        <f t="shared" si="57"/>
        <v>0.37263505543760322</v>
      </c>
      <c r="Q42" s="292">
        <f t="shared" si="57"/>
        <v>0.37783619258439405</v>
      </c>
      <c r="R42" s="292">
        <f t="shared" si="57"/>
        <v>0.29950653385726034</v>
      </c>
      <c r="S42" s="292">
        <f t="shared" si="57"/>
        <v>0.41110959589072232</v>
      </c>
      <c r="T42" s="292">
        <f t="shared" si="57"/>
        <v>0.33058781168422002</v>
      </c>
      <c r="U42" s="292">
        <f t="shared" si="57"/>
        <v>0.29886297245067639</v>
      </c>
      <c r="V42" s="292">
        <f t="shared" si="57"/>
        <v>0.44132008021623509</v>
      </c>
      <c r="W42" s="292">
        <f t="shared" si="57"/>
        <v>0.39955937431152239</v>
      </c>
      <c r="X42" s="292">
        <f t="shared" si="57"/>
        <v>0.34912560955103411</v>
      </c>
      <c r="Y42" s="292">
        <f t="shared" si="57"/>
        <v>0.35627054955378112</v>
      </c>
      <c r="Z42" s="292">
        <f t="shared" si="57"/>
        <v>0.25947281713344317</v>
      </c>
      <c r="AA42" s="292">
        <f t="shared" si="57"/>
        <v>0.38813782715119566</v>
      </c>
      <c r="AB42" s="292">
        <f t="shared" si="57"/>
        <v>0.36156973660951036</v>
      </c>
      <c r="AC42" s="292">
        <f t="shared" si="57"/>
        <v>0.38698687330906179</v>
      </c>
      <c r="AD42" s="292">
        <f t="shared" si="57"/>
        <v>0.4452952295517893</v>
      </c>
      <c r="AE42" s="292">
        <f t="shared" si="57"/>
        <v>0.32773133804875199</v>
      </c>
      <c r="AF42" s="292">
        <f t="shared" si="57"/>
        <v>0.42343784499889603</v>
      </c>
      <c r="AG42" s="292">
        <f t="shared" si="57"/>
        <v>0.51517687114086219</v>
      </c>
      <c r="AH42" s="292">
        <f t="shared" si="57"/>
        <v>0.46864264951995066</v>
      </c>
      <c r="AI42" s="292">
        <f t="shared" si="57"/>
        <v>0.4533231271008753</v>
      </c>
      <c r="AJ42" s="292">
        <f t="shared" si="57"/>
        <v>0.51676308400148852</v>
      </c>
      <c r="AK42" s="292">
        <f t="shared" si="57"/>
        <v>0.48916038644135323</v>
      </c>
      <c r="AL42" s="292">
        <f t="shared" si="57"/>
        <v>0.43009642983842356</v>
      </c>
      <c r="AM42" s="292">
        <f t="shared" si="57"/>
        <v>0.48977861516721621</v>
      </c>
      <c r="AN42" s="292">
        <f t="shared" si="57"/>
        <v>0.50810576237562377</v>
      </c>
      <c r="AO42" s="292">
        <f t="shared" si="57"/>
        <v>0.50528264547224622</v>
      </c>
      <c r="AP42" s="292">
        <f t="shared" si="57"/>
        <v>0.45512799871196263</v>
      </c>
      <c r="AQ42" s="292">
        <f t="shared" si="57"/>
        <v>0.49149908865449549</v>
      </c>
      <c r="AR42" s="292">
        <f t="shared" si="57"/>
        <v>0.48695910780669144</v>
      </c>
      <c r="AS42" s="292">
        <f t="shared" si="57"/>
        <v>0.49788876824707445</v>
      </c>
      <c r="AT42" s="292">
        <f t="shared" si="57"/>
        <v>0.45553301485504877</v>
      </c>
      <c r="AU42" s="292">
        <f t="shared" si="57"/>
        <v>0.46699280914770719</v>
      </c>
      <c r="AV42" s="292">
        <f t="shared" ref="AV42" si="58">+AV33/AV10</f>
        <v>0.45055529485374629</v>
      </c>
    </row>
    <row r="43" spans="2:49">
      <c r="B43" s="78" t="s">
        <v>389</v>
      </c>
      <c r="C43" s="87">
        <f t="shared" ref="C43:M43" si="59">+IFERROR(C34/C11,"")</f>
        <v>-0.32585596221959856</v>
      </c>
      <c r="D43" s="87">
        <f t="shared" si="59"/>
        <v>-1.0218921032056294</v>
      </c>
      <c r="E43" s="87">
        <f t="shared" si="59"/>
        <v>-2.3620386643233742</v>
      </c>
      <c r="F43" s="87" t="str">
        <f t="shared" si="59"/>
        <v/>
      </c>
      <c r="G43" s="87" t="str">
        <f t="shared" si="59"/>
        <v/>
      </c>
      <c r="H43" s="87" t="str">
        <f t="shared" si="59"/>
        <v/>
      </c>
      <c r="I43" s="87" t="str">
        <f t="shared" si="59"/>
        <v/>
      </c>
      <c r="J43" s="292" t="str">
        <f t="shared" si="59"/>
        <v/>
      </c>
      <c r="K43" s="292" t="str">
        <f t="shared" si="59"/>
        <v/>
      </c>
      <c r="L43" s="292" t="str">
        <f t="shared" si="59"/>
        <v/>
      </c>
      <c r="M43" s="292" t="str">
        <f t="shared" si="59"/>
        <v/>
      </c>
      <c r="N43" s="292"/>
      <c r="O43" s="292">
        <f t="shared" ref="O43:AU43" si="60">+IFERROR(O34/O11,"")</f>
        <v>-1.9903846153846154</v>
      </c>
      <c r="P43" s="292">
        <f t="shared" si="60"/>
        <v>-2.3066666666666666</v>
      </c>
      <c r="Q43" s="292">
        <f t="shared" si="60"/>
        <v>-1.6967741935483871</v>
      </c>
      <c r="R43" s="292">
        <f t="shared" si="60"/>
        <v>-3.9305555555555554</v>
      </c>
      <c r="S43" s="292" t="str">
        <f t="shared" si="60"/>
        <v/>
      </c>
      <c r="T43" s="292" t="str">
        <f t="shared" si="60"/>
        <v/>
      </c>
      <c r="U43" s="292" t="str">
        <f t="shared" si="60"/>
        <v/>
      </c>
      <c r="V43" s="292" t="str">
        <f t="shared" si="60"/>
        <v/>
      </c>
      <c r="W43" s="292" t="str">
        <f t="shared" si="60"/>
        <v/>
      </c>
      <c r="X43" s="292" t="str">
        <f t="shared" si="60"/>
        <v/>
      </c>
      <c r="Y43" s="292" t="str">
        <f t="shared" si="60"/>
        <v/>
      </c>
      <c r="Z43" s="292" t="str">
        <f t="shared" si="60"/>
        <v/>
      </c>
      <c r="AA43" s="292" t="str">
        <f t="shared" si="60"/>
        <v/>
      </c>
      <c r="AB43" s="292" t="str">
        <f t="shared" si="60"/>
        <v/>
      </c>
      <c r="AC43" s="292" t="str">
        <f t="shared" si="60"/>
        <v/>
      </c>
      <c r="AD43" s="292" t="str">
        <f t="shared" si="60"/>
        <v/>
      </c>
      <c r="AE43" s="292" t="str">
        <f t="shared" si="60"/>
        <v/>
      </c>
      <c r="AF43" s="292" t="str">
        <f t="shared" si="60"/>
        <v/>
      </c>
      <c r="AG43" s="292" t="str">
        <f t="shared" si="60"/>
        <v/>
      </c>
      <c r="AH43" s="292" t="str">
        <f t="shared" si="60"/>
        <v/>
      </c>
      <c r="AI43" s="292" t="str">
        <f t="shared" si="60"/>
        <v/>
      </c>
      <c r="AJ43" s="292" t="str">
        <f t="shared" si="60"/>
        <v/>
      </c>
      <c r="AK43" s="292" t="str">
        <f t="shared" si="60"/>
        <v/>
      </c>
      <c r="AL43" s="292" t="str">
        <f t="shared" si="60"/>
        <v/>
      </c>
      <c r="AM43" s="292" t="str">
        <f t="shared" si="60"/>
        <v/>
      </c>
      <c r="AN43" s="292" t="str">
        <f t="shared" si="60"/>
        <v/>
      </c>
      <c r="AO43" s="292" t="str">
        <f t="shared" si="60"/>
        <v/>
      </c>
      <c r="AP43" s="292" t="str">
        <f t="shared" si="60"/>
        <v/>
      </c>
      <c r="AQ43" s="292" t="str">
        <f t="shared" si="60"/>
        <v/>
      </c>
      <c r="AR43" s="292" t="str">
        <f t="shared" si="60"/>
        <v/>
      </c>
      <c r="AS43" s="292" t="str">
        <f t="shared" si="60"/>
        <v/>
      </c>
      <c r="AT43" s="292" t="str">
        <f t="shared" si="60"/>
        <v/>
      </c>
      <c r="AU43" s="292" t="str">
        <f t="shared" si="60"/>
        <v/>
      </c>
      <c r="AV43" s="292" t="str">
        <f t="shared" ref="AV43" si="61">+IFERROR(AV34/AV11,"")</f>
        <v/>
      </c>
    </row>
    <row r="44" spans="2:49">
      <c r="B44" s="78" t="s">
        <v>390</v>
      </c>
      <c r="C44" s="87">
        <f t="shared" ref="C44:M44" si="62">+C35/C12</f>
        <v>-0.11894673123486683</v>
      </c>
      <c r="D44" s="87">
        <f t="shared" si="62"/>
        <v>-0.12127611433743118</v>
      </c>
      <c r="E44" s="87">
        <f t="shared" si="62"/>
        <v>-0.12</v>
      </c>
      <c r="F44" s="87">
        <f t="shared" si="62"/>
        <v>0.35240875912408759</v>
      </c>
      <c r="G44" s="87">
        <f t="shared" si="62"/>
        <v>0.34206689146085845</v>
      </c>
      <c r="H44" s="87">
        <f t="shared" si="62"/>
        <v>0.35500410846343466</v>
      </c>
      <c r="I44" s="87">
        <f t="shared" si="62"/>
        <v>0.34867614169251859</v>
      </c>
      <c r="J44" s="292">
        <f t="shared" si="62"/>
        <v>0.64560710760118456</v>
      </c>
      <c r="K44" s="292">
        <f t="shared" si="62"/>
        <v>0.58631667857838998</v>
      </c>
      <c r="L44" s="292">
        <f t="shared" si="62"/>
        <v>0.61024272461558016</v>
      </c>
      <c r="M44" s="292">
        <f t="shared" si="62"/>
        <v>0.60847210498043125</v>
      </c>
      <c r="N44" s="292"/>
      <c r="O44" s="292">
        <f t="shared" ref="O44:AU44" si="63">+O35/O12</f>
        <v>-0.13524877365101612</v>
      </c>
      <c r="P44" s="292">
        <f t="shared" si="63"/>
        <v>-0.16957605985037408</v>
      </c>
      <c r="Q44" s="292">
        <f t="shared" si="63"/>
        <v>-8.4280936454849492E-2</v>
      </c>
      <c r="R44" s="292">
        <f t="shared" si="63"/>
        <v>-0.11928374655647384</v>
      </c>
      <c r="S44" s="292">
        <f t="shared" si="63"/>
        <v>0.35064599483204134</v>
      </c>
      <c r="T44" s="292">
        <f t="shared" si="63"/>
        <v>0.29625598606878539</v>
      </c>
      <c r="U44" s="292">
        <f t="shared" si="63"/>
        <v>0.33809183916250296</v>
      </c>
      <c r="V44" s="292">
        <f t="shared" si="63"/>
        <v>0.42530282637954242</v>
      </c>
      <c r="W44" s="292">
        <f t="shared" si="63"/>
        <v>0.37769702475584827</v>
      </c>
      <c r="X44" s="292">
        <f t="shared" si="63"/>
        <v>0.29471080669710809</v>
      </c>
      <c r="Y44" s="292">
        <f t="shared" si="63"/>
        <v>0.27957722468462326</v>
      </c>
      <c r="Z44" s="292">
        <f t="shared" si="63"/>
        <v>0.4134869957950475</v>
      </c>
      <c r="AA44" s="292">
        <f t="shared" si="63"/>
        <v>0.33837712005320919</v>
      </c>
      <c r="AB44" s="292">
        <f t="shared" si="63"/>
        <v>0.32456016889514427</v>
      </c>
      <c r="AC44" s="292">
        <f t="shared" si="63"/>
        <v>0.31803278688524589</v>
      </c>
      <c r="AD44" s="292">
        <f t="shared" si="63"/>
        <v>0.41679578555934305</v>
      </c>
      <c r="AE44" s="292">
        <f t="shared" si="63"/>
        <v>0.35487371744277824</v>
      </c>
      <c r="AF44" s="292">
        <f t="shared" si="63"/>
        <v>0.33342002600780235</v>
      </c>
      <c r="AG44" s="292">
        <f t="shared" si="63"/>
        <v>0.40075512405609492</v>
      </c>
      <c r="AH44" s="292">
        <f t="shared" si="63"/>
        <v>0.46349798073936005</v>
      </c>
      <c r="AI44" s="292">
        <f t="shared" si="63"/>
        <v>0.68827160493827155</v>
      </c>
      <c r="AJ44" s="292">
        <f t="shared" si="63"/>
        <v>0.690509323684943</v>
      </c>
      <c r="AK44" s="292">
        <f t="shared" si="63"/>
        <v>0.61194895591647336</v>
      </c>
      <c r="AL44" s="292">
        <f t="shared" si="63"/>
        <v>0.59043891529214421</v>
      </c>
      <c r="AM44" s="292">
        <f t="shared" si="63"/>
        <v>0.25250641175099092</v>
      </c>
      <c r="AN44" s="292">
        <f t="shared" si="63"/>
        <v>0.37053315497802408</v>
      </c>
      <c r="AO44" s="292">
        <f t="shared" si="63"/>
        <v>0.64517969195664571</v>
      </c>
      <c r="AP44" s="292">
        <f t="shared" si="63"/>
        <v>1.5827338129496402</v>
      </c>
      <c r="AQ44" s="292">
        <f t="shared" si="63"/>
        <v>0.53053169259345256</v>
      </c>
      <c r="AR44" s="292">
        <f t="shared" si="63"/>
        <v>0.46170630591315731</v>
      </c>
      <c r="AS44" s="292">
        <f t="shared" si="63"/>
        <v>0.4761171032357473</v>
      </c>
      <c r="AT44" s="292">
        <f t="shared" si="63"/>
        <v>1.3188720173535793</v>
      </c>
      <c r="AU44" s="292">
        <f t="shared" si="63"/>
        <v>0.33501683501683499</v>
      </c>
      <c r="AV44" s="292">
        <f t="shared" ref="AV44" si="64">+AV35/AV12</f>
        <v>0.58495609011072924</v>
      </c>
    </row>
    <row r="45" spans="2:49" s="84" customFormat="1">
      <c r="B45" s="82" t="s">
        <v>119</v>
      </c>
      <c r="C45" s="88">
        <f t="shared" ref="C45:M45" si="65">+C37/C13</f>
        <v>0.37192148182382057</v>
      </c>
      <c r="D45" s="88">
        <f t="shared" si="65"/>
        <v>0.41636412828047037</v>
      </c>
      <c r="E45" s="88">
        <f t="shared" si="65"/>
        <v>0.39301103649778413</v>
      </c>
      <c r="F45" s="88">
        <f t="shared" si="65"/>
        <v>0.47175610419240249</v>
      </c>
      <c r="G45" s="88">
        <f t="shared" si="65"/>
        <v>0.47600053037501933</v>
      </c>
      <c r="H45" s="88">
        <f t="shared" si="65"/>
        <v>0.50039545024091248</v>
      </c>
      <c r="I45" s="88">
        <f t="shared" si="65"/>
        <v>0.49060980025640777</v>
      </c>
      <c r="J45" s="293">
        <f t="shared" si="65"/>
        <v>0.49440870715277813</v>
      </c>
      <c r="K45" s="293">
        <f t="shared" si="65"/>
        <v>0.5004542666476044</v>
      </c>
      <c r="L45" s="293">
        <f t="shared" si="65"/>
        <v>0.50932743557338311</v>
      </c>
      <c r="M45" s="293">
        <f t="shared" si="65"/>
        <v>0.50606376234036776</v>
      </c>
      <c r="N45" s="292"/>
      <c r="O45" s="293">
        <f t="shared" ref="O45:AU45" si="66">+O37/O13</f>
        <v>0.40815167748784159</v>
      </c>
      <c r="P45" s="293">
        <f t="shared" si="66"/>
        <v>0.39902233298188439</v>
      </c>
      <c r="Q45" s="293">
        <f t="shared" si="66"/>
        <v>0.41663092565027626</v>
      </c>
      <c r="R45" s="293">
        <f t="shared" si="66"/>
        <v>0.34913982162873436</v>
      </c>
      <c r="S45" s="293">
        <f t="shared" si="66"/>
        <v>0.48862573243389629</v>
      </c>
      <c r="T45" s="293">
        <f t="shared" si="66"/>
        <v>0.47911328143886284</v>
      </c>
      <c r="U45" s="293">
        <f t="shared" si="66"/>
        <v>0.43034486007726375</v>
      </c>
      <c r="V45" s="293">
        <f t="shared" si="66"/>
        <v>0.48892762172912335</v>
      </c>
      <c r="W45" s="293">
        <f t="shared" si="66"/>
        <v>0.49516565091875542</v>
      </c>
      <c r="X45" s="293">
        <f t="shared" si="66"/>
        <v>0.5001972661236046</v>
      </c>
      <c r="Y45" s="293">
        <f t="shared" si="66"/>
        <v>0.48828704799191169</v>
      </c>
      <c r="Z45" s="293">
        <f t="shared" si="66"/>
        <v>0.42472060608597378</v>
      </c>
      <c r="AA45" s="293">
        <f t="shared" si="66"/>
        <v>0.4814289291378015</v>
      </c>
      <c r="AB45" s="293">
        <f t="shared" si="66"/>
        <v>0.48753642634017486</v>
      </c>
      <c r="AC45" s="293">
        <f t="shared" si="66"/>
        <v>0.50772292828561361</v>
      </c>
      <c r="AD45" s="293">
        <f t="shared" si="66"/>
        <v>0.52458100558659215</v>
      </c>
      <c r="AE45" s="293">
        <f t="shared" si="66"/>
        <v>0.41960863020572003</v>
      </c>
      <c r="AF45" s="293">
        <f t="shared" si="66"/>
        <v>0.46758368980809228</v>
      </c>
      <c r="AG45" s="293">
        <f t="shared" si="66"/>
        <v>0.47921008043313146</v>
      </c>
      <c r="AH45" s="293">
        <f t="shared" si="66"/>
        <v>0.59201960634142603</v>
      </c>
      <c r="AI45" s="293">
        <f t="shared" si="66"/>
        <v>0.46556663229059242</v>
      </c>
      <c r="AJ45" s="293">
        <f t="shared" si="66"/>
        <v>0.49038238253734812</v>
      </c>
      <c r="AK45" s="293">
        <f t="shared" si="66"/>
        <v>0.50107037730800108</v>
      </c>
      <c r="AL45" s="293">
        <f t="shared" si="66"/>
        <v>0.51949740828250635</v>
      </c>
      <c r="AM45" s="293">
        <f t="shared" si="66"/>
        <v>0.5037437297137799</v>
      </c>
      <c r="AN45" s="293">
        <f t="shared" si="66"/>
        <v>0.49890365261717801</v>
      </c>
      <c r="AO45" s="293">
        <f t="shared" si="66"/>
        <v>0.50192095054255137</v>
      </c>
      <c r="AP45" s="293">
        <f t="shared" si="66"/>
        <v>0.49734304270812835</v>
      </c>
      <c r="AQ45" s="293">
        <f t="shared" si="66"/>
        <v>0.50409754509108673</v>
      </c>
      <c r="AR45" s="293">
        <f t="shared" si="66"/>
        <v>0.50954933053391527</v>
      </c>
      <c r="AS45" s="293">
        <f t="shared" si="66"/>
        <v>0.50853674430728557</v>
      </c>
      <c r="AT45" s="293">
        <f t="shared" si="66"/>
        <v>0.51512566917702562</v>
      </c>
      <c r="AU45" s="293">
        <f t="shared" si="66"/>
        <v>0.50055739387397591</v>
      </c>
      <c r="AV45" s="293">
        <f t="shared" ref="AV45" si="67">+AV37/AV13</f>
        <v>0.50027931450813612</v>
      </c>
    </row>
    <row r="46" spans="2:49" s="84" customFormat="1">
      <c r="B46" s="82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7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</row>
    <row r="47" spans="2:49" s="84" customFormat="1">
      <c r="B47" s="298"/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87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  <c r="Z47" s="299"/>
      <c r="AA47" s="299"/>
      <c r="AB47" s="300"/>
      <c r="AC47" s="299"/>
      <c r="AD47" s="299"/>
      <c r="AE47" s="299"/>
      <c r="AF47" s="299"/>
      <c r="AG47" s="299"/>
      <c r="AH47" s="299"/>
      <c r="AI47" s="299"/>
      <c r="AJ47" s="299"/>
      <c r="AK47" s="299"/>
      <c r="AL47" s="299"/>
      <c r="AM47" s="299"/>
      <c r="AN47" s="299"/>
      <c r="AO47" s="299"/>
      <c r="AP47" s="299"/>
      <c r="AQ47" s="299"/>
      <c r="AR47" s="299"/>
      <c r="AS47" s="299"/>
      <c r="AT47" s="299"/>
      <c r="AU47" s="299"/>
      <c r="AV47" s="299"/>
    </row>
    <row r="48" spans="2:49" s="2" customFormat="1">
      <c r="B48" s="2" t="s">
        <v>395</v>
      </c>
      <c r="C48" s="89">
        <f t="shared" ref="C48:H48" si="68">+C49+C54</f>
        <v>62763209</v>
      </c>
      <c r="D48" s="89">
        <f t="shared" si="68"/>
        <v>58293908</v>
      </c>
      <c r="E48" s="89">
        <f t="shared" si="68"/>
        <v>60499017</v>
      </c>
      <c r="F48" s="89">
        <f t="shared" si="68"/>
        <v>73118155</v>
      </c>
      <c r="G48" s="89">
        <f t="shared" si="68"/>
        <v>72933839</v>
      </c>
      <c r="H48" s="89">
        <f t="shared" si="68"/>
        <v>71221952</v>
      </c>
      <c r="I48" s="89">
        <f t="shared" ref="I48:J48" si="69">+I49+I54</f>
        <v>66304761</v>
      </c>
      <c r="J48" s="89">
        <f t="shared" si="69"/>
        <v>57827126</v>
      </c>
      <c r="K48" s="89">
        <f t="shared" ref="K48:M48" si="70">+K49+K54</f>
        <v>58989807</v>
      </c>
      <c r="L48" s="89">
        <f t="shared" ref="L48" si="71">+L49+L54</f>
        <v>59891520</v>
      </c>
      <c r="M48" s="89">
        <f t="shared" si="70"/>
        <v>60088208</v>
      </c>
      <c r="N48" s="87"/>
      <c r="O48" s="89">
        <f t="shared" ref="O48:W48" si="72">+O49+O54</f>
        <v>58117819</v>
      </c>
      <c r="P48" s="89">
        <f t="shared" si="72"/>
        <v>58510872</v>
      </c>
      <c r="Q48" s="89">
        <f t="shared" si="72"/>
        <v>58034007</v>
      </c>
      <c r="R48" s="89">
        <f t="shared" si="72"/>
        <v>60499017</v>
      </c>
      <c r="S48" s="89">
        <f t="shared" si="72"/>
        <v>63948886</v>
      </c>
      <c r="T48" s="89">
        <f t="shared" si="72"/>
        <v>67547646</v>
      </c>
      <c r="U48" s="89">
        <f t="shared" si="72"/>
        <v>71451288</v>
      </c>
      <c r="V48" s="89">
        <f t="shared" si="72"/>
        <v>73118155</v>
      </c>
      <c r="W48" s="89">
        <f t="shared" si="72"/>
        <v>73075627</v>
      </c>
      <c r="X48" s="89">
        <f t="shared" ref="X48:AA48" si="73">+X49+X54</f>
        <v>70185489</v>
      </c>
      <c r="Y48" s="89">
        <f t="shared" si="73"/>
        <v>72392163</v>
      </c>
      <c r="Z48" s="89">
        <f t="shared" si="73"/>
        <v>72933839</v>
      </c>
      <c r="AA48" s="89">
        <f t="shared" si="73"/>
        <v>71804412</v>
      </c>
      <c r="AB48" s="89">
        <f t="shared" ref="AB48:AE48" si="74">+AB49+AB54</f>
        <v>71686129</v>
      </c>
      <c r="AC48" s="89">
        <f t="shared" si="74"/>
        <v>70564976</v>
      </c>
      <c r="AD48" s="89">
        <f t="shared" si="74"/>
        <v>71221952</v>
      </c>
      <c r="AE48" s="89">
        <f t="shared" si="74"/>
        <v>70279671</v>
      </c>
      <c r="AF48" s="89">
        <f t="shared" ref="AF48:AI48" si="75">+AF49+AF54</f>
        <v>69398133</v>
      </c>
      <c r="AG48" s="89">
        <f t="shared" si="75"/>
        <v>67995734</v>
      </c>
      <c r="AH48" s="89">
        <f t="shared" si="75"/>
        <v>66304761</v>
      </c>
      <c r="AI48" s="89">
        <f t="shared" si="75"/>
        <v>102002392</v>
      </c>
      <c r="AJ48" s="89">
        <f t="shared" ref="AJ48:AM48" si="76">+AJ49+AJ54</f>
        <v>62953818</v>
      </c>
      <c r="AK48" s="89">
        <f t="shared" si="76"/>
        <v>55246130</v>
      </c>
      <c r="AL48" s="89">
        <f t="shared" si="76"/>
        <v>57827126</v>
      </c>
      <c r="AM48" s="89">
        <f t="shared" si="76"/>
        <v>58820421</v>
      </c>
      <c r="AN48" s="89">
        <f t="shared" ref="AN48:AQ48" si="77">+AN49+AN54</f>
        <v>60759624</v>
      </c>
      <c r="AO48" s="89">
        <f t="shared" si="77"/>
        <v>60271009</v>
      </c>
      <c r="AP48" s="89">
        <f t="shared" si="77"/>
        <v>58989807</v>
      </c>
      <c r="AQ48" s="89">
        <f t="shared" si="77"/>
        <v>58608463</v>
      </c>
      <c r="AR48" s="89">
        <f t="shared" ref="AR48:AU48" si="78">+AR49+AR54</f>
        <v>59095304</v>
      </c>
      <c r="AS48" s="89">
        <f t="shared" si="78"/>
        <v>59282637</v>
      </c>
      <c r="AT48" s="89">
        <f t="shared" si="78"/>
        <v>59891520</v>
      </c>
      <c r="AU48" s="89">
        <f t="shared" si="78"/>
        <v>60882800</v>
      </c>
      <c r="AV48" s="89">
        <f t="shared" ref="AV48" si="79">+AV49+AV54</f>
        <v>60088208</v>
      </c>
    </row>
    <row r="49" spans="2:48" s="37" customFormat="1">
      <c r="B49" s="90" t="s">
        <v>396</v>
      </c>
      <c r="C49" s="91">
        <f t="shared" ref="C49:F49" si="80">+C50+C51+C52</f>
        <v>59952941</v>
      </c>
      <c r="D49" s="91">
        <f t="shared" si="80"/>
        <v>55776646</v>
      </c>
      <c r="E49" s="91">
        <f t="shared" si="80"/>
        <v>58178978</v>
      </c>
      <c r="F49" s="91">
        <f t="shared" si="80"/>
        <v>70721789</v>
      </c>
      <c r="G49" s="91">
        <f t="shared" ref="G49:H49" si="81">+G50+G51+G52</f>
        <v>70779021</v>
      </c>
      <c r="H49" s="91">
        <f t="shared" si="81"/>
        <v>69205731</v>
      </c>
      <c r="I49" s="91">
        <f t="shared" ref="I49:J49" si="82">+I50+I51+I52</f>
        <v>64287019</v>
      </c>
      <c r="J49" s="91">
        <f t="shared" si="82"/>
        <v>55667880</v>
      </c>
      <c r="K49" s="91">
        <f t="shared" ref="K49:M49" si="83">+K50+K51+K52</f>
        <v>56731489</v>
      </c>
      <c r="L49" s="91">
        <f t="shared" ref="L49" si="84">+L50+L51+L52</f>
        <v>57534812</v>
      </c>
      <c r="M49" s="91">
        <f t="shared" si="83"/>
        <v>57684768</v>
      </c>
      <c r="N49" s="87"/>
      <c r="O49" s="91">
        <f t="shared" ref="O49:W49" si="85">+O50+O51+O52</f>
        <v>55666020</v>
      </c>
      <c r="P49" s="91">
        <f t="shared" si="85"/>
        <v>56081230</v>
      </c>
      <c r="Q49" s="91">
        <f t="shared" si="85"/>
        <v>55627968</v>
      </c>
      <c r="R49" s="91">
        <f t="shared" si="85"/>
        <v>58178978</v>
      </c>
      <c r="S49" s="91">
        <f t="shared" si="85"/>
        <v>61585197</v>
      </c>
      <c r="T49" s="91">
        <f t="shared" si="85"/>
        <v>65151418</v>
      </c>
      <c r="U49" s="91">
        <f t="shared" si="85"/>
        <v>69012106</v>
      </c>
      <c r="V49" s="91">
        <f t="shared" si="85"/>
        <v>70721789</v>
      </c>
      <c r="W49" s="91">
        <f t="shared" si="85"/>
        <v>70590758</v>
      </c>
      <c r="X49" s="91">
        <f t="shared" ref="X49:AA49" si="86">+X50+X51+X52</f>
        <v>67738421</v>
      </c>
      <c r="Y49" s="91">
        <f t="shared" si="86"/>
        <v>70047763</v>
      </c>
      <c r="Z49" s="91">
        <f t="shared" si="86"/>
        <v>70779021</v>
      </c>
      <c r="AA49" s="91">
        <f t="shared" si="86"/>
        <v>69706746</v>
      </c>
      <c r="AB49" s="91">
        <f t="shared" ref="AB49:AE49" si="87">+AB50+AB51+AB52</f>
        <v>69625148</v>
      </c>
      <c r="AC49" s="91">
        <f t="shared" si="87"/>
        <v>68524765</v>
      </c>
      <c r="AD49" s="91">
        <f t="shared" si="87"/>
        <v>69205731</v>
      </c>
      <c r="AE49" s="91">
        <f t="shared" si="87"/>
        <v>68224018</v>
      </c>
      <c r="AF49" s="91">
        <f t="shared" ref="AF49:AI49" si="88">+AF50+AF51+AF52</f>
        <v>67365162</v>
      </c>
      <c r="AG49" s="91">
        <f t="shared" si="88"/>
        <v>65972119</v>
      </c>
      <c r="AH49" s="91">
        <f t="shared" si="88"/>
        <v>64287019</v>
      </c>
      <c r="AI49" s="91">
        <f t="shared" si="88"/>
        <v>62999637</v>
      </c>
      <c r="AJ49" s="91">
        <f t="shared" ref="AJ49:AM49" si="89">+AJ50+AJ51+AJ52</f>
        <v>60891135</v>
      </c>
      <c r="AK49" s="91">
        <f t="shared" si="89"/>
        <v>53105076</v>
      </c>
      <c r="AL49" s="91">
        <f t="shared" si="89"/>
        <v>55667880</v>
      </c>
      <c r="AM49" s="91">
        <f t="shared" si="89"/>
        <v>56785718</v>
      </c>
      <c r="AN49" s="91">
        <f t="shared" ref="AN49:AQ49" si="90">+AN50+AN51+AN52</f>
        <v>58574596</v>
      </c>
      <c r="AO49" s="91">
        <f t="shared" si="90"/>
        <v>58061522</v>
      </c>
      <c r="AP49" s="91">
        <f t="shared" si="90"/>
        <v>56731489</v>
      </c>
      <c r="AQ49" s="91">
        <f t="shared" si="90"/>
        <v>56300981</v>
      </c>
      <c r="AR49" s="91">
        <f t="shared" ref="AR49:AU49" si="91">+AR50+AR51+AR52</f>
        <v>56781384</v>
      </c>
      <c r="AS49" s="91">
        <f t="shared" si="91"/>
        <v>56937086</v>
      </c>
      <c r="AT49" s="91">
        <f t="shared" si="91"/>
        <v>57534812</v>
      </c>
      <c r="AU49" s="91">
        <f t="shared" si="91"/>
        <v>58478188</v>
      </c>
      <c r="AV49" s="91">
        <f t="shared" ref="AV49" si="92">+AV50+AV51+AV52</f>
        <v>57684768</v>
      </c>
    </row>
    <row r="50" spans="2:48">
      <c r="B50" s="93" t="s">
        <v>397</v>
      </c>
      <c r="C50" s="94">
        <v>21643963</v>
      </c>
      <c r="D50" s="94">
        <v>20433351</v>
      </c>
      <c r="E50" s="94">
        <v>20532174</v>
      </c>
      <c r="F50" s="94">
        <v>25866195</v>
      </c>
      <c r="G50" s="94">
        <v>29090167</v>
      </c>
      <c r="H50" s="94">
        <v>26665974</v>
      </c>
      <c r="I50" s="94">
        <v>24394379</v>
      </c>
      <c r="J50" s="94">
        <v>21530993</v>
      </c>
      <c r="K50" s="94">
        <v>21759728</v>
      </c>
      <c r="L50" s="94">
        <v>21713502</v>
      </c>
      <c r="M50" s="92">
        <f>AV50</f>
        <v>21737420</v>
      </c>
      <c r="N50" s="87"/>
      <c r="O50" s="94">
        <v>20198965</v>
      </c>
      <c r="P50" s="94">
        <v>20261130</v>
      </c>
      <c r="Q50" s="94">
        <v>19526064</v>
      </c>
      <c r="R50" s="95">
        <f>+E50</f>
        <v>20532174</v>
      </c>
      <c r="S50" s="94">
        <v>22011859</v>
      </c>
      <c r="T50" s="94">
        <v>23734790</v>
      </c>
      <c r="U50" s="94">
        <v>25240171</v>
      </c>
      <c r="V50" s="95">
        <f>+F50</f>
        <v>25866195</v>
      </c>
      <c r="W50" s="94">
        <v>24830033</v>
      </c>
      <c r="X50" s="94">
        <v>23413304</v>
      </c>
      <c r="Y50" s="94">
        <v>23983929</v>
      </c>
      <c r="Z50" s="95">
        <f>+G50</f>
        <v>29090167</v>
      </c>
      <c r="AA50" s="94">
        <v>27227210</v>
      </c>
      <c r="AB50" s="94">
        <v>26915884</v>
      </c>
      <c r="AC50" s="94">
        <v>25966496</v>
      </c>
      <c r="AD50" s="95">
        <f>+H50</f>
        <v>26665974</v>
      </c>
      <c r="AE50" s="94">
        <v>26229708</v>
      </c>
      <c r="AF50" s="94">
        <v>25679480</v>
      </c>
      <c r="AG50" s="94">
        <v>25103659</v>
      </c>
      <c r="AH50" s="95">
        <f>+I50</f>
        <v>24394379</v>
      </c>
      <c r="AI50" s="94">
        <v>24044239</v>
      </c>
      <c r="AJ50" s="94">
        <v>23486725</v>
      </c>
      <c r="AK50" s="94">
        <v>20494009</v>
      </c>
      <c r="AL50" s="95">
        <f>+J50</f>
        <v>21530993</v>
      </c>
      <c r="AM50" s="94">
        <v>21856044</v>
      </c>
      <c r="AN50" s="94">
        <v>22550066</v>
      </c>
      <c r="AO50" s="94">
        <v>22416116</v>
      </c>
      <c r="AP50" s="95">
        <f>+K50</f>
        <v>21759728</v>
      </c>
      <c r="AQ50" s="94">
        <v>21324961</v>
      </c>
      <c r="AR50" s="94">
        <v>21247707</v>
      </c>
      <c r="AS50" s="94">
        <v>21420767</v>
      </c>
      <c r="AT50" s="80">
        <f>L50</f>
        <v>21713502</v>
      </c>
      <c r="AU50" s="94">
        <v>22005736</v>
      </c>
      <c r="AV50" s="94">
        <v>21737420</v>
      </c>
    </row>
    <row r="51" spans="2:48">
      <c r="B51" s="93" t="s">
        <v>398</v>
      </c>
      <c r="C51" s="94">
        <v>8463469</v>
      </c>
      <c r="D51" s="94">
        <v>6535331</v>
      </c>
      <c r="E51" s="94">
        <v>5753163</v>
      </c>
      <c r="F51" s="94">
        <v>6547231</v>
      </c>
      <c r="G51" s="258"/>
      <c r="H51" s="258"/>
      <c r="I51" s="258"/>
      <c r="J51" s="258"/>
      <c r="K51" s="258"/>
      <c r="L51" s="258"/>
      <c r="M51" s="259"/>
      <c r="N51" s="87"/>
      <c r="O51" s="258">
        <v>6235105</v>
      </c>
      <c r="P51" s="258">
        <v>6066566</v>
      </c>
      <c r="Q51" s="258">
        <v>5972878</v>
      </c>
      <c r="R51" s="260">
        <f>+E51</f>
        <v>5753163</v>
      </c>
      <c r="S51" s="258">
        <v>6041687</v>
      </c>
      <c r="T51" s="258">
        <v>5837580</v>
      </c>
      <c r="U51" s="258">
        <v>6152209</v>
      </c>
      <c r="V51" s="260">
        <f>+F51</f>
        <v>6547231</v>
      </c>
      <c r="W51" s="258">
        <v>6889658</v>
      </c>
      <c r="X51" s="258">
        <v>5686892</v>
      </c>
      <c r="Y51" s="258">
        <v>5597613</v>
      </c>
      <c r="Z51" s="260"/>
      <c r="AA51" s="260"/>
      <c r="AB51" s="260"/>
      <c r="AC51" s="260"/>
      <c r="AD51" s="260"/>
      <c r="AE51" s="260"/>
      <c r="AF51" s="260"/>
      <c r="AG51" s="260"/>
      <c r="AH51" s="260"/>
      <c r="AI51" s="260"/>
      <c r="AJ51" s="260"/>
      <c r="AK51" s="260"/>
      <c r="AL51" s="260"/>
      <c r="AM51" s="260"/>
      <c r="AN51" s="260"/>
      <c r="AO51" s="260"/>
      <c r="AP51" s="260"/>
      <c r="AQ51" s="260"/>
      <c r="AR51" s="260"/>
      <c r="AS51" s="260"/>
      <c r="AT51" s="260"/>
      <c r="AU51" s="260"/>
      <c r="AV51" s="260"/>
    </row>
    <row r="52" spans="2:48">
      <c r="B52" s="93" t="s">
        <v>399</v>
      </c>
      <c r="C52" s="94">
        <v>29845509</v>
      </c>
      <c r="D52" s="94">
        <v>28807964</v>
      </c>
      <c r="E52" s="94">
        <v>31893641</v>
      </c>
      <c r="F52" s="94">
        <v>38308363</v>
      </c>
      <c r="G52" s="94">
        <v>41688854</v>
      </c>
      <c r="H52" s="94">
        <v>42539757</v>
      </c>
      <c r="I52" s="94">
        <v>39892640</v>
      </c>
      <c r="J52" s="94">
        <v>34136887</v>
      </c>
      <c r="K52" s="94">
        <v>34971761</v>
      </c>
      <c r="L52" s="94">
        <v>35821310</v>
      </c>
      <c r="M52" s="92">
        <f>AV52</f>
        <v>35947348</v>
      </c>
      <c r="N52" s="89"/>
      <c r="O52" s="94">
        <v>29231950</v>
      </c>
      <c r="P52" s="94">
        <v>29753534</v>
      </c>
      <c r="Q52" s="94">
        <v>30129026</v>
      </c>
      <c r="R52" s="95">
        <f>+E52</f>
        <v>31893641</v>
      </c>
      <c r="S52" s="94">
        <v>33531651</v>
      </c>
      <c r="T52" s="94">
        <v>35579048</v>
      </c>
      <c r="U52" s="94">
        <v>37619726</v>
      </c>
      <c r="V52" s="95">
        <f>+F52</f>
        <v>38308363</v>
      </c>
      <c r="W52" s="94">
        <v>38871067</v>
      </c>
      <c r="X52" s="94">
        <v>38638225</v>
      </c>
      <c r="Y52" s="94">
        <v>40466221</v>
      </c>
      <c r="Z52" s="95">
        <f>+G52</f>
        <v>41688854</v>
      </c>
      <c r="AA52" s="94">
        <v>42479536</v>
      </c>
      <c r="AB52" s="94">
        <v>42709264</v>
      </c>
      <c r="AC52" s="94">
        <v>42558269</v>
      </c>
      <c r="AD52" s="95">
        <f>+H52</f>
        <v>42539757</v>
      </c>
      <c r="AE52" s="94">
        <v>41994310</v>
      </c>
      <c r="AF52" s="94">
        <v>41685682</v>
      </c>
      <c r="AG52" s="94">
        <v>40868460</v>
      </c>
      <c r="AH52" s="95">
        <f>+I52</f>
        <v>39892640</v>
      </c>
      <c r="AI52" s="94">
        <v>38955398</v>
      </c>
      <c r="AJ52" s="94">
        <v>37404410</v>
      </c>
      <c r="AK52" s="94">
        <v>32611067</v>
      </c>
      <c r="AL52" s="95">
        <f>+J52</f>
        <v>34136887</v>
      </c>
      <c r="AM52" s="94">
        <v>34929674</v>
      </c>
      <c r="AN52" s="94">
        <v>36024530</v>
      </c>
      <c r="AO52" s="94">
        <v>35645406</v>
      </c>
      <c r="AP52" s="95">
        <f>+K52</f>
        <v>34971761</v>
      </c>
      <c r="AQ52" s="94">
        <v>34976020</v>
      </c>
      <c r="AR52" s="94">
        <v>35533677</v>
      </c>
      <c r="AS52" s="94">
        <v>35516319</v>
      </c>
      <c r="AT52" s="80">
        <f>L52</f>
        <v>35821310</v>
      </c>
      <c r="AU52" s="94">
        <v>36472452</v>
      </c>
      <c r="AV52" s="94">
        <v>35947348</v>
      </c>
    </row>
    <row r="53" spans="2:48">
      <c r="B53" s="93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2"/>
      <c r="N53" s="89"/>
      <c r="O53" s="94"/>
      <c r="P53" s="94"/>
      <c r="Q53" s="94"/>
      <c r="R53" s="95"/>
      <c r="S53" s="94"/>
      <c r="T53" s="94"/>
      <c r="U53" s="94"/>
      <c r="V53" s="95"/>
      <c r="W53" s="94"/>
      <c r="X53" s="94"/>
      <c r="Y53" s="94"/>
      <c r="Z53" s="95"/>
      <c r="AA53" s="94"/>
      <c r="AB53" s="94"/>
      <c r="AC53" s="94"/>
      <c r="AD53" s="95"/>
      <c r="AE53" s="94"/>
      <c r="AF53" s="94"/>
      <c r="AG53" s="94"/>
      <c r="AH53" s="95"/>
      <c r="AI53" s="94"/>
      <c r="AJ53" s="94"/>
      <c r="AK53" s="94"/>
      <c r="AL53" s="95"/>
      <c r="AM53" s="94"/>
      <c r="AN53" s="94"/>
      <c r="AO53" s="94"/>
      <c r="AP53" s="95"/>
      <c r="AQ53" s="94"/>
      <c r="AR53" s="94"/>
      <c r="AS53" s="94"/>
      <c r="AT53" s="95"/>
      <c r="AU53" s="94"/>
      <c r="AV53" s="94"/>
    </row>
    <row r="54" spans="2:48">
      <c r="B54" s="96" t="s">
        <v>400</v>
      </c>
      <c r="C54" s="89">
        <f t="shared" ref="C54:F54" si="93">+C55+C56</f>
        <v>2810268</v>
      </c>
      <c r="D54" s="89">
        <f t="shared" si="93"/>
        <v>2517262</v>
      </c>
      <c r="E54" s="89">
        <f t="shared" si="93"/>
        <v>2320039</v>
      </c>
      <c r="F54" s="89">
        <f t="shared" si="93"/>
        <v>2396366</v>
      </c>
      <c r="G54" s="89">
        <f t="shared" ref="G54:H54" si="94">+G55+G56</f>
        <v>2154818</v>
      </c>
      <c r="H54" s="89">
        <f t="shared" si="94"/>
        <v>2016221</v>
      </c>
      <c r="I54" s="89">
        <f t="shared" ref="I54" si="95">+I55+I56</f>
        <v>2017742</v>
      </c>
      <c r="J54" s="174">
        <v>2159246</v>
      </c>
      <c r="K54" s="174">
        <v>2258318</v>
      </c>
      <c r="L54" s="174">
        <v>2356708</v>
      </c>
      <c r="M54" s="176">
        <f>AV54</f>
        <v>2403440</v>
      </c>
      <c r="N54" s="89"/>
      <c r="O54" s="89">
        <f t="shared" ref="O54:V54" si="96">+O55+O56</f>
        <v>2451799</v>
      </c>
      <c r="P54" s="89">
        <f t="shared" si="96"/>
        <v>2429642</v>
      </c>
      <c r="Q54" s="89">
        <f t="shared" si="96"/>
        <v>2406039</v>
      </c>
      <c r="R54" s="89">
        <f t="shared" si="96"/>
        <v>2320039</v>
      </c>
      <c r="S54" s="89">
        <f t="shared" si="96"/>
        <v>2363689</v>
      </c>
      <c r="T54" s="89">
        <f t="shared" si="96"/>
        <v>2396228</v>
      </c>
      <c r="U54" s="89">
        <f t="shared" si="96"/>
        <v>2439182</v>
      </c>
      <c r="V54" s="89">
        <f t="shared" si="96"/>
        <v>2396366</v>
      </c>
      <c r="W54" s="89">
        <f>+W55+W56</f>
        <v>2484869</v>
      </c>
      <c r="X54" s="89">
        <f t="shared" ref="X54:Z54" si="97">+X55+X56</f>
        <v>2447068</v>
      </c>
      <c r="Y54" s="89">
        <f t="shared" si="97"/>
        <v>2344400</v>
      </c>
      <c r="Z54" s="89">
        <f t="shared" si="97"/>
        <v>2154818</v>
      </c>
      <c r="AA54" s="89">
        <f>+AA55+AA56</f>
        <v>2097666</v>
      </c>
      <c r="AB54" s="89">
        <f>+AB55+AB56</f>
        <v>2060981</v>
      </c>
      <c r="AC54" s="89">
        <f t="shared" ref="AC54:AD54" si="98">+AC55+AC56</f>
        <v>2040211</v>
      </c>
      <c r="AD54" s="89">
        <f t="shared" si="98"/>
        <v>2016221</v>
      </c>
      <c r="AE54" s="89">
        <f>+AE55+AE56</f>
        <v>2055653</v>
      </c>
      <c r="AF54" s="89">
        <f>+AF55+AF56</f>
        <v>2032971</v>
      </c>
      <c r="AG54" s="89">
        <f t="shared" ref="AG54:AH54" si="99">+AG55+AG56</f>
        <v>2023615</v>
      </c>
      <c r="AH54" s="89">
        <f t="shared" si="99"/>
        <v>2017742</v>
      </c>
      <c r="AI54" s="89">
        <f>+AI55+AI56</f>
        <v>39002755</v>
      </c>
      <c r="AJ54" s="89">
        <f>+AJ55+AJ56</f>
        <v>2062683</v>
      </c>
      <c r="AK54" s="174">
        <v>2141054</v>
      </c>
      <c r="AL54" s="89">
        <f>J54</f>
        <v>2159246</v>
      </c>
      <c r="AM54" s="174">
        <v>2034703</v>
      </c>
      <c r="AN54" s="174">
        <v>2185028</v>
      </c>
      <c r="AO54" s="174">
        <v>2209487</v>
      </c>
      <c r="AP54" s="89">
        <f>+K54</f>
        <v>2258318</v>
      </c>
      <c r="AQ54" s="174">
        <v>2307482</v>
      </c>
      <c r="AR54" s="174">
        <v>2313920</v>
      </c>
      <c r="AS54" s="174">
        <v>2345551</v>
      </c>
      <c r="AT54" s="257">
        <f>L54</f>
        <v>2356708</v>
      </c>
      <c r="AU54" s="174">
        <v>2404612</v>
      </c>
      <c r="AV54" s="174">
        <v>2403440</v>
      </c>
    </row>
    <row r="55" spans="2:48">
      <c r="B55" s="93" t="s">
        <v>401</v>
      </c>
      <c r="C55" s="94">
        <v>1383830</v>
      </c>
      <c r="D55" s="94">
        <v>1388090</v>
      </c>
      <c r="E55" s="94">
        <v>1424115</v>
      </c>
      <c r="F55" s="94">
        <v>1469407</v>
      </c>
      <c r="G55" s="94">
        <v>1443649</v>
      </c>
      <c r="H55" s="94">
        <v>1487073</v>
      </c>
      <c r="I55" s="94">
        <v>1964871</v>
      </c>
      <c r="J55" s="259"/>
      <c r="K55" s="259"/>
      <c r="L55" s="259"/>
      <c r="M55" s="259"/>
      <c r="N55" s="89"/>
      <c r="O55" s="258">
        <v>1402046</v>
      </c>
      <c r="P55" s="258">
        <v>1425105</v>
      </c>
      <c r="Q55" s="258">
        <v>1430675</v>
      </c>
      <c r="R55" s="260">
        <f>+E55</f>
        <v>1424115</v>
      </c>
      <c r="S55" s="258">
        <v>1464873</v>
      </c>
      <c r="T55" s="258">
        <v>1469847</v>
      </c>
      <c r="U55" s="258">
        <v>1485550</v>
      </c>
      <c r="V55" s="260">
        <f>+F55</f>
        <v>1469407</v>
      </c>
      <c r="W55" s="258">
        <v>1476694</v>
      </c>
      <c r="X55" s="258">
        <v>1489015</v>
      </c>
      <c r="Y55" s="258">
        <v>1457452</v>
      </c>
      <c r="Z55" s="260">
        <f>+G55</f>
        <v>1443649</v>
      </c>
      <c r="AA55" s="258">
        <v>1442365</v>
      </c>
      <c r="AB55" s="258">
        <v>1434114</v>
      </c>
      <c r="AC55" s="258">
        <v>1444657</v>
      </c>
      <c r="AD55" s="260">
        <f>+H55</f>
        <v>1487073</v>
      </c>
      <c r="AE55" s="258">
        <v>1584121</v>
      </c>
      <c r="AF55" s="258">
        <v>1962471</v>
      </c>
      <c r="AG55" s="258">
        <v>1961675</v>
      </c>
      <c r="AH55" s="260">
        <f>+I55</f>
        <v>1964871</v>
      </c>
      <c r="AI55" s="258">
        <v>38955398</v>
      </c>
      <c r="AJ55" s="258">
        <v>2019828</v>
      </c>
      <c r="AK55" s="258"/>
      <c r="AL55" s="258"/>
      <c r="AM55" s="258"/>
      <c r="AN55" s="258"/>
      <c r="AO55" s="258"/>
      <c r="AP55" s="258"/>
      <c r="AQ55" s="258"/>
      <c r="AR55" s="258"/>
      <c r="AS55" s="258"/>
      <c r="AT55" s="258"/>
      <c r="AU55" s="258"/>
      <c r="AV55" s="258"/>
    </row>
    <row r="56" spans="2:48">
      <c r="B56" s="93" t="s">
        <v>402</v>
      </c>
      <c r="C56" s="94">
        <v>1426438</v>
      </c>
      <c r="D56" s="94">
        <v>1129172</v>
      </c>
      <c r="E56" s="94">
        <v>895924</v>
      </c>
      <c r="F56" s="94">
        <v>926959</v>
      </c>
      <c r="G56" s="94">
        <v>711169</v>
      </c>
      <c r="H56" s="94">
        <v>529148</v>
      </c>
      <c r="I56" s="94">
        <v>52871</v>
      </c>
      <c r="J56" s="259"/>
      <c r="K56" s="259"/>
      <c r="L56" s="259"/>
      <c r="M56" s="259"/>
      <c r="N56" s="89"/>
      <c r="O56" s="258">
        <v>1049753</v>
      </c>
      <c r="P56" s="258">
        <v>1004537</v>
      </c>
      <c r="Q56" s="258">
        <v>975364</v>
      </c>
      <c r="R56" s="260">
        <f>+E56</f>
        <v>895924</v>
      </c>
      <c r="S56" s="258">
        <v>898816</v>
      </c>
      <c r="T56" s="258">
        <v>926381</v>
      </c>
      <c r="U56" s="258">
        <v>953632</v>
      </c>
      <c r="V56" s="260">
        <f>+F56</f>
        <v>926959</v>
      </c>
      <c r="W56" s="258">
        <v>1008175</v>
      </c>
      <c r="X56" s="258">
        <v>958053</v>
      </c>
      <c r="Y56" s="258">
        <v>886948</v>
      </c>
      <c r="Z56" s="260">
        <f>+G56</f>
        <v>711169</v>
      </c>
      <c r="AA56" s="258">
        <v>655301</v>
      </c>
      <c r="AB56" s="258">
        <v>626867</v>
      </c>
      <c r="AC56" s="258">
        <v>595554</v>
      </c>
      <c r="AD56" s="260">
        <f>+H56</f>
        <v>529148</v>
      </c>
      <c r="AE56" s="258">
        <v>471532</v>
      </c>
      <c r="AF56" s="258">
        <v>70500</v>
      </c>
      <c r="AG56" s="258">
        <v>61940</v>
      </c>
      <c r="AH56" s="260">
        <f>+I56</f>
        <v>52871</v>
      </c>
      <c r="AI56" s="258">
        <v>47357</v>
      </c>
      <c r="AJ56" s="258">
        <v>42855</v>
      </c>
      <c r="AK56" s="258"/>
      <c r="AL56" s="258"/>
      <c r="AM56" s="258"/>
      <c r="AN56" s="258"/>
      <c r="AO56" s="258"/>
      <c r="AP56" s="258"/>
      <c r="AQ56" s="258"/>
      <c r="AR56" s="258"/>
      <c r="AS56" s="258"/>
      <c r="AT56" s="258"/>
      <c r="AU56" s="258"/>
      <c r="AV56" s="258"/>
    </row>
    <row r="57" spans="2:48">
      <c r="B57" s="96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8"/>
      <c r="N57" s="89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</row>
    <row r="58" spans="2:48">
      <c r="B58" s="27" t="s">
        <v>403</v>
      </c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89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</row>
    <row r="59" spans="2:48">
      <c r="B59" s="96" t="s">
        <v>404</v>
      </c>
      <c r="C59" s="97">
        <v>2438473</v>
      </c>
      <c r="D59" s="97">
        <v>2663210</v>
      </c>
      <c r="E59" s="97">
        <v>2710972</v>
      </c>
      <c r="F59" s="97">
        <v>2765209</v>
      </c>
      <c r="G59" s="97">
        <v>3042815</v>
      </c>
      <c r="H59" s="97">
        <v>3619372</v>
      </c>
      <c r="I59" s="97">
        <v>3825424</v>
      </c>
      <c r="J59" s="97">
        <v>3766105</v>
      </c>
      <c r="K59" s="97">
        <v>3711371</v>
      </c>
      <c r="L59" s="97">
        <v>3689997</v>
      </c>
      <c r="M59" s="92">
        <f>AU59</f>
        <v>3580475</v>
      </c>
      <c r="N59" s="99"/>
      <c r="O59" s="97">
        <v>2707079</v>
      </c>
      <c r="P59" s="97">
        <v>2756865</v>
      </c>
      <c r="Q59" s="97">
        <v>2778274</v>
      </c>
      <c r="R59" s="100">
        <f>+E59</f>
        <v>2710972</v>
      </c>
      <c r="S59" s="97">
        <v>2707077</v>
      </c>
      <c r="T59" s="97">
        <v>2711411</v>
      </c>
      <c r="U59" s="97">
        <v>2727035</v>
      </c>
      <c r="V59" s="100">
        <f>+F59</f>
        <v>2765209</v>
      </c>
      <c r="W59" s="97">
        <v>2801187</v>
      </c>
      <c r="X59" s="97">
        <v>2917641</v>
      </c>
      <c r="Y59" s="97">
        <v>29991744</v>
      </c>
      <c r="Z59" s="95">
        <f>+G59</f>
        <v>3042815</v>
      </c>
      <c r="AA59" s="97">
        <v>3108796</v>
      </c>
      <c r="AB59" s="97">
        <v>3245547</v>
      </c>
      <c r="AC59" s="97">
        <v>3441847</v>
      </c>
      <c r="AD59" s="95">
        <f>+H59</f>
        <v>3619372</v>
      </c>
      <c r="AE59" s="97">
        <v>3766956</v>
      </c>
      <c r="AF59" s="97">
        <v>3821296</v>
      </c>
      <c r="AG59" s="97">
        <v>3835305</v>
      </c>
      <c r="AH59" s="95">
        <f>+I59</f>
        <v>3825424</v>
      </c>
      <c r="AI59" s="97">
        <v>3828445</v>
      </c>
      <c r="AJ59" s="97">
        <v>3823629</v>
      </c>
      <c r="AK59" s="97">
        <v>3792278</v>
      </c>
      <c r="AL59" s="95">
        <f>+J59</f>
        <v>3766105</v>
      </c>
      <c r="AM59" s="97">
        <v>3740780</v>
      </c>
      <c r="AN59" s="97">
        <v>3732523</v>
      </c>
      <c r="AO59" s="97">
        <v>3727873</v>
      </c>
      <c r="AP59" s="95">
        <f>+K59</f>
        <v>3711371</v>
      </c>
      <c r="AQ59" s="97">
        <v>3684725</v>
      </c>
      <c r="AR59" s="97">
        <v>3694922</v>
      </c>
      <c r="AS59" s="97">
        <v>3694183</v>
      </c>
      <c r="AT59" s="95">
        <f>+L59</f>
        <v>3689997</v>
      </c>
      <c r="AU59" s="97">
        <v>3580475</v>
      </c>
      <c r="AV59" s="97">
        <v>3633228</v>
      </c>
    </row>
    <row r="60" spans="2:48">
      <c r="B60" s="96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2"/>
      <c r="N60" s="99"/>
      <c r="O60" s="97"/>
      <c r="P60" s="97"/>
      <c r="Q60" s="97"/>
      <c r="R60" s="100"/>
      <c r="S60" s="97"/>
      <c r="T60" s="97"/>
      <c r="U60" s="97"/>
      <c r="V60" s="100"/>
      <c r="W60" s="97"/>
      <c r="X60" s="97"/>
      <c r="Y60" s="97"/>
      <c r="Z60" s="95"/>
      <c r="AA60" s="97"/>
      <c r="AB60" s="97"/>
      <c r="AC60" s="97"/>
      <c r="AD60" s="95"/>
      <c r="AE60" s="97"/>
      <c r="AF60" s="97"/>
      <c r="AG60" s="97"/>
      <c r="AH60" s="95"/>
      <c r="AI60" s="97"/>
      <c r="AJ60" s="97"/>
      <c r="AK60" s="97"/>
      <c r="AL60" s="95"/>
      <c r="AM60" s="97"/>
      <c r="AN60" s="97"/>
      <c r="AO60" s="97"/>
      <c r="AP60" s="95"/>
      <c r="AQ60" s="97"/>
      <c r="AR60" s="97"/>
      <c r="AS60" s="97"/>
      <c r="AT60" s="95"/>
      <c r="AU60" s="97"/>
      <c r="AV60" s="97"/>
    </row>
    <row r="61" spans="2:48">
      <c r="B61" s="96" t="s">
        <v>405</v>
      </c>
      <c r="C61" s="175">
        <f>+C62+C63</f>
        <v>1720753</v>
      </c>
      <c r="D61" s="175">
        <f t="shared" ref="D61:F61" si="100">+D62+D63</f>
        <v>1950881</v>
      </c>
      <c r="E61" s="175">
        <f t="shared" si="100"/>
        <v>2025563</v>
      </c>
      <c r="F61" s="175">
        <f t="shared" si="100"/>
        <v>2161484</v>
      </c>
      <c r="G61" s="175">
        <f t="shared" ref="G61:H61" si="101">+G62+G63</f>
        <v>3090118</v>
      </c>
      <c r="H61" s="175">
        <f t="shared" si="101"/>
        <v>3951844</v>
      </c>
      <c r="I61" s="175">
        <f t="shared" ref="I61:J61" si="102">+I62+I63</f>
        <v>3992303</v>
      </c>
      <c r="J61" s="175">
        <f t="shared" si="102"/>
        <v>3709541</v>
      </c>
      <c r="K61" s="175">
        <f t="shared" ref="K61:M61" si="103">+K62+K63</f>
        <v>3878231</v>
      </c>
      <c r="L61" s="175">
        <f t="shared" ref="L61" si="104">+L62+L63</f>
        <v>4251426</v>
      </c>
      <c r="M61" s="175">
        <f t="shared" si="103"/>
        <v>4368227</v>
      </c>
      <c r="N61" s="100"/>
      <c r="O61" s="100">
        <f t="shared" ref="O61:W61" si="105">+O62+O63</f>
        <v>1995900</v>
      </c>
      <c r="P61" s="100">
        <f t="shared" si="105"/>
        <v>2038333</v>
      </c>
      <c r="Q61" s="100">
        <f t="shared" si="105"/>
        <v>2054225</v>
      </c>
      <c r="R61" s="100">
        <f t="shared" si="105"/>
        <v>2025563</v>
      </c>
      <c r="S61" s="100">
        <f t="shared" si="105"/>
        <v>2016507</v>
      </c>
      <c r="T61" s="100">
        <f t="shared" si="105"/>
        <v>2041946</v>
      </c>
      <c r="U61" s="100">
        <f t="shared" si="105"/>
        <v>2091014</v>
      </c>
      <c r="V61" s="100">
        <f t="shared" si="105"/>
        <v>2161484</v>
      </c>
      <c r="W61" s="100">
        <f t="shared" si="105"/>
        <v>2282788</v>
      </c>
      <c r="X61" s="100">
        <f t="shared" ref="X61:AB61" si="106">+X62+X63</f>
        <v>2609166</v>
      </c>
      <c r="Y61" s="100">
        <f t="shared" si="106"/>
        <v>2841761</v>
      </c>
      <c r="Z61" s="100">
        <f t="shared" si="106"/>
        <v>3090118</v>
      </c>
      <c r="AA61" s="100">
        <f t="shared" si="106"/>
        <v>3276070</v>
      </c>
      <c r="AB61" s="100">
        <f t="shared" si="106"/>
        <v>3451268</v>
      </c>
      <c r="AC61" s="100">
        <f t="shared" ref="AC61:AF61" si="107">+AC62+AC63</f>
        <v>3777410</v>
      </c>
      <c r="AD61" s="100">
        <f t="shared" si="107"/>
        <v>3951844</v>
      </c>
      <c r="AE61" s="175">
        <f t="shared" si="107"/>
        <v>4080000</v>
      </c>
      <c r="AF61" s="175">
        <f t="shared" si="107"/>
        <v>4082223</v>
      </c>
      <c r="AG61" s="175">
        <f t="shared" ref="AG61:AJ61" si="108">+AG62+AG63</f>
        <v>4065105</v>
      </c>
      <c r="AH61" s="175">
        <f t="shared" si="108"/>
        <v>3992303</v>
      </c>
      <c r="AI61" s="175">
        <f t="shared" si="108"/>
        <v>3976531</v>
      </c>
      <c r="AJ61" s="175">
        <f t="shared" si="108"/>
        <v>3901553</v>
      </c>
      <c r="AK61" s="175">
        <f t="shared" ref="AK61:AN61" si="109">+AK62+AK63</f>
        <v>3689708</v>
      </c>
      <c r="AL61" s="175">
        <f t="shared" si="109"/>
        <v>3709541</v>
      </c>
      <c r="AM61" s="175">
        <f t="shared" si="109"/>
        <v>3711094</v>
      </c>
      <c r="AN61" s="175">
        <f t="shared" si="109"/>
        <v>3753304</v>
      </c>
      <c r="AO61" s="175">
        <f t="shared" ref="AO61:AR61" si="110">+AO62+AO63</f>
        <v>3858368</v>
      </c>
      <c r="AP61" s="175">
        <f t="shared" si="110"/>
        <v>3878231</v>
      </c>
      <c r="AQ61" s="175">
        <f t="shared" si="110"/>
        <v>3945937</v>
      </c>
      <c r="AR61" s="175">
        <f t="shared" si="110"/>
        <v>4019145</v>
      </c>
      <c r="AS61" s="175">
        <f t="shared" ref="AS61:AV61" si="111">+AS62+AS63</f>
        <v>4122521</v>
      </c>
      <c r="AT61" s="175">
        <f t="shared" si="111"/>
        <v>4251426</v>
      </c>
      <c r="AU61" s="175">
        <f t="shared" si="111"/>
        <v>4290441</v>
      </c>
      <c r="AV61" s="175">
        <f t="shared" si="111"/>
        <v>4368227</v>
      </c>
    </row>
    <row r="62" spans="2:48">
      <c r="B62" s="93" t="s">
        <v>406</v>
      </c>
      <c r="C62" s="97">
        <v>1450550</v>
      </c>
      <c r="D62" s="97">
        <v>1713527</v>
      </c>
      <c r="E62" s="97">
        <v>1812037</v>
      </c>
      <c r="F62" s="97">
        <v>1931333</v>
      </c>
      <c r="G62" s="97">
        <v>2273602</v>
      </c>
      <c r="H62" s="97">
        <v>2966886</v>
      </c>
      <c r="I62" s="97">
        <v>3247979</v>
      </c>
      <c r="J62" s="97">
        <v>3268996</v>
      </c>
      <c r="K62" s="97">
        <v>3431785</v>
      </c>
      <c r="L62" s="97">
        <v>3793927</v>
      </c>
      <c r="M62" s="92">
        <f>AV62</f>
        <v>3933307</v>
      </c>
      <c r="N62" s="99"/>
      <c r="O62" s="97">
        <v>1772836</v>
      </c>
      <c r="P62" s="97">
        <v>1829096</v>
      </c>
      <c r="Q62" s="97">
        <v>1859210</v>
      </c>
      <c r="R62" s="100">
        <f t="shared" ref="R62:R63" si="112">+E62</f>
        <v>1812037</v>
      </c>
      <c r="S62" s="97">
        <v>1818530</v>
      </c>
      <c r="T62" s="97">
        <v>1841147</v>
      </c>
      <c r="U62" s="97">
        <v>1878983</v>
      </c>
      <c r="V62" s="100">
        <f>+F62</f>
        <v>1931333</v>
      </c>
      <c r="W62" s="97">
        <v>1986783</v>
      </c>
      <c r="X62" s="97">
        <v>2105140</v>
      </c>
      <c r="Y62" s="97">
        <v>2194931</v>
      </c>
      <c r="Z62" s="95">
        <f>+G62</f>
        <v>2273602</v>
      </c>
      <c r="AA62" s="97">
        <v>2385197</v>
      </c>
      <c r="AB62" s="97">
        <v>2538865</v>
      </c>
      <c r="AC62" s="97">
        <v>2768978</v>
      </c>
      <c r="AD62" s="95">
        <f>+H62</f>
        <v>2966886</v>
      </c>
      <c r="AE62" s="97">
        <v>3134127</v>
      </c>
      <c r="AF62" s="97">
        <v>3200872</v>
      </c>
      <c r="AG62" s="97">
        <v>3241970</v>
      </c>
      <c r="AH62" s="95">
        <f>+I62</f>
        <v>3247979</v>
      </c>
      <c r="AI62" s="97">
        <v>3281289</v>
      </c>
      <c r="AJ62" s="97">
        <v>3294012</v>
      </c>
      <c r="AK62" s="97">
        <v>3280419</v>
      </c>
      <c r="AL62" s="95">
        <f>+J62</f>
        <v>3268996</v>
      </c>
      <c r="AM62" s="97">
        <v>3255012</v>
      </c>
      <c r="AN62" s="97">
        <v>3290093</v>
      </c>
      <c r="AO62" s="97">
        <v>3394975</v>
      </c>
      <c r="AP62" s="95">
        <f t="shared" ref="AP62:AP63" si="113">+K62</f>
        <v>3431785</v>
      </c>
      <c r="AQ62" s="97">
        <v>3507947</v>
      </c>
      <c r="AR62" s="97">
        <v>3573691</v>
      </c>
      <c r="AS62" s="97">
        <v>3668384</v>
      </c>
      <c r="AT62" s="95">
        <f t="shared" ref="AT62:AT63" si="114">+L62</f>
        <v>3793927</v>
      </c>
      <c r="AU62" s="97">
        <v>3837443</v>
      </c>
      <c r="AV62" s="97">
        <v>3933307</v>
      </c>
    </row>
    <row r="63" spans="2:48">
      <c r="B63" s="93" t="s">
        <v>407</v>
      </c>
      <c r="C63" s="97">
        <v>270203</v>
      </c>
      <c r="D63" s="97">
        <v>237354</v>
      </c>
      <c r="E63" s="97">
        <v>213526</v>
      </c>
      <c r="F63" s="97">
        <v>230151</v>
      </c>
      <c r="G63" s="97">
        <v>816516</v>
      </c>
      <c r="H63" s="97">
        <v>984958</v>
      </c>
      <c r="I63" s="97">
        <v>744324</v>
      </c>
      <c r="J63" s="97">
        <v>440545</v>
      </c>
      <c r="K63" s="97">
        <v>446446</v>
      </c>
      <c r="L63" s="97">
        <v>457499</v>
      </c>
      <c r="M63" s="92">
        <f>AV63</f>
        <v>434920</v>
      </c>
      <c r="N63" s="99"/>
      <c r="O63" s="97">
        <v>223064</v>
      </c>
      <c r="P63" s="97">
        <v>209237</v>
      </c>
      <c r="Q63" s="97">
        <v>195015</v>
      </c>
      <c r="R63" s="100">
        <f t="shared" si="112"/>
        <v>213526</v>
      </c>
      <c r="S63" s="97">
        <v>197977</v>
      </c>
      <c r="T63" s="97">
        <v>200799</v>
      </c>
      <c r="U63" s="97">
        <v>212031</v>
      </c>
      <c r="V63" s="100">
        <f>+F63</f>
        <v>230151</v>
      </c>
      <c r="W63" s="97">
        <v>296005</v>
      </c>
      <c r="X63" s="97">
        <v>504026</v>
      </c>
      <c r="Y63" s="97">
        <v>646830</v>
      </c>
      <c r="Z63" s="95">
        <f>+G63</f>
        <v>816516</v>
      </c>
      <c r="AA63" s="97">
        <v>890873</v>
      </c>
      <c r="AB63" s="97">
        <v>912403</v>
      </c>
      <c r="AC63" s="97">
        <v>1008432</v>
      </c>
      <c r="AD63" s="95">
        <f>+H63</f>
        <v>984958</v>
      </c>
      <c r="AE63" s="97">
        <v>945873</v>
      </c>
      <c r="AF63" s="97">
        <v>881351</v>
      </c>
      <c r="AG63" s="97">
        <v>823135</v>
      </c>
      <c r="AH63" s="95">
        <f>+I63</f>
        <v>744324</v>
      </c>
      <c r="AI63" s="97">
        <v>695242</v>
      </c>
      <c r="AJ63" s="97">
        <v>607541</v>
      </c>
      <c r="AK63" s="97">
        <v>409289</v>
      </c>
      <c r="AL63" s="95">
        <f>+J63</f>
        <v>440545</v>
      </c>
      <c r="AM63" s="97">
        <v>456082</v>
      </c>
      <c r="AN63" s="97">
        <v>463211</v>
      </c>
      <c r="AO63" s="97">
        <v>463393</v>
      </c>
      <c r="AP63" s="95">
        <f t="shared" si="113"/>
        <v>446446</v>
      </c>
      <c r="AQ63" s="97">
        <v>437990</v>
      </c>
      <c r="AR63" s="97">
        <v>445454</v>
      </c>
      <c r="AS63" s="97">
        <v>454137</v>
      </c>
      <c r="AT63" s="95">
        <f t="shared" si="114"/>
        <v>457499</v>
      </c>
      <c r="AU63" s="97">
        <v>452998</v>
      </c>
      <c r="AV63" s="97">
        <v>434920</v>
      </c>
    </row>
    <row r="64" spans="2:48">
      <c r="B64" s="93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9"/>
      <c r="O64" s="97"/>
      <c r="P64" s="97"/>
      <c r="Q64" s="97"/>
      <c r="R64" s="100"/>
      <c r="S64" s="97"/>
      <c r="T64" s="97"/>
      <c r="U64" s="97"/>
      <c r="V64" s="100"/>
      <c r="W64" s="97"/>
      <c r="X64" s="97"/>
      <c r="Y64" s="97"/>
      <c r="Z64" s="100"/>
      <c r="AA64" s="97"/>
      <c r="AC64" s="97"/>
      <c r="AD64" s="100"/>
      <c r="AE64" s="97"/>
      <c r="AF64" s="97"/>
      <c r="AG64" s="97"/>
      <c r="AH64" s="100"/>
      <c r="AI64" s="97"/>
      <c r="AJ64" s="97"/>
      <c r="AK64" s="97"/>
      <c r="AL64" s="100"/>
      <c r="AM64" s="97"/>
      <c r="AN64" s="97"/>
      <c r="AO64" s="97"/>
      <c r="AP64" s="100"/>
      <c r="AQ64" s="97"/>
      <c r="AR64" s="97"/>
      <c r="AS64" s="97"/>
      <c r="AT64" s="100"/>
      <c r="AU64" s="97"/>
      <c r="AV64" s="97"/>
    </row>
    <row r="65" spans="2:48" ht="15">
      <c r="B65" s="101" t="s">
        <v>408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</row>
    <row r="66" spans="2:48">
      <c r="B66" s="93" t="s">
        <v>401</v>
      </c>
      <c r="C66" s="102">
        <v>4.8000000000000001E-2</v>
      </c>
      <c r="D66" s="102">
        <v>2.3E-2</v>
      </c>
      <c r="E66" s="102">
        <v>0.02</v>
      </c>
      <c r="F66" s="102">
        <v>2.1000000000000001E-2</v>
      </c>
      <c r="G66" s="102">
        <v>2.3E-2</v>
      </c>
      <c r="H66" s="102">
        <v>1.6E-2</v>
      </c>
      <c r="I66" s="102">
        <v>1.6E-2</v>
      </c>
      <c r="J66" s="102">
        <v>1.4E-2</v>
      </c>
      <c r="K66" s="102">
        <v>1.0999999999999999E-2</v>
      </c>
      <c r="L66" s="102">
        <v>1.2E-2</v>
      </c>
      <c r="M66" s="261"/>
      <c r="N66" s="102"/>
      <c r="O66" s="102">
        <v>0.02</v>
      </c>
      <c r="P66" s="262">
        <v>0.02</v>
      </c>
      <c r="Q66" s="262">
        <v>2.1000000000000001E-2</v>
      </c>
      <c r="R66" s="261">
        <f>E66</f>
        <v>0.02</v>
      </c>
      <c r="S66" s="102">
        <v>0.02</v>
      </c>
      <c r="T66" s="262">
        <v>2.1000000000000001E-2</v>
      </c>
      <c r="U66" s="262">
        <v>0.02</v>
      </c>
      <c r="V66" s="261">
        <f>F66</f>
        <v>2.1000000000000001E-2</v>
      </c>
      <c r="W66" s="102">
        <v>2.4E-2</v>
      </c>
      <c r="X66" s="102">
        <v>1.7000000000000001E-2</v>
      </c>
      <c r="Y66" s="102">
        <v>2.1999999999999999E-2</v>
      </c>
      <c r="Z66" s="160">
        <f t="shared" ref="Z66:Z69" si="115">+G66</f>
        <v>2.3E-2</v>
      </c>
      <c r="AA66" s="102">
        <v>2.4E-2</v>
      </c>
      <c r="AB66" s="102">
        <v>0.02</v>
      </c>
      <c r="AC66" s="102">
        <v>1.7999999999999999E-2</v>
      </c>
      <c r="AD66" s="160">
        <f>+H66</f>
        <v>1.6E-2</v>
      </c>
      <c r="AE66" s="102">
        <v>1.2E-2</v>
      </c>
      <c r="AF66" s="102">
        <v>1.2999999999999999E-2</v>
      </c>
      <c r="AG66" s="102">
        <v>1.4999999999999999E-2</v>
      </c>
      <c r="AH66" s="160">
        <f>+I66</f>
        <v>1.6E-2</v>
      </c>
      <c r="AI66" s="102">
        <v>0.25</v>
      </c>
      <c r="AJ66" s="102">
        <v>1.4E-2</v>
      </c>
      <c r="AK66" s="102">
        <v>1.4E-2</v>
      </c>
      <c r="AL66" s="160">
        <f>+J66</f>
        <v>1.4E-2</v>
      </c>
      <c r="AM66" s="102">
        <v>1.0999999999999999E-2</v>
      </c>
      <c r="AN66" s="102">
        <v>1.0999999999999999E-2</v>
      </c>
      <c r="AO66" s="102">
        <v>1.0999999999999999E-2</v>
      </c>
      <c r="AP66" s="160">
        <f>+K66</f>
        <v>1.0999999999999999E-2</v>
      </c>
      <c r="AQ66" s="102">
        <v>0.01</v>
      </c>
      <c r="AR66" s="102">
        <v>1.0999999999999999E-2</v>
      </c>
      <c r="AS66" s="102">
        <v>1.2E-2</v>
      </c>
      <c r="AT66" s="160">
        <f>+L66</f>
        <v>1.2E-2</v>
      </c>
      <c r="AU66" s="102">
        <v>1.0999999999999999E-2</v>
      </c>
      <c r="AV66" s="102">
        <v>0.01</v>
      </c>
    </row>
    <row r="67" spans="2:48">
      <c r="B67" s="93" t="s">
        <v>397</v>
      </c>
      <c r="C67" s="102">
        <v>7.5999999999999998E-2</v>
      </c>
      <c r="D67" s="102">
        <v>6.7000000000000004E-2</v>
      </c>
      <c r="E67" s="102">
        <v>6.5000000000000002E-2</v>
      </c>
      <c r="F67" s="102">
        <v>4.1000000000000002E-2</v>
      </c>
      <c r="G67" s="102">
        <v>4.8000000000000001E-2</v>
      </c>
      <c r="H67" s="102">
        <v>4.8000000000000001E-2</v>
      </c>
      <c r="I67" s="102">
        <v>4.5999999999999999E-2</v>
      </c>
      <c r="J67" s="102">
        <v>2.5999999999999999E-2</v>
      </c>
      <c r="K67" s="102">
        <v>2.1999999999999999E-2</v>
      </c>
      <c r="L67" s="102">
        <v>2.5000000000000001E-2</v>
      </c>
      <c r="M67" s="261"/>
      <c r="N67" s="102"/>
      <c r="O67" s="102">
        <v>6.8000000000000005E-2</v>
      </c>
      <c r="P67" s="262">
        <v>7.0000000000000007E-2</v>
      </c>
      <c r="Q67" s="262">
        <v>7.3999999999999996E-2</v>
      </c>
      <c r="R67" s="261">
        <f t="shared" ref="R67:R70" si="116">E67</f>
        <v>6.5000000000000002E-2</v>
      </c>
      <c r="S67" s="102">
        <v>3.5000000000000003E-2</v>
      </c>
      <c r="T67" s="262">
        <v>3.5999999999999997E-2</v>
      </c>
      <c r="U67" s="262">
        <v>3.5999999999999997E-2</v>
      </c>
      <c r="V67" s="261">
        <f t="shared" ref="V67:V70" si="117">F67</f>
        <v>4.1000000000000002E-2</v>
      </c>
      <c r="W67" s="102">
        <v>0.06</v>
      </c>
      <c r="X67" s="102">
        <v>5.8000000000000003E-2</v>
      </c>
      <c r="Y67" s="102">
        <v>5.1999999999999998E-2</v>
      </c>
      <c r="Z67" s="160">
        <f t="shared" si="115"/>
        <v>4.8000000000000001E-2</v>
      </c>
      <c r="AA67" s="102">
        <v>5.6000000000000001E-2</v>
      </c>
      <c r="AB67" s="102">
        <v>5.2999999999999999E-2</v>
      </c>
      <c r="AC67" s="102">
        <v>5.0999999999999997E-2</v>
      </c>
      <c r="AD67" s="160">
        <f>+H67</f>
        <v>4.8000000000000001E-2</v>
      </c>
      <c r="AE67" s="102">
        <v>4.5999999999999999E-2</v>
      </c>
      <c r="AF67" s="102">
        <v>4.5999999999999999E-2</v>
      </c>
      <c r="AG67" s="102">
        <v>4.5999999999999999E-2</v>
      </c>
      <c r="AH67" s="160">
        <f>+I67</f>
        <v>4.5999999999999999E-2</v>
      </c>
      <c r="AI67" s="102">
        <v>-0.08</v>
      </c>
      <c r="AJ67" s="102">
        <v>3.9E-2</v>
      </c>
      <c r="AK67" s="102">
        <v>3.2000000000000001E-2</v>
      </c>
      <c r="AL67" s="160">
        <f>+J67</f>
        <v>2.5999999999999999E-2</v>
      </c>
      <c r="AM67" s="102">
        <v>1.7000000000000001E-2</v>
      </c>
      <c r="AN67" s="102">
        <v>1.4E-2</v>
      </c>
      <c r="AO67" s="102">
        <v>1.7999999999999999E-2</v>
      </c>
      <c r="AP67" s="160">
        <f t="shared" ref="AP67:AP68" si="118">+K67</f>
        <v>2.1999999999999999E-2</v>
      </c>
      <c r="AQ67" s="102">
        <v>0.03</v>
      </c>
      <c r="AR67" s="102">
        <v>2.7E-2</v>
      </c>
      <c r="AS67" s="102">
        <v>2.5000000000000001E-2</v>
      </c>
      <c r="AT67" s="160">
        <f>+L67</f>
        <v>2.5000000000000001E-2</v>
      </c>
      <c r="AU67" s="102">
        <v>2.4E-2</v>
      </c>
      <c r="AV67" s="102">
        <v>0.03</v>
      </c>
    </row>
    <row r="68" spans="2:48">
      <c r="B68" s="93" t="s">
        <v>399</v>
      </c>
      <c r="C68" s="102">
        <v>6.3E-2</v>
      </c>
      <c r="D68" s="102">
        <v>6.8000000000000005E-2</v>
      </c>
      <c r="E68" s="102">
        <v>5.8000000000000003E-2</v>
      </c>
      <c r="F68" s="102">
        <v>0.04</v>
      </c>
      <c r="G68" s="102">
        <v>4.2000000000000003E-2</v>
      </c>
      <c r="H68" s="102">
        <v>4.2000000000000003E-2</v>
      </c>
      <c r="I68" s="102">
        <v>4.5999999999999999E-2</v>
      </c>
      <c r="J68" s="102">
        <v>2.8000000000000001E-2</v>
      </c>
      <c r="K68" s="102">
        <v>0.02</v>
      </c>
      <c r="L68" s="102">
        <v>2.3E-2</v>
      </c>
      <c r="M68" s="261"/>
      <c r="N68" s="102"/>
      <c r="O68" s="102">
        <v>6.2E-2</v>
      </c>
      <c r="P68" s="262">
        <v>6.2E-2</v>
      </c>
      <c r="Q68" s="262">
        <v>6.3E-2</v>
      </c>
      <c r="R68" s="261">
        <f t="shared" si="116"/>
        <v>5.8000000000000003E-2</v>
      </c>
      <c r="S68" s="102">
        <v>3.7999999999999999E-2</v>
      </c>
      <c r="T68" s="262">
        <v>3.6999999999999998E-2</v>
      </c>
      <c r="U68" s="262">
        <v>3.5999999999999997E-2</v>
      </c>
      <c r="V68" s="261">
        <f t="shared" si="117"/>
        <v>0.04</v>
      </c>
      <c r="W68" s="102">
        <v>4.4999999999999998E-2</v>
      </c>
      <c r="X68" s="102">
        <v>4.5999999999999999E-2</v>
      </c>
      <c r="Y68" s="102">
        <v>4.2000000000000003E-2</v>
      </c>
      <c r="Z68" s="160">
        <f t="shared" si="115"/>
        <v>4.2000000000000003E-2</v>
      </c>
      <c r="AA68" s="102">
        <v>0.04</v>
      </c>
      <c r="AB68" s="102">
        <v>4.1000000000000002E-2</v>
      </c>
      <c r="AC68" s="102">
        <v>4.1000000000000002E-2</v>
      </c>
      <c r="AD68" s="160">
        <f>+H68</f>
        <v>4.2000000000000003E-2</v>
      </c>
      <c r="AE68" s="102">
        <v>4.4999999999999998E-2</v>
      </c>
      <c r="AF68" s="102">
        <v>4.3999999999999997E-2</v>
      </c>
      <c r="AG68" s="102">
        <v>4.4999999999999998E-2</v>
      </c>
      <c r="AH68" s="160">
        <f>+I68</f>
        <v>4.5999999999999999E-2</v>
      </c>
      <c r="AI68" s="102">
        <v>-7.0000000000000007E-2</v>
      </c>
      <c r="AJ68" s="102">
        <v>4.2999999999999997E-2</v>
      </c>
      <c r="AK68" s="102">
        <v>3.5000000000000003E-2</v>
      </c>
      <c r="AL68" s="160">
        <f>+J68</f>
        <v>2.8000000000000001E-2</v>
      </c>
      <c r="AM68" s="102">
        <v>1.6E-2</v>
      </c>
      <c r="AN68" s="102">
        <v>1.4E-2</v>
      </c>
      <c r="AO68" s="102">
        <v>1.7999999999999999E-2</v>
      </c>
      <c r="AP68" s="160">
        <f t="shared" si="118"/>
        <v>0.02</v>
      </c>
      <c r="AQ68" s="102">
        <v>2.1999999999999999E-2</v>
      </c>
      <c r="AR68" s="102">
        <v>2.1000000000000001E-2</v>
      </c>
      <c r="AS68" s="102">
        <v>2.1999999999999999E-2</v>
      </c>
      <c r="AT68" s="160">
        <f>+L68</f>
        <v>2.3E-2</v>
      </c>
      <c r="AU68" s="102">
        <v>2.5000000000000001E-2</v>
      </c>
      <c r="AV68" s="102">
        <v>2.9000000000000001E-2</v>
      </c>
    </row>
    <row r="69" spans="2:48">
      <c r="B69" s="93" t="s">
        <v>402</v>
      </c>
      <c r="C69" s="102">
        <v>6.4000000000000001E-2</v>
      </c>
      <c r="D69" s="102">
        <v>3.5000000000000003E-2</v>
      </c>
      <c r="E69" s="102">
        <v>3.5000000000000003E-2</v>
      </c>
      <c r="F69" s="102">
        <v>0.02</v>
      </c>
      <c r="G69" s="102">
        <v>3.1E-2</v>
      </c>
      <c r="H69" s="102">
        <v>2.5000000000000001E-2</v>
      </c>
      <c r="I69" s="102">
        <v>3.6999999999999998E-2</v>
      </c>
      <c r="J69" s="262"/>
      <c r="K69" s="262"/>
      <c r="L69" s="262"/>
      <c r="M69" s="261"/>
      <c r="N69" s="102"/>
      <c r="O69" s="102">
        <v>3.9E-2</v>
      </c>
      <c r="P69" s="262">
        <v>3.5999999999999997E-2</v>
      </c>
      <c r="Q69" s="262">
        <v>3.3000000000000002E-2</v>
      </c>
      <c r="R69" s="261">
        <f t="shared" si="116"/>
        <v>3.5000000000000003E-2</v>
      </c>
      <c r="S69" s="102">
        <v>1.4999999999999999E-2</v>
      </c>
      <c r="T69" s="262">
        <v>1.2E-2</v>
      </c>
      <c r="U69" s="262">
        <v>1.4E-2</v>
      </c>
      <c r="V69" s="261">
        <f t="shared" si="117"/>
        <v>0.02</v>
      </c>
      <c r="W69" s="102">
        <v>0.01</v>
      </c>
      <c r="X69" s="102">
        <v>1.0999999999999999E-2</v>
      </c>
      <c r="Y69" s="102">
        <v>1.4999999999999999E-2</v>
      </c>
      <c r="Z69" s="160">
        <f t="shared" si="115"/>
        <v>3.1E-2</v>
      </c>
      <c r="AA69" s="102">
        <v>2.8000000000000001E-2</v>
      </c>
      <c r="AB69" s="102">
        <v>2.1999999999999999E-2</v>
      </c>
      <c r="AC69" s="102">
        <v>0.02</v>
      </c>
      <c r="AD69" s="160">
        <f>+H69</f>
        <v>2.5000000000000001E-2</v>
      </c>
      <c r="AE69" s="102">
        <v>2.8000000000000001E-2</v>
      </c>
      <c r="AF69" s="102">
        <v>2.9000000000000001E-2</v>
      </c>
      <c r="AG69" s="102">
        <v>3.3000000000000002E-2</v>
      </c>
      <c r="AH69" s="160">
        <f>+I69</f>
        <v>3.6999999999999998E-2</v>
      </c>
      <c r="AI69" s="102">
        <v>-0.9</v>
      </c>
      <c r="AJ69" s="102">
        <v>3.5000000000000003E-2</v>
      </c>
      <c r="AK69" s="262"/>
      <c r="AL69" s="262"/>
      <c r="AM69" s="261"/>
      <c r="AN69" s="261"/>
      <c r="AO69" s="262"/>
      <c r="AP69" s="262"/>
      <c r="AQ69" s="261"/>
      <c r="AR69" s="261"/>
      <c r="AS69" s="262"/>
      <c r="AT69" s="262"/>
      <c r="AU69" s="261"/>
      <c r="AV69" s="261"/>
    </row>
    <row r="70" spans="2:48">
      <c r="B70" s="93" t="s">
        <v>398</v>
      </c>
      <c r="C70" s="102">
        <v>8.7999999999999995E-2</v>
      </c>
      <c r="D70" s="102">
        <v>7.6999999999999999E-2</v>
      </c>
      <c r="E70" s="102">
        <v>6.0999999999999999E-2</v>
      </c>
      <c r="F70" s="102">
        <v>4.4999999999999998E-2</v>
      </c>
      <c r="G70" s="262"/>
      <c r="H70" s="262"/>
      <c r="I70" s="262"/>
      <c r="J70" s="262"/>
      <c r="K70" s="262"/>
      <c r="L70" s="262"/>
      <c r="M70" s="261"/>
      <c r="N70" s="102"/>
      <c r="O70" s="102">
        <v>6.2E-2</v>
      </c>
      <c r="P70" s="262">
        <v>5.8000000000000003E-2</v>
      </c>
      <c r="Q70" s="262">
        <v>5.8000000000000003E-2</v>
      </c>
      <c r="R70" s="261">
        <f t="shared" si="116"/>
        <v>6.0999999999999999E-2</v>
      </c>
      <c r="S70" s="102">
        <v>3.7999999999999999E-2</v>
      </c>
      <c r="T70" s="262">
        <v>5.0999999999999997E-2</v>
      </c>
      <c r="U70" s="262">
        <v>4.9000000000000002E-2</v>
      </c>
      <c r="V70" s="261">
        <f t="shared" si="117"/>
        <v>4.4999999999999998E-2</v>
      </c>
      <c r="W70" s="102">
        <v>3.5999999999999997E-2</v>
      </c>
      <c r="X70" s="102">
        <v>7.6999999999999999E-2</v>
      </c>
      <c r="Y70" s="102">
        <v>7.1999999999999995E-2</v>
      </c>
      <c r="Z70" s="261"/>
      <c r="AA70" s="261"/>
      <c r="AB70" s="261"/>
      <c r="AC70" s="261"/>
      <c r="AD70" s="261"/>
      <c r="AE70" s="261"/>
      <c r="AF70" s="261"/>
      <c r="AG70" s="261"/>
      <c r="AH70" s="261"/>
      <c r="AI70" s="261"/>
      <c r="AJ70" s="261"/>
      <c r="AK70" s="261"/>
      <c r="AL70" s="261"/>
      <c r="AM70" s="261"/>
      <c r="AN70" s="261"/>
      <c r="AO70" s="261"/>
      <c r="AP70" s="261"/>
      <c r="AQ70" s="261"/>
      <c r="AR70" s="261"/>
      <c r="AS70" s="261"/>
      <c r="AT70" s="261"/>
      <c r="AU70" s="261"/>
      <c r="AV70" s="261"/>
    </row>
    <row r="71" spans="2:48">
      <c r="B71" s="96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9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97"/>
      <c r="AV71" s="97"/>
    </row>
    <row r="72" spans="2:48" s="2" customFormat="1" ht="15">
      <c r="B72" s="2" t="s">
        <v>409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</row>
    <row r="73" spans="2:48" ht="15">
      <c r="B73" s="101" t="s">
        <v>410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 s="146"/>
      <c r="W73"/>
      <c r="X73"/>
      <c r="Y73"/>
      <c r="Z73" s="146"/>
      <c r="AA73"/>
      <c r="AC73"/>
      <c r="AD73" s="146"/>
      <c r="AE73"/>
      <c r="AF73"/>
      <c r="AG73"/>
      <c r="AH73" s="146"/>
      <c r="AI73"/>
      <c r="AJ73"/>
      <c r="AK73"/>
      <c r="AL73" s="146"/>
      <c r="AM73"/>
      <c r="AN73"/>
      <c r="AO73"/>
      <c r="AP73" s="146"/>
      <c r="AQ73"/>
      <c r="AR73"/>
      <c r="AS73"/>
      <c r="AT73" s="146"/>
      <c r="AU73"/>
      <c r="AV73"/>
    </row>
    <row r="74" spans="2:48">
      <c r="B74" s="93" t="s">
        <v>401</v>
      </c>
      <c r="C74" s="97">
        <v>966</v>
      </c>
      <c r="D74" s="97">
        <v>1004</v>
      </c>
      <c r="E74" s="97">
        <v>836</v>
      </c>
      <c r="F74" s="97">
        <v>824</v>
      </c>
      <c r="G74" s="97">
        <v>844</v>
      </c>
      <c r="H74" s="97">
        <v>853</v>
      </c>
      <c r="I74" s="97">
        <v>766</v>
      </c>
      <c r="J74" s="261"/>
      <c r="K74" s="261"/>
      <c r="L74" s="261"/>
      <c r="M74" s="263"/>
      <c r="N74" s="100"/>
      <c r="O74" s="97">
        <v>809</v>
      </c>
      <c r="P74" s="97">
        <v>813</v>
      </c>
      <c r="Q74" s="97">
        <v>810</v>
      </c>
      <c r="R74" s="97">
        <v>843</v>
      </c>
      <c r="S74" s="97">
        <v>796</v>
      </c>
      <c r="T74" s="97">
        <v>813</v>
      </c>
      <c r="U74" s="97">
        <v>809</v>
      </c>
      <c r="V74" s="97">
        <v>806</v>
      </c>
      <c r="W74" s="97">
        <v>804</v>
      </c>
      <c r="X74" s="97">
        <v>816</v>
      </c>
      <c r="Y74" s="97">
        <v>804</v>
      </c>
      <c r="Z74" s="97">
        <v>828</v>
      </c>
      <c r="AA74" s="97">
        <v>819</v>
      </c>
      <c r="AB74" s="97">
        <v>823</v>
      </c>
      <c r="AC74" s="97">
        <v>825</v>
      </c>
      <c r="AD74" s="97">
        <v>798</v>
      </c>
      <c r="AE74" s="97">
        <v>786</v>
      </c>
      <c r="AF74" s="97">
        <v>723</v>
      </c>
      <c r="AG74" s="97">
        <v>699</v>
      </c>
      <c r="AH74" s="97">
        <v>705</v>
      </c>
      <c r="AI74" s="97">
        <v>678</v>
      </c>
      <c r="AJ74" s="97">
        <v>691</v>
      </c>
      <c r="AK74" s="97">
        <v>700</v>
      </c>
      <c r="AL74" s="97">
        <v>694</v>
      </c>
      <c r="AM74" s="97">
        <v>703</v>
      </c>
      <c r="AN74" s="97">
        <v>688</v>
      </c>
      <c r="AO74" s="97">
        <v>690</v>
      </c>
      <c r="AP74" s="97">
        <v>684</v>
      </c>
      <c r="AQ74" s="97">
        <v>670</v>
      </c>
      <c r="AR74" s="97">
        <v>659</v>
      </c>
      <c r="AS74" s="97">
        <v>655</v>
      </c>
      <c r="AT74" s="97">
        <v>683</v>
      </c>
      <c r="AU74" s="97">
        <v>677</v>
      </c>
      <c r="AV74" s="97">
        <v>687</v>
      </c>
    </row>
    <row r="75" spans="2:48">
      <c r="B75" s="93" t="s">
        <v>397</v>
      </c>
      <c r="C75" s="97">
        <v>117</v>
      </c>
      <c r="D75" s="97">
        <v>118</v>
      </c>
      <c r="E75" s="97">
        <v>130</v>
      </c>
      <c r="F75" s="97">
        <v>132</v>
      </c>
      <c r="G75" s="97">
        <v>133</v>
      </c>
      <c r="H75" s="97">
        <v>123</v>
      </c>
      <c r="I75" s="97">
        <v>123</v>
      </c>
      <c r="J75" s="261"/>
      <c r="K75" s="261"/>
      <c r="L75" s="261"/>
      <c r="M75" s="263"/>
      <c r="N75" s="100"/>
      <c r="O75" s="97">
        <v>112</v>
      </c>
      <c r="P75" s="97">
        <v>116</v>
      </c>
      <c r="Q75" s="97">
        <v>120</v>
      </c>
      <c r="R75" s="97">
        <v>123</v>
      </c>
      <c r="S75" s="97">
        <v>118</v>
      </c>
      <c r="T75" s="97">
        <v>118</v>
      </c>
      <c r="U75" s="97">
        <v>114</v>
      </c>
      <c r="V75" s="97">
        <v>114</v>
      </c>
      <c r="W75" s="97">
        <v>112</v>
      </c>
      <c r="X75" s="97">
        <v>110</v>
      </c>
      <c r="Y75" s="97">
        <v>116</v>
      </c>
      <c r="Z75" s="97">
        <v>113</v>
      </c>
      <c r="AA75" s="97">
        <v>104</v>
      </c>
      <c r="AB75" s="97">
        <v>104</v>
      </c>
      <c r="AC75" s="97">
        <v>104</v>
      </c>
      <c r="AD75" s="97">
        <v>105</v>
      </c>
      <c r="AE75" s="97">
        <v>99</v>
      </c>
      <c r="AF75" s="97">
        <v>104</v>
      </c>
      <c r="AG75" s="97">
        <v>106</v>
      </c>
      <c r="AH75" s="97">
        <v>109</v>
      </c>
      <c r="AI75" s="97">
        <v>107</v>
      </c>
      <c r="AJ75" s="97">
        <v>109</v>
      </c>
      <c r="AK75" s="97">
        <v>128</v>
      </c>
      <c r="AL75" s="97">
        <v>130</v>
      </c>
      <c r="AM75" s="97">
        <v>125</v>
      </c>
      <c r="AN75" s="97">
        <v>119</v>
      </c>
      <c r="AO75" s="97">
        <v>115</v>
      </c>
      <c r="AP75" s="97">
        <v>122</v>
      </c>
      <c r="AQ75" s="97">
        <v>121</v>
      </c>
      <c r="AR75" s="97">
        <v>118</v>
      </c>
      <c r="AS75" s="97">
        <v>120</v>
      </c>
      <c r="AT75" s="97">
        <v>125</v>
      </c>
      <c r="AU75" s="97">
        <v>118</v>
      </c>
      <c r="AV75" s="97">
        <v>119</v>
      </c>
    </row>
    <row r="76" spans="2:48">
      <c r="B76" s="93" t="s">
        <v>399</v>
      </c>
      <c r="C76" s="97">
        <v>82</v>
      </c>
      <c r="D76" s="97">
        <v>81</v>
      </c>
      <c r="E76" s="97">
        <v>79</v>
      </c>
      <c r="F76" s="97">
        <v>77</v>
      </c>
      <c r="G76" s="97">
        <v>91</v>
      </c>
      <c r="H76" s="97">
        <v>98</v>
      </c>
      <c r="I76" s="97">
        <v>97</v>
      </c>
      <c r="J76" s="261"/>
      <c r="K76" s="261"/>
      <c r="L76" s="261"/>
      <c r="M76" s="263"/>
      <c r="N76" s="100"/>
      <c r="O76" s="97">
        <v>73</v>
      </c>
      <c r="P76" s="97">
        <v>73</v>
      </c>
      <c r="Q76" s="97">
        <v>71</v>
      </c>
      <c r="R76" s="97">
        <v>69</v>
      </c>
      <c r="S76" s="97">
        <v>67</v>
      </c>
      <c r="T76" s="97">
        <v>67</v>
      </c>
      <c r="U76" s="97">
        <v>67</v>
      </c>
      <c r="V76" s="97">
        <v>74</v>
      </c>
      <c r="W76" s="97">
        <v>71</v>
      </c>
      <c r="X76" s="97">
        <v>76</v>
      </c>
      <c r="Y76" s="97">
        <v>84</v>
      </c>
      <c r="Z76" s="97">
        <v>86</v>
      </c>
      <c r="AA76" s="97">
        <v>83</v>
      </c>
      <c r="AB76" s="97">
        <v>85</v>
      </c>
      <c r="AC76" s="97">
        <v>84</v>
      </c>
      <c r="AD76" s="97">
        <v>85</v>
      </c>
      <c r="AE76" s="97">
        <v>82</v>
      </c>
      <c r="AF76" s="97">
        <v>86</v>
      </c>
      <c r="AG76" s="97">
        <v>85</v>
      </c>
      <c r="AH76" s="97">
        <v>86</v>
      </c>
      <c r="AI76" s="97">
        <v>86</v>
      </c>
      <c r="AJ76" s="97">
        <v>92</v>
      </c>
      <c r="AK76" s="97">
        <v>109</v>
      </c>
      <c r="AL76" s="97">
        <v>109</v>
      </c>
      <c r="AM76" s="97">
        <v>106</v>
      </c>
      <c r="AN76" s="97">
        <v>100</v>
      </c>
      <c r="AO76" s="97">
        <v>98</v>
      </c>
      <c r="AP76" s="97">
        <v>105</v>
      </c>
      <c r="AQ76" s="97">
        <v>103</v>
      </c>
      <c r="AR76" s="97">
        <v>102</v>
      </c>
      <c r="AS76" s="97">
        <v>100</v>
      </c>
      <c r="AT76" s="97">
        <v>103</v>
      </c>
      <c r="AU76" s="97">
        <v>99</v>
      </c>
      <c r="AV76" s="97">
        <v>98</v>
      </c>
    </row>
    <row r="77" spans="2:48">
      <c r="B77" s="93" t="s">
        <v>402</v>
      </c>
      <c r="C77" s="97">
        <v>443</v>
      </c>
      <c r="D77" s="97">
        <v>422</v>
      </c>
      <c r="E77" s="97">
        <v>403</v>
      </c>
      <c r="F77" s="97">
        <v>418</v>
      </c>
      <c r="G77" s="97">
        <v>386</v>
      </c>
      <c r="H77" s="97">
        <v>440</v>
      </c>
      <c r="I77" s="97">
        <v>570</v>
      </c>
      <c r="J77" s="261"/>
      <c r="K77" s="261"/>
      <c r="L77" s="261"/>
      <c r="M77" s="263"/>
      <c r="N77" s="100"/>
      <c r="O77" s="97">
        <v>382</v>
      </c>
      <c r="P77" s="97">
        <v>403</v>
      </c>
      <c r="Q77" s="97">
        <v>406</v>
      </c>
      <c r="R77" s="97">
        <v>414</v>
      </c>
      <c r="S77" s="97">
        <v>423</v>
      </c>
      <c r="T77" s="97">
        <v>418</v>
      </c>
      <c r="U77" s="97">
        <v>401</v>
      </c>
      <c r="V77" s="97">
        <v>403</v>
      </c>
      <c r="W77" s="97">
        <v>377</v>
      </c>
      <c r="X77" s="97">
        <v>386</v>
      </c>
      <c r="Y77" s="97">
        <v>362</v>
      </c>
      <c r="Z77" s="97">
        <v>376</v>
      </c>
      <c r="AA77" s="97">
        <v>407</v>
      </c>
      <c r="AB77" s="97">
        <v>387</v>
      </c>
      <c r="AC77" s="97">
        <v>445</v>
      </c>
      <c r="AD77" s="97">
        <v>475</v>
      </c>
      <c r="AE77" s="97">
        <v>440</v>
      </c>
      <c r="AF77" s="97">
        <v>580</v>
      </c>
      <c r="AG77" s="97">
        <v>458</v>
      </c>
      <c r="AH77" s="97">
        <v>581</v>
      </c>
      <c r="AI77" s="97">
        <v>547</v>
      </c>
      <c r="AJ77" s="97">
        <v>514</v>
      </c>
      <c r="AK77" s="97">
        <v>534</v>
      </c>
      <c r="AL77" s="97">
        <v>630</v>
      </c>
      <c r="AM77" s="264"/>
      <c r="AN77" s="264"/>
      <c r="AO77" s="264"/>
      <c r="AP77" s="264"/>
      <c r="AQ77" s="264"/>
      <c r="AR77" s="264"/>
      <c r="AS77" s="264"/>
      <c r="AT77" s="264"/>
      <c r="AU77" s="264"/>
      <c r="AV77" s="264"/>
    </row>
    <row r="78" spans="2:48">
      <c r="B78" s="93" t="s">
        <v>398</v>
      </c>
      <c r="C78" s="97">
        <v>90</v>
      </c>
      <c r="D78" s="97">
        <v>88</v>
      </c>
      <c r="E78" s="97">
        <v>89</v>
      </c>
      <c r="F78" s="97">
        <v>84</v>
      </c>
      <c r="G78" s="264"/>
      <c r="H78" s="264"/>
      <c r="I78" s="264"/>
      <c r="J78" s="264"/>
      <c r="K78" s="264"/>
      <c r="L78" s="264"/>
      <c r="M78" s="263"/>
      <c r="N78" s="100"/>
      <c r="O78" s="97">
        <v>80</v>
      </c>
      <c r="P78" s="97">
        <v>82</v>
      </c>
      <c r="Q78" s="97">
        <v>82</v>
      </c>
      <c r="R78" s="97">
        <v>82</v>
      </c>
      <c r="S78" s="97">
        <v>77</v>
      </c>
      <c r="T78" s="97">
        <v>73</v>
      </c>
      <c r="U78" s="97">
        <v>76</v>
      </c>
      <c r="V78" s="97">
        <v>75</v>
      </c>
      <c r="W78" s="97">
        <v>66</v>
      </c>
      <c r="X78" s="97">
        <v>67</v>
      </c>
      <c r="Y78" s="97">
        <v>79</v>
      </c>
      <c r="Z78" s="264"/>
      <c r="AA78" s="264"/>
      <c r="AB78" s="264"/>
      <c r="AC78" s="264"/>
      <c r="AD78" s="264"/>
      <c r="AE78" s="264"/>
      <c r="AF78" s="264"/>
      <c r="AG78" s="264"/>
      <c r="AH78" s="264"/>
      <c r="AI78" s="264"/>
      <c r="AJ78" s="264"/>
      <c r="AK78" s="264"/>
      <c r="AL78" s="264"/>
      <c r="AM78" s="264"/>
      <c r="AN78" s="264"/>
      <c r="AO78" s="264"/>
      <c r="AP78" s="264"/>
      <c r="AQ78" s="264"/>
      <c r="AR78" s="264"/>
      <c r="AS78" s="264"/>
      <c r="AT78" s="264"/>
      <c r="AU78" s="264"/>
      <c r="AV78" s="264"/>
    </row>
    <row r="79" spans="2:48" ht="15">
      <c r="B79" s="101" t="s">
        <v>411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pans="2:48">
      <c r="B80" s="96" t="s">
        <v>406</v>
      </c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100"/>
      <c r="O80" s="97">
        <v>1157</v>
      </c>
      <c r="P80" s="97">
        <v>1512</v>
      </c>
      <c r="Q80" s="97">
        <v>1300</v>
      </c>
      <c r="R80" s="97">
        <v>1315</v>
      </c>
      <c r="S80" s="97">
        <v>1341</v>
      </c>
      <c r="T80" s="97">
        <v>1358</v>
      </c>
      <c r="U80" s="97">
        <v>1352</v>
      </c>
      <c r="V80" s="97">
        <v>1373</v>
      </c>
      <c r="W80" s="97">
        <v>1329</v>
      </c>
      <c r="X80" s="97">
        <v>1372</v>
      </c>
      <c r="Y80" s="97">
        <v>1381</v>
      </c>
      <c r="Z80" s="97">
        <v>1398</v>
      </c>
      <c r="AA80" s="97">
        <v>1461</v>
      </c>
      <c r="AB80" s="97">
        <v>1480</v>
      </c>
      <c r="AC80" s="97">
        <v>1490</v>
      </c>
      <c r="AD80" s="97">
        <v>1359</v>
      </c>
      <c r="AE80" s="97">
        <v>1403</v>
      </c>
      <c r="AF80" s="97">
        <v>1445</v>
      </c>
      <c r="AG80" s="97">
        <v>1465</v>
      </c>
      <c r="AH80" s="97">
        <v>1444</v>
      </c>
      <c r="AI80" s="97">
        <v>1441</v>
      </c>
      <c r="AJ80" s="97">
        <v>1446</v>
      </c>
      <c r="AK80" s="97">
        <v>1451</v>
      </c>
      <c r="AL80" s="97">
        <v>1458</v>
      </c>
      <c r="AM80" s="264"/>
      <c r="AN80" s="264"/>
      <c r="AO80" s="264"/>
      <c r="AP80" s="264"/>
      <c r="AQ80" s="264"/>
      <c r="AR80" s="264"/>
      <c r="AS80" s="264"/>
      <c r="AT80" s="264"/>
      <c r="AU80" s="264"/>
      <c r="AV80" s="264"/>
    </row>
    <row r="81" spans="2:48">
      <c r="B81" s="96" t="s">
        <v>407</v>
      </c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100"/>
      <c r="O81" s="97">
        <v>844</v>
      </c>
      <c r="P81" s="97">
        <v>851</v>
      </c>
      <c r="Q81" s="97">
        <v>872</v>
      </c>
      <c r="R81" s="97">
        <v>860</v>
      </c>
      <c r="S81" s="97">
        <v>859</v>
      </c>
      <c r="T81" s="97">
        <v>870</v>
      </c>
      <c r="U81" s="97">
        <v>849</v>
      </c>
      <c r="V81" s="97">
        <v>845</v>
      </c>
      <c r="W81" s="97">
        <v>847</v>
      </c>
      <c r="X81" s="97">
        <v>644</v>
      </c>
      <c r="Y81" s="97">
        <v>578</v>
      </c>
      <c r="Z81" s="97">
        <v>496</v>
      </c>
      <c r="AA81" s="97">
        <v>415</v>
      </c>
      <c r="AB81" s="97">
        <v>381</v>
      </c>
      <c r="AC81" s="97">
        <v>326</v>
      </c>
      <c r="AD81" s="97">
        <v>280</v>
      </c>
      <c r="AE81" s="97">
        <v>244</v>
      </c>
      <c r="AF81" s="97">
        <v>237</v>
      </c>
      <c r="AG81" s="97">
        <v>225</v>
      </c>
      <c r="AH81" s="97">
        <v>224</v>
      </c>
      <c r="AI81" s="97">
        <v>212</v>
      </c>
      <c r="AJ81" s="97">
        <v>252</v>
      </c>
      <c r="AK81" s="97">
        <v>370</v>
      </c>
      <c r="AL81" s="97">
        <v>337</v>
      </c>
      <c r="AM81" s="264"/>
      <c r="AN81" s="264"/>
      <c r="AO81" s="264"/>
      <c r="AP81" s="264"/>
      <c r="AQ81" s="264"/>
      <c r="AR81" s="264"/>
      <c r="AS81" s="264"/>
      <c r="AT81" s="264"/>
      <c r="AU81" s="264"/>
      <c r="AV81" s="264"/>
    </row>
    <row r="82" spans="2:48">
      <c r="B82" s="96"/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100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264"/>
      <c r="AN82" s="264"/>
      <c r="AO82" s="264"/>
      <c r="AP82" s="264"/>
      <c r="AQ82" s="264"/>
      <c r="AR82" s="264"/>
      <c r="AS82" s="264"/>
      <c r="AT82" s="264"/>
      <c r="AU82" s="264"/>
      <c r="AV82" s="264"/>
    </row>
    <row r="83" spans="2:48">
      <c r="B83" s="101" t="s">
        <v>412</v>
      </c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100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>
        <v>1489</v>
      </c>
      <c r="AJ83" s="97">
        <v>1476</v>
      </c>
      <c r="AK83" s="97">
        <v>1511</v>
      </c>
      <c r="AL83" s="97">
        <v>1506</v>
      </c>
      <c r="AM83" s="97">
        <v>1496</v>
      </c>
      <c r="AN83" s="97">
        <v>1500</v>
      </c>
      <c r="AO83" s="97">
        <v>1490</v>
      </c>
      <c r="AP83" s="97">
        <v>1489</v>
      </c>
      <c r="AQ83" s="97">
        <v>1493</v>
      </c>
      <c r="AR83" s="97">
        <v>1470</v>
      </c>
      <c r="AS83" s="97">
        <v>1446</v>
      </c>
      <c r="AT83" s="97">
        <v>1405</v>
      </c>
      <c r="AU83" s="97">
        <v>1347</v>
      </c>
      <c r="AV83" s="97">
        <v>1324</v>
      </c>
    </row>
    <row r="84" spans="2:48">
      <c r="B84" s="96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100"/>
      <c r="N84" s="100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AA84" s="97"/>
      <c r="AC84" s="97"/>
      <c r="AE84" s="97"/>
      <c r="AF84" s="97"/>
      <c r="AG84" s="97"/>
      <c r="AI84" s="97"/>
      <c r="AJ84" s="97"/>
      <c r="AK84" s="97"/>
      <c r="AM84" s="97"/>
      <c r="AN84" s="97"/>
      <c r="AO84" s="97"/>
      <c r="AQ84" s="97"/>
      <c r="AR84" s="97"/>
      <c r="AS84" s="97"/>
      <c r="AU84" s="97"/>
      <c r="AV84" s="97"/>
    </row>
    <row r="85" spans="2:48" hidden="1" outlineLevel="1">
      <c r="B85" s="2" t="s">
        <v>409</v>
      </c>
    </row>
    <row r="86" spans="2:48" hidden="1" outlineLevel="1">
      <c r="B86" s="101" t="s">
        <v>413</v>
      </c>
    </row>
    <row r="87" spans="2:48" hidden="1" outlineLevel="1">
      <c r="B87" s="93" t="s">
        <v>400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AE87" s="172">
        <v>733</v>
      </c>
      <c r="AF87" s="172">
        <v>732</v>
      </c>
      <c r="AG87" s="172">
        <v>728</v>
      </c>
      <c r="AH87" s="172">
        <v>736</v>
      </c>
      <c r="AI87" s="172">
        <v>716</v>
      </c>
      <c r="AJ87" s="172">
        <v>726</v>
      </c>
      <c r="AK87" s="172">
        <v>736</v>
      </c>
      <c r="AL87" s="264"/>
      <c r="AM87" s="264"/>
      <c r="AN87" s="264"/>
      <c r="AO87" s="264"/>
      <c r="AP87" s="264"/>
      <c r="AQ87" s="264"/>
      <c r="AR87" s="264"/>
      <c r="AS87" s="264"/>
      <c r="AT87" s="264"/>
      <c r="AU87" s="264"/>
      <c r="AV87" s="264"/>
    </row>
    <row r="88" spans="2:48" hidden="1" outlineLevel="1">
      <c r="B88" s="93" t="s">
        <v>397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AE88" s="172">
        <v>116</v>
      </c>
      <c r="AF88" s="172">
        <v>123</v>
      </c>
      <c r="AG88" s="172">
        <v>125</v>
      </c>
      <c r="AH88" s="172">
        <v>128</v>
      </c>
      <c r="AI88" s="172">
        <v>124</v>
      </c>
      <c r="AJ88" s="172">
        <v>124</v>
      </c>
      <c r="AK88" s="172">
        <v>145</v>
      </c>
      <c r="AL88" s="264"/>
      <c r="AM88" s="264"/>
      <c r="AN88" s="264"/>
      <c r="AO88" s="264"/>
      <c r="AP88" s="264"/>
      <c r="AQ88" s="264"/>
      <c r="AR88" s="264"/>
      <c r="AS88" s="264"/>
      <c r="AT88" s="264"/>
      <c r="AU88" s="264"/>
      <c r="AV88" s="264"/>
    </row>
    <row r="89" spans="2:48" hidden="1" outlineLevel="1">
      <c r="B89" s="93" t="s">
        <v>399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AE89" s="172">
        <v>94</v>
      </c>
      <c r="AF89" s="172">
        <v>99</v>
      </c>
      <c r="AG89" s="172">
        <v>97</v>
      </c>
      <c r="AH89" s="172">
        <v>98</v>
      </c>
      <c r="AI89" s="172">
        <v>96</v>
      </c>
      <c r="AJ89" s="172">
        <v>102</v>
      </c>
      <c r="AK89" s="172">
        <v>121</v>
      </c>
      <c r="AL89" s="264"/>
      <c r="AM89" s="264"/>
      <c r="AN89" s="264"/>
      <c r="AO89" s="264"/>
      <c r="AP89" s="264"/>
      <c r="AQ89" s="264"/>
      <c r="AR89" s="264"/>
      <c r="AS89" s="264"/>
      <c r="AT89" s="264"/>
      <c r="AU89" s="264"/>
      <c r="AV89" s="264"/>
    </row>
    <row r="90" spans="2:48" hidden="1" outlineLevel="1">
      <c r="B90" s="101" t="s">
        <v>414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</row>
    <row r="91" spans="2:48" hidden="1" outlineLevel="1">
      <c r="B91" s="96" t="s">
        <v>406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AE91" s="172">
        <v>1403</v>
      </c>
      <c r="AF91" s="172">
        <v>1445</v>
      </c>
      <c r="AG91" s="172">
        <v>1466</v>
      </c>
      <c r="AH91" s="172">
        <v>1444</v>
      </c>
      <c r="AI91" s="172">
        <v>1441</v>
      </c>
      <c r="AJ91" s="172">
        <v>1446</v>
      </c>
      <c r="AK91" s="172">
        <v>1451</v>
      </c>
      <c r="AL91" s="264"/>
      <c r="AM91" s="264"/>
      <c r="AN91" s="264"/>
      <c r="AO91" s="264"/>
      <c r="AP91" s="264"/>
      <c r="AQ91" s="264"/>
      <c r="AR91" s="264"/>
      <c r="AS91" s="264"/>
      <c r="AT91" s="264"/>
      <c r="AU91" s="264"/>
      <c r="AV91" s="264"/>
    </row>
    <row r="92" spans="2:48" hidden="1" outlineLevel="1">
      <c r="B92" s="96" t="s">
        <v>407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AE92" s="172">
        <v>266</v>
      </c>
      <c r="AF92" s="172">
        <v>259</v>
      </c>
      <c r="AG92" s="172">
        <v>245</v>
      </c>
      <c r="AH92" s="172">
        <v>244</v>
      </c>
      <c r="AI92" s="172">
        <v>230</v>
      </c>
      <c r="AJ92" s="172">
        <v>273</v>
      </c>
      <c r="AK92" s="172">
        <v>400</v>
      </c>
      <c r="AL92" s="264"/>
      <c r="AM92" s="264"/>
      <c r="AN92" s="264"/>
      <c r="AO92" s="264"/>
      <c r="AP92" s="264"/>
      <c r="AQ92" s="264"/>
      <c r="AR92" s="264"/>
      <c r="AS92" s="264"/>
      <c r="AT92" s="264"/>
      <c r="AU92" s="264"/>
      <c r="AV92" s="264"/>
    </row>
    <row r="93" spans="2:48" collapsed="1"/>
  </sheetData>
  <phoneticPr fontId="24" type="noConversion"/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N43:AH43 R54:AH54 R61:AH61 C43:I43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56BE92-ECCD-4E4E-9D60-8CB75C628C46}"/>
</file>

<file path=customXml/itemProps2.xml><?xml version="1.0" encoding="utf-8"?>
<ds:datastoreItem xmlns:ds="http://schemas.openxmlformats.org/officeDocument/2006/customXml" ds:itemID="{26CEAB0C-3BCA-4534-9FA4-BAC09EBD7876}"/>
</file>

<file path=customXml/itemProps3.xml><?xml version="1.0" encoding="utf-8"?>
<ds:datastoreItem xmlns:ds="http://schemas.openxmlformats.org/officeDocument/2006/customXml" ds:itemID="{8484FAEC-379B-4DEA-8AF1-A25D4F918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Crisil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Meghana Ramesh Gollapudi</dc:creator>
  <cp:keywords/>
  <dc:description/>
  <cp:lastModifiedBy/>
  <cp:revision/>
  <dcterms:created xsi:type="dcterms:W3CDTF">2020-06-15T10:20:42Z</dcterms:created>
  <dcterms:modified xsi:type="dcterms:W3CDTF">2026-10-23T14:53:13Z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{9EB784F8-DF11-4EE9-9D3F-FACD12083C18}</vt:lpwstr>
  </property>
  <property fmtid="{D5CDD505-2E9C-101B-9397-08002B2CF9AE}" pid="3" name="WorkbookGuid">
    <vt:lpwstr>d758cc41-aa6f-484b-ae55-6d6a8e00d3d7</vt:lpwstr>
  </property>
  <property fmtid="{D5CDD505-2E9C-101B-9397-08002B2CF9AE}" pid="4" name="MSIP_Label_8c63c790-1b4f-473b-b88f-a693ca173b52_Enabled">
    <vt:lpwstr>true</vt:lpwstr>
  </property>
  <property fmtid="{D5CDD505-2E9C-101B-9397-08002B2CF9AE}" pid="5" name="MSIP_Label_8c63c790-1b4f-473b-b88f-a693ca173b52_SetDate">
    <vt:lpwstr>2021-11-25T07:52:54Z</vt:lpwstr>
  </property>
  <property fmtid="{D5CDD505-2E9C-101B-9397-08002B2CF9AE}" pid="6" name="MSIP_Label_8c63c790-1b4f-473b-b88f-a693ca173b52_Method">
    <vt:lpwstr>Privileged</vt:lpwstr>
  </property>
  <property fmtid="{D5CDD505-2E9C-101B-9397-08002B2CF9AE}" pid="7" name="MSIP_Label_8c63c790-1b4f-473b-b88f-a693ca173b52_Name">
    <vt:lpwstr>Internal</vt:lpwstr>
  </property>
  <property fmtid="{D5CDD505-2E9C-101B-9397-08002B2CF9AE}" pid="8" name="MSIP_Label_8c63c790-1b4f-473b-b88f-a693ca173b52_SiteId">
    <vt:lpwstr>4d8b04bf-7a7c-48a0-b6e3-38da5008297e</vt:lpwstr>
  </property>
  <property fmtid="{D5CDD505-2E9C-101B-9397-08002B2CF9AE}" pid="9" name="MSIP_Label_8c63c790-1b4f-473b-b88f-a693ca173b52_ActionId">
    <vt:lpwstr>8cc39c95-d847-4607-b80a-79e1f4051639</vt:lpwstr>
  </property>
  <property fmtid="{D5CDD505-2E9C-101B-9397-08002B2CF9AE}" pid="10" name="MSIP_Label_8c63c790-1b4f-473b-b88f-a693ca173b52_ContentBits">
    <vt:lpwstr>0</vt:lpwstr>
  </property>
  <property fmtid="{D5CDD505-2E9C-101B-9397-08002B2CF9AE}" pid="11" name="ContentTypeId">
    <vt:lpwstr>0x0101003A00EECCAA3DB94895FACE15614ECBE0</vt:lpwstr>
  </property>
  <property fmtid="{D5CDD505-2E9C-101B-9397-08002B2CF9AE}" pid="12" name="MSIP_Label_e23aaa83-1940-48a9-a4d6-4a193a1929ec_Enabled">
    <vt:lpwstr>true</vt:lpwstr>
  </property>
  <property fmtid="{D5CDD505-2E9C-101B-9397-08002B2CF9AE}" pid="13" name="MSIP_Label_e23aaa83-1940-48a9-a4d6-4a193a1929ec_SetDate">
    <vt:lpwstr>2026-10-23T14:52:33Z</vt:lpwstr>
  </property>
  <property fmtid="{D5CDD505-2E9C-101B-9397-08002B2CF9AE}" pid="14" name="MSIP_Label_e23aaa83-1940-48a9-a4d6-4a193a1929ec_Method">
    <vt:lpwstr>Standard</vt:lpwstr>
  </property>
  <property fmtid="{D5CDD505-2E9C-101B-9397-08002B2CF9AE}" pid="15" name="MSIP_Label_e23aaa83-1940-48a9-a4d6-4a193a1929ec_Name">
    <vt:lpwstr>Corporate</vt:lpwstr>
  </property>
  <property fmtid="{D5CDD505-2E9C-101B-9397-08002B2CF9AE}" pid="16" name="MSIP_Label_e23aaa83-1940-48a9-a4d6-4a193a1929ec_SiteId">
    <vt:lpwstr>ce78e7b0-e32a-4428-9390-1c2ec8a59c47</vt:lpwstr>
  </property>
  <property fmtid="{D5CDD505-2E9C-101B-9397-08002B2CF9AE}" pid="17" name="MSIP_Label_e23aaa83-1940-48a9-a4d6-4a193a1929ec_ActionId">
    <vt:lpwstr>d536874d-323b-4ce3-ac41-a9a04bedc9cc</vt:lpwstr>
  </property>
  <property fmtid="{D5CDD505-2E9C-101B-9397-08002B2CF9AE}" pid="18" name="MSIP_Label_e23aaa83-1940-48a9-a4d6-4a193a1929ec_ContentBits">
    <vt:lpwstr>2</vt:lpwstr>
  </property>
  <property fmtid="{D5CDD505-2E9C-101B-9397-08002B2CF9AE}" pid="19" name="MSIP_Label_e23aaa83-1940-48a9-a4d6-4a193a1929ec_Tag">
    <vt:lpwstr>10, 3, 0, 2</vt:lpwstr>
  </property>
</Properties>
</file>