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enyong\Documents\GitHub\ffanalytics\"/>
    </mc:Choice>
  </mc:AlternateContent>
  <bookViews>
    <workbookView xWindow="0" yWindow="0" windowWidth="17220" windowHeight="6705" activeTab="6"/>
  </bookViews>
  <sheets>
    <sheet name="TeamEff" sheetId="1" r:id="rId1"/>
    <sheet name="TeamDef" sheetId="2" r:id="rId2"/>
    <sheet name="QB" sheetId="3" r:id="rId3"/>
    <sheet name="RB" sheetId="4" r:id="rId4"/>
    <sheet name="WR" sheetId="5" r:id="rId5"/>
    <sheet name="TE" sheetId="6" r:id="rId6"/>
    <sheet name="OffDrive" sheetId="7" r:id="rId7"/>
  </sheets>
  <definedNames>
    <definedName name="_xlnm._FilterDatabase" localSheetId="6" hidden="1">OffDrive!$A$1:$Z$34</definedName>
  </definedNames>
  <calcPr calcId="162913"/>
</workbook>
</file>

<file path=xl/calcChain.xml><?xml version="1.0" encoding="utf-8"?>
<calcChain xmlns="http://schemas.openxmlformats.org/spreadsheetml/2006/main">
  <c r="T34" i="7" l="1"/>
  <c r="S34" i="7"/>
  <c r="K34" i="7"/>
  <c r="C34" i="7"/>
  <c r="O33" i="7"/>
  <c r="G33" i="7"/>
  <c r="S32" i="7"/>
  <c r="K32" i="7"/>
  <c r="C32" i="7"/>
  <c r="O31" i="7"/>
  <c r="G31" i="7"/>
  <c r="S30" i="7"/>
  <c r="K30" i="7"/>
  <c r="C30" i="7"/>
  <c r="O29" i="7"/>
  <c r="G29" i="7"/>
  <c r="S28" i="7"/>
  <c r="K28" i="7"/>
  <c r="C28" i="7"/>
  <c r="O27" i="7"/>
  <c r="G27" i="7"/>
  <c r="S26" i="7"/>
  <c r="K26" i="7"/>
  <c r="C26" i="7"/>
  <c r="O25" i="7"/>
  <c r="G25" i="7"/>
  <c r="S24" i="7"/>
  <c r="K24" i="7"/>
  <c r="C24" i="7"/>
  <c r="O23" i="7"/>
  <c r="G23" i="7"/>
  <c r="S22" i="7"/>
  <c r="K22" i="7"/>
  <c r="C22" i="7"/>
  <c r="O21" i="7"/>
  <c r="G21" i="7"/>
  <c r="S20" i="7"/>
  <c r="K20" i="7"/>
  <c r="C20" i="7"/>
  <c r="O19" i="7"/>
  <c r="G19" i="7"/>
  <c r="S18" i="7"/>
  <c r="K18" i="7"/>
  <c r="C18" i="7"/>
  <c r="O17" i="7"/>
  <c r="G17" i="7"/>
  <c r="S16" i="7"/>
  <c r="K16" i="7"/>
  <c r="C16" i="7"/>
  <c r="O15" i="7"/>
  <c r="G15" i="7"/>
  <c r="S14" i="7"/>
  <c r="K14" i="7"/>
  <c r="C14" i="7"/>
  <c r="O13" i="7"/>
  <c r="G13" i="7"/>
  <c r="S12" i="7"/>
  <c r="K12" i="7"/>
  <c r="C12" i="7"/>
  <c r="O11" i="7"/>
  <c r="G11" i="7"/>
  <c r="S10" i="7"/>
  <c r="K10" i="7"/>
  <c r="C10" i="7"/>
  <c r="O9" i="7"/>
  <c r="G9" i="7"/>
  <c r="S8" i="7"/>
  <c r="K8" i="7"/>
  <c r="C8" i="7"/>
  <c r="O7" i="7"/>
  <c r="G7" i="7"/>
  <c r="S6" i="7"/>
  <c r="K6" i="7"/>
  <c r="C6" i="7"/>
  <c r="O5" i="7"/>
  <c r="G5" i="7"/>
  <c r="S4" i="7"/>
  <c r="K4" i="7"/>
  <c r="C4" i="7"/>
  <c r="O3" i="7"/>
  <c r="G3" i="7"/>
  <c r="S2" i="7"/>
  <c r="K2" i="7"/>
  <c r="C2" i="7"/>
  <c r="O1" i="7"/>
  <c r="G1" i="7"/>
  <c r="L33" i="6"/>
  <c r="D33" i="6"/>
  <c r="I32" i="6"/>
  <c r="A32" i="6"/>
  <c r="F31" i="6"/>
  <c r="K30" i="6"/>
  <c r="C30" i="6"/>
  <c r="H29" i="6"/>
  <c r="M28" i="6"/>
  <c r="E28" i="6"/>
  <c r="J27" i="6"/>
  <c r="B27" i="6"/>
  <c r="G26" i="6"/>
  <c r="L25" i="6"/>
  <c r="D25" i="6"/>
  <c r="I24" i="6"/>
  <c r="A24" i="6"/>
  <c r="F23" i="6"/>
  <c r="K22" i="6"/>
  <c r="C22" i="6"/>
  <c r="H21" i="6"/>
  <c r="M20" i="6"/>
  <c r="E20" i="6"/>
  <c r="J19" i="6"/>
  <c r="B19" i="6"/>
  <c r="G18" i="6"/>
  <c r="L17" i="6"/>
  <c r="D17" i="6"/>
  <c r="I16" i="6"/>
  <c r="A16" i="6"/>
  <c r="F15" i="6"/>
  <c r="K14" i="6"/>
  <c r="C14" i="6"/>
  <c r="H13" i="6"/>
  <c r="M12" i="6"/>
  <c r="E12" i="6"/>
  <c r="J11" i="6"/>
  <c r="B11" i="6"/>
  <c r="G10" i="6"/>
  <c r="L9" i="6"/>
  <c r="D9" i="6"/>
  <c r="I8" i="6"/>
  <c r="R34" i="7"/>
  <c r="J34" i="7"/>
  <c r="B34" i="7"/>
  <c r="N33" i="7"/>
  <c r="F33" i="7"/>
  <c r="R32" i="7"/>
  <c r="J32" i="7"/>
  <c r="B32" i="7"/>
  <c r="N31" i="7"/>
  <c r="F31" i="7"/>
  <c r="R30" i="7"/>
  <c r="J30" i="7"/>
  <c r="B30" i="7"/>
  <c r="N29" i="7"/>
  <c r="F29" i="7"/>
  <c r="R28" i="7"/>
  <c r="J28" i="7"/>
  <c r="B28" i="7"/>
  <c r="N27" i="7"/>
  <c r="F27" i="7"/>
  <c r="R26" i="7"/>
  <c r="J26" i="7"/>
  <c r="B26" i="7"/>
  <c r="N25" i="7"/>
  <c r="F25" i="7"/>
  <c r="R24" i="7"/>
  <c r="J24" i="7"/>
  <c r="B24" i="7"/>
  <c r="N23" i="7"/>
  <c r="F23" i="7"/>
  <c r="R22" i="7"/>
  <c r="J22" i="7"/>
  <c r="B22" i="7"/>
  <c r="N21" i="7"/>
  <c r="F21" i="7"/>
  <c r="R20" i="7"/>
  <c r="J20" i="7"/>
  <c r="B20" i="7"/>
  <c r="N19" i="7"/>
  <c r="F19" i="7"/>
  <c r="R18" i="7"/>
  <c r="J18" i="7"/>
  <c r="B18" i="7"/>
  <c r="N17" i="7"/>
  <c r="F17" i="7"/>
  <c r="R16" i="7"/>
  <c r="J16" i="7"/>
  <c r="B16" i="7"/>
  <c r="N15" i="7"/>
  <c r="F15" i="7"/>
  <c r="R14" i="7"/>
  <c r="J14" i="7"/>
  <c r="B14" i="7"/>
  <c r="N13" i="7"/>
  <c r="F13" i="7"/>
  <c r="R12" i="7"/>
  <c r="J12" i="7"/>
  <c r="B12" i="7"/>
  <c r="N11" i="7"/>
  <c r="F11" i="7"/>
  <c r="R10" i="7"/>
  <c r="J10" i="7"/>
  <c r="B10" i="7"/>
  <c r="N9" i="7"/>
  <c r="F9" i="7"/>
  <c r="R8" i="7"/>
  <c r="J8" i="7"/>
  <c r="B8" i="7"/>
  <c r="N7" i="7"/>
  <c r="F7" i="7"/>
  <c r="R6" i="7"/>
  <c r="J6" i="7"/>
  <c r="B6" i="7"/>
  <c r="N5" i="7"/>
  <c r="F5" i="7"/>
  <c r="R4" i="7"/>
  <c r="J4" i="7"/>
  <c r="B4" i="7"/>
  <c r="N3" i="7"/>
  <c r="F3" i="7"/>
  <c r="R2" i="7"/>
  <c r="J2" i="7"/>
  <c r="B2" i="7"/>
  <c r="N1" i="7"/>
  <c r="F1" i="7"/>
  <c r="K33" i="6"/>
  <c r="C33" i="6"/>
  <c r="H32" i="6"/>
  <c r="M31" i="6"/>
  <c r="E31" i="6"/>
  <c r="J30" i="6"/>
  <c r="B30" i="6"/>
  <c r="G29" i="6"/>
  <c r="L28" i="6"/>
  <c r="D28" i="6"/>
  <c r="I27" i="6"/>
  <c r="A27" i="6"/>
  <c r="F26" i="6"/>
  <c r="K25" i="6"/>
  <c r="C25" i="6"/>
  <c r="H24" i="6"/>
  <c r="M23" i="6"/>
  <c r="E23" i="6"/>
  <c r="J22" i="6"/>
  <c r="B22" i="6"/>
  <c r="G21" i="6"/>
  <c r="L20" i="6"/>
  <c r="D20" i="6"/>
  <c r="I19" i="6"/>
  <c r="A19" i="6"/>
  <c r="F18" i="6"/>
  <c r="K17" i="6"/>
  <c r="C17" i="6"/>
  <c r="H16" i="6"/>
  <c r="M15" i="6"/>
  <c r="E15" i="6"/>
  <c r="J14" i="6"/>
  <c r="B14" i="6"/>
  <c r="G13" i="6"/>
  <c r="L12" i="6"/>
  <c r="D12" i="6"/>
  <c r="I11" i="6"/>
  <c r="A11" i="6"/>
  <c r="F10" i="6"/>
  <c r="K9" i="6"/>
  <c r="Q34" i="7"/>
  <c r="I34" i="7"/>
  <c r="A34" i="7"/>
  <c r="M33" i="7"/>
  <c r="E33" i="7"/>
  <c r="Q32" i="7"/>
  <c r="I32" i="7"/>
  <c r="A32" i="7"/>
  <c r="M31" i="7"/>
  <c r="E31" i="7"/>
  <c r="Q30" i="7"/>
  <c r="I30" i="7"/>
  <c r="A30" i="7"/>
  <c r="M29" i="7"/>
  <c r="E29" i="7"/>
  <c r="Q28" i="7"/>
  <c r="I28" i="7"/>
  <c r="A28" i="7"/>
  <c r="M27" i="7"/>
  <c r="E27" i="7"/>
  <c r="Q26" i="7"/>
  <c r="I26" i="7"/>
  <c r="A26" i="7"/>
  <c r="M25" i="7"/>
  <c r="E25" i="7"/>
  <c r="Q24" i="7"/>
  <c r="I24" i="7"/>
  <c r="A24" i="7"/>
  <c r="M23" i="7"/>
  <c r="E23" i="7"/>
  <c r="Q22" i="7"/>
  <c r="I22" i="7"/>
  <c r="A22" i="7"/>
  <c r="M21" i="7"/>
  <c r="E21" i="7"/>
  <c r="Q20" i="7"/>
  <c r="I20" i="7"/>
  <c r="A20" i="7"/>
  <c r="M19" i="7"/>
  <c r="E19" i="7"/>
  <c r="Q18" i="7"/>
  <c r="I18" i="7"/>
  <c r="A18" i="7"/>
  <c r="M17" i="7"/>
  <c r="E17" i="7"/>
  <c r="Q16" i="7"/>
  <c r="I16" i="7"/>
  <c r="A16" i="7"/>
  <c r="M15" i="7"/>
  <c r="E15" i="7"/>
  <c r="Q14" i="7"/>
  <c r="I14" i="7"/>
  <c r="A14" i="7"/>
  <c r="M13" i="7"/>
  <c r="E13" i="7"/>
  <c r="Q12" i="7"/>
  <c r="I12" i="7"/>
  <c r="A12" i="7"/>
  <c r="M11" i="7"/>
  <c r="E11" i="7"/>
  <c r="Q10" i="7"/>
  <c r="I10" i="7"/>
  <c r="A10" i="7"/>
  <c r="M9" i="7"/>
  <c r="E9" i="7"/>
  <c r="Q8" i="7"/>
  <c r="I8" i="7"/>
  <c r="A8" i="7"/>
  <c r="M7" i="7"/>
  <c r="E7" i="7"/>
  <c r="Q6" i="7"/>
  <c r="I6" i="7"/>
  <c r="A6" i="7"/>
  <c r="M5" i="7"/>
  <c r="E5" i="7"/>
  <c r="Q4" i="7"/>
  <c r="I4" i="7"/>
  <c r="A4" i="7"/>
  <c r="M3" i="7"/>
  <c r="E3" i="7"/>
  <c r="Q2" i="7"/>
  <c r="I2" i="7"/>
  <c r="A2" i="7"/>
  <c r="M1" i="7"/>
  <c r="E1" i="7"/>
  <c r="J33" i="6"/>
  <c r="B33" i="6"/>
  <c r="G32" i="6"/>
  <c r="L31" i="6"/>
  <c r="D31" i="6"/>
  <c r="I30" i="6"/>
  <c r="A30" i="6"/>
  <c r="F29" i="6"/>
  <c r="K28" i="6"/>
  <c r="C28" i="6"/>
  <c r="H27" i="6"/>
  <c r="M26" i="6"/>
  <c r="E26" i="6"/>
  <c r="J25" i="6"/>
  <c r="B25" i="6"/>
  <c r="G24" i="6"/>
  <c r="L23" i="6"/>
  <c r="D23" i="6"/>
  <c r="I22" i="6"/>
  <c r="A22" i="6"/>
  <c r="F21" i="6"/>
  <c r="K20" i="6"/>
  <c r="C20" i="6"/>
  <c r="H19" i="6"/>
  <c r="M18" i="6"/>
  <c r="E18" i="6"/>
  <c r="J17" i="6"/>
  <c r="B17" i="6"/>
  <c r="G16" i="6"/>
  <c r="L15" i="6"/>
  <c r="D15" i="6"/>
  <c r="I14" i="6"/>
  <c r="A14" i="6"/>
  <c r="F13" i="6"/>
  <c r="K12" i="6"/>
  <c r="C12" i="6"/>
  <c r="H11" i="6"/>
  <c r="M10" i="6"/>
  <c r="P34" i="7"/>
  <c r="H34" i="7"/>
  <c r="T33" i="7"/>
  <c r="L33" i="7"/>
  <c r="D33" i="7"/>
  <c r="P32" i="7"/>
  <c r="H32" i="7"/>
  <c r="T31" i="7"/>
  <c r="L31" i="7"/>
  <c r="D31" i="7"/>
  <c r="P30" i="7"/>
  <c r="H30" i="7"/>
  <c r="T29" i="7"/>
  <c r="L29" i="7"/>
  <c r="D29" i="7"/>
  <c r="P28" i="7"/>
  <c r="H28" i="7"/>
  <c r="T27" i="7"/>
  <c r="L27" i="7"/>
  <c r="D27" i="7"/>
  <c r="P26" i="7"/>
  <c r="H26" i="7"/>
  <c r="T25" i="7"/>
  <c r="L25" i="7"/>
  <c r="D25" i="7"/>
  <c r="P24" i="7"/>
  <c r="H24" i="7"/>
  <c r="T23" i="7"/>
  <c r="L23" i="7"/>
  <c r="D23" i="7"/>
  <c r="P22" i="7"/>
  <c r="H22" i="7"/>
  <c r="T21" i="7"/>
  <c r="L21" i="7"/>
  <c r="D21" i="7"/>
  <c r="P20" i="7"/>
  <c r="H20" i="7"/>
  <c r="T19" i="7"/>
  <c r="L19" i="7"/>
  <c r="D19" i="7"/>
  <c r="P18" i="7"/>
  <c r="H18" i="7"/>
  <c r="T17" i="7"/>
  <c r="L17" i="7"/>
  <c r="D17" i="7"/>
  <c r="P16" i="7"/>
  <c r="H16" i="7"/>
  <c r="T15" i="7"/>
  <c r="L15" i="7"/>
  <c r="D15" i="7"/>
  <c r="P14" i="7"/>
  <c r="H14" i="7"/>
  <c r="T13" i="7"/>
  <c r="L13" i="7"/>
  <c r="D13" i="7"/>
  <c r="P12" i="7"/>
  <c r="H12" i="7"/>
  <c r="T11" i="7"/>
  <c r="L11" i="7"/>
  <c r="D11" i="7"/>
  <c r="P10" i="7"/>
  <c r="H10" i="7"/>
  <c r="T9" i="7"/>
  <c r="L9" i="7"/>
  <c r="D9" i="7"/>
  <c r="P8" i="7"/>
  <c r="H8" i="7"/>
  <c r="T7" i="7"/>
  <c r="L7" i="7"/>
  <c r="D7" i="7"/>
  <c r="P6" i="7"/>
  <c r="H6" i="7"/>
  <c r="T5" i="7"/>
  <c r="L5" i="7"/>
  <c r="D5" i="7"/>
  <c r="P4" i="7"/>
  <c r="H4" i="7"/>
  <c r="T3" i="7"/>
  <c r="L3" i="7"/>
  <c r="D3" i="7"/>
  <c r="P2" i="7"/>
  <c r="H2" i="7"/>
  <c r="T1" i="7"/>
  <c r="L1" i="7"/>
  <c r="D1" i="7"/>
  <c r="I33" i="6"/>
  <c r="A33" i="6"/>
  <c r="F32" i="6"/>
  <c r="K31" i="6"/>
  <c r="C31" i="6"/>
  <c r="H30" i="6"/>
  <c r="M29" i="6"/>
  <c r="E29" i="6"/>
  <c r="J28" i="6"/>
  <c r="B28" i="6"/>
  <c r="G27" i="6"/>
  <c r="L26" i="6"/>
  <c r="D26" i="6"/>
  <c r="I25" i="6"/>
  <c r="A25" i="6"/>
  <c r="F24" i="6"/>
  <c r="K23" i="6"/>
  <c r="C23" i="6"/>
  <c r="H22" i="6"/>
  <c r="M21" i="6"/>
  <c r="E21" i="6"/>
  <c r="J20" i="6"/>
  <c r="B20" i="6"/>
  <c r="G19" i="6"/>
  <c r="L18" i="6"/>
  <c r="D18" i="6"/>
  <c r="I17" i="6"/>
  <c r="A17" i="6"/>
  <c r="F16" i="6"/>
  <c r="K15" i="6"/>
  <c r="C15" i="6"/>
  <c r="H14" i="6"/>
  <c r="M13" i="6"/>
  <c r="E13" i="6"/>
  <c r="J12" i="6"/>
  <c r="B12" i="6"/>
  <c r="G11" i="6"/>
  <c r="L10" i="6"/>
  <c r="D10" i="6"/>
  <c r="O34" i="7"/>
  <c r="G34" i="7"/>
  <c r="S33" i="7"/>
  <c r="K33" i="7"/>
  <c r="C33" i="7"/>
  <c r="O32" i="7"/>
  <c r="G32" i="7"/>
  <c r="S31" i="7"/>
  <c r="K31" i="7"/>
  <c r="C31" i="7"/>
  <c r="O30" i="7"/>
  <c r="G30" i="7"/>
  <c r="S29" i="7"/>
  <c r="K29" i="7"/>
  <c r="C29" i="7"/>
  <c r="O28" i="7"/>
  <c r="G28" i="7"/>
  <c r="S27" i="7"/>
  <c r="K27" i="7"/>
  <c r="C27" i="7"/>
  <c r="O26" i="7"/>
  <c r="G26" i="7"/>
  <c r="S25" i="7"/>
  <c r="K25" i="7"/>
  <c r="C25" i="7"/>
  <c r="O24" i="7"/>
  <c r="G24" i="7"/>
  <c r="S23" i="7"/>
  <c r="K23" i="7"/>
  <c r="C23" i="7"/>
  <c r="O22" i="7"/>
  <c r="G22" i="7"/>
  <c r="S21" i="7"/>
  <c r="K21" i="7"/>
  <c r="C21" i="7"/>
  <c r="O20" i="7"/>
  <c r="G20" i="7"/>
  <c r="S19" i="7"/>
  <c r="K19" i="7"/>
  <c r="C19" i="7"/>
  <c r="O18" i="7"/>
  <c r="G18" i="7"/>
  <c r="S17" i="7"/>
  <c r="K17" i="7"/>
  <c r="C17" i="7"/>
  <c r="O16" i="7"/>
  <c r="G16" i="7"/>
  <c r="S15" i="7"/>
  <c r="K15" i="7"/>
  <c r="C15" i="7"/>
  <c r="O14" i="7"/>
  <c r="G14" i="7"/>
  <c r="S13" i="7"/>
  <c r="K13" i="7"/>
  <c r="C13" i="7"/>
  <c r="O12" i="7"/>
  <c r="G12" i="7"/>
  <c r="S11" i="7"/>
  <c r="K11" i="7"/>
  <c r="C11" i="7"/>
  <c r="O10" i="7"/>
  <c r="G10" i="7"/>
  <c r="S9" i="7"/>
  <c r="K9" i="7"/>
  <c r="C9" i="7"/>
  <c r="O8" i="7"/>
  <c r="G8" i="7"/>
  <c r="S7" i="7"/>
  <c r="K7" i="7"/>
  <c r="C7" i="7"/>
  <c r="O6" i="7"/>
  <c r="G6" i="7"/>
  <c r="S5" i="7"/>
  <c r="K5" i="7"/>
  <c r="C5" i="7"/>
  <c r="O4" i="7"/>
  <c r="G4" i="7"/>
  <c r="S3" i="7"/>
  <c r="K3" i="7"/>
  <c r="C3" i="7"/>
  <c r="O2" i="7"/>
  <c r="G2" i="7"/>
  <c r="S1" i="7"/>
  <c r="K1" i="7"/>
  <c r="C1" i="7"/>
  <c r="H33" i="6"/>
  <c r="M32" i="6"/>
  <c r="E32" i="6"/>
  <c r="J31" i="6"/>
  <c r="B31" i="6"/>
  <c r="G30" i="6"/>
  <c r="L29" i="6"/>
  <c r="D29" i="6"/>
  <c r="I28" i="6"/>
  <c r="A28" i="6"/>
  <c r="F27" i="6"/>
  <c r="K26" i="6"/>
  <c r="C26" i="6"/>
  <c r="H25" i="6"/>
  <c r="M24" i="6"/>
  <c r="E24" i="6"/>
  <c r="J23" i="6"/>
  <c r="B23" i="6"/>
  <c r="G22" i="6"/>
  <c r="L21" i="6"/>
  <c r="D21" i="6"/>
  <c r="I20" i="6"/>
  <c r="A20" i="6"/>
  <c r="F19" i="6"/>
  <c r="K18" i="6"/>
  <c r="C18" i="6"/>
  <c r="H17" i="6"/>
  <c r="M16" i="6"/>
  <c r="E16" i="6"/>
  <c r="J15" i="6"/>
  <c r="B15" i="6"/>
  <c r="G14" i="6"/>
  <c r="L13" i="6"/>
  <c r="D13" i="6"/>
  <c r="I12" i="6"/>
  <c r="A12" i="6"/>
  <c r="F11" i="6"/>
  <c r="K10" i="6"/>
  <c r="C10" i="6"/>
  <c r="H9" i="6"/>
  <c r="M8" i="6"/>
  <c r="E8" i="6"/>
  <c r="N34" i="7"/>
  <c r="F34" i="7"/>
  <c r="R33" i="7"/>
  <c r="J33" i="7"/>
  <c r="B33" i="7"/>
  <c r="N32" i="7"/>
  <c r="F32" i="7"/>
  <c r="R31" i="7"/>
  <c r="J31" i="7"/>
  <c r="B31" i="7"/>
  <c r="N30" i="7"/>
  <c r="F30" i="7"/>
  <c r="R29" i="7"/>
  <c r="J29" i="7"/>
  <c r="B29" i="7"/>
  <c r="N28" i="7"/>
  <c r="F28" i="7"/>
  <c r="R27" i="7"/>
  <c r="J27" i="7"/>
  <c r="B27" i="7"/>
  <c r="N26" i="7"/>
  <c r="F26" i="7"/>
  <c r="R25" i="7"/>
  <c r="J25" i="7"/>
  <c r="B25" i="7"/>
  <c r="N24" i="7"/>
  <c r="F24" i="7"/>
  <c r="R23" i="7"/>
  <c r="J23" i="7"/>
  <c r="B23" i="7"/>
  <c r="N22" i="7"/>
  <c r="F22" i="7"/>
  <c r="R21" i="7"/>
  <c r="J21" i="7"/>
  <c r="B21" i="7"/>
  <c r="N20" i="7"/>
  <c r="F20" i="7"/>
  <c r="R19" i="7"/>
  <c r="J19" i="7"/>
  <c r="B19" i="7"/>
  <c r="N18" i="7"/>
  <c r="F18" i="7"/>
  <c r="R17" i="7"/>
  <c r="J17" i="7"/>
  <c r="B17" i="7"/>
  <c r="N16" i="7"/>
  <c r="F16" i="7"/>
  <c r="R15" i="7"/>
  <c r="J15" i="7"/>
  <c r="B15" i="7"/>
  <c r="N14" i="7"/>
  <c r="F14" i="7"/>
  <c r="R13" i="7"/>
  <c r="J13" i="7"/>
  <c r="B13" i="7"/>
  <c r="N12" i="7"/>
  <c r="F12" i="7"/>
  <c r="R11" i="7"/>
  <c r="J11" i="7"/>
  <c r="B11" i="7"/>
  <c r="N10" i="7"/>
  <c r="F10" i="7"/>
  <c r="R9" i="7"/>
  <c r="J9" i="7"/>
  <c r="B9" i="7"/>
  <c r="N8" i="7"/>
  <c r="F8" i="7"/>
  <c r="R7" i="7"/>
  <c r="J7" i="7"/>
  <c r="B7" i="7"/>
  <c r="N6" i="7"/>
  <c r="F6" i="7"/>
  <c r="R5" i="7"/>
  <c r="J5" i="7"/>
  <c r="B5" i="7"/>
  <c r="N4" i="7"/>
  <c r="F4" i="7"/>
  <c r="R3" i="7"/>
  <c r="J3" i="7"/>
  <c r="B3" i="7"/>
  <c r="N2" i="7"/>
  <c r="F2" i="7"/>
  <c r="R1" i="7"/>
  <c r="J1" i="7"/>
  <c r="B1" i="7"/>
  <c r="G33" i="6"/>
  <c r="L32" i="6"/>
  <c r="D32" i="6"/>
  <c r="I31" i="6"/>
  <c r="A31" i="6"/>
  <c r="F30" i="6"/>
  <c r="K29" i="6"/>
  <c r="C29" i="6"/>
  <c r="H28" i="6"/>
  <c r="M27" i="6"/>
  <c r="E27" i="6"/>
  <c r="J26" i="6"/>
  <c r="B26" i="6"/>
  <c r="G25" i="6"/>
  <c r="L24" i="6"/>
  <c r="D24" i="6"/>
  <c r="I23" i="6"/>
  <c r="A23" i="6"/>
  <c r="F22" i="6"/>
  <c r="K21" i="6"/>
  <c r="C21" i="6"/>
  <c r="H20" i="6"/>
  <c r="M19" i="6"/>
  <c r="E19" i="6"/>
  <c r="J18" i="6"/>
  <c r="B18" i="6"/>
  <c r="G17" i="6"/>
  <c r="L16" i="6"/>
  <c r="D16" i="6"/>
  <c r="I15" i="6"/>
  <c r="A15" i="6"/>
  <c r="F14" i="6"/>
  <c r="K13" i="6"/>
  <c r="C13" i="6"/>
  <c r="H12" i="6"/>
  <c r="M11" i="6"/>
  <c r="E11" i="6"/>
  <c r="J10" i="6"/>
  <c r="B10" i="6"/>
  <c r="G9" i="6"/>
  <c r="M34" i="7"/>
  <c r="E34" i="7"/>
  <c r="Q33" i="7"/>
  <c r="I33" i="7"/>
  <c r="A33" i="7"/>
  <c r="M32" i="7"/>
  <c r="E32" i="7"/>
  <c r="Q31" i="7"/>
  <c r="I31" i="7"/>
  <c r="A31" i="7"/>
  <c r="M30" i="7"/>
  <c r="E30" i="7"/>
  <c r="Q29" i="7"/>
  <c r="I29" i="7"/>
  <c r="A29" i="7"/>
  <c r="M28" i="7"/>
  <c r="E28" i="7"/>
  <c r="Q27" i="7"/>
  <c r="I27" i="7"/>
  <c r="A27" i="7"/>
  <c r="M26" i="7"/>
  <c r="E26" i="7"/>
  <c r="Q25" i="7"/>
  <c r="I25" i="7"/>
  <c r="A25" i="7"/>
  <c r="M24" i="7"/>
  <c r="E24" i="7"/>
  <c r="Q23" i="7"/>
  <c r="I23" i="7"/>
  <c r="A23" i="7"/>
  <c r="M22" i="7"/>
  <c r="E22" i="7"/>
  <c r="Q21" i="7"/>
  <c r="I21" i="7"/>
  <c r="A21" i="7"/>
  <c r="M20" i="7"/>
  <c r="E20" i="7"/>
  <c r="Q19" i="7"/>
  <c r="I19" i="7"/>
  <c r="A19" i="7"/>
  <c r="M18" i="7"/>
  <c r="E18" i="7"/>
  <c r="Q17" i="7"/>
  <c r="I17" i="7"/>
  <c r="A17" i="7"/>
  <c r="M16" i="7"/>
  <c r="E16" i="7"/>
  <c r="Q15" i="7"/>
  <c r="I15" i="7"/>
  <c r="A15" i="7"/>
  <c r="M14" i="7"/>
  <c r="E14" i="7"/>
  <c r="Q13" i="7"/>
  <c r="I13" i="7"/>
  <c r="A13" i="7"/>
  <c r="M12" i="7"/>
  <c r="E12" i="7"/>
  <c r="Q11" i="7"/>
  <c r="I11" i="7"/>
  <c r="A11" i="7"/>
  <c r="M10" i="7"/>
  <c r="E10" i="7"/>
  <c r="Q9" i="7"/>
  <c r="I9" i="7"/>
  <c r="A9" i="7"/>
  <c r="M8" i="7"/>
  <c r="E8" i="7"/>
  <c r="Q7" i="7"/>
  <c r="I7" i="7"/>
  <c r="A7" i="7"/>
  <c r="M6" i="7"/>
  <c r="E6" i="7"/>
  <c r="Q5" i="7"/>
  <c r="I5" i="7"/>
  <c r="A5" i="7"/>
  <c r="M4" i="7"/>
  <c r="E4" i="7"/>
  <c r="Q3" i="7"/>
  <c r="I3" i="7"/>
  <c r="A3" i="7"/>
  <c r="M2" i="7"/>
  <c r="E2" i="7"/>
  <c r="Q1" i="7"/>
  <c r="I1" i="7"/>
  <c r="A1" i="7"/>
  <c r="F33" i="6"/>
  <c r="K32" i="6"/>
  <c r="C32" i="6"/>
  <c r="H31" i="6"/>
  <c r="M30" i="6"/>
  <c r="E30" i="6"/>
  <c r="J29" i="6"/>
  <c r="B29" i="6"/>
  <c r="G28" i="6"/>
  <c r="L27" i="6"/>
  <c r="D27" i="6"/>
  <c r="I26" i="6"/>
  <c r="A26" i="6"/>
  <c r="F25" i="6"/>
  <c r="K24" i="6"/>
  <c r="C24" i="6"/>
  <c r="H23" i="6"/>
  <c r="M22" i="6"/>
  <c r="E22" i="6"/>
  <c r="J21" i="6"/>
  <c r="B21" i="6"/>
  <c r="G20" i="6"/>
  <c r="L19" i="6"/>
  <c r="D19" i="6"/>
  <c r="I18" i="6"/>
  <c r="A18" i="6"/>
  <c r="F17" i="6"/>
  <c r="K16" i="6"/>
  <c r="C16" i="6"/>
  <c r="H15" i="6"/>
  <c r="M14" i="6"/>
  <c r="E14" i="6"/>
  <c r="J13" i="6"/>
  <c r="B13" i="6"/>
  <c r="G12" i="6"/>
  <c r="L11" i="6"/>
  <c r="D11" i="6"/>
  <c r="I10" i="6"/>
  <c r="A10" i="6"/>
  <c r="L34" i="7"/>
  <c r="H31" i="7"/>
  <c r="D28" i="7"/>
  <c r="T24" i="7"/>
  <c r="P21" i="7"/>
  <c r="L18" i="7"/>
  <c r="H15" i="7"/>
  <c r="D12" i="7"/>
  <c r="T8" i="7"/>
  <c r="P5" i="7"/>
  <c r="L2" i="7"/>
  <c r="G31" i="6"/>
  <c r="H26" i="6"/>
  <c r="I21" i="6"/>
  <c r="J16" i="6"/>
  <c r="K11" i="6"/>
  <c r="E9" i="6"/>
  <c r="G8" i="6"/>
  <c r="K7" i="6"/>
  <c r="C7" i="6"/>
  <c r="H6" i="6"/>
  <c r="M5" i="6"/>
  <c r="E5" i="6"/>
  <c r="J4" i="6"/>
  <c r="B4" i="6"/>
  <c r="G3" i="6"/>
  <c r="L2" i="6"/>
  <c r="D2" i="6"/>
  <c r="I1" i="6"/>
  <c r="F80" i="5"/>
  <c r="K79" i="5"/>
  <c r="C79" i="5"/>
  <c r="H78" i="5"/>
  <c r="M77" i="5"/>
  <c r="E77" i="5"/>
  <c r="J76" i="5"/>
  <c r="B76" i="5"/>
  <c r="G75" i="5"/>
  <c r="L74" i="5"/>
  <c r="D74" i="5"/>
  <c r="I73" i="5"/>
  <c r="A73" i="5"/>
  <c r="F72" i="5"/>
  <c r="K71" i="5"/>
  <c r="C71" i="5"/>
  <c r="H70" i="5"/>
  <c r="M69" i="5"/>
  <c r="E69" i="5"/>
  <c r="J68" i="5"/>
  <c r="B68" i="5"/>
  <c r="G67" i="5"/>
  <c r="L66" i="5"/>
  <c r="D66" i="5"/>
  <c r="I65" i="5"/>
  <c r="A65" i="5"/>
  <c r="F64" i="5"/>
  <c r="K63" i="5"/>
  <c r="C63" i="5"/>
  <c r="H62" i="5"/>
  <c r="M61" i="5"/>
  <c r="E61" i="5"/>
  <c r="J60" i="5"/>
  <c r="B60" i="5"/>
  <c r="G59" i="5"/>
  <c r="L58" i="5"/>
  <c r="D58" i="5"/>
  <c r="I57" i="5"/>
  <c r="A57" i="5"/>
  <c r="F56" i="5"/>
  <c r="K55" i="5"/>
  <c r="C55" i="5"/>
  <c r="H54" i="5"/>
  <c r="M53" i="5"/>
  <c r="E53" i="5"/>
  <c r="J52" i="5"/>
  <c r="B52" i="5"/>
  <c r="G51" i="5"/>
  <c r="L50" i="5"/>
  <c r="D50" i="5"/>
  <c r="I49" i="5"/>
  <c r="A49" i="5"/>
  <c r="F48" i="5"/>
  <c r="K47" i="5"/>
  <c r="C47" i="5"/>
  <c r="H46" i="5"/>
  <c r="M45" i="5"/>
  <c r="E45" i="5"/>
  <c r="J44" i="5"/>
  <c r="B44" i="5"/>
  <c r="G43" i="5"/>
  <c r="L42" i="5"/>
  <c r="D42" i="5"/>
  <c r="I41" i="5"/>
  <c r="A41" i="5"/>
  <c r="F40" i="5"/>
  <c r="K39" i="5"/>
  <c r="C39" i="5"/>
  <c r="H38" i="5"/>
  <c r="M37" i="5"/>
  <c r="E37" i="5"/>
  <c r="J36" i="5"/>
  <c r="B36" i="5"/>
  <c r="G35" i="5"/>
  <c r="L34" i="5"/>
  <c r="D34" i="5"/>
  <c r="I33" i="5"/>
  <c r="A33" i="5"/>
  <c r="F32" i="5"/>
  <c r="K31" i="5"/>
  <c r="C31" i="5"/>
  <c r="H30" i="5"/>
  <c r="M29" i="5"/>
  <c r="E29" i="5"/>
  <c r="J28" i="5"/>
  <c r="B28" i="5"/>
  <c r="G27" i="5"/>
  <c r="L26" i="5"/>
  <c r="D26" i="5"/>
  <c r="I25" i="5"/>
  <c r="A25" i="5"/>
  <c r="F24" i="5"/>
  <c r="K23" i="5"/>
  <c r="C23" i="5"/>
  <c r="H22" i="5"/>
  <c r="M21" i="5"/>
  <c r="E21" i="5"/>
  <c r="D34" i="7"/>
  <c r="T30" i="7"/>
  <c r="P27" i="7"/>
  <c r="L24" i="7"/>
  <c r="H21" i="7"/>
  <c r="D18" i="7"/>
  <c r="T14" i="7"/>
  <c r="P11" i="7"/>
  <c r="L8" i="7"/>
  <c r="H5" i="7"/>
  <c r="D2" i="7"/>
  <c r="L30" i="6"/>
  <c r="M25" i="6"/>
  <c r="A21" i="6"/>
  <c r="B16" i="6"/>
  <c r="C11" i="6"/>
  <c r="C9" i="6"/>
  <c r="F8" i="6"/>
  <c r="J7" i="6"/>
  <c r="B7" i="6"/>
  <c r="G6" i="6"/>
  <c r="L5" i="6"/>
  <c r="D5" i="6"/>
  <c r="I4" i="6"/>
  <c r="A4" i="6"/>
  <c r="F3" i="6"/>
  <c r="K2" i="6"/>
  <c r="C2" i="6"/>
  <c r="H1" i="6"/>
  <c r="M80" i="5"/>
  <c r="E80" i="5"/>
  <c r="J79" i="5"/>
  <c r="B79" i="5"/>
  <c r="G78" i="5"/>
  <c r="L77" i="5"/>
  <c r="D77" i="5"/>
  <c r="I76" i="5"/>
  <c r="A76" i="5"/>
  <c r="F75" i="5"/>
  <c r="K74" i="5"/>
  <c r="C74" i="5"/>
  <c r="H73" i="5"/>
  <c r="M72" i="5"/>
  <c r="E72" i="5"/>
  <c r="J71" i="5"/>
  <c r="B71" i="5"/>
  <c r="G70" i="5"/>
  <c r="L69" i="5"/>
  <c r="D69" i="5"/>
  <c r="I68" i="5"/>
  <c r="A68" i="5"/>
  <c r="F67" i="5"/>
  <c r="K66" i="5"/>
  <c r="C66" i="5"/>
  <c r="H65" i="5"/>
  <c r="M64" i="5"/>
  <c r="E64" i="5"/>
  <c r="J63" i="5"/>
  <c r="B63" i="5"/>
  <c r="G62" i="5"/>
  <c r="L61" i="5"/>
  <c r="D61" i="5"/>
  <c r="I60" i="5"/>
  <c r="A60" i="5"/>
  <c r="F59" i="5"/>
  <c r="K58" i="5"/>
  <c r="C58" i="5"/>
  <c r="H57" i="5"/>
  <c r="M56" i="5"/>
  <c r="E56" i="5"/>
  <c r="J55" i="5"/>
  <c r="B55" i="5"/>
  <c r="G54" i="5"/>
  <c r="L53" i="5"/>
  <c r="D53" i="5"/>
  <c r="I52" i="5"/>
  <c r="A52" i="5"/>
  <c r="F51" i="5"/>
  <c r="K50" i="5"/>
  <c r="C50" i="5"/>
  <c r="H49" i="5"/>
  <c r="M48" i="5"/>
  <c r="E48" i="5"/>
  <c r="J47" i="5"/>
  <c r="B47" i="5"/>
  <c r="G46" i="5"/>
  <c r="L45" i="5"/>
  <c r="D45" i="5"/>
  <c r="I44" i="5"/>
  <c r="A44" i="5"/>
  <c r="F43" i="5"/>
  <c r="K42" i="5"/>
  <c r="C42" i="5"/>
  <c r="H41" i="5"/>
  <c r="M40" i="5"/>
  <c r="E40" i="5"/>
  <c r="J39" i="5"/>
  <c r="B39" i="5"/>
  <c r="G38" i="5"/>
  <c r="L37" i="5"/>
  <c r="D37" i="5"/>
  <c r="I36" i="5"/>
  <c r="A36" i="5"/>
  <c r="F35" i="5"/>
  <c r="K34" i="5"/>
  <c r="C34" i="5"/>
  <c r="H33" i="5"/>
  <c r="M32" i="5"/>
  <c r="E32" i="5"/>
  <c r="J31" i="5"/>
  <c r="B31" i="5"/>
  <c r="G30" i="5"/>
  <c r="L29" i="5"/>
  <c r="D29" i="5"/>
  <c r="I28" i="5"/>
  <c r="A28" i="5"/>
  <c r="F27" i="5"/>
  <c r="K26" i="5"/>
  <c r="C26" i="5"/>
  <c r="H25" i="5"/>
  <c r="M24" i="5"/>
  <c r="E24" i="5"/>
  <c r="J23" i="5"/>
  <c r="P33" i="7"/>
  <c r="L30" i="7"/>
  <c r="H27" i="7"/>
  <c r="D24" i="7"/>
  <c r="T20" i="7"/>
  <c r="P17" i="7"/>
  <c r="L14" i="7"/>
  <c r="H11" i="7"/>
  <c r="D8" i="7"/>
  <c r="T4" i="7"/>
  <c r="P1" i="7"/>
  <c r="D30" i="6"/>
  <c r="E25" i="6"/>
  <c r="F20" i="6"/>
  <c r="G15" i="6"/>
  <c r="H10" i="6"/>
  <c r="B9" i="6"/>
  <c r="D8" i="6"/>
  <c r="I7" i="6"/>
  <c r="A7" i="6"/>
  <c r="F6" i="6"/>
  <c r="K5" i="6"/>
  <c r="C5" i="6"/>
  <c r="H4" i="6"/>
  <c r="M3" i="6"/>
  <c r="E3" i="6"/>
  <c r="J2" i="6"/>
  <c r="B2" i="6"/>
  <c r="G1" i="6"/>
  <c r="L80" i="5"/>
  <c r="D80" i="5"/>
  <c r="I79" i="5"/>
  <c r="A79" i="5"/>
  <c r="F78" i="5"/>
  <c r="K77" i="5"/>
  <c r="C77" i="5"/>
  <c r="H76" i="5"/>
  <c r="M75" i="5"/>
  <c r="E75" i="5"/>
  <c r="J74" i="5"/>
  <c r="B74" i="5"/>
  <c r="G73" i="5"/>
  <c r="L72" i="5"/>
  <c r="D72" i="5"/>
  <c r="I71" i="5"/>
  <c r="A71" i="5"/>
  <c r="F70" i="5"/>
  <c r="K69" i="5"/>
  <c r="C69" i="5"/>
  <c r="H68" i="5"/>
  <c r="M67" i="5"/>
  <c r="E67" i="5"/>
  <c r="J66" i="5"/>
  <c r="B66" i="5"/>
  <c r="G65" i="5"/>
  <c r="L64" i="5"/>
  <c r="D64" i="5"/>
  <c r="I63" i="5"/>
  <c r="A63" i="5"/>
  <c r="F62" i="5"/>
  <c r="K61" i="5"/>
  <c r="C61" i="5"/>
  <c r="H60" i="5"/>
  <c r="M59" i="5"/>
  <c r="E59" i="5"/>
  <c r="J58" i="5"/>
  <c r="B58" i="5"/>
  <c r="G57" i="5"/>
  <c r="L56" i="5"/>
  <c r="D56" i="5"/>
  <c r="I55" i="5"/>
  <c r="A55" i="5"/>
  <c r="F54" i="5"/>
  <c r="K53" i="5"/>
  <c r="C53" i="5"/>
  <c r="H52" i="5"/>
  <c r="M51" i="5"/>
  <c r="E51" i="5"/>
  <c r="J50" i="5"/>
  <c r="B50" i="5"/>
  <c r="G49" i="5"/>
  <c r="L48" i="5"/>
  <c r="D48" i="5"/>
  <c r="I47" i="5"/>
  <c r="A47" i="5"/>
  <c r="F46" i="5"/>
  <c r="K45" i="5"/>
  <c r="C45" i="5"/>
  <c r="H44" i="5"/>
  <c r="M43" i="5"/>
  <c r="E43" i="5"/>
  <c r="J42" i="5"/>
  <c r="B42" i="5"/>
  <c r="G41" i="5"/>
  <c r="L40" i="5"/>
  <c r="D40" i="5"/>
  <c r="I39" i="5"/>
  <c r="A39" i="5"/>
  <c r="F38" i="5"/>
  <c r="K37" i="5"/>
  <c r="C37" i="5"/>
  <c r="H36" i="5"/>
  <c r="M35" i="5"/>
  <c r="E35" i="5"/>
  <c r="J34" i="5"/>
  <c r="B34" i="5"/>
  <c r="G33" i="5"/>
  <c r="L32" i="5"/>
  <c r="D32" i="5"/>
  <c r="I31" i="5"/>
  <c r="A31" i="5"/>
  <c r="F30" i="5"/>
  <c r="K29" i="5"/>
  <c r="C29" i="5"/>
  <c r="H28" i="5"/>
  <c r="M27" i="5"/>
  <c r="E27" i="5"/>
  <c r="J26" i="5"/>
  <c r="B26" i="5"/>
  <c r="G25" i="5"/>
  <c r="L24" i="5"/>
  <c r="D24" i="5"/>
  <c r="I23" i="5"/>
  <c r="A23" i="5"/>
  <c r="F22" i="5"/>
  <c r="K21" i="5"/>
  <c r="H33" i="7"/>
  <c r="D30" i="7"/>
  <c r="T26" i="7"/>
  <c r="P23" i="7"/>
  <c r="L20" i="7"/>
  <c r="H17" i="7"/>
  <c r="D14" i="7"/>
  <c r="T10" i="7"/>
  <c r="P7" i="7"/>
  <c r="L4" i="7"/>
  <c r="H1" i="7"/>
  <c r="I29" i="6"/>
  <c r="J24" i="6"/>
  <c r="K19" i="6"/>
  <c r="L14" i="6"/>
  <c r="E10" i="6"/>
  <c r="A9" i="6"/>
  <c r="C8" i="6"/>
  <c r="H7" i="6"/>
  <c r="M6" i="6"/>
  <c r="E6" i="6"/>
  <c r="J5" i="6"/>
  <c r="B5" i="6"/>
  <c r="G4" i="6"/>
  <c r="L3" i="6"/>
  <c r="D3" i="6"/>
  <c r="I2" i="6"/>
  <c r="A2" i="6"/>
  <c r="F1" i="6"/>
  <c r="K80" i="5"/>
  <c r="C80" i="5"/>
  <c r="H79" i="5"/>
  <c r="M78" i="5"/>
  <c r="E78" i="5"/>
  <c r="J77" i="5"/>
  <c r="B77" i="5"/>
  <c r="G76" i="5"/>
  <c r="L75" i="5"/>
  <c r="D75" i="5"/>
  <c r="I74" i="5"/>
  <c r="A74" i="5"/>
  <c r="F73" i="5"/>
  <c r="K72" i="5"/>
  <c r="C72" i="5"/>
  <c r="H71" i="5"/>
  <c r="M70" i="5"/>
  <c r="E70" i="5"/>
  <c r="J69" i="5"/>
  <c r="B69" i="5"/>
  <c r="G68" i="5"/>
  <c r="L67" i="5"/>
  <c r="D67" i="5"/>
  <c r="I66" i="5"/>
  <c r="A66" i="5"/>
  <c r="F65" i="5"/>
  <c r="K64" i="5"/>
  <c r="C64" i="5"/>
  <c r="H63" i="5"/>
  <c r="M62" i="5"/>
  <c r="E62" i="5"/>
  <c r="J61" i="5"/>
  <c r="B61" i="5"/>
  <c r="G60" i="5"/>
  <c r="L59" i="5"/>
  <c r="D59" i="5"/>
  <c r="I58" i="5"/>
  <c r="A58" i="5"/>
  <c r="F57" i="5"/>
  <c r="K56" i="5"/>
  <c r="C56" i="5"/>
  <c r="H55" i="5"/>
  <c r="M54" i="5"/>
  <c r="E54" i="5"/>
  <c r="J53" i="5"/>
  <c r="B53" i="5"/>
  <c r="G52" i="5"/>
  <c r="L51" i="5"/>
  <c r="D51" i="5"/>
  <c r="I50" i="5"/>
  <c r="A50" i="5"/>
  <c r="F49" i="5"/>
  <c r="K48" i="5"/>
  <c r="C48" i="5"/>
  <c r="H47" i="5"/>
  <c r="M46" i="5"/>
  <c r="E46" i="5"/>
  <c r="J45" i="5"/>
  <c r="B45" i="5"/>
  <c r="L32" i="7"/>
  <c r="H29" i="7"/>
  <c r="D26" i="7"/>
  <c r="T22" i="7"/>
  <c r="P19" i="7"/>
  <c r="L16" i="7"/>
  <c r="H13" i="7"/>
  <c r="D10" i="7"/>
  <c r="T6" i="7"/>
  <c r="P3" i="7"/>
  <c r="E33" i="6"/>
  <c r="F28" i="6"/>
  <c r="G23" i="6"/>
  <c r="H18" i="6"/>
  <c r="I13" i="6"/>
  <c r="J9" i="6"/>
  <c r="K8" i="6"/>
  <c r="A8" i="6"/>
  <c r="F7" i="6"/>
  <c r="K6" i="6"/>
  <c r="C6" i="6"/>
  <c r="H5" i="6"/>
  <c r="M4" i="6"/>
  <c r="E4" i="6"/>
  <c r="J3" i="6"/>
  <c r="B3" i="6"/>
  <c r="G2" i="6"/>
  <c r="L1" i="6"/>
  <c r="D1" i="6"/>
  <c r="I80" i="5"/>
  <c r="A80" i="5"/>
  <c r="F79" i="5"/>
  <c r="K78" i="5"/>
  <c r="C78" i="5"/>
  <c r="H77" i="5"/>
  <c r="M76" i="5"/>
  <c r="E76" i="5"/>
  <c r="J75" i="5"/>
  <c r="B75" i="5"/>
  <c r="G74" i="5"/>
  <c r="L73" i="5"/>
  <c r="D73" i="5"/>
  <c r="I72" i="5"/>
  <c r="A72" i="5"/>
  <c r="F71" i="5"/>
  <c r="K70" i="5"/>
  <c r="C70" i="5"/>
  <c r="H69" i="5"/>
  <c r="M68" i="5"/>
  <c r="E68" i="5"/>
  <c r="J67" i="5"/>
  <c r="B67" i="5"/>
  <c r="G66" i="5"/>
  <c r="L65" i="5"/>
  <c r="D65" i="5"/>
  <c r="I64" i="5"/>
  <c r="A64" i="5"/>
  <c r="F63" i="5"/>
  <c r="K62" i="5"/>
  <c r="C62" i="5"/>
  <c r="H61" i="5"/>
  <c r="M60" i="5"/>
  <c r="E60" i="5"/>
  <c r="J59" i="5"/>
  <c r="B59" i="5"/>
  <c r="G58" i="5"/>
  <c r="L57" i="5"/>
  <c r="D57" i="5"/>
  <c r="I56" i="5"/>
  <c r="A56" i="5"/>
  <c r="F55" i="5"/>
  <c r="K54" i="5"/>
  <c r="C54" i="5"/>
  <c r="H53" i="5"/>
  <c r="M52" i="5"/>
  <c r="E52" i="5"/>
  <c r="J51" i="5"/>
  <c r="B51" i="5"/>
  <c r="G50" i="5"/>
  <c r="L49" i="5"/>
  <c r="D49" i="5"/>
  <c r="I48" i="5"/>
  <c r="A48" i="5"/>
  <c r="F47" i="5"/>
  <c r="K46" i="5"/>
  <c r="C46" i="5"/>
  <c r="H45" i="5"/>
  <c r="M44" i="5"/>
  <c r="E44" i="5"/>
  <c r="J43" i="5"/>
  <c r="B43" i="5"/>
  <c r="G42" i="5"/>
  <c r="L41" i="5"/>
  <c r="D41" i="5"/>
  <c r="I40" i="5"/>
  <c r="A40" i="5"/>
  <c r="F39" i="5"/>
  <c r="K38" i="5"/>
  <c r="C38" i="5"/>
  <c r="H37" i="5"/>
  <c r="M36" i="5"/>
  <c r="E36" i="5"/>
  <c r="J35" i="5"/>
  <c r="B35" i="5"/>
  <c r="G34" i="5"/>
  <c r="L33" i="5"/>
  <c r="D33" i="5"/>
  <c r="I32" i="5"/>
  <c r="A32" i="5"/>
  <c r="F31" i="5"/>
  <c r="K30" i="5"/>
  <c r="C30" i="5"/>
  <c r="H29" i="5"/>
  <c r="M28" i="5"/>
  <c r="E28" i="5"/>
  <c r="J27" i="5"/>
  <c r="B27" i="5"/>
  <c r="G26" i="5"/>
  <c r="L25" i="5"/>
  <c r="D25" i="5"/>
  <c r="I24" i="5"/>
  <c r="A24" i="5"/>
  <c r="F23" i="5"/>
  <c r="K22" i="5"/>
  <c r="C22" i="5"/>
  <c r="H21" i="5"/>
  <c r="D32" i="7"/>
  <c r="T28" i="7"/>
  <c r="P25" i="7"/>
  <c r="L22" i="7"/>
  <c r="H19" i="7"/>
  <c r="D16" i="7"/>
  <c r="T12" i="7"/>
  <c r="P9" i="7"/>
  <c r="L6" i="7"/>
  <c r="H3" i="7"/>
  <c r="J32" i="6"/>
  <c r="K27" i="6"/>
  <c r="L22" i="6"/>
  <c r="M17" i="6"/>
  <c r="A13" i="6"/>
  <c r="I9" i="6"/>
  <c r="J8" i="6"/>
  <c r="M7" i="6"/>
  <c r="E7" i="6"/>
  <c r="J6" i="6"/>
  <c r="B6" i="6"/>
  <c r="G5" i="6"/>
  <c r="L4" i="6"/>
  <c r="D4" i="6"/>
  <c r="I3" i="6"/>
  <c r="A3" i="6"/>
  <c r="F2" i="6"/>
  <c r="K1" i="6"/>
  <c r="C1" i="6"/>
  <c r="H80" i="5"/>
  <c r="M79" i="5"/>
  <c r="E79" i="5"/>
  <c r="J78" i="5"/>
  <c r="B78" i="5"/>
  <c r="G77" i="5"/>
  <c r="L76" i="5"/>
  <c r="D76" i="5"/>
  <c r="I75" i="5"/>
  <c r="A75" i="5"/>
  <c r="F74" i="5"/>
  <c r="K73" i="5"/>
  <c r="C73" i="5"/>
  <c r="H72" i="5"/>
  <c r="M71" i="5"/>
  <c r="E71" i="5"/>
  <c r="J70" i="5"/>
  <c r="B70" i="5"/>
  <c r="G69" i="5"/>
  <c r="L68" i="5"/>
  <c r="D68" i="5"/>
  <c r="I67" i="5"/>
  <c r="A67" i="5"/>
  <c r="F66" i="5"/>
  <c r="K65" i="5"/>
  <c r="C65" i="5"/>
  <c r="H64" i="5"/>
  <c r="M63" i="5"/>
  <c r="E63" i="5"/>
  <c r="J62" i="5"/>
  <c r="B62" i="5"/>
  <c r="G61" i="5"/>
  <c r="L60" i="5"/>
  <c r="D60" i="5"/>
  <c r="I59" i="5"/>
  <c r="A59" i="5"/>
  <c r="F58" i="5"/>
  <c r="K57" i="5"/>
  <c r="C57" i="5"/>
  <c r="H56" i="5"/>
  <c r="M55" i="5"/>
  <c r="E55" i="5"/>
  <c r="J54" i="5"/>
  <c r="B54" i="5"/>
  <c r="G53" i="5"/>
  <c r="L52" i="5"/>
  <c r="D52" i="5"/>
  <c r="I51" i="5"/>
  <c r="A51" i="5"/>
  <c r="F50" i="5"/>
  <c r="K49" i="5"/>
  <c r="C49" i="5"/>
  <c r="H48" i="5"/>
  <c r="M47" i="5"/>
  <c r="E47" i="5"/>
  <c r="J46" i="5"/>
  <c r="B46" i="5"/>
  <c r="G45" i="5"/>
  <c r="L44" i="5"/>
  <c r="D44" i="5"/>
  <c r="I43" i="5"/>
  <c r="A43" i="5"/>
  <c r="F42" i="5"/>
  <c r="K41" i="5"/>
  <c r="C41" i="5"/>
  <c r="H40" i="5"/>
  <c r="M39" i="5"/>
  <c r="E39" i="5"/>
  <c r="J38" i="5"/>
  <c r="B38" i="5"/>
  <c r="G37" i="5"/>
  <c r="L36" i="5"/>
  <c r="D36" i="5"/>
  <c r="I35" i="5"/>
  <c r="A35" i="5"/>
  <c r="F34" i="5"/>
  <c r="K33" i="5"/>
  <c r="C33" i="5"/>
  <c r="H32" i="5"/>
  <c r="M31" i="5"/>
  <c r="E31" i="5"/>
  <c r="J30" i="5"/>
  <c r="B30" i="5"/>
  <c r="G29" i="5"/>
  <c r="L28" i="5"/>
  <c r="D28" i="5"/>
  <c r="I27" i="5"/>
  <c r="A27" i="5"/>
  <c r="F26" i="5"/>
  <c r="K25" i="5"/>
  <c r="C25" i="5"/>
  <c r="H24" i="5"/>
  <c r="M23" i="5"/>
  <c r="E23" i="5"/>
  <c r="J22" i="5"/>
  <c r="B22" i="5"/>
  <c r="G21" i="5"/>
  <c r="T32" i="7"/>
  <c r="D20" i="7"/>
  <c r="H7" i="7"/>
  <c r="B24" i="6"/>
  <c r="L8" i="6"/>
  <c r="D6" i="6"/>
  <c r="K3" i="6"/>
  <c r="E1" i="6"/>
  <c r="L78" i="5"/>
  <c r="F76" i="5"/>
  <c r="M73" i="5"/>
  <c r="G71" i="5"/>
  <c r="A69" i="5"/>
  <c r="H66" i="5"/>
  <c r="B64" i="5"/>
  <c r="I61" i="5"/>
  <c r="C59" i="5"/>
  <c r="J56" i="5"/>
  <c r="D54" i="5"/>
  <c r="K51" i="5"/>
  <c r="E49" i="5"/>
  <c r="L46" i="5"/>
  <c r="G44" i="5"/>
  <c r="M42" i="5"/>
  <c r="E41" i="5"/>
  <c r="H39" i="5"/>
  <c r="A38" i="5"/>
  <c r="F36" i="5"/>
  <c r="I34" i="5"/>
  <c r="B33" i="5"/>
  <c r="G31" i="5"/>
  <c r="J29" i="5"/>
  <c r="C28" i="5"/>
  <c r="H26" i="5"/>
  <c r="K24" i="5"/>
  <c r="D23" i="5"/>
  <c r="A22" i="5"/>
  <c r="A21" i="5"/>
  <c r="F20" i="5"/>
  <c r="K19" i="5"/>
  <c r="C19" i="5"/>
  <c r="H18" i="5"/>
  <c r="M17" i="5"/>
  <c r="E17" i="5"/>
  <c r="J16" i="5"/>
  <c r="B16" i="5"/>
  <c r="G15" i="5"/>
  <c r="L14" i="5"/>
  <c r="D14" i="5"/>
  <c r="I13" i="5"/>
  <c r="A13" i="5"/>
  <c r="F12" i="5"/>
  <c r="K11" i="5"/>
  <c r="C11" i="5"/>
  <c r="H10" i="5"/>
  <c r="M9" i="5"/>
  <c r="E9" i="5"/>
  <c r="J8" i="5"/>
  <c r="B8" i="5"/>
  <c r="G7" i="5"/>
  <c r="L6" i="5"/>
  <c r="D6" i="5"/>
  <c r="I5" i="5"/>
  <c r="A5" i="5"/>
  <c r="F4" i="5"/>
  <c r="K3" i="5"/>
  <c r="C3" i="5"/>
  <c r="H2" i="5"/>
  <c r="M1" i="5"/>
  <c r="E1" i="5"/>
  <c r="J42" i="4"/>
  <c r="B42" i="4"/>
  <c r="G41" i="4"/>
  <c r="L40" i="4"/>
  <c r="D40" i="4"/>
  <c r="I39" i="4"/>
  <c r="A39" i="4"/>
  <c r="F38" i="4"/>
  <c r="K37" i="4"/>
  <c r="C37" i="4"/>
  <c r="H36" i="4"/>
  <c r="M35" i="4"/>
  <c r="E35" i="4"/>
  <c r="J34" i="4"/>
  <c r="B34" i="4"/>
  <c r="G33" i="4"/>
  <c r="L32" i="4"/>
  <c r="D32" i="4"/>
  <c r="I31" i="4"/>
  <c r="A31" i="4"/>
  <c r="F30" i="4"/>
  <c r="K29" i="4"/>
  <c r="C29" i="4"/>
  <c r="H28" i="4"/>
  <c r="M27" i="4"/>
  <c r="E27" i="4"/>
  <c r="J26" i="4"/>
  <c r="B26" i="4"/>
  <c r="G25" i="4"/>
  <c r="L24" i="4"/>
  <c r="D24" i="4"/>
  <c r="I23" i="4"/>
  <c r="A23" i="4"/>
  <c r="F22" i="4"/>
  <c r="K21" i="4"/>
  <c r="C21" i="4"/>
  <c r="H20" i="4"/>
  <c r="M19" i="4"/>
  <c r="E19" i="4"/>
  <c r="J18" i="4"/>
  <c r="B18" i="4"/>
  <c r="G17" i="4"/>
  <c r="L16" i="4"/>
  <c r="D16" i="4"/>
  <c r="I15" i="4"/>
  <c r="A15" i="4"/>
  <c r="F14" i="4"/>
  <c r="K13" i="4"/>
  <c r="C13" i="4"/>
  <c r="H12" i="4"/>
  <c r="M11" i="4"/>
  <c r="E11" i="4"/>
  <c r="J10" i="4"/>
  <c r="B10" i="4"/>
  <c r="G9" i="4"/>
  <c r="L8" i="4"/>
  <c r="D8" i="4"/>
  <c r="I7" i="4"/>
  <c r="A7" i="4"/>
  <c r="P31" i="7"/>
  <c r="T18" i="7"/>
  <c r="D6" i="7"/>
  <c r="D22" i="6"/>
  <c r="H8" i="6"/>
  <c r="A6" i="6"/>
  <c r="H3" i="6"/>
  <c r="B1" i="6"/>
  <c r="I78" i="5"/>
  <c r="C76" i="5"/>
  <c r="J73" i="5"/>
  <c r="D71" i="5"/>
  <c r="K68" i="5"/>
  <c r="E66" i="5"/>
  <c r="L63" i="5"/>
  <c r="F61" i="5"/>
  <c r="M58" i="5"/>
  <c r="G56" i="5"/>
  <c r="A54" i="5"/>
  <c r="H51" i="5"/>
  <c r="B49" i="5"/>
  <c r="I46" i="5"/>
  <c r="F44" i="5"/>
  <c r="I42" i="5"/>
  <c r="B41" i="5"/>
  <c r="G39" i="5"/>
  <c r="J37" i="5"/>
  <c r="C36" i="5"/>
  <c r="H34" i="5"/>
  <c r="K32" i="5"/>
  <c r="D31" i="5"/>
  <c r="I29" i="5"/>
  <c r="L27" i="5"/>
  <c r="E26" i="5"/>
  <c r="J24" i="5"/>
  <c r="B23" i="5"/>
  <c r="L21" i="5"/>
  <c r="M20" i="5"/>
  <c r="E20" i="5"/>
  <c r="J19" i="5"/>
  <c r="B19" i="5"/>
  <c r="G18" i="5"/>
  <c r="L17" i="5"/>
  <c r="D17" i="5"/>
  <c r="I16" i="5"/>
  <c r="A16" i="5"/>
  <c r="F15" i="5"/>
  <c r="K14" i="5"/>
  <c r="C14" i="5"/>
  <c r="H13" i="5"/>
  <c r="M12" i="5"/>
  <c r="E12" i="5"/>
  <c r="J11" i="5"/>
  <c r="B11" i="5"/>
  <c r="G10" i="5"/>
  <c r="L9" i="5"/>
  <c r="D9" i="5"/>
  <c r="I8" i="5"/>
  <c r="A8" i="5"/>
  <c r="F7" i="5"/>
  <c r="K6" i="5"/>
  <c r="C6" i="5"/>
  <c r="H5" i="5"/>
  <c r="M4" i="5"/>
  <c r="E4" i="5"/>
  <c r="J3" i="5"/>
  <c r="B3" i="5"/>
  <c r="G2" i="5"/>
  <c r="L1" i="5"/>
  <c r="D1" i="5"/>
  <c r="I42" i="4"/>
  <c r="A42" i="4"/>
  <c r="F41" i="4"/>
  <c r="K40" i="4"/>
  <c r="C40" i="4"/>
  <c r="H39" i="4"/>
  <c r="M38" i="4"/>
  <c r="E38" i="4"/>
  <c r="J37" i="4"/>
  <c r="B37" i="4"/>
  <c r="G36" i="4"/>
  <c r="L35" i="4"/>
  <c r="D35" i="4"/>
  <c r="I34" i="4"/>
  <c r="A34" i="4"/>
  <c r="F33" i="4"/>
  <c r="K32" i="4"/>
  <c r="C32" i="4"/>
  <c r="H31" i="4"/>
  <c r="M30" i="4"/>
  <c r="E30" i="4"/>
  <c r="J29" i="4"/>
  <c r="B29" i="4"/>
  <c r="G28" i="4"/>
  <c r="L27" i="4"/>
  <c r="D27" i="4"/>
  <c r="I26" i="4"/>
  <c r="A26" i="4"/>
  <c r="F25" i="4"/>
  <c r="K24" i="4"/>
  <c r="C24" i="4"/>
  <c r="H23" i="4"/>
  <c r="M22" i="4"/>
  <c r="E22" i="4"/>
  <c r="J21" i="4"/>
  <c r="B21" i="4"/>
  <c r="G20" i="4"/>
  <c r="L19" i="4"/>
  <c r="D19" i="4"/>
  <c r="I18" i="4"/>
  <c r="A18" i="4"/>
  <c r="F17" i="4"/>
  <c r="K16" i="4"/>
  <c r="C16" i="4"/>
  <c r="H15" i="4"/>
  <c r="M14" i="4"/>
  <c r="E14" i="4"/>
  <c r="J13" i="4"/>
  <c r="B13" i="4"/>
  <c r="G12" i="4"/>
  <c r="L11" i="4"/>
  <c r="D11" i="4"/>
  <c r="I10" i="4"/>
  <c r="A10" i="4"/>
  <c r="F9" i="4"/>
  <c r="K8" i="4"/>
  <c r="P29" i="7"/>
  <c r="T16" i="7"/>
  <c r="D4" i="7"/>
  <c r="C19" i="6"/>
  <c r="B8" i="6"/>
  <c r="I5" i="6"/>
  <c r="C3" i="6"/>
  <c r="J80" i="5"/>
  <c r="D78" i="5"/>
  <c r="K75" i="5"/>
  <c r="E73" i="5"/>
  <c r="L70" i="5"/>
  <c r="F68" i="5"/>
  <c r="M65" i="5"/>
  <c r="G63" i="5"/>
  <c r="A61" i="5"/>
  <c r="H58" i="5"/>
  <c r="B56" i="5"/>
  <c r="I53" i="5"/>
  <c r="C51" i="5"/>
  <c r="J48" i="5"/>
  <c r="D46" i="5"/>
  <c r="C44" i="5"/>
  <c r="H42" i="5"/>
  <c r="K40" i="5"/>
  <c r="D39" i="5"/>
  <c r="I37" i="5"/>
  <c r="L35" i="5"/>
  <c r="E34" i="5"/>
  <c r="J32" i="5"/>
  <c r="M30" i="5"/>
  <c r="F29" i="5"/>
  <c r="K27" i="5"/>
  <c r="A26" i="5"/>
  <c r="G24" i="5"/>
  <c r="M22" i="5"/>
  <c r="J21" i="5"/>
  <c r="L20" i="5"/>
  <c r="D20" i="5"/>
  <c r="I19" i="5"/>
  <c r="A19" i="5"/>
  <c r="F18" i="5"/>
  <c r="K17" i="5"/>
  <c r="C17" i="5"/>
  <c r="H16" i="5"/>
  <c r="M15" i="5"/>
  <c r="E15" i="5"/>
  <c r="J14" i="5"/>
  <c r="B14" i="5"/>
  <c r="G13" i="5"/>
  <c r="L12" i="5"/>
  <c r="D12" i="5"/>
  <c r="I11" i="5"/>
  <c r="A11" i="5"/>
  <c r="F10" i="5"/>
  <c r="K9" i="5"/>
  <c r="C9" i="5"/>
  <c r="H8" i="5"/>
  <c r="M7" i="5"/>
  <c r="E7" i="5"/>
  <c r="J6" i="5"/>
  <c r="B6" i="5"/>
  <c r="G5" i="5"/>
  <c r="L4" i="5"/>
  <c r="D4" i="5"/>
  <c r="I3" i="5"/>
  <c r="A3" i="5"/>
  <c r="F2" i="5"/>
  <c r="K1" i="5"/>
  <c r="C1" i="5"/>
  <c r="H42" i="4"/>
  <c r="M41" i="4"/>
  <c r="E41" i="4"/>
  <c r="J40" i="4"/>
  <c r="B40" i="4"/>
  <c r="G39" i="4"/>
  <c r="L38" i="4"/>
  <c r="D38" i="4"/>
  <c r="I37" i="4"/>
  <c r="A37" i="4"/>
  <c r="F36" i="4"/>
  <c r="K35" i="4"/>
  <c r="C35" i="4"/>
  <c r="H34" i="4"/>
  <c r="M33" i="4"/>
  <c r="E33" i="4"/>
  <c r="J32" i="4"/>
  <c r="B32" i="4"/>
  <c r="G31" i="4"/>
  <c r="L30" i="4"/>
  <c r="D30" i="4"/>
  <c r="I29" i="4"/>
  <c r="A29" i="4"/>
  <c r="F28" i="4"/>
  <c r="K27" i="4"/>
  <c r="C27" i="4"/>
  <c r="H26" i="4"/>
  <c r="M25" i="4"/>
  <c r="E25" i="4"/>
  <c r="J24" i="4"/>
  <c r="B24" i="4"/>
  <c r="G23" i="4"/>
  <c r="L22" i="4"/>
  <c r="D22" i="4"/>
  <c r="I21" i="4"/>
  <c r="A21" i="4"/>
  <c r="F20" i="4"/>
  <c r="K19" i="4"/>
  <c r="C19" i="4"/>
  <c r="H18" i="4"/>
  <c r="M17" i="4"/>
  <c r="E17" i="4"/>
  <c r="J16" i="4"/>
  <c r="B16" i="4"/>
  <c r="G15" i="4"/>
  <c r="L14" i="4"/>
  <c r="D14" i="4"/>
  <c r="I13" i="4"/>
  <c r="A13" i="4"/>
  <c r="F12" i="4"/>
  <c r="K11" i="4"/>
  <c r="C11" i="4"/>
  <c r="H10" i="4"/>
  <c r="L28" i="7"/>
  <c r="P15" i="7"/>
  <c r="T2" i="7"/>
  <c r="E17" i="6"/>
  <c r="L7" i="6"/>
  <c r="F5" i="6"/>
  <c r="M2" i="6"/>
  <c r="G80" i="5"/>
  <c r="A78" i="5"/>
  <c r="H75" i="5"/>
  <c r="B73" i="5"/>
  <c r="I70" i="5"/>
  <c r="C68" i="5"/>
  <c r="J65" i="5"/>
  <c r="D63" i="5"/>
  <c r="K60" i="5"/>
  <c r="E58" i="5"/>
  <c r="L55" i="5"/>
  <c r="F53" i="5"/>
  <c r="M50" i="5"/>
  <c r="G48" i="5"/>
  <c r="A46" i="5"/>
  <c r="L43" i="5"/>
  <c r="E42" i="5"/>
  <c r="J40" i="5"/>
  <c r="M38" i="5"/>
  <c r="F37" i="5"/>
  <c r="K35" i="5"/>
  <c r="A34" i="5"/>
  <c r="G32" i="5"/>
  <c r="L30" i="5"/>
  <c r="B29" i="5"/>
  <c r="H27" i="5"/>
  <c r="M25" i="5"/>
  <c r="C24" i="5"/>
  <c r="L22" i="5"/>
  <c r="I21" i="5"/>
  <c r="K20" i="5"/>
  <c r="C20" i="5"/>
  <c r="H19" i="5"/>
  <c r="M18" i="5"/>
  <c r="E18" i="5"/>
  <c r="J17" i="5"/>
  <c r="B17" i="5"/>
  <c r="G16" i="5"/>
  <c r="L15" i="5"/>
  <c r="D15" i="5"/>
  <c r="I14" i="5"/>
  <c r="A14" i="5"/>
  <c r="F13" i="5"/>
  <c r="K12" i="5"/>
  <c r="C12" i="5"/>
  <c r="H11" i="5"/>
  <c r="M10" i="5"/>
  <c r="E10" i="5"/>
  <c r="J9" i="5"/>
  <c r="B9" i="5"/>
  <c r="G8" i="5"/>
  <c r="L7" i="5"/>
  <c r="D7" i="5"/>
  <c r="I6" i="5"/>
  <c r="A6" i="5"/>
  <c r="F5" i="5"/>
  <c r="K4" i="5"/>
  <c r="C4" i="5"/>
  <c r="H3" i="5"/>
  <c r="M2" i="5"/>
  <c r="E2" i="5"/>
  <c r="J1" i="5"/>
  <c r="B1" i="5"/>
  <c r="G42" i="4"/>
  <c r="L41" i="4"/>
  <c r="D41" i="4"/>
  <c r="I40" i="4"/>
  <c r="A40" i="4"/>
  <c r="F39" i="4"/>
  <c r="K38" i="4"/>
  <c r="C38" i="4"/>
  <c r="H37" i="4"/>
  <c r="M36" i="4"/>
  <c r="E36" i="4"/>
  <c r="J35" i="4"/>
  <c r="B35" i="4"/>
  <c r="G34" i="4"/>
  <c r="L33" i="4"/>
  <c r="D33" i="4"/>
  <c r="I32" i="4"/>
  <c r="A32" i="4"/>
  <c r="F31" i="4"/>
  <c r="K30" i="4"/>
  <c r="C30" i="4"/>
  <c r="H29" i="4"/>
  <c r="M28" i="4"/>
  <c r="E28" i="4"/>
  <c r="J27" i="4"/>
  <c r="B27" i="4"/>
  <c r="G26" i="4"/>
  <c r="L25" i="4"/>
  <c r="D25" i="4"/>
  <c r="I24" i="4"/>
  <c r="A24" i="4"/>
  <c r="F23" i="4"/>
  <c r="K22" i="4"/>
  <c r="C22" i="4"/>
  <c r="H21" i="4"/>
  <c r="M20" i="4"/>
  <c r="E20" i="4"/>
  <c r="J19" i="4"/>
  <c r="B19" i="4"/>
  <c r="G18" i="4"/>
  <c r="L17" i="4"/>
  <c r="D17" i="4"/>
  <c r="I16" i="4"/>
  <c r="A16" i="4"/>
  <c r="F15" i="4"/>
  <c r="K14" i="4"/>
  <c r="C14" i="4"/>
  <c r="H25" i="7"/>
  <c r="L12" i="7"/>
  <c r="B32" i="6"/>
  <c r="F12" i="6"/>
  <c r="D7" i="6"/>
  <c r="K4" i="6"/>
  <c r="E2" i="6"/>
  <c r="L79" i="5"/>
  <c r="F77" i="5"/>
  <c r="M74" i="5"/>
  <c r="G72" i="5"/>
  <c r="A70" i="5"/>
  <c r="H67" i="5"/>
  <c r="B65" i="5"/>
  <c r="I62" i="5"/>
  <c r="C60" i="5"/>
  <c r="J57" i="5"/>
  <c r="D55" i="5"/>
  <c r="K52" i="5"/>
  <c r="E50" i="5"/>
  <c r="L47" i="5"/>
  <c r="F45" i="5"/>
  <c r="H43" i="5"/>
  <c r="M41" i="5"/>
  <c r="C40" i="5"/>
  <c r="I38" i="5"/>
  <c r="A37" i="5"/>
  <c r="D35" i="5"/>
  <c r="J33" i="5"/>
  <c r="B32" i="5"/>
  <c r="E30" i="5"/>
  <c r="K28" i="5"/>
  <c r="C27" i="5"/>
  <c r="F25" i="5"/>
  <c r="L23" i="5"/>
  <c r="G22" i="5"/>
  <c r="D21" i="5"/>
  <c r="I20" i="5"/>
  <c r="A20" i="5"/>
  <c r="F19" i="5"/>
  <c r="K18" i="5"/>
  <c r="C18" i="5"/>
  <c r="H17" i="5"/>
  <c r="M16" i="5"/>
  <c r="E16" i="5"/>
  <c r="J15" i="5"/>
  <c r="B15" i="5"/>
  <c r="G14" i="5"/>
  <c r="L13" i="5"/>
  <c r="D13" i="5"/>
  <c r="I12" i="5"/>
  <c r="A12" i="5"/>
  <c r="F11" i="5"/>
  <c r="K10" i="5"/>
  <c r="C10" i="5"/>
  <c r="H9" i="5"/>
  <c r="M8" i="5"/>
  <c r="E8" i="5"/>
  <c r="J7" i="5"/>
  <c r="B7" i="5"/>
  <c r="G6" i="5"/>
  <c r="L5" i="5"/>
  <c r="D5" i="5"/>
  <c r="I4" i="5"/>
  <c r="A4" i="5"/>
  <c r="F3" i="5"/>
  <c r="K2" i="5"/>
  <c r="C2" i="5"/>
  <c r="H1" i="5"/>
  <c r="M42" i="4"/>
  <c r="E42" i="4"/>
  <c r="J41" i="4"/>
  <c r="B41" i="4"/>
  <c r="G40" i="4"/>
  <c r="L39" i="4"/>
  <c r="D39" i="4"/>
  <c r="I38" i="4"/>
  <c r="A38" i="4"/>
  <c r="F37" i="4"/>
  <c r="K36" i="4"/>
  <c r="C36" i="4"/>
  <c r="H35" i="4"/>
  <c r="M34" i="4"/>
  <c r="E34" i="4"/>
  <c r="J33" i="4"/>
  <c r="B33" i="4"/>
  <c r="G32" i="4"/>
  <c r="L31" i="4"/>
  <c r="D31" i="4"/>
  <c r="I30" i="4"/>
  <c r="A30" i="4"/>
  <c r="F29" i="4"/>
  <c r="K28" i="4"/>
  <c r="C28" i="4"/>
  <c r="H27" i="4"/>
  <c r="M26" i="4"/>
  <c r="E26" i="4"/>
  <c r="J25" i="4"/>
  <c r="B25" i="4"/>
  <c r="G24" i="4"/>
  <c r="L23" i="4"/>
  <c r="D23" i="4"/>
  <c r="I22" i="4"/>
  <c r="A22" i="4"/>
  <c r="F21" i="4"/>
  <c r="K20" i="4"/>
  <c r="C20" i="4"/>
  <c r="H19" i="4"/>
  <c r="M18" i="4"/>
  <c r="E18" i="4"/>
  <c r="J17" i="4"/>
  <c r="B17" i="4"/>
  <c r="G16" i="4"/>
  <c r="L15" i="4"/>
  <c r="D15" i="4"/>
  <c r="I14" i="4"/>
  <c r="A14" i="4"/>
  <c r="F13" i="4"/>
  <c r="K12" i="4"/>
  <c r="C12" i="4"/>
  <c r="H11" i="4"/>
  <c r="M10" i="4"/>
  <c r="E10" i="4"/>
  <c r="J9" i="4"/>
  <c r="B9" i="4"/>
  <c r="G8" i="4"/>
  <c r="L7" i="4"/>
  <c r="H23" i="7"/>
  <c r="L10" i="7"/>
  <c r="A29" i="6"/>
  <c r="M9" i="6"/>
  <c r="L6" i="6"/>
  <c r="F4" i="6"/>
  <c r="M1" i="6"/>
  <c r="G79" i="5"/>
  <c r="A77" i="5"/>
  <c r="H74" i="5"/>
  <c r="B72" i="5"/>
  <c r="I69" i="5"/>
  <c r="C67" i="5"/>
  <c r="J64" i="5"/>
  <c r="D62" i="5"/>
  <c r="K59" i="5"/>
  <c r="E57" i="5"/>
  <c r="L54" i="5"/>
  <c r="F52" i="5"/>
  <c r="M49" i="5"/>
  <c r="G47" i="5"/>
  <c r="A45" i="5"/>
  <c r="D43" i="5"/>
  <c r="J41" i="5"/>
  <c r="B40" i="5"/>
  <c r="E38" i="5"/>
  <c r="K36" i="5"/>
  <c r="C35" i="5"/>
  <c r="F33" i="5"/>
  <c r="L31" i="5"/>
  <c r="D30" i="5"/>
  <c r="G28" i="5"/>
  <c r="M26" i="5"/>
  <c r="E25" i="5"/>
  <c r="H23" i="5"/>
  <c r="E22" i="5"/>
  <c r="C21" i="5"/>
  <c r="H20" i="5"/>
  <c r="M19" i="5"/>
  <c r="E19" i="5"/>
  <c r="J18" i="5"/>
  <c r="B18" i="5"/>
  <c r="G17" i="5"/>
  <c r="L16" i="5"/>
  <c r="D16" i="5"/>
  <c r="I15" i="5"/>
  <c r="A15" i="5"/>
  <c r="F14" i="5"/>
  <c r="K13" i="5"/>
  <c r="C13" i="5"/>
  <c r="H12" i="5"/>
  <c r="M11" i="5"/>
  <c r="E11" i="5"/>
  <c r="J10" i="5"/>
  <c r="B10" i="5"/>
  <c r="G9" i="5"/>
  <c r="L8" i="5"/>
  <c r="D8" i="5"/>
  <c r="I7" i="5"/>
  <c r="A7" i="5"/>
  <c r="F6" i="5"/>
  <c r="K5" i="5"/>
  <c r="C5" i="5"/>
  <c r="H4" i="5"/>
  <c r="M3" i="5"/>
  <c r="E3" i="5"/>
  <c r="J2" i="5"/>
  <c r="B2" i="5"/>
  <c r="G1" i="5"/>
  <c r="L42" i="4"/>
  <c r="D42" i="4"/>
  <c r="I41" i="4"/>
  <c r="A41" i="4"/>
  <c r="F40" i="4"/>
  <c r="K39" i="4"/>
  <c r="C39" i="4"/>
  <c r="H38" i="4"/>
  <c r="M37" i="4"/>
  <c r="E37" i="4"/>
  <c r="J36" i="4"/>
  <c r="B36" i="4"/>
  <c r="G35" i="4"/>
  <c r="L34" i="4"/>
  <c r="D34" i="4"/>
  <c r="I33" i="4"/>
  <c r="A33" i="4"/>
  <c r="F32" i="4"/>
  <c r="K31" i="4"/>
  <c r="C31" i="4"/>
  <c r="H30" i="4"/>
  <c r="M29" i="4"/>
  <c r="E29" i="4"/>
  <c r="J28" i="4"/>
  <c r="B28" i="4"/>
  <c r="G27" i="4"/>
  <c r="L26" i="4"/>
  <c r="D26" i="4"/>
  <c r="I25" i="4"/>
  <c r="A25" i="4"/>
  <c r="F24" i="4"/>
  <c r="K23" i="4"/>
  <c r="C23" i="4"/>
  <c r="H22" i="4"/>
  <c r="M21" i="4"/>
  <c r="E21" i="4"/>
  <c r="J20" i="4"/>
  <c r="B20" i="4"/>
  <c r="G19" i="4"/>
  <c r="L18" i="4"/>
  <c r="D18" i="4"/>
  <c r="I17" i="4"/>
  <c r="A17" i="4"/>
  <c r="F16" i="4"/>
  <c r="K15" i="4"/>
  <c r="C15" i="4"/>
  <c r="H14" i="4"/>
  <c r="M13" i="4"/>
  <c r="E13" i="4"/>
  <c r="J12" i="4"/>
  <c r="B12" i="4"/>
  <c r="G11" i="4"/>
  <c r="L10" i="4"/>
  <c r="L26" i="7"/>
  <c r="G7" i="6"/>
  <c r="I77" i="5"/>
  <c r="K67" i="5"/>
  <c r="M57" i="5"/>
  <c r="B48" i="5"/>
  <c r="G40" i="5"/>
  <c r="M33" i="5"/>
  <c r="D27" i="5"/>
  <c r="F21" i="5"/>
  <c r="L18" i="5"/>
  <c r="F16" i="5"/>
  <c r="M13" i="5"/>
  <c r="G11" i="5"/>
  <c r="A9" i="5"/>
  <c r="H6" i="5"/>
  <c r="B4" i="5"/>
  <c r="I1" i="5"/>
  <c r="C41" i="4"/>
  <c r="J38" i="4"/>
  <c r="D36" i="4"/>
  <c r="K33" i="4"/>
  <c r="E31" i="4"/>
  <c r="L28" i="4"/>
  <c r="F26" i="4"/>
  <c r="M23" i="4"/>
  <c r="G21" i="4"/>
  <c r="A19" i="4"/>
  <c r="H16" i="4"/>
  <c r="B14" i="4"/>
  <c r="E12" i="4"/>
  <c r="K10" i="4"/>
  <c r="I9" i="4"/>
  <c r="I8" i="4"/>
  <c r="K7" i="4"/>
  <c r="B7" i="4"/>
  <c r="F6" i="4"/>
  <c r="K5" i="4"/>
  <c r="C5" i="4"/>
  <c r="H4" i="4"/>
  <c r="M3" i="4"/>
  <c r="E3" i="4"/>
  <c r="J2" i="4"/>
  <c r="B2" i="4"/>
  <c r="G1" i="4"/>
  <c r="Q32" i="3"/>
  <c r="I32" i="3"/>
  <c r="A32" i="3"/>
  <c r="K31" i="3"/>
  <c r="C31" i="3"/>
  <c r="M30" i="3"/>
  <c r="E30" i="3"/>
  <c r="O29" i="3"/>
  <c r="G29" i="3"/>
  <c r="Q28" i="3"/>
  <c r="I28" i="3"/>
  <c r="A28" i="3"/>
  <c r="K27" i="3"/>
  <c r="C27" i="3"/>
  <c r="M26" i="3"/>
  <c r="E26" i="3"/>
  <c r="O25" i="3"/>
  <c r="G25" i="3"/>
  <c r="Q24" i="3"/>
  <c r="I24" i="3"/>
  <c r="A24" i="3"/>
  <c r="K23" i="3"/>
  <c r="C23" i="3"/>
  <c r="M22" i="3"/>
  <c r="E22" i="3"/>
  <c r="O21" i="3"/>
  <c r="G21" i="3"/>
  <c r="Q20" i="3"/>
  <c r="I20" i="3"/>
  <c r="A20" i="3"/>
  <c r="K19" i="3"/>
  <c r="C19" i="3"/>
  <c r="M18" i="3"/>
  <c r="E18" i="3"/>
  <c r="O17" i="3"/>
  <c r="G17" i="3"/>
  <c r="Q16" i="3"/>
  <c r="I16" i="3"/>
  <c r="A16" i="3"/>
  <c r="K15" i="3"/>
  <c r="C15" i="3"/>
  <c r="M14" i="3"/>
  <c r="E14" i="3"/>
  <c r="O13" i="3"/>
  <c r="G13" i="3"/>
  <c r="Q12" i="3"/>
  <c r="I12" i="3"/>
  <c r="A12" i="3"/>
  <c r="K11" i="3"/>
  <c r="C11" i="3"/>
  <c r="M10" i="3"/>
  <c r="E10" i="3"/>
  <c r="O9" i="3"/>
  <c r="G9" i="3"/>
  <c r="Q8" i="3"/>
  <c r="I8" i="3"/>
  <c r="A8" i="3"/>
  <c r="K7" i="3"/>
  <c r="C7" i="3"/>
  <c r="M6" i="3"/>
  <c r="E6" i="3"/>
  <c r="O5" i="3"/>
  <c r="G5" i="3"/>
  <c r="Q4" i="3"/>
  <c r="I4" i="3"/>
  <c r="A4" i="3"/>
  <c r="K3" i="3"/>
  <c r="C3" i="3"/>
  <c r="M2" i="3"/>
  <c r="E2" i="3"/>
  <c r="O1" i="3"/>
  <c r="G1" i="3"/>
  <c r="I33" i="2"/>
  <c r="A33" i="2"/>
  <c r="C32" i="2"/>
  <c r="E31" i="2"/>
  <c r="G30" i="2"/>
  <c r="I29" i="2"/>
  <c r="A29" i="2"/>
  <c r="C28" i="2"/>
  <c r="E27" i="2"/>
  <c r="G26" i="2"/>
  <c r="I25" i="2"/>
  <c r="A25" i="2"/>
  <c r="C24" i="2"/>
  <c r="E23" i="2"/>
  <c r="G22" i="2"/>
  <c r="I21" i="2"/>
  <c r="A21" i="2"/>
  <c r="C20" i="2"/>
  <c r="E19" i="2"/>
  <c r="G18" i="2"/>
  <c r="I17" i="2"/>
  <c r="A17" i="2"/>
  <c r="C16" i="2"/>
  <c r="E15" i="2"/>
  <c r="G14" i="2"/>
  <c r="D22" i="7"/>
  <c r="I6" i="6"/>
  <c r="K76" i="5"/>
  <c r="M66" i="5"/>
  <c r="B57" i="5"/>
  <c r="D47" i="5"/>
  <c r="L39" i="5"/>
  <c r="E33" i="5"/>
  <c r="I26" i="5"/>
  <c r="B21" i="5"/>
  <c r="I18" i="5"/>
  <c r="C16" i="5"/>
  <c r="J13" i="5"/>
  <c r="D11" i="5"/>
  <c r="K8" i="5"/>
  <c r="E6" i="5"/>
  <c r="L3" i="5"/>
  <c r="F1" i="5"/>
  <c r="M40" i="4"/>
  <c r="G38" i="4"/>
  <c r="A36" i="4"/>
  <c r="H33" i="4"/>
  <c r="B31" i="4"/>
  <c r="I28" i="4"/>
  <c r="C26" i="4"/>
  <c r="J23" i="4"/>
  <c r="D21" i="4"/>
  <c r="K18" i="4"/>
  <c r="E16" i="4"/>
  <c r="L13" i="4"/>
  <c r="D12" i="4"/>
  <c r="G10" i="4"/>
  <c r="H9" i="4"/>
  <c r="H8" i="4"/>
  <c r="J7" i="4"/>
  <c r="M6" i="4"/>
  <c r="E6" i="4"/>
  <c r="J5" i="4"/>
  <c r="B5" i="4"/>
  <c r="G4" i="4"/>
  <c r="L3" i="4"/>
  <c r="D3" i="4"/>
  <c r="I2" i="4"/>
  <c r="A2" i="4"/>
  <c r="F1" i="4"/>
  <c r="P32" i="3"/>
  <c r="H32" i="3"/>
  <c r="R31" i="3"/>
  <c r="J31" i="3"/>
  <c r="B31" i="3"/>
  <c r="L30" i="3"/>
  <c r="D30" i="3"/>
  <c r="N29" i="3"/>
  <c r="F29" i="3"/>
  <c r="P28" i="3"/>
  <c r="H28" i="3"/>
  <c r="R27" i="3"/>
  <c r="J27" i="3"/>
  <c r="B27" i="3"/>
  <c r="L26" i="3"/>
  <c r="D26" i="3"/>
  <c r="N25" i="3"/>
  <c r="F25" i="3"/>
  <c r="P24" i="3"/>
  <c r="H24" i="3"/>
  <c r="R23" i="3"/>
  <c r="J23" i="3"/>
  <c r="B23" i="3"/>
  <c r="L22" i="3"/>
  <c r="D22" i="3"/>
  <c r="N21" i="3"/>
  <c r="F21" i="3"/>
  <c r="P20" i="3"/>
  <c r="H20" i="3"/>
  <c r="R19" i="3"/>
  <c r="J19" i="3"/>
  <c r="B19" i="3"/>
  <c r="L18" i="3"/>
  <c r="D18" i="3"/>
  <c r="N17" i="3"/>
  <c r="F17" i="3"/>
  <c r="P16" i="3"/>
  <c r="H16" i="3"/>
  <c r="R15" i="3"/>
  <c r="J15" i="3"/>
  <c r="B15" i="3"/>
  <c r="L14" i="3"/>
  <c r="D14" i="3"/>
  <c r="N13" i="3"/>
  <c r="F13" i="3"/>
  <c r="P12" i="3"/>
  <c r="H12" i="3"/>
  <c r="R11" i="3"/>
  <c r="J11" i="3"/>
  <c r="B11" i="3"/>
  <c r="L10" i="3"/>
  <c r="D10" i="3"/>
  <c r="N9" i="3"/>
  <c r="F9" i="3"/>
  <c r="P8" i="3"/>
  <c r="H8" i="3"/>
  <c r="R7" i="3"/>
  <c r="J7" i="3"/>
  <c r="B7" i="3"/>
  <c r="L6" i="3"/>
  <c r="D6" i="3"/>
  <c r="N5" i="3"/>
  <c r="F5" i="3"/>
  <c r="P4" i="3"/>
  <c r="H4" i="3"/>
  <c r="R3" i="3"/>
  <c r="J3" i="3"/>
  <c r="B3" i="3"/>
  <c r="L2" i="3"/>
  <c r="D2" i="3"/>
  <c r="N1" i="3"/>
  <c r="F1" i="3"/>
  <c r="H33" i="2"/>
  <c r="J32" i="2"/>
  <c r="B32" i="2"/>
  <c r="D31" i="2"/>
  <c r="F30" i="2"/>
  <c r="H29" i="2"/>
  <c r="J28" i="2"/>
  <c r="B28" i="2"/>
  <c r="D27" i="2"/>
  <c r="F26" i="2"/>
  <c r="H25" i="2"/>
  <c r="P13" i="7"/>
  <c r="A5" i="6"/>
  <c r="C75" i="5"/>
  <c r="E65" i="5"/>
  <c r="G55" i="5"/>
  <c r="I45" i="5"/>
  <c r="L38" i="5"/>
  <c r="C32" i="5"/>
  <c r="J25" i="5"/>
  <c r="J20" i="5"/>
  <c r="D18" i="5"/>
  <c r="K15" i="5"/>
  <c r="E13" i="5"/>
  <c r="L10" i="5"/>
  <c r="F8" i="5"/>
  <c r="M5" i="5"/>
  <c r="G3" i="5"/>
  <c r="H40" i="4"/>
  <c r="B38" i="4"/>
  <c r="I35" i="4"/>
  <c r="C33" i="4"/>
  <c r="J30" i="4"/>
  <c r="D28" i="4"/>
  <c r="K25" i="4"/>
  <c r="E23" i="4"/>
  <c r="L20" i="4"/>
  <c r="F18" i="4"/>
  <c r="M15" i="4"/>
  <c r="H13" i="4"/>
  <c r="A12" i="4"/>
  <c r="F10" i="4"/>
  <c r="E9" i="4"/>
  <c r="F8" i="4"/>
  <c r="H7" i="4"/>
  <c r="L6" i="4"/>
  <c r="D6" i="4"/>
  <c r="I5" i="4"/>
  <c r="A5" i="4"/>
  <c r="F4" i="4"/>
  <c r="K3" i="4"/>
  <c r="C3" i="4"/>
  <c r="H2" i="4"/>
  <c r="M1" i="4"/>
  <c r="E1" i="4"/>
  <c r="O32" i="3"/>
  <c r="G32" i="3"/>
  <c r="Q31" i="3"/>
  <c r="I31" i="3"/>
  <c r="A31" i="3"/>
  <c r="K30" i="3"/>
  <c r="C30" i="3"/>
  <c r="M29" i="3"/>
  <c r="E29" i="3"/>
  <c r="O28" i="3"/>
  <c r="G28" i="3"/>
  <c r="Q27" i="3"/>
  <c r="I27" i="3"/>
  <c r="A27" i="3"/>
  <c r="K26" i="3"/>
  <c r="C26" i="3"/>
  <c r="M25" i="3"/>
  <c r="E25" i="3"/>
  <c r="O24" i="3"/>
  <c r="G24" i="3"/>
  <c r="Q23" i="3"/>
  <c r="I23" i="3"/>
  <c r="A23" i="3"/>
  <c r="K22" i="3"/>
  <c r="C22" i="3"/>
  <c r="M21" i="3"/>
  <c r="E21" i="3"/>
  <c r="O20" i="3"/>
  <c r="G20" i="3"/>
  <c r="Q19" i="3"/>
  <c r="I19" i="3"/>
  <c r="A19" i="3"/>
  <c r="K18" i="3"/>
  <c r="C18" i="3"/>
  <c r="M17" i="3"/>
  <c r="E17" i="3"/>
  <c r="O16" i="3"/>
  <c r="G16" i="3"/>
  <c r="Q15" i="3"/>
  <c r="I15" i="3"/>
  <c r="A15" i="3"/>
  <c r="K14" i="3"/>
  <c r="C14" i="3"/>
  <c r="M13" i="3"/>
  <c r="E13" i="3"/>
  <c r="O12" i="3"/>
  <c r="G12" i="3"/>
  <c r="Q11" i="3"/>
  <c r="I11" i="3"/>
  <c r="A11" i="3"/>
  <c r="K10" i="3"/>
  <c r="C10" i="3"/>
  <c r="M9" i="3"/>
  <c r="E9" i="3"/>
  <c r="O8" i="3"/>
  <c r="G8" i="3"/>
  <c r="Q7" i="3"/>
  <c r="I7" i="3"/>
  <c r="A7" i="3"/>
  <c r="K6" i="3"/>
  <c r="C6" i="3"/>
  <c r="M5" i="3"/>
  <c r="E5" i="3"/>
  <c r="O4" i="3"/>
  <c r="G4" i="3"/>
  <c r="Q3" i="3"/>
  <c r="I3" i="3"/>
  <c r="A3" i="3"/>
  <c r="K2" i="3"/>
  <c r="C2" i="3"/>
  <c r="M1" i="3"/>
  <c r="E1" i="3"/>
  <c r="G33" i="2"/>
  <c r="I32" i="2"/>
  <c r="A32" i="2"/>
  <c r="C31" i="2"/>
  <c r="E30" i="2"/>
  <c r="G29" i="2"/>
  <c r="I28" i="2"/>
  <c r="A28" i="2"/>
  <c r="C27" i="2"/>
  <c r="E26" i="2"/>
  <c r="H9" i="7"/>
  <c r="C4" i="6"/>
  <c r="E74" i="5"/>
  <c r="G64" i="5"/>
  <c r="I54" i="5"/>
  <c r="K44" i="5"/>
  <c r="D38" i="5"/>
  <c r="H31" i="5"/>
  <c r="B25" i="5"/>
  <c r="G20" i="5"/>
  <c r="A18" i="5"/>
  <c r="H15" i="5"/>
  <c r="B13" i="5"/>
  <c r="I10" i="5"/>
  <c r="C8" i="5"/>
  <c r="J5" i="5"/>
  <c r="D3" i="5"/>
  <c r="K42" i="4"/>
  <c r="E40" i="4"/>
  <c r="L37" i="4"/>
  <c r="F35" i="4"/>
  <c r="M32" i="4"/>
  <c r="G30" i="4"/>
  <c r="A28" i="4"/>
  <c r="H25" i="4"/>
  <c r="B23" i="4"/>
  <c r="I20" i="4"/>
  <c r="C18" i="4"/>
  <c r="J15" i="4"/>
  <c r="G13" i="4"/>
  <c r="J11" i="4"/>
  <c r="D10" i="4"/>
  <c r="D9" i="4"/>
  <c r="E8" i="4"/>
  <c r="G7" i="4"/>
  <c r="K6" i="4"/>
  <c r="C6" i="4"/>
  <c r="H5" i="4"/>
  <c r="M4" i="4"/>
  <c r="E4" i="4"/>
  <c r="J3" i="4"/>
  <c r="B3" i="4"/>
  <c r="G2" i="4"/>
  <c r="L1" i="4"/>
  <c r="D1" i="4"/>
  <c r="N32" i="3"/>
  <c r="F32" i="3"/>
  <c r="P31" i="3"/>
  <c r="H31" i="3"/>
  <c r="R30" i="3"/>
  <c r="J30" i="3"/>
  <c r="B30" i="3"/>
  <c r="L29" i="3"/>
  <c r="D29" i="3"/>
  <c r="N28" i="3"/>
  <c r="F28" i="3"/>
  <c r="P27" i="3"/>
  <c r="H27" i="3"/>
  <c r="R26" i="3"/>
  <c r="J26" i="3"/>
  <c r="B26" i="3"/>
  <c r="L25" i="3"/>
  <c r="D25" i="3"/>
  <c r="N24" i="3"/>
  <c r="F24" i="3"/>
  <c r="P23" i="3"/>
  <c r="H23" i="3"/>
  <c r="R22" i="3"/>
  <c r="J22" i="3"/>
  <c r="B22" i="3"/>
  <c r="L21" i="3"/>
  <c r="D21" i="3"/>
  <c r="N20" i="3"/>
  <c r="F20" i="3"/>
  <c r="P19" i="3"/>
  <c r="H19" i="3"/>
  <c r="R18" i="3"/>
  <c r="J18" i="3"/>
  <c r="B18" i="3"/>
  <c r="L17" i="3"/>
  <c r="D17" i="3"/>
  <c r="N16" i="3"/>
  <c r="F16" i="3"/>
  <c r="P15" i="3"/>
  <c r="H15" i="3"/>
  <c r="R14" i="3"/>
  <c r="J14" i="3"/>
  <c r="B14" i="3"/>
  <c r="L13" i="3"/>
  <c r="D13" i="3"/>
  <c r="N12" i="3"/>
  <c r="F12" i="3"/>
  <c r="P11" i="3"/>
  <c r="H11" i="3"/>
  <c r="R10" i="3"/>
  <c r="J10" i="3"/>
  <c r="B10" i="3"/>
  <c r="L9" i="3"/>
  <c r="D9" i="3"/>
  <c r="N8" i="3"/>
  <c r="F8" i="3"/>
  <c r="P7" i="3"/>
  <c r="H7" i="3"/>
  <c r="R6" i="3"/>
  <c r="J6" i="3"/>
  <c r="B6" i="3"/>
  <c r="L5" i="3"/>
  <c r="D5" i="3"/>
  <c r="N4" i="3"/>
  <c r="F4" i="3"/>
  <c r="P3" i="3"/>
  <c r="H3" i="3"/>
  <c r="R2" i="3"/>
  <c r="J2" i="3"/>
  <c r="B2" i="3"/>
  <c r="L1" i="3"/>
  <c r="D1" i="3"/>
  <c r="F33" i="2"/>
  <c r="H32" i="2"/>
  <c r="M33" i="6"/>
  <c r="H2" i="6"/>
  <c r="J72" i="5"/>
  <c r="L62" i="5"/>
  <c r="A53" i="5"/>
  <c r="K43" i="5"/>
  <c r="B37" i="5"/>
  <c r="I30" i="5"/>
  <c r="B24" i="5"/>
  <c r="B20" i="5"/>
  <c r="I17" i="5"/>
  <c r="C15" i="5"/>
  <c r="J12" i="5"/>
  <c r="D10" i="5"/>
  <c r="K7" i="5"/>
  <c r="E5" i="5"/>
  <c r="L2" i="5"/>
  <c r="F42" i="4"/>
  <c r="M39" i="4"/>
  <c r="G37" i="4"/>
  <c r="A35" i="4"/>
  <c r="H32" i="4"/>
  <c r="B30" i="4"/>
  <c r="I27" i="4"/>
  <c r="C25" i="4"/>
  <c r="J22" i="4"/>
  <c r="D20" i="4"/>
  <c r="K17" i="4"/>
  <c r="E15" i="4"/>
  <c r="D13" i="4"/>
  <c r="I11" i="4"/>
  <c r="C10" i="4"/>
  <c r="C9" i="4"/>
  <c r="C8" i="4"/>
  <c r="F7" i="4"/>
  <c r="J6" i="4"/>
  <c r="B6" i="4"/>
  <c r="G5" i="4"/>
  <c r="L4" i="4"/>
  <c r="D4" i="4"/>
  <c r="I3" i="4"/>
  <c r="A3" i="4"/>
  <c r="F2" i="4"/>
  <c r="K1" i="4"/>
  <c r="C1" i="4"/>
  <c r="M32" i="3"/>
  <c r="E32" i="3"/>
  <c r="O31" i="3"/>
  <c r="G31" i="3"/>
  <c r="Q30" i="3"/>
  <c r="I30" i="3"/>
  <c r="A30" i="3"/>
  <c r="K29" i="3"/>
  <c r="C29" i="3"/>
  <c r="M28" i="3"/>
  <c r="E28" i="3"/>
  <c r="O27" i="3"/>
  <c r="G27" i="3"/>
  <c r="Q26" i="3"/>
  <c r="I26" i="3"/>
  <c r="A26" i="3"/>
  <c r="K25" i="3"/>
  <c r="C25" i="3"/>
  <c r="M24" i="3"/>
  <c r="E24" i="3"/>
  <c r="O23" i="3"/>
  <c r="G23" i="3"/>
  <c r="Q22" i="3"/>
  <c r="I22" i="3"/>
  <c r="A22" i="3"/>
  <c r="K21" i="3"/>
  <c r="C21" i="3"/>
  <c r="M20" i="3"/>
  <c r="E20" i="3"/>
  <c r="O19" i="3"/>
  <c r="G19" i="3"/>
  <c r="Q18" i="3"/>
  <c r="I18" i="3"/>
  <c r="A18" i="3"/>
  <c r="K17" i="3"/>
  <c r="C17" i="3"/>
  <c r="M16" i="3"/>
  <c r="E16" i="3"/>
  <c r="O15" i="3"/>
  <c r="G15" i="3"/>
  <c r="Q14" i="3"/>
  <c r="I14" i="3"/>
  <c r="A14" i="3"/>
  <c r="K13" i="3"/>
  <c r="C13" i="3"/>
  <c r="M12" i="3"/>
  <c r="E12" i="3"/>
  <c r="O11" i="3"/>
  <c r="G11" i="3"/>
  <c r="Q10" i="3"/>
  <c r="I10" i="3"/>
  <c r="A10" i="3"/>
  <c r="K9" i="3"/>
  <c r="C9" i="3"/>
  <c r="M8" i="3"/>
  <c r="E8" i="3"/>
  <c r="O7" i="3"/>
  <c r="G7" i="3"/>
  <c r="C27" i="6"/>
  <c r="J1" i="6"/>
  <c r="L71" i="5"/>
  <c r="A62" i="5"/>
  <c r="C52" i="5"/>
  <c r="C43" i="5"/>
  <c r="G36" i="5"/>
  <c r="A30" i="5"/>
  <c r="G23" i="5"/>
  <c r="L19" i="5"/>
  <c r="F17" i="5"/>
  <c r="M14" i="5"/>
  <c r="G12" i="5"/>
  <c r="A10" i="5"/>
  <c r="H7" i="5"/>
  <c r="B5" i="5"/>
  <c r="I2" i="5"/>
  <c r="C42" i="4"/>
  <c r="J39" i="4"/>
  <c r="D37" i="4"/>
  <c r="K34" i="4"/>
  <c r="E32" i="4"/>
  <c r="L29" i="4"/>
  <c r="F27" i="4"/>
  <c r="M24" i="4"/>
  <c r="G22" i="4"/>
  <c r="A20" i="4"/>
  <c r="H17" i="4"/>
  <c r="B15" i="4"/>
  <c r="M12" i="4"/>
  <c r="F11" i="4"/>
  <c r="M9" i="4"/>
  <c r="A9" i="4"/>
  <c r="B8" i="4"/>
  <c r="E7" i="4"/>
  <c r="I6" i="4"/>
  <c r="A6" i="4"/>
  <c r="F5" i="4"/>
  <c r="K4" i="4"/>
  <c r="C4" i="4"/>
  <c r="H3" i="4"/>
  <c r="M2" i="4"/>
  <c r="E2" i="4"/>
  <c r="J1" i="4"/>
  <c r="B1" i="4"/>
  <c r="L32" i="3"/>
  <c r="D32" i="3"/>
  <c r="N31" i="3"/>
  <c r="F31" i="3"/>
  <c r="P30" i="3"/>
  <c r="H30" i="3"/>
  <c r="R29" i="3"/>
  <c r="J29" i="3"/>
  <c r="B29" i="3"/>
  <c r="L28" i="3"/>
  <c r="D28" i="3"/>
  <c r="N27" i="3"/>
  <c r="F27" i="3"/>
  <c r="P26" i="3"/>
  <c r="H26" i="3"/>
  <c r="R25" i="3"/>
  <c r="J25" i="3"/>
  <c r="B25" i="3"/>
  <c r="L24" i="3"/>
  <c r="D24" i="3"/>
  <c r="N23" i="3"/>
  <c r="F23" i="3"/>
  <c r="P22" i="3"/>
  <c r="H22" i="3"/>
  <c r="R21" i="3"/>
  <c r="J21" i="3"/>
  <c r="B21" i="3"/>
  <c r="L20" i="3"/>
  <c r="D20" i="3"/>
  <c r="N19" i="3"/>
  <c r="F19" i="3"/>
  <c r="P18" i="3"/>
  <c r="H18" i="3"/>
  <c r="R17" i="3"/>
  <c r="J17" i="3"/>
  <c r="B17" i="3"/>
  <c r="L16" i="3"/>
  <c r="D16" i="3"/>
  <c r="N15" i="3"/>
  <c r="F15" i="3"/>
  <c r="P14" i="3"/>
  <c r="H14" i="3"/>
  <c r="R13" i="3"/>
  <c r="J13" i="3"/>
  <c r="B13" i="3"/>
  <c r="L12" i="3"/>
  <c r="D12" i="3"/>
  <c r="N11" i="3"/>
  <c r="F11" i="3"/>
  <c r="P10" i="3"/>
  <c r="H10" i="3"/>
  <c r="R9" i="3"/>
  <c r="J9" i="3"/>
  <c r="B9" i="3"/>
  <c r="L8" i="3"/>
  <c r="D8" i="3"/>
  <c r="N7" i="3"/>
  <c r="F7" i="3"/>
  <c r="P6" i="3"/>
  <c r="H6" i="3"/>
  <c r="R5" i="3"/>
  <c r="J5" i="3"/>
  <c r="B5" i="3"/>
  <c r="L4" i="3"/>
  <c r="D4" i="3"/>
  <c r="N3" i="3"/>
  <c r="F3" i="3"/>
  <c r="P2" i="3"/>
  <c r="H2" i="3"/>
  <c r="R1" i="3"/>
  <c r="J1" i="3"/>
  <c r="B1" i="3"/>
  <c r="D33" i="2"/>
  <c r="F32" i="2"/>
  <c r="H31" i="2"/>
  <c r="J30" i="2"/>
  <c r="B30" i="2"/>
  <c r="D29" i="2"/>
  <c r="F28" i="2"/>
  <c r="H27" i="2"/>
  <c r="J26" i="2"/>
  <c r="B26" i="2"/>
  <c r="D25" i="2"/>
  <c r="F24" i="2"/>
  <c r="H23" i="2"/>
  <c r="J22" i="2"/>
  <c r="B22" i="2"/>
  <c r="D21" i="2"/>
  <c r="F20" i="2"/>
  <c r="H19" i="2"/>
  <c r="J18" i="2"/>
  <c r="B18" i="2"/>
  <c r="D17" i="2"/>
  <c r="D14" i="6"/>
  <c r="B80" i="5"/>
  <c r="D70" i="5"/>
  <c r="F60" i="5"/>
  <c r="H50" i="5"/>
  <c r="A42" i="5"/>
  <c r="H35" i="5"/>
  <c r="A29" i="5"/>
  <c r="I22" i="5"/>
  <c r="G19" i="5"/>
  <c r="A17" i="5"/>
  <c r="H14" i="5"/>
  <c r="B12" i="5"/>
  <c r="I9" i="5"/>
  <c r="C7" i="5"/>
  <c r="J4" i="5"/>
  <c r="D2" i="5"/>
  <c r="K41" i="4"/>
  <c r="E39" i="4"/>
  <c r="L36" i="4"/>
  <c r="F34" i="4"/>
  <c r="M31" i="4"/>
  <c r="G29" i="4"/>
  <c r="A27" i="4"/>
  <c r="H24" i="4"/>
  <c r="B22" i="4"/>
  <c r="I19" i="4"/>
  <c r="C17" i="4"/>
  <c r="J14" i="4"/>
  <c r="L12" i="4"/>
  <c r="B11" i="4"/>
  <c r="L9" i="4"/>
  <c r="M8" i="4"/>
  <c r="A8" i="4"/>
  <c r="D7" i="4"/>
  <c r="H6" i="4"/>
  <c r="M5" i="4"/>
  <c r="E5" i="4"/>
  <c r="J4" i="4"/>
  <c r="B4" i="4"/>
  <c r="G3" i="4"/>
  <c r="L2" i="4"/>
  <c r="D2" i="4"/>
  <c r="I1" i="4"/>
  <c r="K32" i="3"/>
  <c r="C32" i="3"/>
  <c r="M31" i="3"/>
  <c r="E31" i="3"/>
  <c r="O30" i="3"/>
  <c r="G30" i="3"/>
  <c r="Q29" i="3"/>
  <c r="I29" i="3"/>
  <c r="A29" i="3"/>
  <c r="K28" i="3"/>
  <c r="C28" i="3"/>
  <c r="M27" i="3"/>
  <c r="E27" i="3"/>
  <c r="O26" i="3"/>
  <c r="G26" i="3"/>
  <c r="Q25" i="3"/>
  <c r="I25" i="3"/>
  <c r="A25" i="3"/>
  <c r="K24" i="3"/>
  <c r="C24" i="3"/>
  <c r="M23" i="3"/>
  <c r="E23" i="3"/>
  <c r="O22" i="3"/>
  <c r="G22" i="3"/>
  <c r="Q21" i="3"/>
  <c r="I21" i="3"/>
  <c r="A21" i="3"/>
  <c r="K20" i="3"/>
  <c r="C20" i="3"/>
  <c r="M19" i="3"/>
  <c r="E19" i="3"/>
  <c r="O18" i="3"/>
  <c r="G18" i="3"/>
  <c r="Q17" i="3"/>
  <c r="I17" i="3"/>
  <c r="A17" i="3"/>
  <c r="K16" i="3"/>
  <c r="C16" i="3"/>
  <c r="M15" i="3"/>
  <c r="E15" i="3"/>
  <c r="O14" i="3"/>
  <c r="G14" i="3"/>
  <c r="Q13" i="3"/>
  <c r="I13" i="3"/>
  <c r="A13" i="3"/>
  <c r="K12" i="3"/>
  <c r="C12" i="3"/>
  <c r="M11" i="3"/>
  <c r="E11" i="3"/>
  <c r="O10" i="3"/>
  <c r="G10" i="3"/>
  <c r="Q9" i="3"/>
  <c r="I9" i="3"/>
  <c r="A9" i="3"/>
  <c r="K8" i="3"/>
  <c r="C8" i="3"/>
  <c r="M7" i="3"/>
  <c r="E7" i="3"/>
  <c r="O6" i="3"/>
  <c r="G6" i="3"/>
  <c r="Q5" i="3"/>
  <c r="I5" i="3"/>
  <c r="A5" i="3"/>
  <c r="K4" i="3"/>
  <c r="C4" i="3"/>
  <c r="M3" i="3"/>
  <c r="E3" i="3"/>
  <c r="O2" i="3"/>
  <c r="G2" i="3"/>
  <c r="Q1" i="3"/>
  <c r="I1" i="3"/>
  <c r="C33" i="2"/>
  <c r="E32" i="2"/>
  <c r="G31" i="2"/>
  <c r="I30" i="2"/>
  <c r="A30" i="2"/>
  <c r="C29" i="2"/>
  <c r="E28" i="2"/>
  <c r="G27" i="2"/>
  <c r="I26" i="2"/>
  <c r="A26" i="2"/>
  <c r="F9" i="6"/>
  <c r="D22" i="5"/>
  <c r="A2" i="5"/>
  <c r="E24" i="4"/>
  <c r="J8" i="4"/>
  <c r="F3" i="4"/>
  <c r="D31" i="3"/>
  <c r="L27" i="3"/>
  <c r="B24" i="3"/>
  <c r="J20" i="3"/>
  <c r="R16" i="3"/>
  <c r="H13" i="3"/>
  <c r="P9" i="3"/>
  <c r="N6" i="3"/>
  <c r="R4" i="3"/>
  <c r="D3" i="3"/>
  <c r="H1" i="3"/>
  <c r="I31" i="2"/>
  <c r="F29" i="2"/>
  <c r="F27" i="2"/>
  <c r="F25" i="2"/>
  <c r="E24" i="2"/>
  <c r="D23" i="2"/>
  <c r="D22" i="2"/>
  <c r="C21" i="2"/>
  <c r="B20" i="2"/>
  <c r="B19" i="2"/>
  <c r="A18" i="2"/>
  <c r="J16" i="2"/>
  <c r="A16" i="2"/>
  <c r="B15" i="2"/>
  <c r="C14" i="2"/>
  <c r="E13" i="2"/>
  <c r="G12" i="2"/>
  <c r="I11" i="2"/>
  <c r="A11" i="2"/>
  <c r="C10" i="2"/>
  <c r="E9" i="2"/>
  <c r="G8" i="2"/>
  <c r="I7" i="2"/>
  <c r="A7" i="2"/>
  <c r="C6" i="2"/>
  <c r="E5" i="2"/>
  <c r="G4" i="2"/>
  <c r="I3" i="2"/>
  <c r="A3" i="2"/>
  <c r="C2" i="2"/>
  <c r="E1" i="2"/>
  <c r="J33" i="1"/>
  <c r="B33" i="1"/>
  <c r="G32" i="1"/>
  <c r="L31" i="1"/>
  <c r="D31" i="1"/>
  <c r="I30" i="1"/>
  <c r="A30" i="1"/>
  <c r="F29" i="1"/>
  <c r="K28" i="1"/>
  <c r="C28" i="1"/>
  <c r="H27" i="1"/>
  <c r="M26" i="1"/>
  <c r="E26" i="1"/>
  <c r="J25" i="1"/>
  <c r="B25" i="1"/>
  <c r="G24" i="1"/>
  <c r="L23" i="1"/>
  <c r="D23" i="1"/>
  <c r="I22" i="1"/>
  <c r="A22" i="1"/>
  <c r="F21" i="1"/>
  <c r="K20" i="1"/>
  <c r="C20" i="1"/>
  <c r="H19" i="1"/>
  <c r="M18" i="1"/>
  <c r="E18" i="1"/>
  <c r="J17" i="1"/>
  <c r="B17" i="1"/>
  <c r="G16" i="1"/>
  <c r="L15" i="1"/>
  <c r="D15" i="1"/>
  <c r="I14" i="1"/>
  <c r="A14" i="1"/>
  <c r="F13" i="1"/>
  <c r="K12" i="1"/>
  <c r="C12" i="1"/>
  <c r="H11" i="1"/>
  <c r="M10" i="1"/>
  <c r="E10" i="1"/>
  <c r="J9" i="1"/>
  <c r="B9" i="1"/>
  <c r="G8" i="1"/>
  <c r="L7" i="1"/>
  <c r="D7" i="1"/>
  <c r="I6" i="1"/>
  <c r="A6" i="1"/>
  <c r="F5" i="1"/>
  <c r="K4" i="1"/>
  <c r="C4" i="1"/>
  <c r="H3" i="1"/>
  <c r="M2" i="1"/>
  <c r="E2" i="1"/>
  <c r="J1" i="1"/>
  <c r="B1" i="1"/>
  <c r="E5" i="1"/>
  <c r="G3" i="1"/>
  <c r="D2" i="1"/>
  <c r="I4" i="1"/>
  <c r="K2" i="1"/>
  <c r="H1" i="1"/>
  <c r="M6" i="1"/>
  <c r="B5" i="1"/>
  <c r="A2" i="1"/>
  <c r="D29" i="4"/>
  <c r="H5" i="3"/>
  <c r="H24" i="2"/>
  <c r="D18" i="2"/>
  <c r="I12" i="2"/>
  <c r="I8" i="2"/>
  <c r="C3" i="2"/>
  <c r="F31" i="1"/>
  <c r="J27" i="1"/>
  <c r="K22" i="1"/>
  <c r="E20" i="1"/>
  <c r="D17" i="1"/>
  <c r="C14" i="1"/>
  <c r="L9" i="1"/>
  <c r="K6" i="1"/>
  <c r="M4" i="1"/>
  <c r="B3" i="1"/>
  <c r="K9" i="4"/>
  <c r="B28" i="3"/>
  <c r="R20" i="3"/>
  <c r="P13" i="3"/>
  <c r="Q6" i="3"/>
  <c r="G3" i="3"/>
  <c r="D79" i="5"/>
  <c r="D19" i="5"/>
  <c r="H41" i="4"/>
  <c r="L21" i="4"/>
  <c r="M7" i="4"/>
  <c r="K2" i="4"/>
  <c r="N30" i="3"/>
  <c r="D27" i="3"/>
  <c r="L23" i="3"/>
  <c r="B20" i="3"/>
  <c r="J16" i="3"/>
  <c r="R12" i="3"/>
  <c r="H9" i="3"/>
  <c r="I6" i="3"/>
  <c r="M4" i="3"/>
  <c r="Q2" i="3"/>
  <c r="C1" i="3"/>
  <c r="F31" i="2"/>
  <c r="E29" i="2"/>
  <c r="B27" i="2"/>
  <c r="E25" i="2"/>
  <c r="D24" i="2"/>
  <c r="C23" i="2"/>
  <c r="C22" i="2"/>
  <c r="B21" i="2"/>
  <c r="A20" i="2"/>
  <c r="A19" i="2"/>
  <c r="J17" i="2"/>
  <c r="I16" i="2"/>
  <c r="J15" i="2"/>
  <c r="A15" i="2"/>
  <c r="B14" i="2"/>
  <c r="D13" i="2"/>
  <c r="F12" i="2"/>
  <c r="H11" i="2"/>
  <c r="J10" i="2"/>
  <c r="B10" i="2"/>
  <c r="D9" i="2"/>
  <c r="F8" i="2"/>
  <c r="H7" i="2"/>
  <c r="J6" i="2"/>
  <c r="B6" i="2"/>
  <c r="D5" i="2"/>
  <c r="F4" i="2"/>
  <c r="H3" i="2"/>
  <c r="J2" i="2"/>
  <c r="B2" i="2"/>
  <c r="D1" i="2"/>
  <c r="I33" i="1"/>
  <c r="A33" i="1"/>
  <c r="F32" i="1"/>
  <c r="K31" i="1"/>
  <c r="C31" i="1"/>
  <c r="H30" i="1"/>
  <c r="M29" i="1"/>
  <c r="E29" i="1"/>
  <c r="J28" i="1"/>
  <c r="B28" i="1"/>
  <c r="G27" i="1"/>
  <c r="L26" i="1"/>
  <c r="D26" i="1"/>
  <c r="I25" i="1"/>
  <c r="A25" i="1"/>
  <c r="F24" i="1"/>
  <c r="K23" i="1"/>
  <c r="C23" i="1"/>
  <c r="H22" i="1"/>
  <c r="M21" i="1"/>
  <c r="E21" i="1"/>
  <c r="J20" i="1"/>
  <c r="B20" i="1"/>
  <c r="G19" i="1"/>
  <c r="L18" i="1"/>
  <c r="D18" i="1"/>
  <c r="I17" i="1"/>
  <c r="A17" i="1"/>
  <c r="F16" i="1"/>
  <c r="K15" i="1"/>
  <c r="C15" i="1"/>
  <c r="H14" i="1"/>
  <c r="M13" i="1"/>
  <c r="E13" i="1"/>
  <c r="J12" i="1"/>
  <c r="B12" i="1"/>
  <c r="G11" i="1"/>
  <c r="L10" i="1"/>
  <c r="D10" i="1"/>
  <c r="I9" i="1"/>
  <c r="A9" i="1"/>
  <c r="F8" i="1"/>
  <c r="K7" i="1"/>
  <c r="C7" i="1"/>
  <c r="H6" i="1"/>
  <c r="M5" i="1"/>
  <c r="J4" i="1"/>
  <c r="B4" i="1"/>
  <c r="L2" i="1"/>
  <c r="I1" i="1"/>
  <c r="A1" i="1"/>
  <c r="F3" i="1"/>
  <c r="C8" i="1"/>
  <c r="L3" i="1"/>
  <c r="M6" i="5"/>
  <c r="J28" i="3"/>
  <c r="H21" i="3"/>
  <c r="L3" i="3"/>
  <c r="J25" i="2"/>
  <c r="F21" i="2"/>
  <c r="C17" i="2"/>
  <c r="G13" i="2"/>
  <c r="A8" i="2"/>
  <c r="E2" i="2"/>
  <c r="K30" i="1"/>
  <c r="B27" i="1"/>
  <c r="D25" i="1"/>
  <c r="C22" i="1"/>
  <c r="G18" i="1"/>
  <c r="K14" i="1"/>
  <c r="J11" i="1"/>
  <c r="I8" i="1"/>
  <c r="J3" i="1"/>
  <c r="F28" i="5"/>
  <c r="F69" i="5"/>
  <c r="K16" i="5"/>
  <c r="B39" i="4"/>
  <c r="F19" i="4"/>
  <c r="C7" i="4"/>
  <c r="C2" i="4"/>
  <c r="F30" i="3"/>
  <c r="N26" i="3"/>
  <c r="D23" i="3"/>
  <c r="L19" i="3"/>
  <c r="B16" i="3"/>
  <c r="J12" i="3"/>
  <c r="R8" i="3"/>
  <c r="F6" i="3"/>
  <c r="J4" i="3"/>
  <c r="N2" i="3"/>
  <c r="J33" i="2"/>
  <c r="B31" i="2"/>
  <c r="B29" i="2"/>
  <c r="A27" i="2"/>
  <c r="C25" i="2"/>
  <c r="B24" i="2"/>
  <c r="B23" i="2"/>
  <c r="A22" i="2"/>
  <c r="J20" i="2"/>
  <c r="J19" i="2"/>
  <c r="I18" i="2"/>
  <c r="H17" i="2"/>
  <c r="H16" i="2"/>
  <c r="I15" i="2"/>
  <c r="J14" i="2"/>
  <c r="A14" i="2"/>
  <c r="C13" i="2"/>
  <c r="E12" i="2"/>
  <c r="G11" i="2"/>
  <c r="I10" i="2"/>
  <c r="A10" i="2"/>
  <c r="C9" i="2"/>
  <c r="E8" i="2"/>
  <c r="G7" i="2"/>
  <c r="I6" i="2"/>
  <c r="A6" i="2"/>
  <c r="C5" i="2"/>
  <c r="E4" i="2"/>
  <c r="G3" i="2"/>
  <c r="I2" i="2"/>
  <c r="A2" i="2"/>
  <c r="C1" i="2"/>
  <c r="H33" i="1"/>
  <c r="M32" i="1"/>
  <c r="E32" i="1"/>
  <c r="J31" i="1"/>
  <c r="B31" i="1"/>
  <c r="G30" i="1"/>
  <c r="L29" i="1"/>
  <c r="D29" i="1"/>
  <c r="I28" i="1"/>
  <c r="A28" i="1"/>
  <c r="F27" i="1"/>
  <c r="K26" i="1"/>
  <c r="C26" i="1"/>
  <c r="H25" i="1"/>
  <c r="M24" i="1"/>
  <c r="E24" i="1"/>
  <c r="J23" i="1"/>
  <c r="B23" i="1"/>
  <c r="G22" i="1"/>
  <c r="L21" i="1"/>
  <c r="D21" i="1"/>
  <c r="I20" i="1"/>
  <c r="A20" i="1"/>
  <c r="F19" i="1"/>
  <c r="K18" i="1"/>
  <c r="C18" i="1"/>
  <c r="H17" i="1"/>
  <c r="M16" i="1"/>
  <c r="E16" i="1"/>
  <c r="J15" i="1"/>
  <c r="B15" i="1"/>
  <c r="G14" i="1"/>
  <c r="L13" i="1"/>
  <c r="D13" i="1"/>
  <c r="I12" i="1"/>
  <c r="A12" i="1"/>
  <c r="F11" i="1"/>
  <c r="K10" i="1"/>
  <c r="C10" i="1"/>
  <c r="H9" i="1"/>
  <c r="M8" i="1"/>
  <c r="E8" i="1"/>
  <c r="J7" i="1"/>
  <c r="B7" i="1"/>
  <c r="G6" i="1"/>
  <c r="L5" i="1"/>
  <c r="D5" i="1"/>
  <c r="A4" i="1"/>
  <c r="C2" i="1"/>
  <c r="H7" i="1"/>
  <c r="I2" i="1"/>
  <c r="I4" i="4"/>
  <c r="N10" i="3"/>
  <c r="J27" i="2"/>
  <c r="D15" i="2"/>
  <c r="E10" i="2"/>
  <c r="G5" i="2"/>
  <c r="D33" i="1"/>
  <c r="M28" i="1"/>
  <c r="I24" i="1"/>
  <c r="M20" i="1"/>
  <c r="A16" i="1"/>
  <c r="E12" i="1"/>
  <c r="D9" i="1"/>
  <c r="H5" i="1"/>
  <c r="D1" i="1"/>
  <c r="L31" i="3"/>
  <c r="H59" i="5"/>
  <c r="E14" i="5"/>
  <c r="I36" i="4"/>
  <c r="M16" i="4"/>
  <c r="G6" i="4"/>
  <c r="H1" i="4"/>
  <c r="P29" i="3"/>
  <c r="F26" i="3"/>
  <c r="N22" i="3"/>
  <c r="D19" i="3"/>
  <c r="L15" i="3"/>
  <c r="B12" i="3"/>
  <c r="J8" i="3"/>
  <c r="A6" i="3"/>
  <c r="E4" i="3"/>
  <c r="I2" i="3"/>
  <c r="E33" i="2"/>
  <c r="A31" i="2"/>
  <c r="H28" i="2"/>
  <c r="H26" i="2"/>
  <c r="B25" i="2"/>
  <c r="A24" i="2"/>
  <c r="A23" i="2"/>
  <c r="J21" i="2"/>
  <c r="I20" i="2"/>
  <c r="I19" i="2"/>
  <c r="H18" i="2"/>
  <c r="G17" i="2"/>
  <c r="G16" i="2"/>
  <c r="H15" i="2"/>
  <c r="I14" i="2"/>
  <c r="J13" i="2"/>
  <c r="B13" i="2"/>
  <c r="D12" i="2"/>
  <c r="F11" i="2"/>
  <c r="H10" i="2"/>
  <c r="J9" i="2"/>
  <c r="B9" i="2"/>
  <c r="D8" i="2"/>
  <c r="F7" i="2"/>
  <c r="H6" i="2"/>
  <c r="J5" i="2"/>
  <c r="B5" i="2"/>
  <c r="D4" i="2"/>
  <c r="F3" i="2"/>
  <c r="H2" i="2"/>
  <c r="J1" i="2"/>
  <c r="B1" i="2"/>
  <c r="G33" i="1"/>
  <c r="L32" i="1"/>
  <c r="D32" i="1"/>
  <c r="I31" i="1"/>
  <c r="A31" i="1"/>
  <c r="F30" i="1"/>
  <c r="K29" i="1"/>
  <c r="C29" i="1"/>
  <c r="H28" i="1"/>
  <c r="M27" i="1"/>
  <c r="E27" i="1"/>
  <c r="J26" i="1"/>
  <c r="B26" i="1"/>
  <c r="G25" i="1"/>
  <c r="L24" i="1"/>
  <c r="D24" i="1"/>
  <c r="I23" i="1"/>
  <c r="A23" i="1"/>
  <c r="F22" i="1"/>
  <c r="K21" i="1"/>
  <c r="C21" i="1"/>
  <c r="H20" i="1"/>
  <c r="M19" i="1"/>
  <c r="E19" i="1"/>
  <c r="J18" i="1"/>
  <c r="B18" i="1"/>
  <c r="G17" i="1"/>
  <c r="L16" i="1"/>
  <c r="D16" i="1"/>
  <c r="I15" i="1"/>
  <c r="A15" i="1"/>
  <c r="F14" i="1"/>
  <c r="K13" i="1"/>
  <c r="C13" i="1"/>
  <c r="H12" i="1"/>
  <c r="M11" i="1"/>
  <c r="E11" i="1"/>
  <c r="J10" i="1"/>
  <c r="B10" i="1"/>
  <c r="G9" i="1"/>
  <c r="L8" i="1"/>
  <c r="D8" i="1"/>
  <c r="I7" i="1"/>
  <c r="A7" i="1"/>
  <c r="F6" i="1"/>
  <c r="K5" i="1"/>
  <c r="C5" i="1"/>
  <c r="H4" i="1"/>
  <c r="M3" i="1"/>
  <c r="E3" i="1"/>
  <c r="J2" i="1"/>
  <c r="B2" i="1"/>
  <c r="G1" i="1"/>
  <c r="K16" i="1"/>
  <c r="B13" i="1"/>
  <c r="D11" i="1"/>
  <c r="F9" i="1"/>
  <c r="J5" i="1"/>
  <c r="D3" i="1"/>
  <c r="A11" i="4"/>
  <c r="D7" i="3"/>
  <c r="G23" i="2"/>
  <c r="D19" i="2"/>
  <c r="E14" i="2"/>
  <c r="G9" i="2"/>
  <c r="I4" i="2"/>
  <c r="A32" i="1"/>
  <c r="E28" i="1"/>
  <c r="F23" i="1"/>
  <c r="B19" i="1"/>
  <c r="F15" i="1"/>
  <c r="B11" i="1"/>
  <c r="C6" i="1"/>
  <c r="G2" i="1"/>
  <c r="K26" i="4"/>
  <c r="J24" i="3"/>
  <c r="H17" i="3"/>
  <c r="F10" i="3"/>
  <c r="C5" i="3"/>
  <c r="J49" i="5"/>
  <c r="L11" i="5"/>
  <c r="C34" i="4"/>
  <c r="G14" i="4"/>
  <c r="L5" i="4"/>
  <c r="R32" i="3"/>
  <c r="H29" i="3"/>
  <c r="P25" i="3"/>
  <c r="F22" i="3"/>
  <c r="N18" i="3"/>
  <c r="D15" i="3"/>
  <c r="L11" i="3"/>
  <c r="B8" i="3"/>
  <c r="P5" i="3"/>
  <c r="B4" i="3"/>
  <c r="F2" i="3"/>
  <c r="B33" i="2"/>
  <c r="H30" i="2"/>
  <c r="G28" i="2"/>
  <c r="D26" i="2"/>
  <c r="J24" i="2"/>
  <c r="J23" i="2"/>
  <c r="I22" i="2"/>
  <c r="H21" i="2"/>
  <c r="H20" i="2"/>
  <c r="G19" i="2"/>
  <c r="F18" i="2"/>
  <c r="F17" i="2"/>
  <c r="F16" i="2"/>
  <c r="G15" i="2"/>
  <c r="H14" i="2"/>
  <c r="I13" i="2"/>
  <c r="A13" i="2"/>
  <c r="C12" i="2"/>
  <c r="E11" i="2"/>
  <c r="G10" i="2"/>
  <c r="I9" i="2"/>
  <c r="A9" i="2"/>
  <c r="C8" i="2"/>
  <c r="E7" i="2"/>
  <c r="G6" i="2"/>
  <c r="I5" i="2"/>
  <c r="A5" i="2"/>
  <c r="C4" i="2"/>
  <c r="E3" i="2"/>
  <c r="G2" i="2"/>
  <c r="I1" i="2"/>
  <c r="A1" i="2"/>
  <c r="F33" i="1"/>
  <c r="K32" i="1"/>
  <c r="C32" i="1"/>
  <c r="H31" i="1"/>
  <c r="M30" i="1"/>
  <c r="E30" i="1"/>
  <c r="J29" i="1"/>
  <c r="B29" i="1"/>
  <c r="G28" i="1"/>
  <c r="L27" i="1"/>
  <c r="D27" i="1"/>
  <c r="I26" i="1"/>
  <c r="A26" i="1"/>
  <c r="F25" i="1"/>
  <c r="K24" i="1"/>
  <c r="C24" i="1"/>
  <c r="H23" i="1"/>
  <c r="M22" i="1"/>
  <c r="E22" i="1"/>
  <c r="J21" i="1"/>
  <c r="B21" i="1"/>
  <c r="G20" i="1"/>
  <c r="L19" i="1"/>
  <c r="D19" i="1"/>
  <c r="I18" i="1"/>
  <c r="A18" i="1"/>
  <c r="F17" i="1"/>
  <c r="C16" i="1"/>
  <c r="H15" i="1"/>
  <c r="M14" i="1"/>
  <c r="E14" i="1"/>
  <c r="J13" i="1"/>
  <c r="G12" i="1"/>
  <c r="L11" i="1"/>
  <c r="I10" i="1"/>
  <c r="A10" i="1"/>
  <c r="K8" i="1"/>
  <c r="E6" i="1"/>
  <c r="G4" i="1"/>
  <c r="F1" i="1"/>
  <c r="B32" i="3"/>
  <c r="D32" i="2"/>
  <c r="E20" i="2"/>
  <c r="C11" i="2"/>
  <c r="E6" i="2"/>
  <c r="L33" i="1"/>
  <c r="H29" i="1"/>
  <c r="L25" i="1"/>
  <c r="L17" i="1"/>
  <c r="M12" i="1"/>
  <c r="A8" i="1"/>
  <c r="L1" i="1"/>
  <c r="A4" i="4"/>
  <c r="F41" i="5"/>
  <c r="F9" i="5"/>
  <c r="J31" i="4"/>
  <c r="I12" i="4"/>
  <c r="D5" i="4"/>
  <c r="J32" i="3"/>
  <c r="R28" i="3"/>
  <c r="H25" i="3"/>
  <c r="P21" i="3"/>
  <c r="F18" i="3"/>
  <c r="N14" i="3"/>
  <c r="D11" i="3"/>
  <c r="L7" i="3"/>
  <c r="K5" i="3"/>
  <c r="O3" i="3"/>
  <c r="A2" i="3"/>
  <c r="G32" i="2"/>
  <c r="D30" i="2"/>
  <c r="D28" i="2"/>
  <c r="C26" i="2"/>
  <c r="I24" i="2"/>
  <c r="I23" i="2"/>
  <c r="H22" i="2"/>
  <c r="G21" i="2"/>
  <c r="G20" i="2"/>
  <c r="F19" i="2"/>
  <c r="E18" i="2"/>
  <c r="E17" i="2"/>
  <c r="E16" i="2"/>
  <c r="F15" i="2"/>
  <c r="F14" i="2"/>
  <c r="H13" i="2"/>
  <c r="J12" i="2"/>
  <c r="B12" i="2"/>
  <c r="D11" i="2"/>
  <c r="F10" i="2"/>
  <c r="H9" i="2"/>
  <c r="J8" i="2"/>
  <c r="B8" i="2"/>
  <c r="D7" i="2"/>
  <c r="F6" i="2"/>
  <c r="H5" i="2"/>
  <c r="J4" i="2"/>
  <c r="B4" i="2"/>
  <c r="D3" i="2"/>
  <c r="F2" i="2"/>
  <c r="H1" i="2"/>
  <c r="M33" i="1"/>
  <c r="E33" i="1"/>
  <c r="J32" i="1"/>
  <c r="B32" i="1"/>
  <c r="G31" i="1"/>
  <c r="L30" i="1"/>
  <c r="D30" i="1"/>
  <c r="I29" i="1"/>
  <c r="A29" i="1"/>
  <c r="F28" i="1"/>
  <c r="K27" i="1"/>
  <c r="C27" i="1"/>
  <c r="H26" i="1"/>
  <c r="M25" i="1"/>
  <c r="E25" i="1"/>
  <c r="J24" i="1"/>
  <c r="B24" i="1"/>
  <c r="G23" i="1"/>
  <c r="L22" i="1"/>
  <c r="D22" i="1"/>
  <c r="I21" i="1"/>
  <c r="A21" i="1"/>
  <c r="F20" i="1"/>
  <c r="K19" i="1"/>
  <c r="C19" i="1"/>
  <c r="H18" i="1"/>
  <c r="M17" i="1"/>
  <c r="E17" i="1"/>
  <c r="J16" i="1"/>
  <c r="B16" i="1"/>
  <c r="G15" i="1"/>
  <c r="L14" i="1"/>
  <c r="D14" i="1"/>
  <c r="I13" i="1"/>
  <c r="A13" i="1"/>
  <c r="F12" i="1"/>
  <c r="K11" i="1"/>
  <c r="C11" i="1"/>
  <c r="H10" i="1"/>
  <c r="M9" i="1"/>
  <c r="E9" i="1"/>
  <c r="J8" i="1"/>
  <c r="B8" i="1"/>
  <c r="G7" i="1"/>
  <c r="L6" i="1"/>
  <c r="D6" i="1"/>
  <c r="I5" i="1"/>
  <c r="A5" i="1"/>
  <c r="F4" i="1"/>
  <c r="K3" i="1"/>
  <c r="C3" i="1"/>
  <c r="H2" i="1"/>
  <c r="M1" i="1"/>
  <c r="E1" i="1"/>
  <c r="M34" i="5"/>
  <c r="R24" i="3"/>
  <c r="P17" i="3"/>
  <c r="F14" i="3"/>
  <c r="P1" i="3"/>
  <c r="C30" i="2"/>
  <c r="F22" i="2"/>
  <c r="D16" i="2"/>
  <c r="A12" i="2"/>
  <c r="C7" i="2"/>
  <c r="A4" i="2"/>
  <c r="G1" i="2"/>
  <c r="I32" i="1"/>
  <c r="C30" i="1"/>
  <c r="G26" i="1"/>
  <c r="A24" i="1"/>
  <c r="H21" i="1"/>
  <c r="J19" i="1"/>
  <c r="I16" i="1"/>
  <c r="H13" i="1"/>
  <c r="G10" i="1"/>
  <c r="F7" i="1"/>
  <c r="E4" i="1"/>
  <c r="G4" i="5"/>
  <c r="K1" i="3"/>
  <c r="E21" i="2"/>
  <c r="F13" i="2"/>
  <c r="B7" i="2"/>
  <c r="K33" i="1"/>
  <c r="L28" i="1"/>
  <c r="M23" i="1"/>
  <c r="A19" i="1"/>
  <c r="B14" i="1"/>
  <c r="C9" i="1"/>
  <c r="D4" i="1"/>
  <c r="F5" i="2"/>
  <c r="H32" i="1"/>
  <c r="K17" i="1"/>
  <c r="A3" i="1"/>
  <c r="C17" i="1"/>
  <c r="F2" i="1"/>
  <c r="J3" i="2"/>
  <c r="G21" i="1"/>
  <c r="J6" i="1"/>
  <c r="B30" i="1"/>
  <c r="D14" i="2"/>
  <c r="K9" i="1"/>
  <c r="J31" i="2"/>
  <c r="D20" i="2"/>
  <c r="H12" i="2"/>
  <c r="D6" i="2"/>
  <c r="C33" i="1"/>
  <c r="D28" i="1"/>
  <c r="E23" i="1"/>
  <c r="F18" i="1"/>
  <c r="G13" i="1"/>
  <c r="H8" i="1"/>
  <c r="I3" i="1"/>
  <c r="C19" i="2"/>
  <c r="I27" i="1"/>
  <c r="L12" i="1"/>
  <c r="M7" i="1"/>
  <c r="A27" i="1"/>
  <c r="D12" i="1"/>
  <c r="D10" i="2"/>
  <c r="F26" i="1"/>
  <c r="K1" i="1"/>
  <c r="D2" i="2"/>
  <c r="G5" i="1"/>
  <c r="G29" i="1"/>
  <c r="L4" i="1"/>
  <c r="J29" i="2"/>
  <c r="J11" i="2"/>
  <c r="J22" i="1"/>
  <c r="B22" i="1"/>
  <c r="B17" i="2"/>
  <c r="I11" i="1"/>
  <c r="D20" i="1"/>
  <c r="F1" i="2"/>
  <c r="I27" i="2"/>
  <c r="C18" i="2"/>
  <c r="B11" i="2"/>
  <c r="H4" i="2"/>
  <c r="M31" i="1"/>
  <c r="E7" i="1"/>
  <c r="E31" i="1"/>
  <c r="H8" i="2"/>
  <c r="F10" i="1"/>
  <c r="I19" i="1"/>
  <c r="G25" i="2"/>
  <c r="H16" i="1"/>
  <c r="E15" i="1"/>
  <c r="E22" i="2"/>
  <c r="H24" i="1"/>
  <c r="G24" i="2"/>
  <c r="B16" i="2"/>
  <c r="F9" i="2"/>
  <c r="B3" i="2"/>
  <c r="J30" i="1"/>
  <c r="K25" i="1"/>
  <c r="L20" i="1"/>
  <c r="M15" i="1"/>
  <c r="A11" i="1"/>
  <c r="B6" i="1"/>
  <c r="C1" i="1"/>
  <c r="F23" i="2"/>
  <c r="C15" i="2"/>
  <c r="C25" i="1"/>
  <c r="J7" i="2"/>
  <c r="J14" i="1"/>
</calcChain>
</file>

<file path=xl/sharedStrings.xml><?xml version="1.0" encoding="utf-8"?>
<sst xmlns="http://schemas.openxmlformats.org/spreadsheetml/2006/main" count="4" uniqueCount="1">
  <si>
    <t>player.1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</si>
</sst>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"/>
  </numFmts>
  <fonts count="2" x14ac:knownFonts="1">
    <font>
      <sz val="10"/>
      <color rgb="FF000000"/>
      <name val="Arial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/>
    <xf numFmtId="10" fontId="1" fillId="0" borderId="0" xfId="0" applyNumberFormat="1" applyFont="1"/>
    <xf numFmtId="164" fontId="1" fillId="0" borderId="0" xfId="0" applyNumberFormat="1" applyFont="1"/>
    <xf numFmtId="9" fontId="1" fillId="0" borderId="0" xfId="0" applyNumberFormat="1" applyFont="1"/>
    <xf numFmtId="4" fontId="1" fillId="0" borderId="0" xfId="0" applyNumberFormat="1" applyFont="1"/>
    <xf numFmtId="20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M33"/>
  <sheetViews>
    <sheetView workbookViewId="0"/>
  </sheetViews>
  <sheetFormatPr defaultColWidth="14.42578125" defaultRowHeight="15.75" customHeight="1" x14ac:dyDescent="0.2"/>
  <sheetData>
    <row r="1" spans="1:13" x14ac:dyDescent="0.2">
      <c r="A1" s="1" t="str">
        <f ca="1">IFERROR(__xludf.DUMMYFUNCTION("IMPORTHTML(""https://www.footballoutsiders.com/stats/teameff/2019"", ""table"", 1)"),"*RK*")</f>
        <v>*RK*</v>
      </c>
      <c r="B1" s="2" t="str">
        <f ca="1">IFERROR(__xludf.DUMMYFUNCTION("""COMPUTED_VALUE"""),"*TEAM*")</f>
        <v>*TEAM*</v>
      </c>
      <c r="C1" s="2" t="str">
        <f ca="1">IFERROR(__xludf.DUMMYFUNCTION("""COMPUTED_VALUE"""),"*TOTAL DVOA*")</f>
        <v>*TOTAL DVOA*</v>
      </c>
      <c r="D1" s="2" t="str">
        <f ca="1">IFERROR(__xludf.DUMMYFUNCTION("""COMPUTED_VALUE"""),"*LAST WEEK*")</f>
        <v>*LAST WEEK*</v>
      </c>
      <c r="E1" s="2" t="str">
        <f ca="1">IFERROR(__xludf.DUMMYFUNCTION("""COMPUTED_VALUE"""),"*TOTAL DAVE*")</f>
        <v>*TOTAL DAVE*</v>
      </c>
      <c r="F1" s="2" t="str">
        <f ca="1">IFERROR(__xludf.DUMMYFUNCTION("""COMPUTED_VALUE"""),"*RANK*")</f>
        <v>*RANK*</v>
      </c>
      <c r="G1" s="2" t="str">
        <f ca="1">IFERROR(__xludf.DUMMYFUNCTION("""COMPUTED_VALUE"""),"*W-L*")</f>
        <v>*W-L*</v>
      </c>
      <c r="H1" s="2" t="str">
        <f ca="1">IFERROR(__xludf.DUMMYFUNCTION("""COMPUTED_VALUE"""),"*OFFENSE*
*DVOA*")</f>
        <v>*OFFENSE*
*DVOA*</v>
      </c>
      <c r="I1" s="2" t="str">
        <f ca="1">IFERROR(__xludf.DUMMYFUNCTION("""COMPUTED_VALUE"""),"*OFF.*
*RANK*")</f>
        <v>*OFF.*
*RANK*</v>
      </c>
      <c r="J1" s="2" t="str">
        <f ca="1">IFERROR(__xludf.DUMMYFUNCTION("""COMPUTED_VALUE"""),"*DEFENSE*
*DVOA*")</f>
        <v>*DEFENSE*
*DVOA*</v>
      </c>
      <c r="K1" s="2" t="str">
        <f ca="1">IFERROR(__xludf.DUMMYFUNCTION("""COMPUTED_VALUE"""),"*DEF.*
*RANK*")</f>
        <v>*DEF.*
*RANK*</v>
      </c>
      <c r="L1" s="2" t="str">
        <f ca="1">IFERROR(__xludf.DUMMYFUNCTION("""COMPUTED_VALUE"""),"*S.T.*
*DVOA*")</f>
        <v>*S.T.*
*DVOA*</v>
      </c>
      <c r="M1" s="2" t="str">
        <f ca="1">IFERROR(__xludf.DUMMYFUNCTION("""COMPUTED_VALUE"""),"*S.T.*
*RANK*")</f>
        <v>*S.T.*
*RANK*</v>
      </c>
    </row>
    <row r="2" spans="1:13" x14ac:dyDescent="0.2">
      <c r="A2" s="2">
        <f ca="1">IFERROR(__xludf.DUMMYFUNCTION("""COMPUTED_VALUE"""),1)</f>
        <v>1</v>
      </c>
      <c r="B2" s="2" t="str">
        <f ca="1">IFERROR(__xludf.DUMMYFUNCTION("""COMPUTED_VALUE"""),"BAL")</f>
        <v>BAL</v>
      </c>
      <c r="C2" s="3">
        <f ca="1">IFERROR(__xludf.DUMMYFUNCTION("""COMPUTED_VALUE"""),1.193)</f>
        <v>1.1930000000000001</v>
      </c>
      <c r="D2" s="2" t="str">
        <f ca="1">IFERROR(__xludf.DUMMYFUNCTION("""COMPUTED_VALUE"""),"x")</f>
        <v>x</v>
      </c>
      <c r="E2" s="3">
        <f ca="1">IFERROR(__xludf.DUMMYFUNCTION("""COMPUTED_VALUE"""),0.164)</f>
        <v>0.16400000000000001</v>
      </c>
      <c r="F2" s="2">
        <f ca="1">IFERROR(__xludf.DUMMYFUNCTION("""COMPUTED_VALUE"""),3)</f>
        <v>3</v>
      </c>
      <c r="G2" s="2" t="str">
        <f ca="1">IFERROR(__xludf.DUMMYFUNCTION("""COMPUTED_VALUE"""),"1-0")</f>
        <v>1-0</v>
      </c>
      <c r="H2" s="3">
        <f ca="1">IFERROR(__xludf.DUMMYFUNCTION("""COMPUTED_VALUE"""),0.552)</f>
        <v>0.55200000000000005</v>
      </c>
      <c r="I2" s="2">
        <f ca="1">IFERROR(__xludf.DUMMYFUNCTION("""COMPUTED_VALUE"""),2)</f>
        <v>2</v>
      </c>
      <c r="J2" s="3">
        <f ca="1">IFERROR(__xludf.DUMMYFUNCTION("""COMPUTED_VALUE"""),-0.568)</f>
        <v>-0.56799999999999995</v>
      </c>
      <c r="K2" s="2">
        <f ca="1">IFERROR(__xludf.DUMMYFUNCTION("""COMPUTED_VALUE"""),2)</f>
        <v>2</v>
      </c>
      <c r="L2" s="3">
        <f ca="1">IFERROR(__xludf.DUMMYFUNCTION("""COMPUTED_VALUE"""),0.072)</f>
        <v>7.1999999999999995E-2</v>
      </c>
      <c r="M2" s="2">
        <f ca="1">IFERROR(__xludf.DUMMYFUNCTION("""COMPUTED_VALUE"""),3)</f>
        <v>3</v>
      </c>
    </row>
    <row r="3" spans="1:13" x14ac:dyDescent="0.2">
      <c r="A3" s="2">
        <f ca="1">IFERROR(__xludf.DUMMYFUNCTION("""COMPUTED_VALUE"""),2)</f>
        <v>2</v>
      </c>
      <c r="B3" s="2" t="str">
        <f ca="1">IFERROR(__xludf.DUMMYFUNCTION("""COMPUTED_VALUE"""),"NE")</f>
        <v>NE</v>
      </c>
      <c r="C3" s="3">
        <f ca="1">IFERROR(__xludf.DUMMYFUNCTION("""COMPUTED_VALUE"""),0.727)</f>
        <v>0.72699999999999998</v>
      </c>
      <c r="D3" s="2" t="str">
        <f ca="1">IFERROR(__xludf.DUMMYFUNCTION("""COMPUTED_VALUE"""),"x")</f>
        <v>x</v>
      </c>
      <c r="E3" s="3">
        <f ca="1">IFERROR(__xludf.DUMMYFUNCTION("""COMPUTED_VALUE"""),0.24)</f>
        <v>0.24</v>
      </c>
      <c r="F3" s="2">
        <f ca="1">IFERROR(__xludf.DUMMYFUNCTION("""COMPUTED_VALUE"""),1)</f>
        <v>1</v>
      </c>
      <c r="G3" s="2" t="str">
        <f ca="1">IFERROR(__xludf.DUMMYFUNCTION("""COMPUTED_VALUE"""),"1-0")</f>
        <v>1-0</v>
      </c>
      <c r="H3" s="3">
        <f ca="1">IFERROR(__xludf.DUMMYFUNCTION("""COMPUTED_VALUE"""),0.387)</f>
        <v>0.38700000000000001</v>
      </c>
      <c r="I3" s="2">
        <f ca="1">IFERROR(__xludf.DUMMYFUNCTION("""COMPUTED_VALUE"""),5)</f>
        <v>5</v>
      </c>
      <c r="J3" s="3">
        <f ca="1">IFERROR(__xludf.DUMMYFUNCTION("""COMPUTED_VALUE"""),-0.293)</f>
        <v>-0.29299999999999998</v>
      </c>
      <c r="K3" s="2">
        <f ca="1">IFERROR(__xludf.DUMMYFUNCTION("""COMPUTED_VALUE"""),7)</f>
        <v>7</v>
      </c>
      <c r="L3" s="3">
        <f ca="1">IFERROR(__xludf.DUMMYFUNCTION("""COMPUTED_VALUE"""),0.048)</f>
        <v>4.8000000000000001E-2</v>
      </c>
      <c r="M3" s="2">
        <f ca="1">IFERROR(__xludf.DUMMYFUNCTION("""COMPUTED_VALUE"""),10)</f>
        <v>10</v>
      </c>
    </row>
    <row r="4" spans="1:13" x14ac:dyDescent="0.2">
      <c r="A4" s="2">
        <f ca="1">IFERROR(__xludf.DUMMYFUNCTION("""COMPUTED_VALUE"""),3)</f>
        <v>3</v>
      </c>
      <c r="B4" s="2" t="str">
        <f ca="1">IFERROR(__xludf.DUMMYFUNCTION("""COMPUTED_VALUE"""),"TEN")</f>
        <v>TEN</v>
      </c>
      <c r="C4" s="3">
        <f ca="1">IFERROR(__xludf.DUMMYFUNCTION("""COMPUTED_VALUE"""),0.662)</f>
        <v>0.66200000000000003</v>
      </c>
      <c r="D4" s="2" t="str">
        <f ca="1">IFERROR(__xludf.DUMMYFUNCTION("""COMPUTED_VALUE"""),"x")</f>
        <v>x</v>
      </c>
      <c r="E4" s="3">
        <f ca="1">IFERROR(__xludf.DUMMYFUNCTION("""COMPUTED_VALUE"""),0.106)</f>
        <v>0.106</v>
      </c>
      <c r="F4" s="2">
        <f ca="1">IFERROR(__xludf.DUMMYFUNCTION("""COMPUTED_VALUE"""),8)</f>
        <v>8</v>
      </c>
      <c r="G4" s="2" t="str">
        <f ca="1">IFERROR(__xludf.DUMMYFUNCTION("""COMPUTED_VALUE"""),"1-0")</f>
        <v>1-0</v>
      </c>
      <c r="H4" s="3">
        <f ca="1">IFERROR(__xludf.DUMMYFUNCTION("""COMPUTED_VALUE"""),0.236)</f>
        <v>0.23599999999999999</v>
      </c>
      <c r="I4" s="2">
        <f ca="1">IFERROR(__xludf.DUMMYFUNCTION("""COMPUTED_VALUE"""),10)</f>
        <v>10</v>
      </c>
      <c r="J4" s="3">
        <f ca="1">IFERROR(__xludf.DUMMYFUNCTION("""COMPUTED_VALUE"""),-0.373)</f>
        <v>-0.373</v>
      </c>
      <c r="K4" s="2">
        <f ca="1">IFERROR(__xludf.DUMMYFUNCTION("""COMPUTED_VALUE"""),4)</f>
        <v>4</v>
      </c>
      <c r="L4" s="3">
        <f ca="1">IFERROR(__xludf.DUMMYFUNCTION("""COMPUTED_VALUE"""),0.052)</f>
        <v>5.1999999999999998E-2</v>
      </c>
      <c r="M4" s="2">
        <f ca="1">IFERROR(__xludf.DUMMYFUNCTION("""COMPUTED_VALUE"""),5)</f>
        <v>5</v>
      </c>
    </row>
    <row r="5" spans="1:13" x14ac:dyDescent="0.2">
      <c r="A5" s="2">
        <f ca="1">IFERROR(__xludf.DUMMYFUNCTION("""COMPUTED_VALUE"""),4)</f>
        <v>4</v>
      </c>
      <c r="B5" s="2" t="str">
        <f ca="1">IFERROR(__xludf.DUMMYFUNCTION("""COMPUTED_VALUE"""),"DAL")</f>
        <v>DAL</v>
      </c>
      <c r="C5" s="3">
        <f ca="1">IFERROR(__xludf.DUMMYFUNCTION("""COMPUTED_VALUE"""),0.606)</f>
        <v>0.60599999999999998</v>
      </c>
      <c r="D5" s="2" t="str">
        <f ca="1">IFERROR(__xludf.DUMMYFUNCTION("""COMPUTED_VALUE"""),"x")</f>
        <v>x</v>
      </c>
      <c r="E5" s="3">
        <f ca="1">IFERROR(__xludf.DUMMYFUNCTION("""COMPUTED_VALUE"""),0.107)</f>
        <v>0.107</v>
      </c>
      <c r="F5" s="2">
        <f ca="1">IFERROR(__xludf.DUMMYFUNCTION("""COMPUTED_VALUE"""),7)</f>
        <v>7</v>
      </c>
      <c r="G5" s="2" t="str">
        <f ca="1">IFERROR(__xludf.DUMMYFUNCTION("""COMPUTED_VALUE"""),"1-0")</f>
        <v>1-0</v>
      </c>
      <c r="H5" s="3">
        <f ca="1">IFERROR(__xludf.DUMMYFUNCTION("""COMPUTED_VALUE"""),0.59)</f>
        <v>0.59</v>
      </c>
      <c r="I5" s="2">
        <f ca="1">IFERROR(__xludf.DUMMYFUNCTION("""COMPUTED_VALUE"""),1)</f>
        <v>1</v>
      </c>
      <c r="J5" s="3">
        <f ca="1">IFERROR(__xludf.DUMMYFUNCTION("""COMPUTED_VALUE"""),0.004)</f>
        <v>4.0000000000000001E-3</v>
      </c>
      <c r="K5" s="2">
        <f ca="1">IFERROR(__xludf.DUMMYFUNCTION("""COMPUTED_VALUE"""),17)</f>
        <v>17</v>
      </c>
      <c r="L5" s="3">
        <f ca="1">IFERROR(__xludf.DUMMYFUNCTION("""COMPUTED_VALUE"""),0.02)</f>
        <v>0.02</v>
      </c>
      <c r="M5" s="2">
        <f ca="1">IFERROR(__xludf.DUMMYFUNCTION("""COMPUTED_VALUE"""),14)</f>
        <v>14</v>
      </c>
    </row>
    <row r="6" spans="1:13" x14ac:dyDescent="0.2">
      <c r="A6" s="2">
        <f ca="1">IFERROR(__xludf.DUMMYFUNCTION("""COMPUTED_VALUE"""),5)</f>
        <v>5</v>
      </c>
      <c r="B6" s="2" t="str">
        <f ca="1">IFERROR(__xludf.DUMMYFUNCTION("""COMPUTED_VALUE"""),"OAK")</f>
        <v>OAK</v>
      </c>
      <c r="C6" s="3">
        <f ca="1">IFERROR(__xludf.DUMMYFUNCTION("""COMPUTED_VALUE"""),0.504)</f>
        <v>0.504</v>
      </c>
      <c r="D6" s="2" t="str">
        <f ca="1">IFERROR(__xludf.DUMMYFUNCTION("""COMPUTED_VALUE"""),"x")</f>
        <v>x</v>
      </c>
      <c r="E6" s="3">
        <f ca="1">IFERROR(__xludf.DUMMYFUNCTION("""COMPUTED_VALUE"""),-0.028)</f>
        <v>-2.8000000000000001E-2</v>
      </c>
      <c r="F6" s="2">
        <f ca="1">IFERROR(__xludf.DUMMYFUNCTION("""COMPUTED_VALUE"""),19)</f>
        <v>19</v>
      </c>
      <c r="G6" s="2" t="str">
        <f ca="1">IFERROR(__xludf.DUMMYFUNCTION("""COMPUTED_VALUE"""),"1-0")</f>
        <v>1-0</v>
      </c>
      <c r="H6" s="3">
        <f ca="1">IFERROR(__xludf.DUMMYFUNCTION("""COMPUTED_VALUE"""),0.338)</f>
        <v>0.33800000000000002</v>
      </c>
      <c r="I6" s="2">
        <f ca="1">IFERROR(__xludf.DUMMYFUNCTION("""COMPUTED_VALUE"""),6)</f>
        <v>6</v>
      </c>
      <c r="J6" s="3">
        <f ca="1">IFERROR(__xludf.DUMMYFUNCTION("""COMPUTED_VALUE"""),-0.07)</f>
        <v>-7.0000000000000007E-2</v>
      </c>
      <c r="K6" s="2">
        <f ca="1">IFERROR(__xludf.DUMMYFUNCTION("""COMPUTED_VALUE"""),15)</f>
        <v>15</v>
      </c>
      <c r="L6" s="3">
        <f ca="1">IFERROR(__xludf.DUMMYFUNCTION("""COMPUTED_VALUE"""),0.096)</f>
        <v>9.6000000000000002E-2</v>
      </c>
      <c r="M6" s="2">
        <f ca="1">IFERROR(__xludf.DUMMYFUNCTION("""COMPUTED_VALUE"""),2)</f>
        <v>2</v>
      </c>
    </row>
    <row r="7" spans="1:13" x14ac:dyDescent="0.2">
      <c r="A7" s="2">
        <f ca="1">IFERROR(__xludf.DUMMYFUNCTION("""COMPUTED_VALUE"""),6)</f>
        <v>6</v>
      </c>
      <c r="B7" s="2" t="str">
        <f ca="1">IFERROR(__xludf.DUMMYFUNCTION("""COMPUTED_VALUE"""),"SF")</f>
        <v>SF</v>
      </c>
      <c r="C7" s="3">
        <f ca="1">IFERROR(__xludf.DUMMYFUNCTION("""COMPUTED_VALUE"""),0.319)</f>
        <v>0.31900000000000001</v>
      </c>
      <c r="D7" s="2" t="str">
        <f ca="1">IFERROR(__xludf.DUMMYFUNCTION("""COMPUTED_VALUE"""),"x")</f>
        <v>x</v>
      </c>
      <c r="E7" s="3">
        <f ca="1">IFERROR(__xludf.DUMMYFUNCTION("""COMPUTED_VALUE"""),0.015)</f>
        <v>1.4999999999999999E-2</v>
      </c>
      <c r="F7" s="2">
        <f ca="1">IFERROR(__xludf.DUMMYFUNCTION("""COMPUTED_VALUE"""),16)</f>
        <v>16</v>
      </c>
      <c r="G7" s="2" t="str">
        <f ca="1">IFERROR(__xludf.DUMMYFUNCTION("""COMPUTED_VALUE"""),"1-0")</f>
        <v>1-0</v>
      </c>
      <c r="H7" s="3">
        <f ca="1">IFERROR(__xludf.DUMMYFUNCTION("""COMPUTED_VALUE"""),-0.259)</f>
        <v>-0.25900000000000001</v>
      </c>
      <c r="I7" s="2">
        <f ca="1">IFERROR(__xludf.DUMMYFUNCTION("""COMPUTED_VALUE"""),24)</f>
        <v>24</v>
      </c>
      <c r="J7" s="3">
        <f ca="1">IFERROR(__xludf.DUMMYFUNCTION("""COMPUTED_VALUE"""),-0.587)</f>
        <v>-0.58699999999999997</v>
      </c>
      <c r="K7" s="2">
        <f ca="1">IFERROR(__xludf.DUMMYFUNCTION("""COMPUTED_VALUE"""),1)</f>
        <v>1</v>
      </c>
      <c r="L7" s="3">
        <f ca="1">IFERROR(__xludf.DUMMYFUNCTION("""COMPUTED_VALUE"""),-0.009)</f>
        <v>-8.9999999999999993E-3</v>
      </c>
      <c r="M7" s="2">
        <f ca="1">IFERROR(__xludf.DUMMYFUNCTION("""COMPUTED_VALUE"""),19)</f>
        <v>19</v>
      </c>
    </row>
    <row r="8" spans="1:13" x14ac:dyDescent="0.2">
      <c r="A8" s="2">
        <f ca="1">IFERROR(__xludf.DUMMYFUNCTION("""COMPUTED_VALUE"""),7)</f>
        <v>7</v>
      </c>
      <c r="B8" s="2" t="str">
        <f ca="1">IFERROR(__xludf.DUMMYFUNCTION("""COMPUTED_VALUE"""),"KC")</f>
        <v>KC</v>
      </c>
      <c r="C8" s="3">
        <f ca="1">IFERROR(__xludf.DUMMYFUNCTION("""COMPUTED_VALUE"""),0.223)</f>
        <v>0.223</v>
      </c>
      <c r="D8" s="2" t="str">
        <f ca="1">IFERROR(__xludf.DUMMYFUNCTION("""COMPUTED_VALUE"""),"x")</f>
        <v>x</v>
      </c>
      <c r="E8" s="3">
        <f ca="1">IFERROR(__xludf.DUMMYFUNCTION("""COMPUTED_VALUE"""),0.159)</f>
        <v>0.159</v>
      </c>
      <c r="F8" s="2">
        <f ca="1">IFERROR(__xludf.DUMMYFUNCTION("""COMPUTED_VALUE"""),4)</f>
        <v>4</v>
      </c>
      <c r="G8" s="2" t="str">
        <f ca="1">IFERROR(__xludf.DUMMYFUNCTION("""COMPUTED_VALUE"""),"1-0")</f>
        <v>1-0</v>
      </c>
      <c r="H8" s="3">
        <f ca="1">IFERROR(__xludf.DUMMYFUNCTION("""COMPUTED_VALUE"""),0.515)</f>
        <v>0.51500000000000001</v>
      </c>
      <c r="I8" s="2">
        <f ca="1">IFERROR(__xludf.DUMMYFUNCTION("""COMPUTED_VALUE"""),3)</f>
        <v>3</v>
      </c>
      <c r="J8" s="3">
        <f ca="1">IFERROR(__xludf.DUMMYFUNCTION("""COMPUTED_VALUE"""),0.302)</f>
        <v>0.30199999999999999</v>
      </c>
      <c r="K8" s="2">
        <f ca="1">IFERROR(__xludf.DUMMYFUNCTION("""COMPUTED_VALUE"""),25)</f>
        <v>25</v>
      </c>
      <c r="L8" s="3">
        <f ca="1">IFERROR(__xludf.DUMMYFUNCTION("""COMPUTED_VALUE"""),0.009)</f>
        <v>8.9999999999999993E-3</v>
      </c>
      <c r="M8" s="2">
        <f ca="1">IFERROR(__xludf.DUMMYFUNCTION("""COMPUTED_VALUE"""),18)</f>
        <v>18</v>
      </c>
    </row>
    <row r="9" spans="1:13" x14ac:dyDescent="0.2">
      <c r="A9" s="2">
        <f ca="1">IFERROR(__xludf.DUMMYFUNCTION("""COMPUTED_VALUE"""),8)</f>
        <v>8</v>
      </c>
      <c r="B9" s="2" t="str">
        <f ca="1">IFERROR(__xludf.DUMMYFUNCTION("""COMPUTED_VALUE"""),"WAS")</f>
        <v>WAS</v>
      </c>
      <c r="C9" s="3">
        <f ca="1">IFERROR(__xludf.DUMMYFUNCTION("""COMPUTED_VALUE"""),0.214)</f>
        <v>0.214</v>
      </c>
      <c r="D9" s="2" t="str">
        <f ca="1">IFERROR(__xludf.DUMMYFUNCTION("""COMPUTED_VALUE"""),"x")</f>
        <v>x</v>
      </c>
      <c r="E9" s="3">
        <f ca="1">IFERROR(__xludf.DUMMYFUNCTION("""COMPUTED_VALUE"""),-0.136)</f>
        <v>-0.13600000000000001</v>
      </c>
      <c r="F9" s="2">
        <f ca="1">IFERROR(__xludf.DUMMYFUNCTION("""COMPUTED_VALUE"""),28)</f>
        <v>28</v>
      </c>
      <c r="G9" s="2" t="str">
        <f ca="1">IFERROR(__xludf.DUMMYFUNCTION("""COMPUTED_VALUE"""),"0-1")</f>
        <v>0-1</v>
      </c>
      <c r="H9" s="3">
        <f ca="1">IFERROR(__xludf.DUMMYFUNCTION("""COMPUTED_VALUE"""),0.395)</f>
        <v>0.39500000000000002</v>
      </c>
      <c r="I9" s="2">
        <f ca="1">IFERROR(__xludf.DUMMYFUNCTION("""COMPUTED_VALUE"""),4)</f>
        <v>4</v>
      </c>
      <c r="J9" s="3">
        <f ca="1">IFERROR(__xludf.DUMMYFUNCTION("""COMPUTED_VALUE"""),0.192)</f>
        <v>0.192</v>
      </c>
      <c r="K9" s="2">
        <f ca="1">IFERROR(__xludf.DUMMYFUNCTION("""COMPUTED_VALUE"""),22)</f>
        <v>22</v>
      </c>
      <c r="L9" s="3">
        <f ca="1">IFERROR(__xludf.DUMMYFUNCTION("""COMPUTED_VALUE"""),0.011)</f>
        <v>1.0999999999999999E-2</v>
      </c>
      <c r="M9" s="2">
        <f ca="1">IFERROR(__xludf.DUMMYFUNCTION("""COMPUTED_VALUE"""),16)</f>
        <v>16</v>
      </c>
    </row>
    <row r="10" spans="1:13" x14ac:dyDescent="0.2">
      <c r="A10" s="2">
        <f ca="1">IFERROR(__xludf.DUMMYFUNCTION("""COMPUTED_VALUE"""),9)</f>
        <v>9</v>
      </c>
      <c r="B10" s="2" t="str">
        <f ca="1">IFERROR(__xludf.DUMMYFUNCTION("""COMPUTED_VALUE"""),"MIN")</f>
        <v>MIN</v>
      </c>
      <c r="C10" s="3">
        <f ca="1">IFERROR(__xludf.DUMMYFUNCTION("""COMPUTED_VALUE"""),0.128)</f>
        <v>0.128</v>
      </c>
      <c r="D10" s="2" t="str">
        <f ca="1">IFERROR(__xludf.DUMMYFUNCTION("""COMPUTED_VALUE"""),"x")</f>
        <v>x</v>
      </c>
      <c r="E10" s="3">
        <f ca="1">IFERROR(__xludf.DUMMYFUNCTION("""COMPUTED_VALUE"""),0.022)</f>
        <v>2.1999999999999999E-2</v>
      </c>
      <c r="F10" s="2">
        <f ca="1">IFERROR(__xludf.DUMMYFUNCTION("""COMPUTED_VALUE"""),14)</f>
        <v>14</v>
      </c>
      <c r="G10" s="2" t="str">
        <f ca="1">IFERROR(__xludf.DUMMYFUNCTION("""COMPUTED_VALUE"""),"1-0")</f>
        <v>1-0</v>
      </c>
      <c r="H10" s="3">
        <f ca="1">IFERROR(__xludf.DUMMYFUNCTION("""COMPUTED_VALUE"""),-0.049)</f>
        <v>-4.9000000000000002E-2</v>
      </c>
      <c r="I10" s="2">
        <f ca="1">IFERROR(__xludf.DUMMYFUNCTION("""COMPUTED_VALUE"""),17)</f>
        <v>17</v>
      </c>
      <c r="J10" s="3">
        <f ca="1">IFERROR(__xludf.DUMMYFUNCTION("""COMPUTED_VALUE"""),-0.222)</f>
        <v>-0.222</v>
      </c>
      <c r="K10" s="2">
        <f ca="1">IFERROR(__xludf.DUMMYFUNCTION("""COMPUTED_VALUE"""),11)</f>
        <v>11</v>
      </c>
      <c r="L10" s="3">
        <f ca="1">IFERROR(__xludf.DUMMYFUNCTION("""COMPUTED_VALUE"""),-0.044)</f>
        <v>-4.3999999999999997E-2</v>
      </c>
      <c r="M10" s="2">
        <f ca="1">IFERROR(__xludf.DUMMYFUNCTION("""COMPUTED_VALUE"""),24)</f>
        <v>24</v>
      </c>
    </row>
    <row r="11" spans="1:13" x14ac:dyDescent="0.2">
      <c r="A11" s="2">
        <f ca="1">IFERROR(__xludf.DUMMYFUNCTION("""COMPUTED_VALUE"""),10)</f>
        <v>10</v>
      </c>
      <c r="B11" s="2" t="str">
        <f ca="1">IFERROR(__xludf.DUMMYFUNCTION("""COMPUTED_VALUE"""),"GB")</f>
        <v>GB</v>
      </c>
      <c r="C11" s="3">
        <f ca="1">IFERROR(__xludf.DUMMYFUNCTION("""COMPUTED_VALUE"""),0.125)</f>
        <v>0.125</v>
      </c>
      <c r="D11" s="2" t="str">
        <f ca="1">IFERROR(__xludf.DUMMYFUNCTION("""COMPUTED_VALUE"""),"x")</f>
        <v>x</v>
      </c>
      <c r="E11" s="3">
        <f ca="1">IFERROR(__xludf.DUMMYFUNCTION("""COMPUTED_VALUE"""),0.038)</f>
        <v>3.7999999999999999E-2</v>
      </c>
      <c r="F11" s="2">
        <f ca="1">IFERROR(__xludf.DUMMYFUNCTION("""COMPUTED_VALUE"""),13)</f>
        <v>13</v>
      </c>
      <c r="G11" s="2" t="str">
        <f ca="1">IFERROR(__xludf.DUMMYFUNCTION("""COMPUTED_VALUE"""),"1-0")</f>
        <v>1-0</v>
      </c>
      <c r="H11" s="3">
        <f ca="1">IFERROR(__xludf.DUMMYFUNCTION("""COMPUTED_VALUE"""),-0.328)</f>
        <v>-0.32800000000000001</v>
      </c>
      <c r="I11" s="2">
        <f ca="1">IFERROR(__xludf.DUMMYFUNCTION("""COMPUTED_VALUE"""),27)</f>
        <v>27</v>
      </c>
      <c r="J11" s="3">
        <f ca="1">IFERROR(__xludf.DUMMYFUNCTION("""COMPUTED_VALUE"""),-0.403)</f>
        <v>-0.40300000000000002</v>
      </c>
      <c r="K11" s="2">
        <f ca="1">IFERROR(__xludf.DUMMYFUNCTION("""COMPUTED_VALUE"""),3)</f>
        <v>3</v>
      </c>
      <c r="L11" s="3">
        <f ca="1">IFERROR(__xludf.DUMMYFUNCTION("""COMPUTED_VALUE"""),0.05)</f>
        <v>0.05</v>
      </c>
      <c r="M11" s="2">
        <f ca="1">IFERROR(__xludf.DUMMYFUNCTION("""COMPUTED_VALUE"""),7)</f>
        <v>7</v>
      </c>
    </row>
    <row r="12" spans="1:13" x14ac:dyDescent="0.2">
      <c r="A12" s="2">
        <f ca="1">IFERROR(__xludf.DUMMYFUNCTION("""COMPUTED_VALUE"""),11)</f>
        <v>11</v>
      </c>
      <c r="B12" s="2" t="str">
        <f ca="1">IFERROR(__xludf.DUMMYFUNCTION("""COMPUTED_VALUE"""),"SEA")</f>
        <v>SEA</v>
      </c>
      <c r="C12" s="3">
        <f ca="1">IFERROR(__xludf.DUMMYFUNCTION("""COMPUTED_VALUE"""),0.109)</f>
        <v>0.109</v>
      </c>
      <c r="D12" s="2" t="str">
        <f ca="1">IFERROR(__xludf.DUMMYFUNCTION("""COMPUTED_VALUE"""),"x")</f>
        <v>x</v>
      </c>
      <c r="E12" s="3">
        <f ca="1">IFERROR(__xludf.DUMMYFUNCTION("""COMPUTED_VALUE"""),0.085)</f>
        <v>8.5000000000000006E-2</v>
      </c>
      <c r="F12" s="2">
        <f ca="1">IFERROR(__xludf.DUMMYFUNCTION("""COMPUTED_VALUE"""),9)</f>
        <v>9</v>
      </c>
      <c r="G12" s="2" t="str">
        <f ca="1">IFERROR(__xludf.DUMMYFUNCTION("""COMPUTED_VALUE"""),"1-0")</f>
        <v>1-0</v>
      </c>
      <c r="H12" s="3">
        <f ca="1">IFERROR(__xludf.DUMMYFUNCTION("""COMPUTED_VALUE"""),-0.166)</f>
        <v>-0.16600000000000001</v>
      </c>
      <c r="I12" s="2">
        <f ca="1">IFERROR(__xludf.DUMMYFUNCTION("""COMPUTED_VALUE"""),20)</f>
        <v>20</v>
      </c>
      <c r="J12" s="3">
        <f ca="1">IFERROR(__xludf.DUMMYFUNCTION("""COMPUTED_VALUE"""),-0.224)</f>
        <v>-0.224</v>
      </c>
      <c r="K12" s="2">
        <f ca="1">IFERROR(__xludf.DUMMYFUNCTION("""COMPUTED_VALUE"""),10)</f>
        <v>10</v>
      </c>
      <c r="L12" s="3">
        <f ca="1">IFERROR(__xludf.DUMMYFUNCTION("""COMPUTED_VALUE"""),0.051)</f>
        <v>5.0999999999999997E-2</v>
      </c>
      <c r="M12" s="2">
        <f ca="1">IFERROR(__xludf.DUMMYFUNCTION("""COMPUTED_VALUE"""),6)</f>
        <v>6</v>
      </c>
    </row>
    <row r="13" spans="1:13" x14ac:dyDescent="0.2">
      <c r="A13" s="2">
        <f ca="1">IFERROR(__xludf.DUMMYFUNCTION("""COMPUTED_VALUE"""),12)</f>
        <v>12</v>
      </c>
      <c r="B13" s="2" t="str">
        <f ca="1">IFERROR(__xludf.DUMMYFUNCTION("""COMPUTED_VALUE"""),"BUF")</f>
        <v>BUF</v>
      </c>
      <c r="C13" s="3">
        <f ca="1">IFERROR(__xludf.DUMMYFUNCTION("""COMPUTED_VALUE"""),0.042)</f>
        <v>4.2000000000000003E-2</v>
      </c>
      <c r="D13" s="2" t="str">
        <f ca="1">IFERROR(__xludf.DUMMYFUNCTION("""COMPUTED_VALUE"""),"x")</f>
        <v>x</v>
      </c>
      <c r="E13" s="3">
        <f ca="1">IFERROR(__xludf.DUMMYFUNCTION("""COMPUTED_VALUE"""),-0.091)</f>
        <v>-9.0999999999999998E-2</v>
      </c>
      <c r="F13" s="2">
        <f ca="1">IFERROR(__xludf.DUMMYFUNCTION("""COMPUTED_VALUE"""),24)</f>
        <v>24</v>
      </c>
      <c r="G13" s="2" t="str">
        <f ca="1">IFERROR(__xludf.DUMMYFUNCTION("""COMPUTED_VALUE"""),"1-0")</f>
        <v>1-0</v>
      </c>
      <c r="H13" s="3">
        <f ca="1">IFERROR(__xludf.DUMMYFUNCTION("""COMPUTED_VALUE"""),-0.217)</f>
        <v>-0.217</v>
      </c>
      <c r="I13" s="2">
        <f ca="1">IFERROR(__xludf.DUMMYFUNCTION("""COMPUTED_VALUE"""),23)</f>
        <v>23</v>
      </c>
      <c r="J13" s="3">
        <f ca="1">IFERROR(__xludf.DUMMYFUNCTION("""COMPUTED_VALUE"""),-0.248)</f>
        <v>-0.248</v>
      </c>
      <c r="K13" s="2">
        <f ca="1">IFERROR(__xludf.DUMMYFUNCTION("""COMPUTED_VALUE"""),9)</f>
        <v>9</v>
      </c>
      <c r="L13" s="3">
        <f ca="1">IFERROR(__xludf.DUMMYFUNCTION("""COMPUTED_VALUE"""),0.011)</f>
        <v>1.0999999999999999E-2</v>
      </c>
      <c r="M13" s="2">
        <f ca="1">IFERROR(__xludf.DUMMYFUNCTION("""COMPUTED_VALUE"""),17)</f>
        <v>17</v>
      </c>
    </row>
    <row r="14" spans="1:13" x14ac:dyDescent="0.2">
      <c r="A14" s="2">
        <f ca="1">IFERROR(__xludf.DUMMYFUNCTION("""COMPUTED_VALUE"""),13)</f>
        <v>13</v>
      </c>
      <c r="B14" s="2" t="str">
        <f ca="1">IFERROR(__xludf.DUMMYFUNCTION("""COMPUTED_VALUE"""),"DET")</f>
        <v>DET</v>
      </c>
      <c r="C14" s="3">
        <f ca="1">IFERROR(__xludf.DUMMYFUNCTION("""COMPUTED_VALUE"""),0.034)</f>
        <v>3.4000000000000002E-2</v>
      </c>
      <c r="D14" s="2" t="str">
        <f ca="1">IFERROR(__xludf.DUMMYFUNCTION("""COMPUTED_VALUE"""),"x")</f>
        <v>x</v>
      </c>
      <c r="E14" s="3">
        <f ca="1">IFERROR(__xludf.DUMMYFUNCTION("""COMPUTED_VALUE"""),0.022)</f>
        <v>2.1999999999999999E-2</v>
      </c>
      <c r="F14" s="2">
        <f ca="1">IFERROR(__xludf.DUMMYFUNCTION("""COMPUTED_VALUE"""),15)</f>
        <v>15</v>
      </c>
      <c r="G14" s="2" t="str">
        <f ca="1">IFERROR(__xludf.DUMMYFUNCTION("""COMPUTED_VALUE"""),"0-0-1")</f>
        <v>0-0-1</v>
      </c>
      <c r="H14" s="3">
        <f ca="1">IFERROR(__xludf.DUMMYFUNCTION("""COMPUTED_VALUE"""),-0.037)</f>
        <v>-3.6999999999999998E-2</v>
      </c>
      <c r="I14" s="2">
        <f ca="1">IFERROR(__xludf.DUMMYFUNCTION("""COMPUTED_VALUE"""),15)</f>
        <v>15</v>
      </c>
      <c r="J14" s="3">
        <f ca="1">IFERROR(__xludf.DUMMYFUNCTION("""COMPUTED_VALUE"""),-0.248)</f>
        <v>-0.248</v>
      </c>
      <c r="K14" s="2">
        <f ca="1">IFERROR(__xludf.DUMMYFUNCTION("""COMPUTED_VALUE"""),8)</f>
        <v>8</v>
      </c>
      <c r="L14" s="3">
        <f ca="1">IFERROR(__xludf.DUMMYFUNCTION("""COMPUTED_VALUE"""),-0.177)</f>
        <v>-0.17699999999999999</v>
      </c>
      <c r="M14" s="2">
        <f ca="1">IFERROR(__xludf.DUMMYFUNCTION("""COMPUTED_VALUE"""),30)</f>
        <v>30</v>
      </c>
    </row>
    <row r="15" spans="1:13" x14ac:dyDescent="0.2">
      <c r="A15" s="2">
        <f ca="1">IFERROR(__xludf.DUMMYFUNCTION("""COMPUTED_VALUE"""),14)</f>
        <v>14</v>
      </c>
      <c r="B15" s="2" t="str">
        <f ca="1">IFERROR(__xludf.DUMMYFUNCTION("""COMPUTED_VALUE"""),"LAC")</f>
        <v>LAC</v>
      </c>
      <c r="C15" s="3">
        <f ca="1">IFERROR(__xludf.DUMMYFUNCTION("""COMPUTED_VALUE"""),0.026)</f>
        <v>2.5999999999999999E-2</v>
      </c>
      <c r="D15" s="2" t="str">
        <f ca="1">IFERROR(__xludf.DUMMYFUNCTION("""COMPUTED_VALUE"""),"x")</f>
        <v>x</v>
      </c>
      <c r="E15" s="3">
        <f ca="1">IFERROR(__xludf.DUMMYFUNCTION("""COMPUTED_VALUE"""),0.148)</f>
        <v>0.14799999999999999</v>
      </c>
      <c r="F15" s="2">
        <f ca="1">IFERROR(__xludf.DUMMYFUNCTION("""COMPUTED_VALUE"""),5)</f>
        <v>5</v>
      </c>
      <c r="G15" s="2" t="str">
        <f ca="1">IFERROR(__xludf.DUMMYFUNCTION("""COMPUTED_VALUE"""),"1-0")</f>
        <v>1-0</v>
      </c>
      <c r="H15" s="3">
        <f ca="1">IFERROR(__xludf.DUMMYFUNCTION("""COMPUTED_VALUE"""),0.229)</f>
        <v>0.22900000000000001</v>
      </c>
      <c r="I15" s="2">
        <f ca="1">IFERROR(__xludf.DUMMYFUNCTION("""COMPUTED_VALUE"""),11)</f>
        <v>11</v>
      </c>
      <c r="J15" s="3">
        <f ca="1">IFERROR(__xludf.DUMMYFUNCTION("""COMPUTED_VALUE"""),0.22)</f>
        <v>0.22</v>
      </c>
      <c r="K15" s="2">
        <f ca="1">IFERROR(__xludf.DUMMYFUNCTION("""COMPUTED_VALUE"""),23)</f>
        <v>23</v>
      </c>
      <c r="L15" s="3">
        <f ca="1">IFERROR(__xludf.DUMMYFUNCTION("""COMPUTED_VALUE"""),0.017)</f>
        <v>1.7000000000000001E-2</v>
      </c>
      <c r="M15" s="2">
        <f ca="1">IFERROR(__xludf.DUMMYFUNCTION("""COMPUTED_VALUE"""),15)</f>
        <v>15</v>
      </c>
    </row>
    <row r="16" spans="1:13" x14ac:dyDescent="0.2">
      <c r="A16" s="2">
        <f ca="1">IFERROR(__xludf.DUMMYFUNCTION("""COMPUTED_VALUE"""),15)</f>
        <v>15</v>
      </c>
      <c r="B16" s="2" t="str">
        <f ca="1">IFERROR(__xludf.DUMMYFUNCTION("""COMPUTED_VALUE"""),"PHI")</f>
        <v>PHI</v>
      </c>
      <c r="C16" s="3">
        <f ca="1">IFERROR(__xludf.DUMMYFUNCTION("""COMPUTED_VALUE"""),0.002)</f>
        <v>2E-3</v>
      </c>
      <c r="D16" s="2" t="str">
        <f ca="1">IFERROR(__xludf.DUMMYFUNCTION("""COMPUTED_VALUE"""),"x")</f>
        <v>x</v>
      </c>
      <c r="E16" s="3">
        <f ca="1">IFERROR(__xludf.DUMMYFUNCTION("""COMPUTED_VALUE"""),0.071)</f>
        <v>7.0999999999999994E-2</v>
      </c>
      <c r="F16" s="2">
        <f ca="1">IFERROR(__xludf.DUMMYFUNCTION("""COMPUTED_VALUE"""),10)</f>
        <v>10</v>
      </c>
      <c r="G16" s="2" t="str">
        <f ca="1">IFERROR(__xludf.DUMMYFUNCTION("""COMPUTED_VALUE"""),"1-0")</f>
        <v>1-0</v>
      </c>
      <c r="H16" s="3">
        <f ca="1">IFERROR(__xludf.DUMMYFUNCTION("""COMPUTED_VALUE"""),0.324)</f>
        <v>0.32400000000000001</v>
      </c>
      <c r="I16" s="2">
        <f ca="1">IFERROR(__xludf.DUMMYFUNCTION("""COMPUTED_VALUE"""),8)</f>
        <v>8</v>
      </c>
      <c r="J16" s="3">
        <f ca="1">IFERROR(__xludf.DUMMYFUNCTION("""COMPUTED_VALUE"""),0.37)</f>
        <v>0.37</v>
      </c>
      <c r="K16" s="2">
        <f ca="1">IFERROR(__xludf.DUMMYFUNCTION("""COMPUTED_VALUE"""),29)</f>
        <v>29</v>
      </c>
      <c r="L16" s="3">
        <f ca="1">IFERROR(__xludf.DUMMYFUNCTION("""COMPUTED_VALUE"""),0.049)</f>
        <v>4.9000000000000002E-2</v>
      </c>
      <c r="M16" s="2">
        <f ca="1">IFERROR(__xludf.DUMMYFUNCTION("""COMPUTED_VALUE"""),8)</f>
        <v>8</v>
      </c>
    </row>
    <row r="17" spans="1:13" x14ac:dyDescent="0.2">
      <c r="A17" s="2">
        <f ca="1">IFERROR(__xludf.DUMMYFUNCTION("""COMPUTED_VALUE"""),16)</f>
        <v>16</v>
      </c>
      <c r="B17" s="2" t="str">
        <f ca="1">IFERROR(__xludf.DUMMYFUNCTION("""COMPUTED_VALUE"""),"LAR")</f>
        <v>LAR</v>
      </c>
      <c r="C17" s="3">
        <f ca="1">IFERROR(__xludf.DUMMYFUNCTION("""COMPUTED_VALUE"""),-0.013)</f>
        <v>-1.2999999999999999E-2</v>
      </c>
      <c r="D17" s="2" t="str">
        <f ca="1">IFERROR(__xludf.DUMMYFUNCTION("""COMPUTED_VALUE"""),"x")</f>
        <v>x</v>
      </c>
      <c r="E17" s="3">
        <f ca="1">IFERROR(__xludf.DUMMYFUNCTION("""COMPUTED_VALUE"""),0.131)</f>
        <v>0.13100000000000001</v>
      </c>
      <c r="F17" s="2">
        <f ca="1">IFERROR(__xludf.DUMMYFUNCTION("""COMPUTED_VALUE"""),6)</f>
        <v>6</v>
      </c>
      <c r="G17" s="2" t="str">
        <f ca="1">IFERROR(__xludf.DUMMYFUNCTION("""COMPUTED_VALUE"""),"1-0")</f>
        <v>1-0</v>
      </c>
      <c r="H17" s="3">
        <f ca="1">IFERROR(__xludf.DUMMYFUNCTION("""COMPUTED_VALUE"""),0.05)</f>
        <v>0.05</v>
      </c>
      <c r="I17" s="2">
        <f ca="1">IFERROR(__xludf.DUMMYFUNCTION("""COMPUTED_VALUE"""),14)</f>
        <v>14</v>
      </c>
      <c r="J17" s="3">
        <f ca="1">IFERROR(__xludf.DUMMYFUNCTION("""COMPUTED_VALUE"""),-0.158)</f>
        <v>-0.158</v>
      </c>
      <c r="K17" s="2">
        <f ca="1">IFERROR(__xludf.DUMMYFUNCTION("""COMPUTED_VALUE"""),14)</f>
        <v>14</v>
      </c>
      <c r="L17" s="3">
        <f ca="1">IFERROR(__xludf.DUMMYFUNCTION("""COMPUTED_VALUE"""),-0.221)</f>
        <v>-0.221</v>
      </c>
      <c r="M17" s="2">
        <f ca="1">IFERROR(__xludf.DUMMYFUNCTION("""COMPUTED_VALUE"""),32)</f>
        <v>32</v>
      </c>
    </row>
    <row r="18" spans="1:13" x14ac:dyDescent="0.2">
      <c r="A18" s="2">
        <f ca="1">IFERROR(__xludf.DUMMYFUNCTION("""COMPUTED_VALUE"""),17)</f>
        <v>17</v>
      </c>
      <c r="B18" s="2" t="str">
        <f ca="1">IFERROR(__xludf.DUMMYFUNCTION("""COMPUTED_VALUE"""),"NO")</f>
        <v>NO</v>
      </c>
      <c r="C18" s="3">
        <f ca="1">IFERROR(__xludf.DUMMYFUNCTION("""COMPUTED_VALUE"""),-0.04)</f>
        <v>-0.04</v>
      </c>
      <c r="D18" s="2" t="str">
        <f ca="1">IFERROR(__xludf.DUMMYFUNCTION("""COMPUTED_VALUE"""),"x")</f>
        <v>x</v>
      </c>
      <c r="E18" s="3">
        <f ca="1">IFERROR(__xludf.DUMMYFUNCTION("""COMPUTED_VALUE"""),0.187)</f>
        <v>0.187</v>
      </c>
      <c r="F18" s="2">
        <f ca="1">IFERROR(__xludf.DUMMYFUNCTION("""COMPUTED_VALUE"""),2)</f>
        <v>2</v>
      </c>
      <c r="G18" s="2" t="str">
        <f ca="1">IFERROR(__xludf.DUMMYFUNCTION("""COMPUTED_VALUE"""),"1-0")</f>
        <v>1-0</v>
      </c>
      <c r="H18" s="3">
        <f ca="1">IFERROR(__xludf.DUMMYFUNCTION("""COMPUTED_VALUE"""),0.22)</f>
        <v>0.22</v>
      </c>
      <c r="I18" s="2">
        <f ca="1">IFERROR(__xludf.DUMMYFUNCTION("""COMPUTED_VALUE"""),12)</f>
        <v>12</v>
      </c>
      <c r="J18" s="3">
        <f ca="1">IFERROR(__xludf.DUMMYFUNCTION("""COMPUTED_VALUE"""),0.308)</f>
        <v>0.308</v>
      </c>
      <c r="K18" s="2">
        <f ca="1">IFERROR(__xludf.DUMMYFUNCTION("""COMPUTED_VALUE"""),26)</f>
        <v>26</v>
      </c>
      <c r="L18" s="3">
        <f ca="1">IFERROR(__xludf.DUMMYFUNCTION("""COMPUTED_VALUE"""),0.047)</f>
        <v>4.7E-2</v>
      </c>
      <c r="M18" s="2">
        <f ca="1">IFERROR(__xludf.DUMMYFUNCTION("""COMPUTED_VALUE"""),11)</f>
        <v>11</v>
      </c>
    </row>
    <row r="19" spans="1:13" x14ac:dyDescent="0.2">
      <c r="A19" s="2">
        <f ca="1">IFERROR(__xludf.DUMMYFUNCTION("""COMPUTED_VALUE"""),18)</f>
        <v>18</v>
      </c>
      <c r="B19" s="2" t="str">
        <f ca="1">IFERROR(__xludf.DUMMYFUNCTION("""COMPUTED_VALUE"""),"HOU")</f>
        <v>HOU</v>
      </c>
      <c r="C19" s="3">
        <f ca="1">IFERROR(__xludf.DUMMYFUNCTION("""COMPUTED_VALUE"""),-0.053)</f>
        <v>-5.2999999999999999E-2</v>
      </c>
      <c r="D19" s="2" t="str">
        <f ca="1">IFERROR(__xludf.DUMMYFUNCTION("""COMPUTED_VALUE"""),"x")</f>
        <v>x</v>
      </c>
      <c r="E19" s="3">
        <f ca="1">IFERROR(__xludf.DUMMYFUNCTION("""COMPUTED_VALUE"""),0.055)</f>
        <v>5.5E-2</v>
      </c>
      <c r="F19" s="2">
        <f ca="1">IFERROR(__xludf.DUMMYFUNCTION("""COMPUTED_VALUE"""),11)</f>
        <v>11</v>
      </c>
      <c r="G19" s="2" t="str">
        <f ca="1">IFERROR(__xludf.DUMMYFUNCTION("""COMPUTED_VALUE"""),"0-1")</f>
        <v>0-1</v>
      </c>
      <c r="H19" s="3">
        <f ca="1">IFERROR(__xludf.DUMMYFUNCTION("""COMPUTED_VALUE"""),0.191)</f>
        <v>0.191</v>
      </c>
      <c r="I19" s="2">
        <f ca="1">IFERROR(__xludf.DUMMYFUNCTION("""COMPUTED_VALUE"""),13)</f>
        <v>13</v>
      </c>
      <c r="J19" s="3">
        <f ca="1">IFERROR(__xludf.DUMMYFUNCTION("""COMPUTED_VALUE"""),0.229)</f>
        <v>0.22900000000000001</v>
      </c>
      <c r="K19" s="2">
        <f ca="1">IFERROR(__xludf.DUMMYFUNCTION("""COMPUTED_VALUE"""),24)</f>
        <v>24</v>
      </c>
      <c r="L19" s="3">
        <f ca="1">IFERROR(__xludf.DUMMYFUNCTION("""COMPUTED_VALUE"""),-0.015)</f>
        <v>-1.4999999999999999E-2</v>
      </c>
      <c r="M19" s="2">
        <f ca="1">IFERROR(__xludf.DUMMYFUNCTION("""COMPUTED_VALUE"""),21)</f>
        <v>21</v>
      </c>
    </row>
    <row r="20" spans="1:13" x14ac:dyDescent="0.2">
      <c r="A20" s="2">
        <f ca="1">IFERROR(__xludf.DUMMYFUNCTION("""COMPUTED_VALUE"""),19)</f>
        <v>19</v>
      </c>
      <c r="B20" s="2" t="str">
        <f ca="1">IFERROR(__xludf.DUMMYFUNCTION("""COMPUTED_VALUE"""),"JAX")</f>
        <v>JAX</v>
      </c>
      <c r="C20" s="3">
        <f ca="1">IFERROR(__xludf.DUMMYFUNCTION("""COMPUTED_VALUE"""),-0.058)</f>
        <v>-5.8000000000000003E-2</v>
      </c>
      <c r="D20" s="2" t="str">
        <f ca="1">IFERROR(__xludf.DUMMYFUNCTION("""COMPUTED_VALUE"""),"x")</f>
        <v>x</v>
      </c>
      <c r="E20" s="3">
        <f ca="1">IFERROR(__xludf.DUMMYFUNCTION("""COMPUTED_VALUE"""),-0.107)</f>
        <v>-0.107</v>
      </c>
      <c r="F20" s="2">
        <f ca="1">IFERROR(__xludf.DUMMYFUNCTION("""COMPUTED_VALUE"""),25)</f>
        <v>25</v>
      </c>
      <c r="G20" s="2" t="str">
        <f ca="1">IFERROR(__xludf.DUMMYFUNCTION("""COMPUTED_VALUE"""),"0-1")</f>
        <v>0-1</v>
      </c>
      <c r="H20" s="3">
        <f ca="1">IFERROR(__xludf.DUMMYFUNCTION("""COMPUTED_VALUE"""),0.327)</f>
        <v>0.32700000000000001</v>
      </c>
      <c r="I20" s="2">
        <f ca="1">IFERROR(__xludf.DUMMYFUNCTION("""COMPUTED_VALUE"""),7)</f>
        <v>7</v>
      </c>
      <c r="J20" s="3">
        <f ca="1">IFERROR(__xludf.DUMMYFUNCTION("""COMPUTED_VALUE"""),0.406)</f>
        <v>0.40600000000000003</v>
      </c>
      <c r="K20" s="2">
        <f ca="1">IFERROR(__xludf.DUMMYFUNCTION("""COMPUTED_VALUE"""),30)</f>
        <v>30</v>
      </c>
      <c r="L20" s="3">
        <f ca="1">IFERROR(__xludf.DUMMYFUNCTION("""COMPUTED_VALUE"""),0.021)</f>
        <v>2.1000000000000001E-2</v>
      </c>
      <c r="M20" s="2">
        <f ca="1">IFERROR(__xludf.DUMMYFUNCTION("""COMPUTED_VALUE"""),13)</f>
        <v>13</v>
      </c>
    </row>
    <row r="21" spans="1:13" x14ac:dyDescent="0.2">
      <c r="A21" s="2">
        <f ca="1">IFERROR(__xludf.DUMMYFUNCTION("""COMPUTED_VALUE"""),20)</f>
        <v>20</v>
      </c>
      <c r="B21" s="2" t="str">
        <f ca="1">IFERROR(__xludf.DUMMYFUNCTION("""COMPUTED_VALUE"""),"CHI")</f>
        <v>CHI</v>
      </c>
      <c r="C21" s="3">
        <f ca="1">IFERROR(__xludf.DUMMYFUNCTION("""COMPUTED_VALUE"""),-0.077)</f>
        <v>-7.6999999999999999E-2</v>
      </c>
      <c r="D21" s="2" t="str">
        <f ca="1">IFERROR(__xludf.DUMMYFUNCTION("""COMPUTED_VALUE"""),"x")</f>
        <v>x</v>
      </c>
      <c r="E21" s="3">
        <f ca="1">IFERROR(__xludf.DUMMYFUNCTION("""COMPUTED_VALUE"""),0.015)</f>
        <v>1.4999999999999999E-2</v>
      </c>
      <c r="F21" s="2">
        <f ca="1">IFERROR(__xludf.DUMMYFUNCTION("""COMPUTED_VALUE"""),17)</f>
        <v>17</v>
      </c>
      <c r="G21" s="2" t="str">
        <f ca="1">IFERROR(__xludf.DUMMYFUNCTION("""COMPUTED_VALUE"""),"0-1")</f>
        <v>0-1</v>
      </c>
      <c r="H21" s="3">
        <f ca="1">IFERROR(__xludf.DUMMYFUNCTION("""COMPUTED_VALUE"""),-0.42)</f>
        <v>-0.42</v>
      </c>
      <c r="I21" s="2">
        <f ca="1">IFERROR(__xludf.DUMMYFUNCTION("""COMPUTED_VALUE"""),29)</f>
        <v>29</v>
      </c>
      <c r="J21" s="3">
        <f ca="1">IFERROR(__xludf.DUMMYFUNCTION("""COMPUTED_VALUE"""),-0.295)</f>
        <v>-0.29499999999999998</v>
      </c>
      <c r="K21" s="2">
        <f ca="1">IFERROR(__xludf.DUMMYFUNCTION("""COMPUTED_VALUE"""),6)</f>
        <v>6</v>
      </c>
      <c r="L21" s="3">
        <f ca="1">IFERROR(__xludf.DUMMYFUNCTION("""COMPUTED_VALUE"""),0.048)</f>
        <v>4.8000000000000001E-2</v>
      </c>
      <c r="M21" s="2">
        <f ca="1">IFERROR(__xludf.DUMMYFUNCTION("""COMPUTED_VALUE"""),9)</f>
        <v>9</v>
      </c>
    </row>
    <row r="22" spans="1:13" x14ac:dyDescent="0.2">
      <c r="A22" s="2">
        <f ca="1">IFERROR(__xludf.DUMMYFUNCTION("""COMPUTED_VALUE"""),21)</f>
        <v>21</v>
      </c>
      <c r="B22" s="2" t="str">
        <f ca="1">IFERROR(__xludf.DUMMYFUNCTION("""COMPUTED_VALUE"""),"IND")</f>
        <v>IND</v>
      </c>
      <c r="C22" s="3">
        <f ca="1">IFERROR(__xludf.DUMMYFUNCTION("""COMPUTED_VALUE"""),-0.082)</f>
        <v>-8.2000000000000003E-2</v>
      </c>
      <c r="D22" s="2" t="str">
        <f ca="1">IFERROR(__xludf.DUMMYFUNCTION("""COMPUTED_VALUE"""),"x")</f>
        <v>x</v>
      </c>
      <c r="E22" s="3">
        <f ca="1">IFERROR(__xludf.DUMMYFUNCTION("""COMPUTED_VALUE"""),-0.072)</f>
        <v>-7.1999999999999995E-2</v>
      </c>
      <c r="F22" s="2">
        <f ca="1">IFERROR(__xludf.DUMMYFUNCTION("""COMPUTED_VALUE"""),23)</f>
        <v>23</v>
      </c>
      <c r="G22" s="2" t="str">
        <f ca="1">IFERROR(__xludf.DUMMYFUNCTION("""COMPUTED_VALUE"""),"0-1")</f>
        <v>0-1</v>
      </c>
      <c r="H22" s="3">
        <f ca="1">IFERROR(__xludf.DUMMYFUNCTION("""COMPUTED_VALUE"""),0.308)</f>
        <v>0.308</v>
      </c>
      <c r="I22" s="2">
        <f ca="1">IFERROR(__xludf.DUMMYFUNCTION("""COMPUTED_VALUE"""),9)</f>
        <v>9</v>
      </c>
      <c r="J22" s="3">
        <f ca="1">IFERROR(__xludf.DUMMYFUNCTION("""COMPUTED_VALUE"""),0.173)</f>
        <v>0.17299999999999999</v>
      </c>
      <c r="K22" s="2">
        <f ca="1">IFERROR(__xludf.DUMMYFUNCTION("""COMPUTED_VALUE"""),21)</f>
        <v>21</v>
      </c>
      <c r="L22" s="3">
        <f ca="1">IFERROR(__xludf.DUMMYFUNCTION("""COMPUTED_VALUE"""),-0.217)</f>
        <v>-0.217</v>
      </c>
      <c r="M22" s="2">
        <f ca="1">IFERROR(__xludf.DUMMYFUNCTION("""COMPUTED_VALUE"""),31)</f>
        <v>31</v>
      </c>
    </row>
    <row r="23" spans="1:13" x14ac:dyDescent="0.2">
      <c r="A23" s="2">
        <f ca="1">IFERROR(__xludf.DUMMYFUNCTION("""COMPUTED_VALUE"""),22)</f>
        <v>22</v>
      </c>
      <c r="B23" s="2" t="str">
        <f ca="1">IFERROR(__xludf.DUMMYFUNCTION("""COMPUTED_VALUE"""),"NYJ")</f>
        <v>NYJ</v>
      </c>
      <c r="C23" s="3">
        <f ca="1">IFERROR(__xludf.DUMMYFUNCTION("""COMPUTED_VALUE"""),-0.097)</f>
        <v>-9.7000000000000003E-2</v>
      </c>
      <c r="D23" s="2" t="str">
        <f ca="1">IFERROR(__xludf.DUMMYFUNCTION("""COMPUTED_VALUE"""),"x")</f>
        <v>x</v>
      </c>
      <c r="E23" s="3">
        <f ca="1">IFERROR(__xludf.DUMMYFUNCTION("""COMPUTED_VALUE"""),-0.055)</f>
        <v>-5.5E-2</v>
      </c>
      <c r="F23" s="2">
        <f ca="1">IFERROR(__xludf.DUMMYFUNCTION("""COMPUTED_VALUE"""),21)</f>
        <v>21</v>
      </c>
      <c r="G23" s="2" t="str">
        <f ca="1">IFERROR(__xludf.DUMMYFUNCTION("""COMPUTED_VALUE"""),"0-1")</f>
        <v>0-1</v>
      </c>
      <c r="H23" s="3">
        <f ca="1">IFERROR(__xludf.DUMMYFUNCTION("""COMPUTED_VALUE"""),-0.2)</f>
        <v>-0.2</v>
      </c>
      <c r="I23" s="2">
        <f ca="1">IFERROR(__xludf.DUMMYFUNCTION("""COMPUTED_VALUE"""),22)</f>
        <v>22</v>
      </c>
      <c r="J23" s="3">
        <f ca="1">IFERROR(__xludf.DUMMYFUNCTION("""COMPUTED_VALUE"""),-0.191)</f>
        <v>-0.191</v>
      </c>
      <c r="K23" s="2">
        <f ca="1">IFERROR(__xludf.DUMMYFUNCTION("""COMPUTED_VALUE"""),12)</f>
        <v>12</v>
      </c>
      <c r="L23" s="3">
        <f ca="1">IFERROR(__xludf.DUMMYFUNCTION("""COMPUTED_VALUE"""),-0.088)</f>
        <v>-8.7999999999999995E-2</v>
      </c>
      <c r="M23" s="2">
        <f ca="1">IFERROR(__xludf.DUMMYFUNCTION("""COMPUTED_VALUE"""),28)</f>
        <v>28</v>
      </c>
    </row>
    <row r="24" spans="1:13" x14ac:dyDescent="0.2">
      <c r="A24" s="2">
        <f ca="1">IFERROR(__xludf.DUMMYFUNCTION("""COMPUTED_VALUE"""),23)</f>
        <v>23</v>
      </c>
      <c r="B24" s="2" t="str">
        <f ca="1">IFERROR(__xludf.DUMMYFUNCTION("""COMPUTED_VALUE"""),"CAR")</f>
        <v>CAR</v>
      </c>
      <c r="C24" s="3">
        <f ca="1">IFERROR(__xludf.DUMMYFUNCTION("""COMPUTED_VALUE"""),-0.106)</f>
        <v>-0.106</v>
      </c>
      <c r="D24" s="2" t="str">
        <f ca="1">IFERROR(__xludf.DUMMYFUNCTION("""COMPUTED_VALUE"""),"x")</f>
        <v>x</v>
      </c>
      <c r="E24" s="3">
        <f ca="1">IFERROR(__xludf.DUMMYFUNCTION("""COMPUTED_VALUE"""),0.001)</f>
        <v>1E-3</v>
      </c>
      <c r="F24" s="2">
        <f ca="1">IFERROR(__xludf.DUMMYFUNCTION("""COMPUTED_VALUE"""),18)</f>
        <v>18</v>
      </c>
      <c r="G24" s="2" t="str">
        <f ca="1">IFERROR(__xludf.DUMMYFUNCTION("""COMPUTED_VALUE"""),"0-1")</f>
        <v>0-1</v>
      </c>
      <c r="H24" s="3">
        <f ca="1">IFERROR(__xludf.DUMMYFUNCTION("""COMPUTED_VALUE"""),-0.074)</f>
        <v>-7.3999999999999996E-2</v>
      </c>
      <c r="I24" s="2">
        <f ca="1">IFERROR(__xludf.DUMMYFUNCTION("""COMPUTED_VALUE"""),18)</f>
        <v>18</v>
      </c>
      <c r="J24" s="3">
        <f ca="1">IFERROR(__xludf.DUMMYFUNCTION("""COMPUTED_VALUE"""),-0.009)</f>
        <v>-8.9999999999999993E-3</v>
      </c>
      <c r="K24" s="2">
        <f ca="1">IFERROR(__xludf.DUMMYFUNCTION("""COMPUTED_VALUE"""),16)</f>
        <v>16</v>
      </c>
      <c r="L24" s="3">
        <f ca="1">IFERROR(__xludf.DUMMYFUNCTION("""COMPUTED_VALUE"""),-0.041)</f>
        <v>-4.1000000000000002E-2</v>
      </c>
      <c r="M24" s="2">
        <f ca="1">IFERROR(__xludf.DUMMYFUNCTION("""COMPUTED_VALUE"""),23)</f>
        <v>23</v>
      </c>
    </row>
    <row r="25" spans="1:13" x14ac:dyDescent="0.2">
      <c r="A25" s="2">
        <f ca="1">IFERROR(__xludf.DUMMYFUNCTION("""COMPUTED_VALUE"""),24)</f>
        <v>24</v>
      </c>
      <c r="B25" s="2" t="str">
        <f ca="1">IFERROR(__xludf.DUMMYFUNCTION("""COMPUTED_VALUE"""),"CIN")</f>
        <v>CIN</v>
      </c>
      <c r="C25" s="3">
        <f ca="1">IFERROR(__xludf.DUMMYFUNCTION("""COMPUTED_VALUE"""),-0.106)</f>
        <v>-0.106</v>
      </c>
      <c r="D25" s="2" t="str">
        <f ca="1">IFERROR(__xludf.DUMMYFUNCTION("""COMPUTED_VALUE"""),"x")</f>
        <v>x</v>
      </c>
      <c r="E25" s="3">
        <f ca="1">IFERROR(__xludf.DUMMYFUNCTION("""COMPUTED_VALUE"""),-0.117)</f>
        <v>-0.11700000000000001</v>
      </c>
      <c r="F25" s="2">
        <f ca="1">IFERROR(__xludf.DUMMYFUNCTION("""COMPUTED_VALUE"""),26)</f>
        <v>26</v>
      </c>
      <c r="G25" s="2" t="str">
        <f ca="1">IFERROR(__xludf.DUMMYFUNCTION("""COMPUTED_VALUE"""),"0-1")</f>
        <v>0-1</v>
      </c>
      <c r="H25" s="3">
        <f ca="1">IFERROR(__xludf.DUMMYFUNCTION("""COMPUTED_VALUE"""),-0.199)</f>
        <v>-0.19900000000000001</v>
      </c>
      <c r="I25" s="2">
        <f ca="1">IFERROR(__xludf.DUMMYFUNCTION("""COMPUTED_VALUE"""),21)</f>
        <v>21</v>
      </c>
      <c r="J25" s="3">
        <f ca="1">IFERROR(__xludf.DUMMYFUNCTION("""COMPUTED_VALUE"""),-0.184)</f>
        <v>-0.184</v>
      </c>
      <c r="K25" s="2">
        <f ca="1">IFERROR(__xludf.DUMMYFUNCTION("""COMPUTED_VALUE"""),13)</f>
        <v>13</v>
      </c>
      <c r="L25" s="3">
        <f ca="1">IFERROR(__xludf.DUMMYFUNCTION("""COMPUTED_VALUE"""),-0.091)</f>
        <v>-9.0999999999999998E-2</v>
      </c>
      <c r="M25" s="2">
        <f ca="1">IFERROR(__xludf.DUMMYFUNCTION("""COMPUTED_VALUE"""),29)</f>
        <v>29</v>
      </c>
    </row>
    <row r="26" spans="1:13" x14ac:dyDescent="0.2">
      <c r="A26" s="2">
        <f ca="1">IFERROR(__xludf.DUMMYFUNCTION("""COMPUTED_VALUE"""),25)</f>
        <v>25</v>
      </c>
      <c r="B26" s="2" t="str">
        <f ca="1">IFERROR(__xludf.DUMMYFUNCTION("""COMPUTED_VALUE"""),"ARI")</f>
        <v>ARI</v>
      </c>
      <c r="C26" s="3">
        <f ca="1">IFERROR(__xludf.DUMMYFUNCTION("""COMPUTED_VALUE"""),-0.204)</f>
        <v>-0.20399999999999999</v>
      </c>
      <c r="D26" s="2" t="str">
        <f ca="1">IFERROR(__xludf.DUMMYFUNCTION("""COMPUTED_VALUE"""),"x")</f>
        <v>x</v>
      </c>
      <c r="E26" s="3">
        <f ca="1">IFERROR(__xludf.DUMMYFUNCTION("""COMPUTED_VALUE"""),-0.134)</f>
        <v>-0.13400000000000001</v>
      </c>
      <c r="F26" s="2">
        <f ca="1">IFERROR(__xludf.DUMMYFUNCTION("""COMPUTED_VALUE"""),27)</f>
        <v>27</v>
      </c>
      <c r="G26" s="2" t="str">
        <f ca="1">IFERROR(__xludf.DUMMYFUNCTION("""COMPUTED_VALUE"""),"0-0-1")</f>
        <v>0-0-1</v>
      </c>
      <c r="H26" s="3">
        <f ca="1">IFERROR(__xludf.DUMMYFUNCTION("""COMPUTED_VALUE"""),-0.27)</f>
        <v>-0.27</v>
      </c>
      <c r="I26" s="2">
        <f ca="1">IFERROR(__xludf.DUMMYFUNCTION("""COMPUTED_VALUE"""),25)</f>
        <v>25</v>
      </c>
      <c r="J26" s="3">
        <f ca="1">IFERROR(__xludf.DUMMYFUNCTION("""COMPUTED_VALUE"""),0.034)</f>
        <v>3.4000000000000002E-2</v>
      </c>
      <c r="K26" s="2">
        <f ca="1">IFERROR(__xludf.DUMMYFUNCTION("""COMPUTED_VALUE"""),18)</f>
        <v>18</v>
      </c>
      <c r="L26" s="3">
        <f ca="1">IFERROR(__xludf.DUMMYFUNCTION("""COMPUTED_VALUE"""),0.1)</f>
        <v>0.1</v>
      </c>
      <c r="M26" s="2">
        <f ca="1">IFERROR(__xludf.DUMMYFUNCTION("""COMPUTED_VALUE"""),1)</f>
        <v>1</v>
      </c>
    </row>
    <row r="27" spans="1:13" x14ac:dyDescent="0.2">
      <c r="A27" s="2">
        <f ca="1">IFERROR(__xludf.DUMMYFUNCTION("""COMPUTED_VALUE"""),26)</f>
        <v>26</v>
      </c>
      <c r="B27" s="2" t="str">
        <f ca="1">IFERROR(__xludf.DUMMYFUNCTION("""COMPUTED_VALUE"""),"CLE")</f>
        <v>CLE</v>
      </c>
      <c r="C27" s="3">
        <f ca="1">IFERROR(__xludf.DUMMYFUNCTION("""COMPUTED_VALUE"""),-0.398)</f>
        <v>-0.39800000000000002</v>
      </c>
      <c r="D27" s="2" t="str">
        <f ca="1">IFERROR(__xludf.DUMMYFUNCTION("""COMPUTED_VALUE"""),"x")</f>
        <v>x</v>
      </c>
      <c r="E27" s="3">
        <f ca="1">IFERROR(__xludf.DUMMYFUNCTION("""COMPUTED_VALUE"""),-0.045)</f>
        <v>-4.4999999999999998E-2</v>
      </c>
      <c r="F27" s="2">
        <f ca="1">IFERROR(__xludf.DUMMYFUNCTION("""COMPUTED_VALUE"""),20)</f>
        <v>20</v>
      </c>
      <c r="G27" s="2" t="str">
        <f ca="1">IFERROR(__xludf.DUMMYFUNCTION("""COMPUTED_VALUE"""),"0-1")</f>
        <v>0-1</v>
      </c>
      <c r="H27" s="3">
        <f ca="1">IFERROR(__xludf.DUMMYFUNCTION("""COMPUTED_VALUE"""),-0.319)</f>
        <v>-0.31900000000000001</v>
      </c>
      <c r="I27" s="2">
        <f ca="1">IFERROR(__xludf.DUMMYFUNCTION("""COMPUTED_VALUE"""),26)</f>
        <v>26</v>
      </c>
      <c r="J27" s="3">
        <f ca="1">IFERROR(__xludf.DUMMYFUNCTION("""COMPUTED_VALUE"""),0.138)</f>
        <v>0.13800000000000001</v>
      </c>
      <c r="K27" s="2">
        <f ca="1">IFERROR(__xludf.DUMMYFUNCTION("""COMPUTED_VALUE"""),20)</f>
        <v>20</v>
      </c>
      <c r="L27" s="3">
        <f ca="1">IFERROR(__xludf.DUMMYFUNCTION("""COMPUTED_VALUE"""),0.058)</f>
        <v>5.8000000000000003E-2</v>
      </c>
      <c r="M27" s="2">
        <f ca="1">IFERROR(__xludf.DUMMYFUNCTION("""COMPUTED_VALUE"""),4)</f>
        <v>4</v>
      </c>
    </row>
    <row r="28" spans="1:13" x14ac:dyDescent="0.2">
      <c r="A28" s="2">
        <f ca="1">IFERROR(__xludf.DUMMYFUNCTION("""COMPUTED_VALUE"""),27)</f>
        <v>27</v>
      </c>
      <c r="B28" s="2" t="str">
        <f ca="1">IFERROR(__xludf.DUMMYFUNCTION("""COMPUTED_VALUE"""),"DEN")</f>
        <v>DEN</v>
      </c>
      <c r="C28" s="3">
        <f ca="1">IFERROR(__xludf.DUMMYFUNCTION("""COMPUTED_VALUE"""),-0.443)</f>
        <v>-0.443</v>
      </c>
      <c r="D28" s="2" t="str">
        <f ca="1">IFERROR(__xludf.DUMMYFUNCTION("""COMPUTED_VALUE"""),"x")</f>
        <v>x</v>
      </c>
      <c r="E28" s="3">
        <f ca="1">IFERROR(__xludf.DUMMYFUNCTION("""COMPUTED_VALUE"""),-0.144)</f>
        <v>-0.14399999999999999</v>
      </c>
      <c r="F28" s="2">
        <f ca="1">IFERROR(__xludf.DUMMYFUNCTION("""COMPUTED_VALUE"""),29)</f>
        <v>29</v>
      </c>
      <c r="G28" s="2" t="str">
        <f ca="1">IFERROR(__xludf.DUMMYFUNCTION("""COMPUTED_VALUE"""),"0-1")</f>
        <v>0-1</v>
      </c>
      <c r="H28" s="3">
        <f ca="1">IFERROR(__xludf.DUMMYFUNCTION("""COMPUTED_VALUE"""),-0.038)</f>
        <v>-3.7999999999999999E-2</v>
      </c>
      <c r="I28" s="2">
        <f ca="1">IFERROR(__xludf.DUMMYFUNCTION("""COMPUTED_VALUE"""),16)</f>
        <v>16</v>
      </c>
      <c r="J28" s="3">
        <f ca="1">IFERROR(__xludf.DUMMYFUNCTION("""COMPUTED_VALUE"""),0.328)</f>
        <v>0.32800000000000001</v>
      </c>
      <c r="K28" s="2">
        <f ca="1">IFERROR(__xludf.DUMMYFUNCTION("""COMPUTED_VALUE"""),27)</f>
        <v>27</v>
      </c>
      <c r="L28" s="3">
        <f ca="1">IFERROR(__xludf.DUMMYFUNCTION("""COMPUTED_VALUE"""),-0.077)</f>
        <v>-7.6999999999999999E-2</v>
      </c>
      <c r="M28" s="2">
        <f ca="1">IFERROR(__xludf.DUMMYFUNCTION("""COMPUTED_VALUE"""),26)</f>
        <v>26</v>
      </c>
    </row>
    <row r="29" spans="1:13" x14ac:dyDescent="0.2">
      <c r="A29" s="2">
        <f ca="1">IFERROR(__xludf.DUMMYFUNCTION("""COMPUTED_VALUE"""),28)</f>
        <v>28</v>
      </c>
      <c r="B29" s="2" t="str">
        <f ca="1">IFERROR(__xludf.DUMMYFUNCTION("""COMPUTED_VALUE"""),"TB")</f>
        <v>TB</v>
      </c>
      <c r="C29" s="3">
        <f ca="1">IFERROR(__xludf.DUMMYFUNCTION("""COMPUTED_VALUE"""),-0.444)</f>
        <v>-0.44400000000000001</v>
      </c>
      <c r="D29" s="2" t="str">
        <f ca="1">IFERROR(__xludf.DUMMYFUNCTION("""COMPUTED_VALUE"""),"x")</f>
        <v>x</v>
      </c>
      <c r="E29" s="3">
        <f ca="1">IFERROR(__xludf.DUMMYFUNCTION("""COMPUTED_VALUE"""),-0.167)</f>
        <v>-0.16700000000000001</v>
      </c>
      <c r="F29" s="2">
        <f ca="1">IFERROR(__xludf.DUMMYFUNCTION("""COMPUTED_VALUE"""),30)</f>
        <v>30</v>
      </c>
      <c r="G29" s="2" t="str">
        <f ca="1">IFERROR(__xludf.DUMMYFUNCTION("""COMPUTED_VALUE"""),"0-1")</f>
        <v>0-1</v>
      </c>
      <c r="H29" s="3">
        <f ca="1">IFERROR(__xludf.DUMMYFUNCTION("""COMPUTED_VALUE"""),-0.657)</f>
        <v>-0.65700000000000003</v>
      </c>
      <c r="I29" s="2">
        <f ca="1">IFERROR(__xludf.DUMMYFUNCTION("""COMPUTED_VALUE"""),32)</f>
        <v>32</v>
      </c>
      <c r="J29" s="3">
        <f ca="1">IFERROR(__xludf.DUMMYFUNCTION("""COMPUTED_VALUE"""),-0.299)</f>
        <v>-0.29899999999999999</v>
      </c>
      <c r="K29" s="2">
        <f ca="1">IFERROR(__xludf.DUMMYFUNCTION("""COMPUTED_VALUE"""),5)</f>
        <v>5</v>
      </c>
      <c r="L29" s="3">
        <f ca="1">IFERROR(__xludf.DUMMYFUNCTION("""COMPUTED_VALUE"""),-0.086)</f>
        <v>-8.5999999999999993E-2</v>
      </c>
      <c r="M29" s="2">
        <f ca="1">IFERROR(__xludf.DUMMYFUNCTION("""COMPUTED_VALUE"""),27)</f>
        <v>27</v>
      </c>
    </row>
    <row r="30" spans="1:13" x14ac:dyDescent="0.2">
      <c r="A30" s="2">
        <f ca="1">IFERROR(__xludf.DUMMYFUNCTION("""COMPUTED_VALUE"""),29)</f>
        <v>29</v>
      </c>
      <c r="B30" s="2" t="str">
        <f ca="1">IFERROR(__xludf.DUMMYFUNCTION("""COMPUTED_VALUE"""),"ATL")</f>
        <v>ATL</v>
      </c>
      <c r="C30" s="3">
        <f ca="1">IFERROR(__xludf.DUMMYFUNCTION("""COMPUTED_VALUE"""),-0.558)</f>
        <v>-0.55800000000000005</v>
      </c>
      <c r="D30" s="2" t="str">
        <f ca="1">IFERROR(__xludf.DUMMYFUNCTION("""COMPUTED_VALUE"""),"x")</f>
        <v>x</v>
      </c>
      <c r="E30" s="3">
        <f ca="1">IFERROR(__xludf.DUMMYFUNCTION("""COMPUTED_VALUE"""),-0.059)</f>
        <v>-5.8999999999999997E-2</v>
      </c>
      <c r="F30" s="2">
        <f ca="1">IFERROR(__xludf.DUMMYFUNCTION("""COMPUTED_VALUE"""),22)</f>
        <v>22</v>
      </c>
      <c r="G30" s="2" t="str">
        <f ca="1">IFERROR(__xludf.DUMMYFUNCTION("""COMPUTED_VALUE"""),"0-1")</f>
        <v>0-1</v>
      </c>
      <c r="H30" s="3">
        <f ca="1">IFERROR(__xludf.DUMMYFUNCTION("""COMPUTED_VALUE"""),-0.426)</f>
        <v>-0.42599999999999999</v>
      </c>
      <c r="I30" s="2">
        <f ca="1">IFERROR(__xludf.DUMMYFUNCTION("""COMPUTED_VALUE"""),30)</f>
        <v>30</v>
      </c>
      <c r="J30" s="3">
        <f ca="1">IFERROR(__xludf.DUMMYFUNCTION("""COMPUTED_VALUE"""),0.071)</f>
        <v>7.0999999999999994E-2</v>
      </c>
      <c r="K30" s="2">
        <f ca="1">IFERROR(__xludf.DUMMYFUNCTION("""COMPUTED_VALUE"""),19)</f>
        <v>19</v>
      </c>
      <c r="L30" s="3">
        <f ca="1">IFERROR(__xludf.DUMMYFUNCTION("""COMPUTED_VALUE"""),-0.06)</f>
        <v>-0.06</v>
      </c>
      <c r="M30" s="2">
        <f ca="1">IFERROR(__xludf.DUMMYFUNCTION("""COMPUTED_VALUE"""),25)</f>
        <v>25</v>
      </c>
    </row>
    <row r="31" spans="1:13" x14ac:dyDescent="0.2">
      <c r="A31" s="2">
        <f ca="1">IFERROR(__xludf.DUMMYFUNCTION("""COMPUTED_VALUE"""),30)</f>
        <v>30</v>
      </c>
      <c r="B31" s="2" t="str">
        <f ca="1">IFERROR(__xludf.DUMMYFUNCTION("""COMPUTED_VALUE"""),"NYG")</f>
        <v>NYG</v>
      </c>
      <c r="C31" s="3">
        <f ca="1">IFERROR(__xludf.DUMMYFUNCTION("""COMPUTED_VALUE"""),-0.736)</f>
        <v>-0.73599999999999999</v>
      </c>
      <c r="D31" s="2" t="str">
        <f ca="1">IFERROR(__xludf.DUMMYFUNCTION("""COMPUTED_VALUE"""),"x")</f>
        <v>x</v>
      </c>
      <c r="E31" s="3">
        <f ca="1">IFERROR(__xludf.DUMMYFUNCTION("""COMPUTED_VALUE"""),-0.169)</f>
        <v>-0.16900000000000001</v>
      </c>
      <c r="F31" s="2">
        <f ca="1">IFERROR(__xludf.DUMMYFUNCTION("""COMPUTED_VALUE"""),31)</f>
        <v>31</v>
      </c>
      <c r="G31" s="2" t="str">
        <f ca="1">IFERROR(__xludf.DUMMYFUNCTION("""COMPUTED_VALUE"""),"0-1")</f>
        <v>0-1</v>
      </c>
      <c r="H31" s="3">
        <f ca="1">IFERROR(__xludf.DUMMYFUNCTION("""COMPUTED_VALUE"""),-0.141)</f>
        <v>-0.14099999999999999</v>
      </c>
      <c r="I31" s="2">
        <f ca="1">IFERROR(__xludf.DUMMYFUNCTION("""COMPUTED_VALUE"""),19)</f>
        <v>19</v>
      </c>
      <c r="J31" s="3">
        <f ca="1">IFERROR(__xludf.DUMMYFUNCTION("""COMPUTED_VALUE"""),0.584)</f>
        <v>0.58399999999999996</v>
      </c>
      <c r="K31" s="2">
        <f ca="1">IFERROR(__xludf.DUMMYFUNCTION("""COMPUTED_VALUE"""),32)</f>
        <v>32</v>
      </c>
      <c r="L31" s="3">
        <f ca="1">IFERROR(__xludf.DUMMYFUNCTION("""COMPUTED_VALUE"""),-0.01)</f>
        <v>-0.01</v>
      </c>
      <c r="M31" s="2">
        <f ca="1">IFERROR(__xludf.DUMMYFUNCTION("""COMPUTED_VALUE"""),20)</f>
        <v>20</v>
      </c>
    </row>
    <row r="32" spans="1:13" x14ac:dyDescent="0.2">
      <c r="A32" s="2">
        <f ca="1">IFERROR(__xludf.DUMMYFUNCTION("""COMPUTED_VALUE"""),31)</f>
        <v>31</v>
      </c>
      <c r="B32" s="2" t="str">
        <f ca="1">IFERROR(__xludf.DUMMYFUNCTION("""COMPUTED_VALUE"""),"PIT")</f>
        <v>PIT</v>
      </c>
      <c r="C32" s="3">
        <f ca="1">IFERROR(__xludf.DUMMYFUNCTION("""COMPUTED_VALUE"""),-0.838)</f>
        <v>-0.83799999999999997</v>
      </c>
      <c r="D32" s="2" t="str">
        <f ca="1">IFERROR(__xludf.DUMMYFUNCTION("""COMPUTED_VALUE"""),"x")</f>
        <v>x</v>
      </c>
      <c r="E32" s="3">
        <f ca="1">IFERROR(__xludf.DUMMYFUNCTION("""COMPUTED_VALUE"""),0.039)</f>
        <v>3.9E-2</v>
      </c>
      <c r="F32" s="2">
        <f ca="1">IFERROR(__xludf.DUMMYFUNCTION("""COMPUTED_VALUE"""),12)</f>
        <v>12</v>
      </c>
      <c r="G32" s="2" t="str">
        <f ca="1">IFERROR(__xludf.DUMMYFUNCTION("""COMPUTED_VALUE"""),"0-1")</f>
        <v>0-1</v>
      </c>
      <c r="H32" s="3">
        <f ca="1">IFERROR(__xludf.DUMMYFUNCTION("""COMPUTED_VALUE"""),-0.471)</f>
        <v>-0.47099999999999997</v>
      </c>
      <c r="I32" s="2">
        <f ca="1">IFERROR(__xludf.DUMMYFUNCTION("""COMPUTED_VALUE"""),31)</f>
        <v>31</v>
      </c>
      <c r="J32" s="3">
        <f ca="1">IFERROR(__xludf.DUMMYFUNCTION("""COMPUTED_VALUE"""),0.334)</f>
        <v>0.33400000000000002</v>
      </c>
      <c r="K32" s="2">
        <f ca="1">IFERROR(__xludf.DUMMYFUNCTION("""COMPUTED_VALUE"""),28)</f>
        <v>28</v>
      </c>
      <c r="L32" s="3">
        <f ca="1">IFERROR(__xludf.DUMMYFUNCTION("""COMPUTED_VALUE"""),-0.033)</f>
        <v>-3.3000000000000002E-2</v>
      </c>
      <c r="M32" s="2">
        <f ca="1">IFERROR(__xludf.DUMMYFUNCTION("""COMPUTED_VALUE"""),22)</f>
        <v>22</v>
      </c>
    </row>
    <row r="33" spans="1:13" x14ac:dyDescent="0.2">
      <c r="A33" s="2">
        <f ca="1">IFERROR(__xludf.DUMMYFUNCTION("""COMPUTED_VALUE"""),32)</f>
        <v>32</v>
      </c>
      <c r="B33" s="2" t="str">
        <f ca="1">IFERROR(__xludf.DUMMYFUNCTION("""COMPUTED_VALUE"""),"MIA")</f>
        <v>MIA</v>
      </c>
      <c r="C33" s="3">
        <f ca="1">IFERROR(__xludf.DUMMYFUNCTION("""COMPUTED_VALUE"""),-0.947)</f>
        <v>-0.94699999999999995</v>
      </c>
      <c r="D33" s="2" t="str">
        <f ca="1">IFERROR(__xludf.DUMMYFUNCTION("""COMPUTED_VALUE"""),"x")</f>
        <v>x</v>
      </c>
      <c r="E33" s="3">
        <f ca="1">IFERROR(__xludf.DUMMYFUNCTION("""COMPUTED_VALUE"""),-0.37)</f>
        <v>-0.37</v>
      </c>
      <c r="F33" s="2">
        <f ca="1">IFERROR(__xludf.DUMMYFUNCTION("""COMPUTED_VALUE"""),32)</f>
        <v>32</v>
      </c>
      <c r="G33" s="2" t="str">
        <f ca="1">IFERROR(__xludf.DUMMYFUNCTION("""COMPUTED_VALUE"""),"0-1")</f>
        <v>0-1</v>
      </c>
      <c r="H33" s="3">
        <f ca="1">IFERROR(__xludf.DUMMYFUNCTION("""COMPUTED_VALUE"""),-0.418)</f>
        <v>-0.41799999999999998</v>
      </c>
      <c r="I33" s="2">
        <f ca="1">IFERROR(__xludf.DUMMYFUNCTION("""COMPUTED_VALUE"""),28)</f>
        <v>28</v>
      </c>
      <c r="J33" s="3">
        <f ca="1">IFERROR(__xludf.DUMMYFUNCTION("""COMPUTED_VALUE"""),0.561)</f>
        <v>0.56100000000000005</v>
      </c>
      <c r="K33" s="2">
        <f ca="1">IFERROR(__xludf.DUMMYFUNCTION("""COMPUTED_VALUE"""),31)</f>
        <v>31</v>
      </c>
      <c r="L33" s="3">
        <f ca="1">IFERROR(__xludf.DUMMYFUNCTION("""COMPUTED_VALUE"""),0.033)</f>
        <v>3.3000000000000002E-2</v>
      </c>
      <c r="M33" s="2">
        <f ca="1">IFERROR(__xludf.DUMMYFUNCTION("""COMPUTED_VALUE"""),12)</f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33"/>
  <sheetViews>
    <sheetView workbookViewId="0"/>
  </sheetViews>
  <sheetFormatPr defaultColWidth="14.42578125" defaultRowHeight="15.75" customHeight="1" x14ac:dyDescent="0.2"/>
  <sheetData>
    <row r="1" spans="1:10" x14ac:dyDescent="0.2">
      <c r="A1" s="2" t="str">
        <f ca="1">IFERROR(__xludf.DUMMYFUNCTION("IMPORTHTML(""https://www.footballoutsiders.com/stats/teamdef/2019"", ""table"", 1)"),"*RK*")</f>
        <v>*RK*</v>
      </c>
      <c r="B1" s="2" t="str">
        <f ca="1">IFERROR(__xludf.DUMMYFUNCTION("""COMPUTED_VALUE"""),"*TEAM*")</f>
        <v>*TEAM*</v>
      </c>
      <c r="C1" s="2" t="str">
        <f ca="1">IFERROR(__xludf.DUMMYFUNCTION("""COMPUTED_VALUE"""),"*DEFENSE DVOA*")</f>
        <v>*DEFENSE DVOA*</v>
      </c>
      <c r="D1" s="2" t="str">
        <f ca="1">IFERROR(__xludf.DUMMYFUNCTION("""COMPUTED_VALUE"""),"*LAST WEEK*")</f>
        <v>*LAST WEEK*</v>
      </c>
      <c r="E1" s="2" t="str">
        <f ca="1">IFERROR(__xludf.DUMMYFUNCTION("""COMPUTED_VALUE"""),"*DEFENSE DAVE*")</f>
        <v>*DEFENSE DAVE*</v>
      </c>
      <c r="F1" s="2" t="str">
        <f ca="1">IFERROR(__xludf.DUMMYFUNCTION("""COMPUTED_VALUE"""),"*RK*")</f>
        <v>*RK*</v>
      </c>
      <c r="G1" s="2" t="str">
        <f ca="1">IFERROR(__xludf.DUMMYFUNCTION("""COMPUTED_VALUE"""),"*PASS DEF*")</f>
        <v>*PASS DEF*</v>
      </c>
      <c r="H1" s="2" t="str">
        <f ca="1">IFERROR(__xludf.DUMMYFUNCTION("""COMPUTED_VALUE"""),"*RK*")</f>
        <v>*RK*</v>
      </c>
      <c r="I1" s="2" t="str">
        <f ca="1">IFERROR(__xludf.DUMMYFUNCTION("""COMPUTED_VALUE"""),"*RUSH DEF*")</f>
        <v>*RUSH DEF*</v>
      </c>
      <c r="J1" s="2" t="str">
        <f ca="1">IFERROR(__xludf.DUMMYFUNCTION("""COMPUTED_VALUE"""),"*RK*")</f>
        <v>*RK*</v>
      </c>
    </row>
    <row r="2" spans="1:10" x14ac:dyDescent="0.2">
      <c r="A2" s="2">
        <f ca="1">IFERROR(__xludf.DUMMYFUNCTION("""COMPUTED_VALUE"""),1)</f>
        <v>1</v>
      </c>
      <c r="B2" s="2" t="str">
        <f ca="1">IFERROR(__xludf.DUMMYFUNCTION("""COMPUTED_VALUE"""),"SF")</f>
        <v>SF</v>
      </c>
      <c r="C2" s="3">
        <f ca="1">IFERROR(__xludf.DUMMYFUNCTION("""COMPUTED_VALUE"""),-0.587)</f>
        <v>-0.58699999999999997</v>
      </c>
      <c r="D2" s="2" t="str">
        <f ca="1">IFERROR(__xludf.DUMMYFUNCTION("""COMPUTED_VALUE"""),"x")</f>
        <v>x</v>
      </c>
      <c r="E2" s="3">
        <f ca="1">IFERROR(__xludf.DUMMYFUNCTION("""COMPUTED_VALUE"""),-0.083)</f>
        <v>-8.3000000000000004E-2</v>
      </c>
      <c r="F2" s="2">
        <f ca="1">IFERROR(__xludf.DUMMYFUNCTION("""COMPUTED_VALUE"""),2)</f>
        <v>2</v>
      </c>
      <c r="G2" s="3">
        <f ca="1">IFERROR(__xludf.DUMMYFUNCTION("""COMPUTED_VALUE"""),-1.046)</f>
        <v>-1.046</v>
      </c>
      <c r="H2" s="2">
        <f ca="1">IFERROR(__xludf.DUMMYFUNCTION("""COMPUTED_VALUE"""),1)</f>
        <v>1</v>
      </c>
      <c r="I2" s="3">
        <f ca="1">IFERROR(__xludf.DUMMYFUNCTION("""COMPUTED_VALUE"""),0.032)</f>
        <v>3.2000000000000001E-2</v>
      </c>
      <c r="J2" s="2">
        <f ca="1">IFERROR(__xludf.DUMMYFUNCTION("""COMPUTED_VALUE"""),21)</f>
        <v>21</v>
      </c>
    </row>
    <row r="3" spans="1:10" x14ac:dyDescent="0.2">
      <c r="A3" s="2">
        <f ca="1">IFERROR(__xludf.DUMMYFUNCTION("""COMPUTED_VALUE"""),2)</f>
        <v>2</v>
      </c>
      <c r="B3" s="2" t="str">
        <f ca="1">IFERROR(__xludf.DUMMYFUNCTION("""COMPUTED_VALUE"""),"BAL")</f>
        <v>BAL</v>
      </c>
      <c r="C3" s="3">
        <f ca="1">IFERROR(__xludf.DUMMYFUNCTION("""COMPUTED_VALUE"""),-0.568)</f>
        <v>-0.56799999999999995</v>
      </c>
      <c r="D3" s="2" t="str">
        <f ca="1">IFERROR(__xludf.DUMMYFUNCTION("""COMPUTED_VALUE"""),"x")</f>
        <v>x</v>
      </c>
      <c r="E3" s="3">
        <f ca="1">IFERROR(__xludf.DUMMYFUNCTION("""COMPUTED_VALUE"""),-0.102)</f>
        <v>-0.10199999999999999</v>
      </c>
      <c r="F3" s="2">
        <f ca="1">IFERROR(__xludf.DUMMYFUNCTION("""COMPUTED_VALUE"""),1)</f>
        <v>1</v>
      </c>
      <c r="G3" s="3">
        <f ca="1">IFERROR(__xludf.DUMMYFUNCTION("""COMPUTED_VALUE"""),-0.513)</f>
        <v>-0.51300000000000001</v>
      </c>
      <c r="H3" s="2">
        <f ca="1">IFERROR(__xludf.DUMMYFUNCTION("""COMPUTED_VALUE"""),3)</f>
        <v>3</v>
      </c>
      <c r="I3" s="3">
        <f ca="1">IFERROR(__xludf.DUMMYFUNCTION("""COMPUTED_VALUE"""),-0.706)</f>
        <v>-0.70599999999999996</v>
      </c>
      <c r="J3" s="2">
        <f ca="1">IFERROR(__xludf.DUMMYFUNCTION("""COMPUTED_VALUE"""),1)</f>
        <v>1</v>
      </c>
    </row>
    <row r="4" spans="1:10" x14ac:dyDescent="0.2">
      <c r="A4" s="2">
        <f ca="1">IFERROR(__xludf.DUMMYFUNCTION("""COMPUTED_VALUE"""),3)</f>
        <v>3</v>
      </c>
      <c r="B4" s="2" t="str">
        <f ca="1">IFERROR(__xludf.DUMMYFUNCTION("""COMPUTED_VALUE"""),"GB")</f>
        <v>GB</v>
      </c>
      <c r="C4" s="3">
        <f ca="1">IFERROR(__xludf.DUMMYFUNCTION("""COMPUTED_VALUE"""),-0.403)</f>
        <v>-0.40300000000000002</v>
      </c>
      <c r="D4" s="2" t="str">
        <f ca="1">IFERROR(__xludf.DUMMYFUNCTION("""COMPUTED_VALUE"""),"x")</f>
        <v>x</v>
      </c>
      <c r="E4" s="3">
        <f ca="1">IFERROR(__xludf.DUMMYFUNCTION("""COMPUTED_VALUE"""),0.002)</f>
        <v>2E-3</v>
      </c>
      <c r="F4" s="2">
        <f ca="1">IFERROR(__xludf.DUMMYFUNCTION("""COMPUTED_VALUE"""),20)</f>
        <v>20</v>
      </c>
      <c r="G4" s="3">
        <f ca="1">IFERROR(__xludf.DUMMYFUNCTION("""COMPUTED_VALUE"""),-0.384)</f>
        <v>-0.38400000000000001</v>
      </c>
      <c r="H4" s="2">
        <f ca="1">IFERROR(__xludf.DUMMYFUNCTION("""COMPUTED_VALUE"""),4)</f>
        <v>4</v>
      </c>
      <c r="I4" s="3">
        <f ca="1">IFERROR(__xludf.DUMMYFUNCTION("""COMPUTED_VALUE"""),-0.457)</f>
        <v>-0.45700000000000002</v>
      </c>
      <c r="J4" s="2">
        <f ca="1">IFERROR(__xludf.DUMMYFUNCTION("""COMPUTED_VALUE"""),6)</f>
        <v>6</v>
      </c>
    </row>
    <row r="5" spans="1:10" x14ac:dyDescent="0.2">
      <c r="A5" s="2">
        <f ca="1">IFERROR(__xludf.DUMMYFUNCTION("""COMPUTED_VALUE"""),4)</f>
        <v>4</v>
      </c>
      <c r="B5" s="2" t="str">
        <f ca="1">IFERROR(__xludf.DUMMYFUNCTION("""COMPUTED_VALUE"""),"TEN")</f>
        <v>TEN</v>
      </c>
      <c r="C5" s="3">
        <f ca="1">IFERROR(__xludf.DUMMYFUNCTION("""COMPUTED_VALUE"""),-0.373)</f>
        <v>-0.373</v>
      </c>
      <c r="D5" s="2" t="str">
        <f ca="1">IFERROR(__xludf.DUMMYFUNCTION("""COMPUTED_VALUE"""),"x")</f>
        <v>x</v>
      </c>
      <c r="E5" s="3">
        <f ca="1">IFERROR(__xludf.DUMMYFUNCTION("""COMPUTED_VALUE"""),-0.031)</f>
        <v>-3.1E-2</v>
      </c>
      <c r="F5" s="2">
        <f ca="1">IFERROR(__xludf.DUMMYFUNCTION("""COMPUTED_VALUE"""),7)</f>
        <v>7</v>
      </c>
      <c r="G5" s="3">
        <f ca="1">IFERROR(__xludf.DUMMYFUNCTION("""COMPUTED_VALUE"""),-0.528)</f>
        <v>-0.52800000000000002</v>
      </c>
      <c r="H5" s="2">
        <f ca="1">IFERROR(__xludf.DUMMYFUNCTION("""COMPUTED_VALUE"""),2)</f>
        <v>2</v>
      </c>
      <c r="I5" s="3">
        <f ca="1">IFERROR(__xludf.DUMMYFUNCTION("""COMPUTED_VALUE"""),-0.073)</f>
        <v>-7.2999999999999995E-2</v>
      </c>
      <c r="J5" s="2">
        <f ca="1">IFERROR(__xludf.DUMMYFUNCTION("""COMPUTED_VALUE"""),17)</f>
        <v>17</v>
      </c>
    </row>
    <row r="6" spans="1:10" x14ac:dyDescent="0.2">
      <c r="A6" s="2">
        <f ca="1">IFERROR(__xludf.DUMMYFUNCTION("""COMPUTED_VALUE"""),5)</f>
        <v>5</v>
      </c>
      <c r="B6" s="2" t="str">
        <f ca="1">IFERROR(__xludf.DUMMYFUNCTION("""COMPUTED_VALUE"""),"TB")</f>
        <v>TB</v>
      </c>
      <c r="C6" s="3">
        <f ca="1">IFERROR(__xludf.DUMMYFUNCTION("""COMPUTED_VALUE"""),-0.299)</f>
        <v>-0.29899999999999999</v>
      </c>
      <c r="D6" s="2" t="str">
        <f ca="1">IFERROR(__xludf.DUMMYFUNCTION("""COMPUTED_VALUE"""),"x")</f>
        <v>x</v>
      </c>
      <c r="E6" s="3">
        <f ca="1">IFERROR(__xludf.DUMMYFUNCTION("""COMPUTED_VALUE"""),0.03)</f>
        <v>0.03</v>
      </c>
      <c r="F6" s="2">
        <f ca="1">IFERROR(__xludf.DUMMYFUNCTION("""COMPUTED_VALUE"""),23)</f>
        <v>23</v>
      </c>
      <c r="G6" s="3">
        <f ca="1">IFERROR(__xludf.DUMMYFUNCTION("""COMPUTED_VALUE"""),-0.201)</f>
        <v>-0.20100000000000001</v>
      </c>
      <c r="H6" s="2">
        <f ca="1">IFERROR(__xludf.DUMMYFUNCTION("""COMPUTED_VALUE"""),10)</f>
        <v>10</v>
      </c>
      <c r="I6" s="3">
        <f ca="1">IFERROR(__xludf.DUMMYFUNCTION("""COMPUTED_VALUE"""),-0.379)</f>
        <v>-0.379</v>
      </c>
      <c r="J6" s="2">
        <f ca="1">IFERROR(__xludf.DUMMYFUNCTION("""COMPUTED_VALUE"""),8)</f>
        <v>8</v>
      </c>
    </row>
    <row r="7" spans="1:10" x14ac:dyDescent="0.2">
      <c r="A7" s="2">
        <f ca="1">IFERROR(__xludf.DUMMYFUNCTION("""COMPUTED_VALUE"""),6)</f>
        <v>6</v>
      </c>
      <c r="B7" s="2" t="str">
        <f ca="1">IFERROR(__xludf.DUMMYFUNCTION("""COMPUTED_VALUE"""),"CHI")</f>
        <v>CHI</v>
      </c>
      <c r="C7" s="3">
        <f ca="1">IFERROR(__xludf.DUMMYFUNCTION("""COMPUTED_VALUE"""),-0.295)</f>
        <v>-0.29499999999999998</v>
      </c>
      <c r="D7" s="2" t="str">
        <f ca="1">IFERROR(__xludf.DUMMYFUNCTION("""COMPUTED_VALUE"""),"x")</f>
        <v>x</v>
      </c>
      <c r="E7" s="3">
        <f ca="1">IFERROR(__xludf.DUMMYFUNCTION("""COMPUTED_VALUE"""),-0.078)</f>
        <v>-7.8E-2</v>
      </c>
      <c r="F7" s="2">
        <f ca="1">IFERROR(__xludf.DUMMYFUNCTION("""COMPUTED_VALUE"""),3)</f>
        <v>3</v>
      </c>
      <c r="G7" s="3">
        <f ca="1">IFERROR(__xludf.DUMMYFUNCTION("""COMPUTED_VALUE"""),-0.075)</f>
        <v>-7.4999999999999997E-2</v>
      </c>
      <c r="H7" s="2">
        <f ca="1">IFERROR(__xludf.DUMMYFUNCTION("""COMPUTED_VALUE"""),15)</f>
        <v>15</v>
      </c>
      <c r="I7" s="3">
        <f ca="1">IFERROR(__xludf.DUMMYFUNCTION("""COMPUTED_VALUE"""),-0.656)</f>
        <v>-0.65600000000000003</v>
      </c>
      <c r="J7" s="2">
        <f ca="1">IFERROR(__xludf.DUMMYFUNCTION("""COMPUTED_VALUE"""),4)</f>
        <v>4</v>
      </c>
    </row>
    <row r="8" spans="1:10" x14ac:dyDescent="0.2">
      <c r="A8" s="2">
        <f ca="1">IFERROR(__xludf.DUMMYFUNCTION("""COMPUTED_VALUE"""),7)</f>
        <v>7</v>
      </c>
      <c r="B8" s="2" t="str">
        <f ca="1">IFERROR(__xludf.DUMMYFUNCTION("""COMPUTED_VALUE"""),"NE")</f>
        <v>NE</v>
      </c>
      <c r="C8" s="3">
        <f ca="1">IFERROR(__xludf.DUMMYFUNCTION("""COMPUTED_VALUE"""),-0.293)</f>
        <v>-0.29299999999999998</v>
      </c>
      <c r="D8" s="2" t="str">
        <f ca="1">IFERROR(__xludf.DUMMYFUNCTION("""COMPUTED_VALUE"""),"x")</f>
        <v>x</v>
      </c>
      <c r="E8" s="3">
        <f ca="1">IFERROR(__xludf.DUMMYFUNCTION("""COMPUTED_VALUE"""),-0.027)</f>
        <v>-2.7E-2</v>
      </c>
      <c r="F8" s="2">
        <f ca="1">IFERROR(__xludf.DUMMYFUNCTION("""COMPUTED_VALUE"""),10)</f>
        <v>10</v>
      </c>
      <c r="G8" s="3">
        <f ca="1">IFERROR(__xludf.DUMMYFUNCTION("""COMPUTED_VALUE"""),-0.204)</f>
        <v>-0.20399999999999999</v>
      </c>
      <c r="H8" s="2">
        <f ca="1">IFERROR(__xludf.DUMMYFUNCTION("""COMPUTED_VALUE"""),9)</f>
        <v>9</v>
      </c>
      <c r="I8" s="3">
        <f ca="1">IFERROR(__xludf.DUMMYFUNCTION("""COMPUTED_VALUE"""),-0.527)</f>
        <v>-0.52700000000000002</v>
      </c>
      <c r="J8" s="2">
        <f ca="1">IFERROR(__xludf.DUMMYFUNCTION("""COMPUTED_VALUE"""),5)</f>
        <v>5</v>
      </c>
    </row>
    <row r="9" spans="1:10" x14ac:dyDescent="0.2">
      <c r="A9" s="2">
        <f ca="1">IFERROR(__xludf.DUMMYFUNCTION("""COMPUTED_VALUE"""),8)</f>
        <v>8</v>
      </c>
      <c r="B9" s="2" t="str">
        <f ca="1">IFERROR(__xludf.DUMMYFUNCTION("""COMPUTED_VALUE"""),"DET")</f>
        <v>DET</v>
      </c>
      <c r="C9" s="3">
        <f ca="1">IFERROR(__xludf.DUMMYFUNCTION("""COMPUTED_VALUE"""),-0.248)</f>
        <v>-0.248</v>
      </c>
      <c r="D9" s="2" t="str">
        <f ca="1">IFERROR(__xludf.DUMMYFUNCTION("""COMPUTED_VALUE"""),"x")</f>
        <v>x</v>
      </c>
      <c r="E9" s="3">
        <f ca="1">IFERROR(__xludf.DUMMYFUNCTION("""COMPUTED_VALUE"""),-0.01)</f>
        <v>-0.01</v>
      </c>
      <c r="F9" s="2">
        <f ca="1">IFERROR(__xludf.DUMMYFUNCTION("""COMPUTED_VALUE"""),16)</f>
        <v>16</v>
      </c>
      <c r="G9" s="3">
        <f ca="1">IFERROR(__xludf.DUMMYFUNCTION("""COMPUTED_VALUE"""),-0.304)</f>
        <v>-0.30399999999999999</v>
      </c>
      <c r="H9" s="2">
        <f ca="1">IFERROR(__xludf.DUMMYFUNCTION("""COMPUTED_VALUE"""),7)</f>
        <v>7</v>
      </c>
      <c r="I9" s="3">
        <f ca="1">IFERROR(__xludf.DUMMYFUNCTION("""COMPUTED_VALUE"""),-0.123)</f>
        <v>-0.123</v>
      </c>
      <c r="J9" s="2">
        <f ca="1">IFERROR(__xludf.DUMMYFUNCTION("""COMPUTED_VALUE"""),15)</f>
        <v>15</v>
      </c>
    </row>
    <row r="10" spans="1:10" x14ac:dyDescent="0.2">
      <c r="A10" s="2">
        <f ca="1">IFERROR(__xludf.DUMMYFUNCTION("""COMPUTED_VALUE"""),9)</f>
        <v>9</v>
      </c>
      <c r="B10" s="2" t="str">
        <f ca="1">IFERROR(__xludf.DUMMYFUNCTION("""COMPUTED_VALUE"""),"BUF")</f>
        <v>BUF</v>
      </c>
      <c r="C10" s="3">
        <f ca="1">IFERROR(__xludf.DUMMYFUNCTION("""COMPUTED_VALUE"""),-0.248)</f>
        <v>-0.248</v>
      </c>
      <c r="D10" s="2" t="str">
        <f ca="1">IFERROR(__xludf.DUMMYFUNCTION("""COMPUTED_VALUE"""),"x")</f>
        <v>x</v>
      </c>
      <c r="E10" s="3">
        <f ca="1">IFERROR(__xludf.DUMMYFUNCTION("""COMPUTED_VALUE"""),-0.03)</f>
        <v>-0.03</v>
      </c>
      <c r="F10" s="2">
        <f ca="1">IFERROR(__xludf.DUMMYFUNCTION("""COMPUTED_VALUE"""),9)</f>
        <v>9</v>
      </c>
      <c r="G10" s="3">
        <f ca="1">IFERROR(__xludf.DUMMYFUNCTION("""COMPUTED_VALUE"""),-0.252)</f>
        <v>-0.252</v>
      </c>
      <c r="H10" s="2">
        <f ca="1">IFERROR(__xludf.DUMMYFUNCTION("""COMPUTED_VALUE"""),8)</f>
        <v>8</v>
      </c>
      <c r="I10" s="3">
        <f ca="1">IFERROR(__xludf.DUMMYFUNCTION("""COMPUTED_VALUE"""),-0.237)</f>
        <v>-0.23699999999999999</v>
      </c>
      <c r="J10" s="2">
        <f ca="1">IFERROR(__xludf.DUMMYFUNCTION("""COMPUTED_VALUE"""),12)</f>
        <v>12</v>
      </c>
    </row>
    <row r="11" spans="1:10" x14ac:dyDescent="0.2">
      <c r="A11" s="2">
        <f ca="1">IFERROR(__xludf.DUMMYFUNCTION("""COMPUTED_VALUE"""),10)</f>
        <v>10</v>
      </c>
      <c r="B11" s="2" t="str">
        <f ca="1">IFERROR(__xludf.DUMMYFUNCTION("""COMPUTED_VALUE"""),"SEA")</f>
        <v>SEA</v>
      </c>
      <c r="C11" s="3">
        <f ca="1">IFERROR(__xludf.DUMMYFUNCTION("""COMPUTED_VALUE"""),-0.224)</f>
        <v>-0.224</v>
      </c>
      <c r="D11" s="2" t="str">
        <f ca="1">IFERROR(__xludf.DUMMYFUNCTION("""COMPUTED_VALUE"""),"x")</f>
        <v>x</v>
      </c>
      <c r="E11" s="3">
        <f ca="1">IFERROR(__xludf.DUMMYFUNCTION("""COMPUTED_VALUE"""),-0.023)</f>
        <v>-2.3E-2</v>
      </c>
      <c r="F11" s="2">
        <f ca="1">IFERROR(__xludf.DUMMYFUNCTION("""COMPUTED_VALUE"""),11)</f>
        <v>11</v>
      </c>
      <c r="G11" s="3">
        <f ca="1">IFERROR(__xludf.DUMMYFUNCTION("""COMPUTED_VALUE"""),-0.095)</f>
        <v>-9.5000000000000001E-2</v>
      </c>
      <c r="H11" s="2">
        <f ca="1">IFERROR(__xludf.DUMMYFUNCTION("""COMPUTED_VALUE"""),13)</f>
        <v>13</v>
      </c>
      <c r="I11" s="3">
        <f ca="1">IFERROR(__xludf.DUMMYFUNCTION("""COMPUTED_VALUE"""),-0.695)</f>
        <v>-0.69499999999999995</v>
      </c>
      <c r="J11" s="2">
        <f ca="1">IFERROR(__xludf.DUMMYFUNCTION("""COMPUTED_VALUE"""),2)</f>
        <v>2</v>
      </c>
    </row>
    <row r="12" spans="1:10" x14ac:dyDescent="0.2">
      <c r="A12" s="2">
        <f ca="1">IFERROR(__xludf.DUMMYFUNCTION("""COMPUTED_VALUE"""),11)</f>
        <v>11</v>
      </c>
      <c r="B12" s="2" t="str">
        <f ca="1">IFERROR(__xludf.DUMMYFUNCTION("""COMPUTED_VALUE"""),"MIN")</f>
        <v>MIN</v>
      </c>
      <c r="C12" s="3">
        <f ca="1">IFERROR(__xludf.DUMMYFUNCTION("""COMPUTED_VALUE"""),-0.222)</f>
        <v>-0.222</v>
      </c>
      <c r="D12" s="2" t="str">
        <f ca="1">IFERROR(__xludf.DUMMYFUNCTION("""COMPUTED_VALUE"""),"x")</f>
        <v>x</v>
      </c>
      <c r="E12" s="3">
        <f ca="1">IFERROR(__xludf.DUMMYFUNCTION("""COMPUTED_VALUE"""),-0.077)</f>
        <v>-7.6999999999999999E-2</v>
      </c>
      <c r="F12" s="2">
        <f ca="1">IFERROR(__xludf.DUMMYFUNCTION("""COMPUTED_VALUE"""),4)</f>
        <v>4</v>
      </c>
      <c r="G12" s="3">
        <f ca="1">IFERROR(__xludf.DUMMYFUNCTION("""COMPUTED_VALUE"""),-0.132)</f>
        <v>-0.13200000000000001</v>
      </c>
      <c r="H12" s="2">
        <f ca="1">IFERROR(__xludf.DUMMYFUNCTION("""COMPUTED_VALUE"""),12)</f>
        <v>12</v>
      </c>
      <c r="I12" s="3">
        <f ca="1">IFERROR(__xludf.DUMMYFUNCTION("""COMPUTED_VALUE"""),-0.438)</f>
        <v>-0.438</v>
      </c>
      <c r="J12" s="2">
        <f ca="1">IFERROR(__xludf.DUMMYFUNCTION("""COMPUTED_VALUE"""),7)</f>
        <v>7</v>
      </c>
    </row>
    <row r="13" spans="1:10" x14ac:dyDescent="0.2">
      <c r="A13" s="2">
        <f ca="1">IFERROR(__xludf.DUMMYFUNCTION("""COMPUTED_VALUE"""),12)</f>
        <v>12</v>
      </c>
      <c r="B13" s="2" t="str">
        <f ca="1">IFERROR(__xludf.DUMMYFUNCTION("""COMPUTED_VALUE"""),"NYJ")</f>
        <v>NYJ</v>
      </c>
      <c r="C13" s="3">
        <f ca="1">IFERROR(__xludf.DUMMYFUNCTION("""COMPUTED_VALUE"""),-0.191)</f>
        <v>-0.191</v>
      </c>
      <c r="D13" s="2" t="str">
        <f ca="1">IFERROR(__xludf.DUMMYFUNCTION("""COMPUTED_VALUE"""),"x")</f>
        <v>x</v>
      </c>
      <c r="E13" s="3">
        <f ca="1">IFERROR(__xludf.DUMMYFUNCTION("""COMPUTED_VALUE"""),-0.012)</f>
        <v>-1.2E-2</v>
      </c>
      <c r="F13" s="2">
        <f ca="1">IFERROR(__xludf.DUMMYFUNCTION("""COMPUTED_VALUE"""),15)</f>
        <v>15</v>
      </c>
      <c r="G13" s="3">
        <f ca="1">IFERROR(__xludf.DUMMYFUNCTION("""COMPUTED_VALUE"""),-0.347)</f>
        <v>-0.34699999999999998</v>
      </c>
      <c r="H13" s="2">
        <f ca="1">IFERROR(__xludf.DUMMYFUNCTION("""COMPUTED_VALUE"""),6)</f>
        <v>6</v>
      </c>
      <c r="I13" s="3">
        <f ca="1">IFERROR(__xludf.DUMMYFUNCTION("""COMPUTED_VALUE"""),0.039)</f>
        <v>3.9E-2</v>
      </c>
      <c r="J13" s="2">
        <f ca="1">IFERROR(__xludf.DUMMYFUNCTION("""COMPUTED_VALUE"""),22)</f>
        <v>22</v>
      </c>
    </row>
    <row r="14" spans="1:10" x14ac:dyDescent="0.2">
      <c r="A14" s="2">
        <f ca="1">IFERROR(__xludf.DUMMYFUNCTION("""COMPUTED_VALUE"""),13)</f>
        <v>13</v>
      </c>
      <c r="B14" s="2" t="str">
        <f ca="1">IFERROR(__xludf.DUMMYFUNCTION("""COMPUTED_VALUE"""),"CIN")</f>
        <v>CIN</v>
      </c>
      <c r="C14" s="3">
        <f ca="1">IFERROR(__xludf.DUMMYFUNCTION("""COMPUTED_VALUE"""),-0.184)</f>
        <v>-0.184</v>
      </c>
      <c r="D14" s="2" t="str">
        <f ca="1">IFERROR(__xludf.DUMMYFUNCTION("""COMPUTED_VALUE"""),"x")</f>
        <v>x</v>
      </c>
      <c r="E14" s="3">
        <f ca="1">IFERROR(__xludf.DUMMYFUNCTION("""COMPUTED_VALUE"""),0.043)</f>
        <v>4.2999999999999997E-2</v>
      </c>
      <c r="F14" s="2">
        <f ca="1">IFERROR(__xludf.DUMMYFUNCTION("""COMPUTED_VALUE"""),25)</f>
        <v>25</v>
      </c>
      <c r="G14" s="3">
        <f ca="1">IFERROR(__xludf.DUMMYFUNCTION("""COMPUTED_VALUE"""),-0.08)</f>
        <v>-0.08</v>
      </c>
      <c r="H14" s="2">
        <f ca="1">IFERROR(__xludf.DUMMYFUNCTION("""COMPUTED_VALUE"""),14)</f>
        <v>14</v>
      </c>
      <c r="I14" s="3">
        <f ca="1">IFERROR(__xludf.DUMMYFUNCTION("""COMPUTED_VALUE"""),-0.273)</f>
        <v>-0.27300000000000002</v>
      </c>
      <c r="J14" s="2">
        <f ca="1">IFERROR(__xludf.DUMMYFUNCTION("""COMPUTED_VALUE"""),10)</f>
        <v>10</v>
      </c>
    </row>
    <row r="15" spans="1:10" x14ac:dyDescent="0.2">
      <c r="A15" s="2">
        <f ca="1">IFERROR(__xludf.DUMMYFUNCTION("""COMPUTED_VALUE"""),14)</f>
        <v>14</v>
      </c>
      <c r="B15" s="2" t="str">
        <f ca="1">IFERROR(__xludf.DUMMYFUNCTION("""COMPUTED_VALUE"""),"LAR")</f>
        <v>LAR</v>
      </c>
      <c r="C15" s="3">
        <f ca="1">IFERROR(__xludf.DUMMYFUNCTION("""COMPUTED_VALUE"""),-0.158)</f>
        <v>-0.158</v>
      </c>
      <c r="D15" s="2" t="str">
        <f ca="1">IFERROR(__xludf.DUMMYFUNCTION("""COMPUTED_VALUE"""),"x")</f>
        <v>x</v>
      </c>
      <c r="E15" s="3">
        <f ca="1">IFERROR(__xludf.DUMMYFUNCTION("""COMPUTED_VALUE"""),-0.039)</f>
        <v>-3.9E-2</v>
      </c>
      <c r="F15" s="2">
        <f ca="1">IFERROR(__xludf.DUMMYFUNCTION("""COMPUTED_VALUE"""),5)</f>
        <v>5</v>
      </c>
      <c r="G15" s="3">
        <f ca="1">IFERROR(__xludf.DUMMYFUNCTION("""COMPUTED_VALUE"""),-0.377)</f>
        <v>-0.377</v>
      </c>
      <c r="H15" s="2">
        <f ca="1">IFERROR(__xludf.DUMMYFUNCTION("""COMPUTED_VALUE"""),5)</f>
        <v>5</v>
      </c>
      <c r="I15" s="3">
        <f ca="1">IFERROR(__xludf.DUMMYFUNCTION("""COMPUTED_VALUE"""),0.151)</f>
        <v>0.151</v>
      </c>
      <c r="J15" s="2">
        <f ca="1">IFERROR(__xludf.DUMMYFUNCTION("""COMPUTED_VALUE"""),28)</f>
        <v>28</v>
      </c>
    </row>
    <row r="16" spans="1:10" x14ac:dyDescent="0.2">
      <c r="A16" s="2">
        <f ca="1">IFERROR(__xludf.DUMMYFUNCTION("""COMPUTED_VALUE"""),15)</f>
        <v>15</v>
      </c>
      <c r="B16" s="2" t="str">
        <f ca="1">IFERROR(__xludf.DUMMYFUNCTION("""COMPUTED_VALUE"""),"OAK")</f>
        <v>OAK</v>
      </c>
      <c r="C16" s="3">
        <f ca="1">IFERROR(__xludf.DUMMYFUNCTION("""COMPUTED_VALUE"""),-0.07)</f>
        <v>-7.0000000000000007E-2</v>
      </c>
      <c r="D16" s="2" t="str">
        <f ca="1">IFERROR(__xludf.DUMMYFUNCTION("""COMPUTED_VALUE"""),"x")</f>
        <v>x</v>
      </c>
      <c r="E16" s="3">
        <f ca="1">IFERROR(__xludf.DUMMYFUNCTION("""COMPUTED_VALUE"""),0.045)</f>
        <v>4.4999999999999998E-2</v>
      </c>
      <c r="F16" s="2">
        <f ca="1">IFERROR(__xludf.DUMMYFUNCTION("""COMPUTED_VALUE"""),26)</f>
        <v>26</v>
      </c>
      <c r="G16" s="3">
        <f ca="1">IFERROR(__xludf.DUMMYFUNCTION("""COMPUTED_VALUE"""),0.074)</f>
        <v>7.3999999999999996E-2</v>
      </c>
      <c r="H16" s="2">
        <f ca="1">IFERROR(__xludf.DUMMYFUNCTION("""COMPUTED_VALUE"""),17)</f>
        <v>17</v>
      </c>
      <c r="I16" s="3">
        <f ca="1">IFERROR(__xludf.DUMMYFUNCTION("""COMPUTED_VALUE"""),-0.259)</f>
        <v>-0.25900000000000001</v>
      </c>
      <c r="J16" s="2">
        <f ca="1">IFERROR(__xludf.DUMMYFUNCTION("""COMPUTED_VALUE"""),11)</f>
        <v>11</v>
      </c>
    </row>
    <row r="17" spans="1:10" x14ac:dyDescent="0.2">
      <c r="A17" s="2">
        <f ca="1">IFERROR(__xludf.DUMMYFUNCTION("""COMPUTED_VALUE"""),16)</f>
        <v>16</v>
      </c>
      <c r="B17" s="2" t="str">
        <f ca="1">IFERROR(__xludf.DUMMYFUNCTION("""COMPUTED_VALUE"""),"CAR")</f>
        <v>CAR</v>
      </c>
      <c r="C17" s="3">
        <f ca="1">IFERROR(__xludf.DUMMYFUNCTION("""COMPUTED_VALUE"""),-0.009)</f>
        <v>-8.9999999999999993E-3</v>
      </c>
      <c r="D17" s="2" t="str">
        <f ca="1">IFERROR(__xludf.DUMMYFUNCTION("""COMPUTED_VALUE"""),"x")</f>
        <v>x</v>
      </c>
      <c r="E17" s="3">
        <f ca="1">IFERROR(__xludf.DUMMYFUNCTION("""COMPUTED_VALUE"""),0.032)</f>
        <v>3.2000000000000001E-2</v>
      </c>
      <c r="F17" s="2">
        <f ca="1">IFERROR(__xludf.DUMMYFUNCTION("""COMPUTED_VALUE"""),24)</f>
        <v>24</v>
      </c>
      <c r="G17" s="3">
        <f ca="1">IFERROR(__xludf.DUMMYFUNCTION("""COMPUTED_VALUE"""),-0.179)</f>
        <v>-0.17899999999999999</v>
      </c>
      <c r="H17" s="2">
        <f ca="1">IFERROR(__xludf.DUMMYFUNCTION("""COMPUTED_VALUE"""),11)</f>
        <v>11</v>
      </c>
      <c r="I17" s="3">
        <f ca="1">IFERROR(__xludf.DUMMYFUNCTION("""COMPUTED_VALUE"""),0.204)</f>
        <v>0.20399999999999999</v>
      </c>
      <c r="J17" s="2">
        <f ca="1">IFERROR(__xludf.DUMMYFUNCTION("""COMPUTED_VALUE"""),29)</f>
        <v>29</v>
      </c>
    </row>
    <row r="18" spans="1:10" x14ac:dyDescent="0.2">
      <c r="A18" s="2">
        <f ca="1">IFERROR(__xludf.DUMMYFUNCTION("""COMPUTED_VALUE"""),17)</f>
        <v>17</v>
      </c>
      <c r="B18" s="2" t="str">
        <f ca="1">IFERROR(__xludf.DUMMYFUNCTION("""COMPUTED_VALUE"""),"DAL")</f>
        <v>DAL</v>
      </c>
      <c r="C18" s="3">
        <f ca="1">IFERROR(__xludf.DUMMYFUNCTION("""COMPUTED_VALUE"""),0.004)</f>
        <v>4.0000000000000001E-3</v>
      </c>
      <c r="D18" s="2" t="str">
        <f ca="1">IFERROR(__xludf.DUMMYFUNCTION("""COMPUTED_VALUE"""),"x")</f>
        <v>x</v>
      </c>
      <c r="E18" s="3">
        <f ca="1">IFERROR(__xludf.DUMMYFUNCTION("""COMPUTED_VALUE"""),-0.037)</f>
        <v>-3.6999999999999998E-2</v>
      </c>
      <c r="F18" s="2">
        <f ca="1">IFERROR(__xludf.DUMMYFUNCTION("""COMPUTED_VALUE"""),6)</f>
        <v>6</v>
      </c>
      <c r="G18" s="3">
        <f ca="1">IFERROR(__xludf.DUMMYFUNCTION("""COMPUTED_VALUE"""),-0.046)</f>
        <v>-4.5999999999999999E-2</v>
      </c>
      <c r="H18" s="2">
        <f ca="1">IFERROR(__xludf.DUMMYFUNCTION("""COMPUTED_VALUE"""),16)</f>
        <v>16</v>
      </c>
      <c r="I18" s="3">
        <f ca="1">IFERROR(__xludf.DUMMYFUNCTION("""COMPUTED_VALUE"""),0.113)</f>
        <v>0.113</v>
      </c>
      <c r="J18" s="2">
        <f ca="1">IFERROR(__xludf.DUMMYFUNCTION("""COMPUTED_VALUE"""),26)</f>
        <v>26</v>
      </c>
    </row>
    <row r="19" spans="1:10" x14ac:dyDescent="0.2">
      <c r="A19" s="2">
        <f ca="1">IFERROR(__xludf.DUMMYFUNCTION("""COMPUTED_VALUE"""),18)</f>
        <v>18</v>
      </c>
      <c r="B19" s="2" t="str">
        <f ca="1">IFERROR(__xludf.DUMMYFUNCTION("""COMPUTED_VALUE"""),"ARI")</f>
        <v>ARI</v>
      </c>
      <c r="C19" s="3">
        <f ca="1">IFERROR(__xludf.DUMMYFUNCTION("""COMPUTED_VALUE"""),0.034)</f>
        <v>3.4000000000000002E-2</v>
      </c>
      <c r="D19" s="2" t="str">
        <f ca="1">IFERROR(__xludf.DUMMYFUNCTION("""COMPUTED_VALUE"""),"x")</f>
        <v>x</v>
      </c>
      <c r="E19" s="3">
        <f ca="1">IFERROR(__xludf.DUMMYFUNCTION("""COMPUTED_VALUE"""),-0.017)</f>
        <v>-1.7000000000000001E-2</v>
      </c>
      <c r="F19" s="2">
        <f ca="1">IFERROR(__xludf.DUMMYFUNCTION("""COMPUTED_VALUE"""),13)</f>
        <v>13</v>
      </c>
      <c r="G19" s="3">
        <f ca="1">IFERROR(__xludf.DUMMYFUNCTION("""COMPUTED_VALUE"""),0.296)</f>
        <v>0.29599999999999999</v>
      </c>
      <c r="H19" s="2">
        <f ca="1">IFERROR(__xludf.DUMMYFUNCTION("""COMPUTED_VALUE"""),23)</f>
        <v>23</v>
      </c>
      <c r="I19" s="3">
        <f ca="1">IFERROR(__xludf.DUMMYFUNCTION("""COMPUTED_VALUE"""),-0.284)</f>
        <v>-0.28399999999999997</v>
      </c>
      <c r="J19" s="2">
        <f ca="1">IFERROR(__xludf.DUMMYFUNCTION("""COMPUTED_VALUE"""),9)</f>
        <v>9</v>
      </c>
    </row>
    <row r="20" spans="1:10" x14ac:dyDescent="0.2">
      <c r="A20" s="2">
        <f ca="1">IFERROR(__xludf.DUMMYFUNCTION("""COMPUTED_VALUE"""),19)</f>
        <v>19</v>
      </c>
      <c r="B20" s="2" t="str">
        <f ca="1">IFERROR(__xludf.DUMMYFUNCTION("""COMPUTED_VALUE"""),"ATL")</f>
        <v>ATL</v>
      </c>
      <c r="C20" s="3">
        <f ca="1">IFERROR(__xludf.DUMMYFUNCTION("""COMPUTED_VALUE"""),0.071)</f>
        <v>7.0999999999999994E-2</v>
      </c>
      <c r="D20" s="2" t="str">
        <f ca="1">IFERROR(__xludf.DUMMYFUNCTION("""COMPUTED_VALUE"""),"x")</f>
        <v>x</v>
      </c>
      <c r="E20" s="3">
        <f ca="1">IFERROR(__xludf.DUMMYFUNCTION("""COMPUTED_VALUE"""),0.065)</f>
        <v>6.5000000000000002E-2</v>
      </c>
      <c r="F20" s="2">
        <f ca="1">IFERROR(__xludf.DUMMYFUNCTION("""COMPUTED_VALUE"""),30)</f>
        <v>30</v>
      </c>
      <c r="G20" s="3">
        <f ca="1">IFERROR(__xludf.DUMMYFUNCTION("""COMPUTED_VALUE"""),0.112)</f>
        <v>0.112</v>
      </c>
      <c r="H20" s="2">
        <f ca="1">IFERROR(__xludf.DUMMYFUNCTION("""COMPUTED_VALUE"""),18)</f>
        <v>18</v>
      </c>
      <c r="I20" s="3">
        <f ca="1">IFERROR(__xludf.DUMMYFUNCTION("""COMPUTED_VALUE"""),0.059)</f>
        <v>5.8999999999999997E-2</v>
      </c>
      <c r="J20" s="2">
        <f ca="1">IFERROR(__xludf.DUMMYFUNCTION("""COMPUTED_VALUE"""),23)</f>
        <v>23</v>
      </c>
    </row>
    <row r="21" spans="1:10" x14ac:dyDescent="0.2">
      <c r="A21" s="2">
        <f ca="1">IFERROR(__xludf.DUMMYFUNCTION("""COMPUTED_VALUE"""),20)</f>
        <v>20</v>
      </c>
      <c r="B21" s="2" t="str">
        <f ca="1">IFERROR(__xludf.DUMMYFUNCTION("""COMPUTED_VALUE"""),"CLE")</f>
        <v>CLE</v>
      </c>
      <c r="C21" s="3">
        <f ca="1">IFERROR(__xludf.DUMMYFUNCTION("""COMPUTED_VALUE"""),0.138)</f>
        <v>0.13800000000000001</v>
      </c>
      <c r="D21" s="2" t="str">
        <f ca="1">IFERROR(__xludf.DUMMYFUNCTION("""COMPUTED_VALUE"""),"x")</f>
        <v>x</v>
      </c>
      <c r="E21" s="3">
        <f ca="1">IFERROR(__xludf.DUMMYFUNCTION("""COMPUTED_VALUE"""),0.057)</f>
        <v>5.7000000000000002E-2</v>
      </c>
      <c r="F21" s="2">
        <f ca="1">IFERROR(__xludf.DUMMYFUNCTION("""COMPUTED_VALUE"""),29)</f>
        <v>29</v>
      </c>
      <c r="G21" s="3">
        <f ca="1">IFERROR(__xludf.DUMMYFUNCTION("""COMPUTED_VALUE"""),0.147)</f>
        <v>0.14699999999999999</v>
      </c>
      <c r="H21" s="2">
        <f ca="1">IFERROR(__xludf.DUMMYFUNCTION("""COMPUTED_VALUE"""),20)</f>
        <v>20</v>
      </c>
      <c r="I21" s="3">
        <f ca="1">IFERROR(__xludf.DUMMYFUNCTION("""COMPUTED_VALUE"""),0.128)</f>
        <v>0.128</v>
      </c>
      <c r="J21" s="2">
        <f ca="1">IFERROR(__xludf.DUMMYFUNCTION("""COMPUTED_VALUE"""),27)</f>
        <v>27</v>
      </c>
    </row>
    <row r="22" spans="1:10" x14ac:dyDescent="0.2">
      <c r="A22" s="2">
        <f ca="1">IFERROR(__xludf.DUMMYFUNCTION("""COMPUTED_VALUE"""),21)</f>
        <v>21</v>
      </c>
      <c r="B22" s="2" t="str">
        <f ca="1">IFERROR(__xludf.DUMMYFUNCTION("""COMPUTED_VALUE"""),"IND")</f>
        <v>IND</v>
      </c>
      <c r="C22" s="3">
        <f ca="1">IFERROR(__xludf.DUMMYFUNCTION("""COMPUTED_VALUE"""),0.173)</f>
        <v>0.17299999999999999</v>
      </c>
      <c r="D22" s="2" t="str">
        <f ca="1">IFERROR(__xludf.DUMMYFUNCTION("""COMPUTED_VALUE"""),"x")</f>
        <v>x</v>
      </c>
      <c r="E22" s="3">
        <f ca="1">IFERROR(__xludf.DUMMYFUNCTION("""COMPUTED_VALUE"""),0.008)</f>
        <v>8.0000000000000002E-3</v>
      </c>
      <c r="F22" s="2">
        <f ca="1">IFERROR(__xludf.DUMMYFUNCTION("""COMPUTED_VALUE"""),21)</f>
        <v>21</v>
      </c>
      <c r="G22" s="3">
        <f ca="1">IFERROR(__xludf.DUMMYFUNCTION("""COMPUTED_VALUE"""),0.144)</f>
        <v>0.14399999999999999</v>
      </c>
      <c r="H22" s="2">
        <f ca="1">IFERROR(__xludf.DUMMYFUNCTION("""COMPUTED_VALUE"""),19)</f>
        <v>19</v>
      </c>
      <c r="I22" s="3">
        <f ca="1">IFERROR(__xludf.DUMMYFUNCTION("""COMPUTED_VALUE"""),0.216)</f>
        <v>0.216</v>
      </c>
      <c r="J22" s="2">
        <f ca="1">IFERROR(__xludf.DUMMYFUNCTION("""COMPUTED_VALUE"""),30)</f>
        <v>30</v>
      </c>
    </row>
    <row r="23" spans="1:10" x14ac:dyDescent="0.2">
      <c r="A23" s="2">
        <f ca="1">IFERROR(__xludf.DUMMYFUNCTION("""COMPUTED_VALUE"""),22)</f>
        <v>22</v>
      </c>
      <c r="B23" s="2" t="str">
        <f ca="1">IFERROR(__xludf.DUMMYFUNCTION("""COMPUTED_VALUE"""),"WAS")</f>
        <v>WAS</v>
      </c>
      <c r="C23" s="3">
        <f ca="1">IFERROR(__xludf.DUMMYFUNCTION("""COMPUTED_VALUE"""),0.192)</f>
        <v>0.192</v>
      </c>
      <c r="D23" s="2" t="str">
        <f ca="1">IFERROR(__xludf.DUMMYFUNCTION("""COMPUTED_VALUE"""),"x")</f>
        <v>x</v>
      </c>
      <c r="E23" s="3">
        <f ca="1">IFERROR(__xludf.DUMMYFUNCTION("""COMPUTED_VALUE"""),0.055)</f>
        <v>5.5E-2</v>
      </c>
      <c r="F23" s="2">
        <f ca="1">IFERROR(__xludf.DUMMYFUNCTION("""COMPUTED_VALUE"""),28)</f>
        <v>28</v>
      </c>
      <c r="G23" s="3">
        <f ca="1">IFERROR(__xludf.DUMMYFUNCTION("""COMPUTED_VALUE"""),0.477)</f>
        <v>0.47699999999999998</v>
      </c>
      <c r="H23" s="2">
        <f ca="1">IFERROR(__xludf.DUMMYFUNCTION("""COMPUTED_VALUE"""),25)</f>
        <v>25</v>
      </c>
      <c r="I23" s="3">
        <f ca="1">IFERROR(__xludf.DUMMYFUNCTION("""COMPUTED_VALUE"""),-0.114)</f>
        <v>-0.114</v>
      </c>
      <c r="J23" s="2">
        <f ca="1">IFERROR(__xludf.DUMMYFUNCTION("""COMPUTED_VALUE"""),16)</f>
        <v>16</v>
      </c>
    </row>
    <row r="24" spans="1:10" x14ac:dyDescent="0.2">
      <c r="A24" s="2">
        <f ca="1">IFERROR(__xludf.DUMMYFUNCTION("""COMPUTED_VALUE"""),23)</f>
        <v>23</v>
      </c>
      <c r="B24" s="2" t="str">
        <f ca="1">IFERROR(__xludf.DUMMYFUNCTION("""COMPUTED_VALUE"""),"LAC")</f>
        <v>LAC</v>
      </c>
      <c r="C24" s="3">
        <f ca="1">IFERROR(__xludf.DUMMYFUNCTION("""COMPUTED_VALUE"""),0.22)</f>
        <v>0.22</v>
      </c>
      <c r="D24" s="2" t="str">
        <f ca="1">IFERROR(__xludf.DUMMYFUNCTION("""COMPUTED_VALUE"""),"x")</f>
        <v>x</v>
      </c>
      <c r="E24" s="3">
        <f ca="1">IFERROR(__xludf.DUMMYFUNCTION("""COMPUTED_VALUE"""),-0.006)</f>
        <v>-6.0000000000000001E-3</v>
      </c>
      <c r="F24" s="2">
        <f ca="1">IFERROR(__xludf.DUMMYFUNCTION("""COMPUTED_VALUE"""),17)</f>
        <v>17</v>
      </c>
      <c r="G24" s="3">
        <f ca="1">IFERROR(__xludf.DUMMYFUNCTION("""COMPUTED_VALUE"""),0.199)</f>
        <v>0.19900000000000001</v>
      </c>
      <c r="H24" s="2">
        <f ca="1">IFERROR(__xludf.DUMMYFUNCTION("""COMPUTED_VALUE"""),21)</f>
        <v>21</v>
      </c>
      <c r="I24" s="3">
        <f ca="1">IFERROR(__xludf.DUMMYFUNCTION("""COMPUTED_VALUE"""),0.234)</f>
        <v>0.23400000000000001</v>
      </c>
      <c r="J24" s="2">
        <f ca="1">IFERROR(__xludf.DUMMYFUNCTION("""COMPUTED_VALUE"""),31)</f>
        <v>31</v>
      </c>
    </row>
    <row r="25" spans="1:10" x14ac:dyDescent="0.2">
      <c r="A25" s="2">
        <f ca="1">IFERROR(__xludf.DUMMYFUNCTION("""COMPUTED_VALUE"""),24)</f>
        <v>24</v>
      </c>
      <c r="B25" s="2" t="str">
        <f ca="1">IFERROR(__xludf.DUMMYFUNCTION("""COMPUTED_VALUE"""),"HOU")</f>
        <v>HOU</v>
      </c>
      <c r="C25" s="3">
        <f ca="1">IFERROR(__xludf.DUMMYFUNCTION("""COMPUTED_VALUE"""),0.229)</f>
        <v>0.22900000000000001</v>
      </c>
      <c r="D25" s="2" t="str">
        <f ca="1">IFERROR(__xludf.DUMMYFUNCTION("""COMPUTED_VALUE"""),"x")</f>
        <v>x</v>
      </c>
      <c r="E25" s="3">
        <f ca="1">IFERROR(__xludf.DUMMYFUNCTION("""COMPUTED_VALUE"""),-0.031)</f>
        <v>-3.1E-2</v>
      </c>
      <c r="F25" s="2">
        <f ca="1">IFERROR(__xludf.DUMMYFUNCTION("""COMPUTED_VALUE"""),8)</f>
        <v>8</v>
      </c>
      <c r="G25" s="3">
        <f ca="1">IFERROR(__xludf.DUMMYFUNCTION("""COMPUTED_VALUE"""),0.337)</f>
        <v>0.33700000000000002</v>
      </c>
      <c r="H25" s="2">
        <f ca="1">IFERROR(__xludf.DUMMYFUNCTION("""COMPUTED_VALUE"""),24)</f>
        <v>24</v>
      </c>
      <c r="I25" s="3">
        <f ca="1">IFERROR(__xludf.DUMMYFUNCTION("""COMPUTED_VALUE"""),0.011)</f>
        <v>1.0999999999999999E-2</v>
      </c>
      <c r="J25" s="2">
        <f ca="1">IFERROR(__xludf.DUMMYFUNCTION("""COMPUTED_VALUE"""),20)</f>
        <v>20</v>
      </c>
    </row>
    <row r="26" spans="1:10" x14ac:dyDescent="0.2">
      <c r="A26" s="2">
        <f ca="1">IFERROR(__xludf.DUMMYFUNCTION("""COMPUTED_VALUE"""),25)</f>
        <v>25</v>
      </c>
      <c r="B26" s="2" t="str">
        <f ca="1">IFERROR(__xludf.DUMMYFUNCTION("""COMPUTED_VALUE"""),"KC")</f>
        <v>KC</v>
      </c>
      <c r="C26" s="3">
        <f ca="1">IFERROR(__xludf.DUMMYFUNCTION("""COMPUTED_VALUE"""),0.302)</f>
        <v>0.30199999999999999</v>
      </c>
      <c r="D26" s="2" t="str">
        <f ca="1">IFERROR(__xludf.DUMMYFUNCTION("""COMPUTED_VALUE"""),"x")</f>
        <v>x</v>
      </c>
      <c r="E26" s="3">
        <f ca="1">IFERROR(__xludf.DUMMYFUNCTION("""COMPUTED_VALUE"""),0.054)</f>
        <v>5.3999999999999999E-2</v>
      </c>
      <c r="F26" s="2">
        <f ca="1">IFERROR(__xludf.DUMMYFUNCTION("""COMPUTED_VALUE"""),27)</f>
        <v>27</v>
      </c>
      <c r="G26" s="3">
        <f ca="1">IFERROR(__xludf.DUMMYFUNCTION("""COMPUTED_VALUE"""),0.492)</f>
        <v>0.49199999999999999</v>
      </c>
      <c r="H26" s="2">
        <f ca="1">IFERROR(__xludf.DUMMYFUNCTION("""COMPUTED_VALUE"""),26)</f>
        <v>26</v>
      </c>
      <c r="I26" s="3">
        <f ca="1">IFERROR(__xludf.DUMMYFUNCTION("""COMPUTED_VALUE"""),-0.056)</f>
        <v>-5.6000000000000001E-2</v>
      </c>
      <c r="J26" s="2">
        <f ca="1">IFERROR(__xludf.DUMMYFUNCTION("""COMPUTED_VALUE"""),18)</f>
        <v>18</v>
      </c>
    </row>
    <row r="27" spans="1:10" x14ac:dyDescent="0.2">
      <c r="A27" s="2">
        <f ca="1">IFERROR(__xludf.DUMMYFUNCTION("""COMPUTED_VALUE"""),26)</f>
        <v>26</v>
      </c>
      <c r="B27" s="2" t="str">
        <f ca="1">IFERROR(__xludf.DUMMYFUNCTION("""COMPUTED_VALUE"""),"NO")</f>
        <v>NO</v>
      </c>
      <c r="C27" s="3">
        <f ca="1">IFERROR(__xludf.DUMMYFUNCTION("""COMPUTED_VALUE"""),0.308)</f>
        <v>0.308</v>
      </c>
      <c r="D27" s="2" t="str">
        <f ca="1">IFERROR(__xludf.DUMMYFUNCTION("""COMPUTED_VALUE"""),"x")</f>
        <v>x</v>
      </c>
      <c r="E27" s="3">
        <f ca="1">IFERROR(__xludf.DUMMYFUNCTION("""COMPUTED_VALUE"""),-0.004)</f>
        <v>-4.0000000000000001E-3</v>
      </c>
      <c r="F27" s="2">
        <f ca="1">IFERROR(__xludf.DUMMYFUNCTION("""COMPUTED_VALUE"""),18)</f>
        <v>18</v>
      </c>
      <c r="G27" s="3">
        <f ca="1">IFERROR(__xludf.DUMMYFUNCTION("""COMPUTED_VALUE"""),0.236)</f>
        <v>0.23599999999999999</v>
      </c>
      <c r="H27" s="2">
        <f ca="1">IFERROR(__xludf.DUMMYFUNCTION("""COMPUTED_VALUE"""),22)</f>
        <v>22</v>
      </c>
      <c r="I27" s="3">
        <f ca="1">IFERROR(__xludf.DUMMYFUNCTION("""COMPUTED_VALUE"""),0.403)</f>
        <v>0.40300000000000002</v>
      </c>
      <c r="J27" s="2">
        <f ca="1">IFERROR(__xludf.DUMMYFUNCTION("""COMPUTED_VALUE"""),32)</f>
        <v>32</v>
      </c>
    </row>
    <row r="28" spans="1:10" x14ac:dyDescent="0.2">
      <c r="A28" s="2">
        <f ca="1">IFERROR(__xludf.DUMMYFUNCTION("""COMPUTED_VALUE"""),27)</f>
        <v>27</v>
      </c>
      <c r="B28" s="2" t="str">
        <f ca="1">IFERROR(__xludf.DUMMYFUNCTION("""COMPUTED_VALUE"""),"DEN")</f>
        <v>DEN</v>
      </c>
      <c r="C28" s="3">
        <f ca="1">IFERROR(__xludf.DUMMYFUNCTION("""COMPUTED_VALUE"""),0.328)</f>
        <v>0.32800000000000001</v>
      </c>
      <c r="D28" s="2" t="str">
        <f ca="1">IFERROR(__xludf.DUMMYFUNCTION("""COMPUTED_VALUE"""),"x")</f>
        <v>x</v>
      </c>
      <c r="E28" s="3">
        <f ca="1">IFERROR(__xludf.DUMMYFUNCTION("""COMPUTED_VALUE"""),0.024)</f>
        <v>2.4E-2</v>
      </c>
      <c r="F28" s="2">
        <f ca="1">IFERROR(__xludf.DUMMYFUNCTION("""COMPUTED_VALUE"""),22)</f>
        <v>22</v>
      </c>
      <c r="G28" s="3">
        <f ca="1">IFERROR(__xludf.DUMMYFUNCTION("""COMPUTED_VALUE"""),0.79)</f>
        <v>0.79</v>
      </c>
      <c r="H28" s="2">
        <f ca="1">IFERROR(__xludf.DUMMYFUNCTION("""COMPUTED_VALUE"""),30)</f>
        <v>30</v>
      </c>
      <c r="I28" s="3">
        <f ca="1">IFERROR(__xludf.DUMMYFUNCTION("""COMPUTED_VALUE"""),-0.037)</f>
        <v>-3.6999999999999998E-2</v>
      </c>
      <c r="J28" s="2">
        <f ca="1">IFERROR(__xludf.DUMMYFUNCTION("""COMPUTED_VALUE"""),19)</f>
        <v>19</v>
      </c>
    </row>
    <row r="29" spans="1:10" x14ac:dyDescent="0.2">
      <c r="A29" s="2">
        <f ca="1">IFERROR(__xludf.DUMMYFUNCTION("""COMPUTED_VALUE"""),28)</f>
        <v>28</v>
      </c>
      <c r="B29" s="2" t="str">
        <f ca="1">IFERROR(__xludf.DUMMYFUNCTION("""COMPUTED_VALUE"""),"PIT")</f>
        <v>PIT</v>
      </c>
      <c r="C29" s="3">
        <f ca="1">IFERROR(__xludf.DUMMYFUNCTION("""COMPUTED_VALUE"""),0.334)</f>
        <v>0.33400000000000002</v>
      </c>
      <c r="D29" s="2" t="str">
        <f ca="1">IFERROR(__xludf.DUMMYFUNCTION("""COMPUTED_VALUE"""),"x")</f>
        <v>x</v>
      </c>
      <c r="E29" s="3">
        <f ca="1">IFERROR(__xludf.DUMMYFUNCTION("""COMPUTED_VALUE"""),-0.014)</f>
        <v>-1.4E-2</v>
      </c>
      <c r="F29" s="2">
        <f ca="1">IFERROR(__xludf.DUMMYFUNCTION("""COMPUTED_VALUE"""),14)</f>
        <v>14</v>
      </c>
      <c r="G29" s="3">
        <f ca="1">IFERROR(__xludf.DUMMYFUNCTION("""COMPUTED_VALUE"""),0.745)</f>
        <v>0.745</v>
      </c>
      <c r="H29" s="2">
        <f ca="1">IFERROR(__xludf.DUMMYFUNCTION("""COMPUTED_VALUE"""),28)</f>
        <v>28</v>
      </c>
      <c r="I29" s="3">
        <f ca="1">IFERROR(__xludf.DUMMYFUNCTION("""COMPUTED_VALUE"""),-0.154)</f>
        <v>-0.154</v>
      </c>
      <c r="J29" s="2">
        <f ca="1">IFERROR(__xludf.DUMMYFUNCTION("""COMPUTED_VALUE"""),14)</f>
        <v>14</v>
      </c>
    </row>
    <row r="30" spans="1:10" x14ac:dyDescent="0.2">
      <c r="A30" s="2">
        <f ca="1">IFERROR(__xludf.DUMMYFUNCTION("""COMPUTED_VALUE"""),29)</f>
        <v>29</v>
      </c>
      <c r="B30" s="2" t="str">
        <f ca="1">IFERROR(__xludf.DUMMYFUNCTION("""COMPUTED_VALUE"""),"PHI")</f>
        <v>PHI</v>
      </c>
      <c r="C30" s="3">
        <f ca="1">IFERROR(__xludf.DUMMYFUNCTION("""COMPUTED_VALUE"""),0.37)</f>
        <v>0.37</v>
      </c>
      <c r="D30" s="2" t="str">
        <f ca="1">IFERROR(__xludf.DUMMYFUNCTION("""COMPUTED_VALUE"""),"x")</f>
        <v>x</v>
      </c>
      <c r="E30" s="3">
        <f ca="1">IFERROR(__xludf.DUMMYFUNCTION("""COMPUTED_VALUE"""),-0.004)</f>
        <v>-4.0000000000000001E-3</v>
      </c>
      <c r="F30" s="2">
        <f ca="1">IFERROR(__xludf.DUMMYFUNCTION("""COMPUTED_VALUE"""),19)</f>
        <v>19</v>
      </c>
      <c r="G30" s="3">
        <f ca="1">IFERROR(__xludf.DUMMYFUNCTION("""COMPUTED_VALUE"""),0.772)</f>
        <v>0.77200000000000002</v>
      </c>
      <c r="H30" s="2">
        <f ca="1">IFERROR(__xludf.DUMMYFUNCTION("""COMPUTED_VALUE"""),29)</f>
        <v>29</v>
      </c>
      <c r="I30" s="3">
        <f ca="1">IFERROR(__xludf.DUMMYFUNCTION("""COMPUTED_VALUE"""),-0.683)</f>
        <v>-0.68300000000000005</v>
      </c>
      <c r="J30" s="2">
        <f ca="1">IFERROR(__xludf.DUMMYFUNCTION("""COMPUTED_VALUE"""),3)</f>
        <v>3</v>
      </c>
    </row>
    <row r="31" spans="1:10" x14ac:dyDescent="0.2">
      <c r="A31" s="2">
        <f ca="1">IFERROR(__xludf.DUMMYFUNCTION("""COMPUTED_VALUE"""),30)</f>
        <v>30</v>
      </c>
      <c r="B31" s="2" t="str">
        <f ca="1">IFERROR(__xludf.DUMMYFUNCTION("""COMPUTED_VALUE"""),"JAX")</f>
        <v>JAX</v>
      </c>
      <c r="C31" s="3">
        <f ca="1">IFERROR(__xludf.DUMMYFUNCTION("""COMPUTED_VALUE"""),0.406)</f>
        <v>0.40600000000000003</v>
      </c>
      <c r="D31" s="2" t="str">
        <f ca="1">IFERROR(__xludf.DUMMYFUNCTION("""COMPUTED_VALUE"""),"x")</f>
        <v>x</v>
      </c>
      <c r="E31" s="3">
        <f ca="1">IFERROR(__xludf.DUMMYFUNCTION("""COMPUTED_VALUE"""),-0.019)</f>
        <v>-1.9E-2</v>
      </c>
      <c r="F31" s="2">
        <f ca="1">IFERROR(__xludf.DUMMYFUNCTION("""COMPUTED_VALUE"""),12)</f>
        <v>12</v>
      </c>
      <c r="G31" s="3">
        <f ca="1">IFERROR(__xludf.DUMMYFUNCTION("""COMPUTED_VALUE"""),0.644)</f>
        <v>0.64400000000000002</v>
      </c>
      <c r="H31" s="2">
        <f ca="1">IFERROR(__xludf.DUMMYFUNCTION("""COMPUTED_VALUE"""),27)</f>
        <v>27</v>
      </c>
      <c r="I31" s="3">
        <f ca="1">IFERROR(__xludf.DUMMYFUNCTION("""COMPUTED_VALUE"""),0.106)</f>
        <v>0.106</v>
      </c>
      <c r="J31" s="2">
        <f ca="1">IFERROR(__xludf.DUMMYFUNCTION("""COMPUTED_VALUE"""),25)</f>
        <v>25</v>
      </c>
    </row>
    <row r="32" spans="1:10" x14ac:dyDescent="0.2">
      <c r="A32" s="2">
        <f ca="1">IFERROR(__xludf.DUMMYFUNCTION("""COMPUTED_VALUE"""),31)</f>
        <v>31</v>
      </c>
      <c r="B32" s="2" t="str">
        <f ca="1">IFERROR(__xludf.DUMMYFUNCTION("""COMPUTED_VALUE"""),"MIA")</f>
        <v>MIA</v>
      </c>
      <c r="C32" s="3">
        <f ca="1">IFERROR(__xludf.DUMMYFUNCTION("""COMPUTED_VALUE"""),0.561)</f>
        <v>0.56100000000000005</v>
      </c>
      <c r="D32" s="2" t="str">
        <f ca="1">IFERROR(__xludf.DUMMYFUNCTION("""COMPUTED_VALUE"""),"x")</f>
        <v>x</v>
      </c>
      <c r="E32" s="3">
        <f ca="1">IFERROR(__xludf.DUMMYFUNCTION("""COMPUTED_VALUE"""),0.131)</f>
        <v>0.13100000000000001</v>
      </c>
      <c r="F32" s="2">
        <f ca="1">IFERROR(__xludf.DUMMYFUNCTION("""COMPUTED_VALUE"""),32)</f>
        <v>32</v>
      </c>
      <c r="G32" s="3">
        <f ca="1">IFERROR(__xludf.DUMMYFUNCTION("""COMPUTED_VALUE"""),1.37)</f>
        <v>1.37</v>
      </c>
      <c r="H32" s="2">
        <f ca="1">IFERROR(__xludf.DUMMYFUNCTION("""COMPUTED_VALUE"""),32)</f>
        <v>32</v>
      </c>
      <c r="I32" s="3">
        <f ca="1">IFERROR(__xludf.DUMMYFUNCTION("""COMPUTED_VALUE"""),0.091)</f>
        <v>9.0999999999999998E-2</v>
      </c>
      <c r="J32" s="2">
        <f ca="1">IFERROR(__xludf.DUMMYFUNCTION("""COMPUTED_VALUE"""),24)</f>
        <v>24</v>
      </c>
    </row>
    <row r="33" spans="1:10" x14ac:dyDescent="0.2">
      <c r="A33" s="2">
        <f ca="1">IFERROR(__xludf.DUMMYFUNCTION("""COMPUTED_VALUE"""),32)</f>
        <v>32</v>
      </c>
      <c r="B33" s="2" t="str">
        <f ca="1">IFERROR(__xludf.DUMMYFUNCTION("""COMPUTED_VALUE"""),"NYG")</f>
        <v>NYG</v>
      </c>
      <c r="C33" s="3">
        <f ca="1">IFERROR(__xludf.DUMMYFUNCTION("""COMPUTED_VALUE"""),0.584)</f>
        <v>0.58399999999999996</v>
      </c>
      <c r="D33" s="2" t="str">
        <f ca="1">IFERROR(__xludf.DUMMYFUNCTION("""COMPUTED_VALUE"""),"x")</f>
        <v>x</v>
      </c>
      <c r="E33" s="3">
        <f ca="1">IFERROR(__xludf.DUMMYFUNCTION("""COMPUTED_VALUE"""),0.085)</f>
        <v>8.5000000000000006E-2</v>
      </c>
      <c r="F33" s="2">
        <f ca="1">IFERROR(__xludf.DUMMYFUNCTION("""COMPUTED_VALUE"""),31)</f>
        <v>31</v>
      </c>
      <c r="G33" s="3">
        <f ca="1">IFERROR(__xludf.DUMMYFUNCTION("""COMPUTED_VALUE"""),1.241)</f>
        <v>1.2410000000000001</v>
      </c>
      <c r="H33" s="2">
        <f ca="1">IFERROR(__xludf.DUMMYFUNCTION("""COMPUTED_VALUE"""),31)</f>
        <v>31</v>
      </c>
      <c r="I33" s="3">
        <f ca="1">IFERROR(__xludf.DUMMYFUNCTION("""COMPUTED_VALUE"""),-0.237)</f>
        <v>-0.23699999999999999</v>
      </c>
      <c r="J33" s="2">
        <f ca="1">IFERROR(__xludf.DUMMYFUNCTION("""COMPUTED_VALUE"""),13)</f>
        <v>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R32"/>
  <sheetViews>
    <sheetView workbookViewId="0"/>
  </sheetViews>
  <sheetFormatPr defaultColWidth="14.42578125" defaultRowHeight="15.75" customHeight="1" x14ac:dyDescent="0.2"/>
  <sheetData>
    <row r="1" spans="1:18" x14ac:dyDescent="0.2">
      <c r="A1" s="1" t="s">
        <v>0</v>
      </c>
      <c r="B1" s="2" t="str">
        <f ca="1">IFERROR(__xludf.DUMMYFUNCTION("""COMPUTED_VALUE"""),"*Team*")</f>
        <v>*Team*</v>
      </c>
      <c r="C1" s="2" t="str">
        <f ca="1">IFERROR(__xludf.DUMMYFUNCTION("""COMPUTED_VALUE"""),"*DYAR*")</f>
        <v>*DYAR*</v>
      </c>
      <c r="D1" s="2" t="str">
        <f ca="1">IFERROR(__xludf.DUMMYFUNCTION("""COMPUTED_VALUE"""),"*Rk*")</f>
        <v>*Rk*</v>
      </c>
      <c r="E1" s="2" t="str">
        <f ca="1">IFERROR(__xludf.DUMMYFUNCTION("""COMPUTED_VALUE"""),"*DVOA*")</f>
        <v>*DVOA*</v>
      </c>
      <c r="F1" s="2" t="str">
        <f ca="1">IFERROR(__xludf.DUMMYFUNCTION("""COMPUTED_VALUE"""),"*Rk*")</f>
        <v>*Rk*</v>
      </c>
      <c r="G1" s="2" t="str">
        <f ca="1">IFERROR(__xludf.DUMMYFUNCTION("""COMPUTED_VALUE"""),"*QBR*")</f>
        <v>*QBR*</v>
      </c>
      <c r="H1" s="2" t="str">
        <f ca="1">IFERROR(__xludf.DUMMYFUNCTION("""COMPUTED_VALUE"""),"*Rk*")</f>
        <v>*Rk*</v>
      </c>
      <c r="I1" s="2" t="str">
        <f ca="1">IFERROR(__xludf.DUMMYFUNCTION("""COMPUTED_VALUE"""),"*Pass*")</f>
        <v>*Pass*</v>
      </c>
      <c r="J1" s="2" t="str">
        <f ca="1">IFERROR(__xludf.DUMMYFUNCTION("""COMPUTED_VALUE"""),"*Yards*")</f>
        <v>*Yards*</v>
      </c>
      <c r="K1" s="2" t="str">
        <f ca="1">IFERROR(__xludf.DUMMYFUNCTION("""COMPUTED_VALUE"""),"*EYds*")</f>
        <v>*EYds*</v>
      </c>
      <c r="L1" s="2" t="str">
        <f ca="1">IFERROR(__xludf.DUMMYFUNCTION("""COMPUTED_VALUE"""),"*TD*")</f>
        <v>*TD*</v>
      </c>
      <c r="M1" s="2" t="str">
        <f ca="1">IFERROR(__xludf.DUMMYFUNCTION("""COMPUTED_VALUE"""),"*FK*")</f>
        <v>*FK*</v>
      </c>
      <c r="N1" s="2" t="str">
        <f ca="1">IFERROR(__xludf.DUMMYFUNCTION("""COMPUTED_VALUE"""),"*FL*")</f>
        <v>*FL*</v>
      </c>
      <c r="O1" s="2" t="str">
        <f ca="1">IFERROR(__xludf.DUMMYFUNCTION("""COMPUTED_VALUE"""),"*INT*")</f>
        <v>*INT*</v>
      </c>
      <c r="P1" s="2" t="str">
        <f ca="1">IFERROR(__xludf.DUMMYFUNCTION("""COMPUTED_VALUE"""),"*C%*")</f>
        <v>*C%*</v>
      </c>
      <c r="Q1" s="2" t="str">
        <f ca="1">IFERROR(__xludf.DUMMYFUNCTION("""COMPUTED_VALUE"""),"*DPI*")</f>
        <v>*DPI*</v>
      </c>
      <c r="R1" s="2" t="str">
        <f ca="1">IFERROR(__xludf.DUMMYFUNCTION("""COMPUTED_VALUE"""),"*ALEX*")</f>
        <v>*ALEX*</v>
      </c>
    </row>
    <row r="2" spans="1:18" x14ac:dyDescent="0.2">
      <c r="A2" s="2" t="str">
        <f ca="1">IFERROR(__xludf.DUMMYFUNCTION("""COMPUTED_VALUE"""),"D.Prescott")</f>
        <v>D.Prescott</v>
      </c>
      <c r="B2" s="2" t="str">
        <f ca="1">IFERROR(__xludf.DUMMYFUNCTION("""COMPUTED_VALUE"""),"DAL")</f>
        <v>DAL</v>
      </c>
      <c r="C2" s="2">
        <f ca="1">IFERROR(__xludf.DUMMYFUNCTION("""COMPUTED_VALUE"""),265)</f>
        <v>265</v>
      </c>
      <c r="D2" s="2">
        <f ca="1">IFERROR(__xludf.DUMMYFUNCTION("""COMPUTED_VALUE"""),1)</f>
        <v>1</v>
      </c>
      <c r="E2" s="3">
        <f ca="1">IFERROR(__xludf.DUMMYFUNCTION("""COMPUTED_VALUE"""),1.139)</f>
        <v>1.139</v>
      </c>
      <c r="F2" s="2">
        <f ca="1">IFERROR(__xludf.DUMMYFUNCTION("""COMPUTED_VALUE"""),2)</f>
        <v>2</v>
      </c>
      <c r="G2" s="2" t="str">
        <f ca="1">IFERROR(__xludf.DUMMYFUNCTION("""COMPUTED_VALUE"""),"")</f>
        <v/>
      </c>
      <c r="H2" s="2" t="str">
        <f ca="1">IFERROR(__xludf.DUMMYFUNCTION("""COMPUTED_VALUE"""),"--")</f>
        <v>--</v>
      </c>
      <c r="I2" s="2">
        <f ca="1">IFERROR(__xludf.DUMMYFUNCTION("""COMPUTED_VALUE"""),32)</f>
        <v>32</v>
      </c>
      <c r="J2" s="2">
        <f ca="1">IFERROR(__xludf.DUMMYFUNCTION("""COMPUTED_VALUE"""),405)</f>
        <v>405</v>
      </c>
      <c r="K2" s="2">
        <f ca="1">IFERROR(__xludf.DUMMYFUNCTION("""COMPUTED_VALUE"""),532)</f>
        <v>532</v>
      </c>
      <c r="L2" s="2">
        <f ca="1">IFERROR(__xludf.DUMMYFUNCTION("""COMPUTED_VALUE"""),4)</f>
        <v>4</v>
      </c>
      <c r="M2" s="2">
        <f ca="1">IFERROR(__xludf.DUMMYFUNCTION("""COMPUTED_VALUE"""),0)</f>
        <v>0</v>
      </c>
      <c r="N2" s="2">
        <f ca="1">IFERROR(__xludf.DUMMYFUNCTION("""COMPUTED_VALUE"""),0)</f>
        <v>0</v>
      </c>
      <c r="O2" s="2">
        <f ca="1">IFERROR(__xludf.DUMMYFUNCTION("""COMPUTED_VALUE"""),0)</f>
        <v>0</v>
      </c>
      <c r="P2" s="3">
        <f ca="1">IFERROR(__xludf.DUMMYFUNCTION("""COMPUTED_VALUE"""),0.781)</f>
        <v>0.78100000000000003</v>
      </c>
      <c r="Q2" s="2" t="str">
        <f ca="1">IFERROR(__xludf.DUMMYFUNCTION("""COMPUTED_VALUE"""),"0/0")</f>
        <v>0/0</v>
      </c>
      <c r="R2" s="2">
        <f ca="1">IFERROR(__xludf.DUMMYFUNCTION("""COMPUTED_VALUE"""),4.1)</f>
        <v>4.0999999999999996</v>
      </c>
    </row>
    <row r="3" spans="1:18" x14ac:dyDescent="0.2">
      <c r="A3" s="2" t="str">
        <f ca="1">IFERROR(__xludf.DUMMYFUNCTION("""COMPUTED_VALUE"""),"L.Jackson")</f>
        <v>L.Jackson</v>
      </c>
      <c r="B3" s="2" t="str">
        <f ca="1">IFERROR(__xludf.DUMMYFUNCTION("""COMPUTED_VALUE"""),"BAL")</f>
        <v>BAL</v>
      </c>
      <c r="C3" s="2">
        <f ca="1">IFERROR(__xludf.DUMMYFUNCTION("""COMPUTED_VALUE"""),204)</f>
        <v>204</v>
      </c>
      <c r="D3" s="2">
        <f ca="1">IFERROR(__xludf.DUMMYFUNCTION("""COMPUTED_VALUE"""),2)</f>
        <v>2</v>
      </c>
      <c r="E3" s="3">
        <f ca="1">IFERROR(__xludf.DUMMYFUNCTION("""COMPUTED_VALUE"""),1.241)</f>
        <v>1.2410000000000001</v>
      </c>
      <c r="F3" s="2">
        <f ca="1">IFERROR(__xludf.DUMMYFUNCTION("""COMPUTED_VALUE"""),1)</f>
        <v>1</v>
      </c>
      <c r="G3" s="2" t="str">
        <f ca="1">IFERROR(__xludf.DUMMYFUNCTION("""COMPUTED_VALUE"""),"")</f>
        <v/>
      </c>
      <c r="H3" s="2" t="str">
        <f ca="1">IFERROR(__xludf.DUMMYFUNCTION("""COMPUTED_VALUE"""),"--")</f>
        <v>--</v>
      </c>
      <c r="I3" s="2">
        <f ca="1">IFERROR(__xludf.DUMMYFUNCTION("""COMPUTED_VALUE"""),21)</f>
        <v>21</v>
      </c>
      <c r="J3" s="2">
        <f ca="1">IFERROR(__xludf.DUMMYFUNCTION("""COMPUTED_VALUE"""),323)</f>
        <v>323</v>
      </c>
      <c r="K3" s="2">
        <f ca="1">IFERROR(__xludf.DUMMYFUNCTION("""COMPUTED_VALUE"""),399)</f>
        <v>399</v>
      </c>
      <c r="L3" s="2">
        <f ca="1">IFERROR(__xludf.DUMMYFUNCTION("""COMPUTED_VALUE"""),5)</f>
        <v>5</v>
      </c>
      <c r="M3" s="2">
        <f ca="1">IFERROR(__xludf.DUMMYFUNCTION("""COMPUTED_VALUE"""),0)</f>
        <v>0</v>
      </c>
      <c r="N3" s="2">
        <f ca="1">IFERROR(__xludf.DUMMYFUNCTION("""COMPUTED_VALUE"""),0)</f>
        <v>0</v>
      </c>
      <c r="O3" s="2">
        <f ca="1">IFERROR(__xludf.DUMMYFUNCTION("""COMPUTED_VALUE"""),0)</f>
        <v>0</v>
      </c>
      <c r="P3" s="3">
        <f ca="1">IFERROR(__xludf.DUMMYFUNCTION("""COMPUTED_VALUE"""),0.85)</f>
        <v>0.85</v>
      </c>
      <c r="Q3" s="2" t="str">
        <f ca="1">IFERROR(__xludf.DUMMYFUNCTION("""COMPUTED_VALUE"""),"0/0")</f>
        <v>0/0</v>
      </c>
      <c r="R3" s="2">
        <f ca="1">IFERROR(__xludf.DUMMYFUNCTION("""COMPUTED_VALUE"""),4.7)</f>
        <v>4.7</v>
      </c>
    </row>
    <row r="4" spans="1:18" x14ac:dyDescent="0.2">
      <c r="A4" s="2" t="str">
        <f ca="1">IFERROR(__xludf.DUMMYFUNCTION("""COMPUTED_VALUE"""),"P.Mahomes")</f>
        <v>P.Mahomes</v>
      </c>
      <c r="B4" s="2" t="str">
        <f ca="1">IFERROR(__xludf.DUMMYFUNCTION("""COMPUTED_VALUE"""),"KC")</f>
        <v>KC</v>
      </c>
      <c r="C4" s="2">
        <f ca="1">IFERROR(__xludf.DUMMYFUNCTION("""COMPUTED_VALUE"""),174)</f>
        <v>174</v>
      </c>
      <c r="D4" s="2">
        <f ca="1">IFERROR(__xludf.DUMMYFUNCTION("""COMPUTED_VALUE"""),3)</f>
        <v>3</v>
      </c>
      <c r="E4" s="3">
        <f ca="1">IFERROR(__xludf.DUMMYFUNCTION("""COMPUTED_VALUE"""),0.604)</f>
        <v>0.60399999999999998</v>
      </c>
      <c r="F4" s="2">
        <f ca="1">IFERROR(__xludf.DUMMYFUNCTION("""COMPUTED_VALUE"""),4)</f>
        <v>4</v>
      </c>
      <c r="G4" s="2" t="str">
        <f ca="1">IFERROR(__xludf.DUMMYFUNCTION("""COMPUTED_VALUE"""),"")</f>
        <v/>
      </c>
      <c r="H4" s="2" t="str">
        <f ca="1">IFERROR(__xludf.DUMMYFUNCTION("""COMPUTED_VALUE"""),"--")</f>
        <v>--</v>
      </c>
      <c r="I4" s="2">
        <f ca="1">IFERROR(__xludf.DUMMYFUNCTION("""COMPUTED_VALUE"""),33)</f>
        <v>33</v>
      </c>
      <c r="J4" s="2">
        <f ca="1">IFERROR(__xludf.DUMMYFUNCTION("""COMPUTED_VALUE"""),378)</f>
        <v>378</v>
      </c>
      <c r="K4" s="2">
        <f ca="1">IFERROR(__xludf.DUMMYFUNCTION("""COMPUTED_VALUE"""),432)</f>
        <v>432</v>
      </c>
      <c r="L4" s="2">
        <f ca="1">IFERROR(__xludf.DUMMYFUNCTION("""COMPUTED_VALUE"""),3)</f>
        <v>3</v>
      </c>
      <c r="M4" s="2">
        <f ca="1">IFERROR(__xludf.DUMMYFUNCTION("""COMPUTED_VALUE"""),0)</f>
        <v>0</v>
      </c>
      <c r="N4" s="2">
        <f ca="1">IFERROR(__xludf.DUMMYFUNCTION("""COMPUTED_VALUE"""),0)</f>
        <v>0</v>
      </c>
      <c r="O4" s="2">
        <f ca="1">IFERROR(__xludf.DUMMYFUNCTION("""COMPUTED_VALUE"""),0)</f>
        <v>0</v>
      </c>
      <c r="P4" s="3">
        <f ca="1">IFERROR(__xludf.DUMMYFUNCTION("""COMPUTED_VALUE"""),0.758)</f>
        <v>0.75800000000000001</v>
      </c>
      <c r="Q4" s="2" t="str">
        <f ca="1">IFERROR(__xludf.DUMMYFUNCTION("""COMPUTED_VALUE"""),"0/0")</f>
        <v>0/0</v>
      </c>
      <c r="R4" s="2">
        <f ca="1">IFERROR(__xludf.DUMMYFUNCTION("""COMPUTED_VALUE"""),-1.7)</f>
        <v>-1.7</v>
      </c>
    </row>
    <row r="5" spans="1:18" x14ac:dyDescent="0.2">
      <c r="A5" s="2" t="str">
        <f ca="1">IFERROR(__xludf.DUMMYFUNCTION("""COMPUTED_VALUE"""),"C.Keenum")</f>
        <v>C.Keenum</v>
      </c>
      <c r="B5" s="2" t="str">
        <f ca="1">IFERROR(__xludf.DUMMYFUNCTION("""COMPUTED_VALUE"""),"WAS")</f>
        <v>WAS</v>
      </c>
      <c r="C5" s="2">
        <f ca="1">IFERROR(__xludf.DUMMYFUNCTION("""COMPUTED_VALUE"""),151)</f>
        <v>151</v>
      </c>
      <c r="D5" s="2">
        <f ca="1">IFERROR(__xludf.DUMMYFUNCTION("""COMPUTED_VALUE"""),4)</f>
        <v>4</v>
      </c>
      <c r="E5" s="3">
        <f ca="1">IFERROR(__xludf.DUMMYFUNCTION("""COMPUTED_VALUE"""),0.503)</f>
        <v>0.503</v>
      </c>
      <c r="F5" s="2">
        <f ca="1">IFERROR(__xludf.DUMMYFUNCTION("""COMPUTED_VALUE"""),5)</f>
        <v>5</v>
      </c>
      <c r="G5" s="2" t="str">
        <f ca="1">IFERROR(__xludf.DUMMYFUNCTION("""COMPUTED_VALUE"""),"")</f>
        <v/>
      </c>
      <c r="H5" s="2" t="str">
        <f ca="1">IFERROR(__xludf.DUMMYFUNCTION("""COMPUTED_VALUE"""),"--")</f>
        <v>--</v>
      </c>
      <c r="I5" s="2">
        <f ca="1">IFERROR(__xludf.DUMMYFUNCTION("""COMPUTED_VALUE"""),44)</f>
        <v>44</v>
      </c>
      <c r="J5" s="2">
        <f ca="1">IFERROR(__xludf.DUMMYFUNCTION("""COMPUTED_VALUE"""),370)</f>
        <v>370</v>
      </c>
      <c r="K5" s="2">
        <f ca="1">IFERROR(__xludf.DUMMYFUNCTION("""COMPUTED_VALUE"""),403)</f>
        <v>403</v>
      </c>
      <c r="L5" s="2">
        <f ca="1">IFERROR(__xludf.DUMMYFUNCTION("""COMPUTED_VALUE"""),3)</f>
        <v>3</v>
      </c>
      <c r="M5" s="2">
        <f ca="1">IFERROR(__xludf.DUMMYFUNCTION("""COMPUTED_VALUE"""),0)</f>
        <v>0</v>
      </c>
      <c r="N5" s="2">
        <f ca="1">IFERROR(__xludf.DUMMYFUNCTION("""COMPUTED_VALUE"""),0)</f>
        <v>0</v>
      </c>
      <c r="O5" s="2">
        <f ca="1">IFERROR(__xludf.DUMMYFUNCTION("""COMPUTED_VALUE"""),0)</f>
        <v>0</v>
      </c>
      <c r="P5" s="3">
        <f ca="1">IFERROR(__xludf.DUMMYFUNCTION("""COMPUTED_VALUE"""),0.698)</f>
        <v>0.69799999999999995</v>
      </c>
      <c r="Q5" s="2" t="str">
        <f ca="1">IFERROR(__xludf.DUMMYFUNCTION("""COMPUTED_VALUE"""),"0/0")</f>
        <v>0/0</v>
      </c>
      <c r="R5" s="2">
        <f ca="1">IFERROR(__xludf.DUMMYFUNCTION("""COMPUTED_VALUE"""),-2.9)</f>
        <v>-2.9</v>
      </c>
    </row>
    <row r="6" spans="1:18" x14ac:dyDescent="0.2">
      <c r="A6" s="2" t="str">
        <f ca="1">IFERROR(__xludf.DUMMYFUNCTION("""COMPUTED_VALUE"""),"D.Carr")</f>
        <v>D.Carr</v>
      </c>
      <c r="B6" s="2" t="str">
        <f ca="1">IFERROR(__xludf.DUMMYFUNCTION("""COMPUTED_VALUE"""),"OAK")</f>
        <v>OAK</v>
      </c>
      <c r="C6" s="2">
        <f ca="1">IFERROR(__xludf.DUMMYFUNCTION("""COMPUTED_VALUE"""),141)</f>
        <v>141</v>
      </c>
      <c r="D6" s="2">
        <f ca="1">IFERROR(__xludf.DUMMYFUNCTION("""COMPUTED_VALUE"""),5)</f>
        <v>5</v>
      </c>
      <c r="E6" s="3">
        <f ca="1">IFERROR(__xludf.DUMMYFUNCTION("""COMPUTED_VALUE"""),0.751)</f>
        <v>0.751</v>
      </c>
      <c r="F6" s="2">
        <f ca="1">IFERROR(__xludf.DUMMYFUNCTION("""COMPUTED_VALUE"""),3)</f>
        <v>3</v>
      </c>
      <c r="G6" s="2" t="str">
        <f ca="1">IFERROR(__xludf.DUMMYFUNCTION("""COMPUTED_VALUE"""),"")</f>
        <v/>
      </c>
      <c r="H6" s="2" t="str">
        <f ca="1">IFERROR(__xludf.DUMMYFUNCTION("""COMPUTED_VALUE"""),"--")</f>
        <v>--</v>
      </c>
      <c r="I6" s="2">
        <f ca="1">IFERROR(__xludf.DUMMYFUNCTION("""COMPUTED_VALUE"""),26)</f>
        <v>26</v>
      </c>
      <c r="J6" s="2">
        <f ca="1">IFERROR(__xludf.DUMMYFUNCTION("""COMPUTED_VALUE"""),259)</f>
        <v>259</v>
      </c>
      <c r="K6" s="2">
        <f ca="1">IFERROR(__xludf.DUMMYFUNCTION("""COMPUTED_VALUE"""),324)</f>
        <v>324</v>
      </c>
      <c r="L6" s="2">
        <f ca="1">IFERROR(__xludf.DUMMYFUNCTION("""COMPUTED_VALUE"""),1)</f>
        <v>1</v>
      </c>
      <c r="M6" s="2">
        <f ca="1">IFERROR(__xludf.DUMMYFUNCTION("""COMPUTED_VALUE"""),0)</f>
        <v>0</v>
      </c>
      <c r="N6" s="2">
        <f ca="1">IFERROR(__xludf.DUMMYFUNCTION("""COMPUTED_VALUE"""),0)</f>
        <v>0</v>
      </c>
      <c r="O6" s="2">
        <f ca="1">IFERROR(__xludf.DUMMYFUNCTION("""COMPUTED_VALUE"""),0)</f>
        <v>0</v>
      </c>
      <c r="P6" s="3">
        <f ca="1">IFERROR(__xludf.DUMMYFUNCTION("""COMPUTED_VALUE"""),0.846)</f>
        <v>0.84599999999999997</v>
      </c>
      <c r="Q6" s="2" t="str">
        <f ca="1">IFERROR(__xludf.DUMMYFUNCTION("""COMPUTED_VALUE"""),"0/0")</f>
        <v>0/0</v>
      </c>
      <c r="R6" s="2">
        <f ca="1">IFERROR(__xludf.DUMMYFUNCTION("""COMPUTED_VALUE"""),4.1)</f>
        <v>4.0999999999999996</v>
      </c>
    </row>
    <row r="7" spans="1:18" x14ac:dyDescent="0.2">
      <c r="A7" s="2" t="str">
        <f ca="1">IFERROR(__xludf.DUMMYFUNCTION("""COMPUTED_VALUE"""),"T.Brady")</f>
        <v>T.Brady</v>
      </c>
      <c r="B7" s="2" t="str">
        <f ca="1">IFERROR(__xludf.DUMMYFUNCTION("""COMPUTED_VALUE"""),"NE")</f>
        <v>NE</v>
      </c>
      <c r="C7" s="2">
        <f ca="1">IFERROR(__xludf.DUMMYFUNCTION("""COMPUTED_VALUE"""),139)</f>
        <v>139</v>
      </c>
      <c r="D7" s="2">
        <f ca="1">IFERROR(__xludf.DUMMYFUNCTION("""COMPUTED_VALUE"""),6)</f>
        <v>6</v>
      </c>
      <c r="E7" s="3">
        <f ca="1">IFERROR(__xludf.DUMMYFUNCTION("""COMPUTED_VALUE"""),0.493)</f>
        <v>0.49299999999999999</v>
      </c>
      <c r="F7" s="2">
        <f ca="1">IFERROR(__xludf.DUMMYFUNCTION("""COMPUTED_VALUE"""),6)</f>
        <v>6</v>
      </c>
      <c r="G7" s="2" t="str">
        <f ca="1">IFERROR(__xludf.DUMMYFUNCTION("""COMPUTED_VALUE"""),"")</f>
        <v/>
      </c>
      <c r="H7" s="2" t="str">
        <f ca="1">IFERROR(__xludf.DUMMYFUNCTION("""COMPUTED_VALUE"""),"--")</f>
        <v>--</v>
      </c>
      <c r="I7" s="2">
        <f ca="1">IFERROR(__xludf.DUMMYFUNCTION("""COMPUTED_VALUE"""),37)</f>
        <v>37</v>
      </c>
      <c r="J7" s="2">
        <f ca="1">IFERROR(__xludf.DUMMYFUNCTION("""COMPUTED_VALUE"""),334)</f>
        <v>334</v>
      </c>
      <c r="K7" s="2">
        <f ca="1">IFERROR(__xludf.DUMMYFUNCTION("""COMPUTED_VALUE"""),373)</f>
        <v>373</v>
      </c>
      <c r="L7" s="2">
        <f ca="1">IFERROR(__xludf.DUMMYFUNCTION("""COMPUTED_VALUE"""),3)</f>
        <v>3</v>
      </c>
      <c r="M7" s="2">
        <f ca="1">IFERROR(__xludf.DUMMYFUNCTION("""COMPUTED_VALUE"""),0)</f>
        <v>0</v>
      </c>
      <c r="N7" s="2">
        <f ca="1">IFERROR(__xludf.DUMMYFUNCTION("""COMPUTED_VALUE"""),0)</f>
        <v>0</v>
      </c>
      <c r="O7" s="2">
        <f ca="1">IFERROR(__xludf.DUMMYFUNCTION("""COMPUTED_VALUE"""),0)</f>
        <v>0</v>
      </c>
      <c r="P7" s="3">
        <f ca="1">IFERROR(__xludf.DUMMYFUNCTION("""COMPUTED_VALUE"""),0.667)</f>
        <v>0.66700000000000004</v>
      </c>
      <c r="Q7" s="4">
        <f ca="1">IFERROR(__xludf.DUMMYFUNCTION("""COMPUTED_VALUE"""),43474)</f>
        <v>43474</v>
      </c>
      <c r="R7" s="2">
        <f ca="1">IFERROR(__xludf.DUMMYFUNCTION("""COMPUTED_VALUE"""),2.5)</f>
        <v>2.5</v>
      </c>
    </row>
    <row r="8" spans="1:18" x14ac:dyDescent="0.2">
      <c r="A8" s="2" t="str">
        <f ca="1">IFERROR(__xludf.DUMMYFUNCTION("""COMPUTED_VALUE"""),"C.Wentz")</f>
        <v>C.Wentz</v>
      </c>
      <c r="B8" s="2" t="str">
        <f ca="1">IFERROR(__xludf.DUMMYFUNCTION("""COMPUTED_VALUE"""),"PHI")</f>
        <v>PHI</v>
      </c>
      <c r="C8" s="2">
        <f ca="1">IFERROR(__xludf.DUMMYFUNCTION("""COMPUTED_VALUE"""),119)</f>
        <v>119</v>
      </c>
      <c r="D8" s="2">
        <f ca="1">IFERROR(__xludf.DUMMYFUNCTION("""COMPUTED_VALUE"""),7)</f>
        <v>7</v>
      </c>
      <c r="E8" s="3">
        <f ca="1">IFERROR(__xludf.DUMMYFUNCTION("""COMPUTED_VALUE"""),0.362)</f>
        <v>0.36199999999999999</v>
      </c>
      <c r="F8" s="2">
        <f ca="1">IFERROR(__xludf.DUMMYFUNCTION("""COMPUTED_VALUE"""),8)</f>
        <v>8</v>
      </c>
      <c r="G8" s="2" t="str">
        <f ca="1">IFERROR(__xludf.DUMMYFUNCTION("""COMPUTED_VALUE"""),"")</f>
        <v/>
      </c>
      <c r="H8" s="2" t="str">
        <f ca="1">IFERROR(__xludf.DUMMYFUNCTION("""COMPUTED_VALUE"""),"--")</f>
        <v>--</v>
      </c>
      <c r="I8" s="2">
        <f ca="1">IFERROR(__xludf.DUMMYFUNCTION("""COMPUTED_VALUE"""),40)</f>
        <v>40</v>
      </c>
      <c r="J8" s="2">
        <f ca="1">IFERROR(__xludf.DUMMYFUNCTION("""COMPUTED_VALUE"""),313)</f>
        <v>313</v>
      </c>
      <c r="K8" s="2">
        <f ca="1">IFERROR(__xludf.DUMMYFUNCTION("""COMPUTED_VALUE"""),363)</f>
        <v>363</v>
      </c>
      <c r="L8" s="2">
        <f ca="1">IFERROR(__xludf.DUMMYFUNCTION("""COMPUTED_VALUE"""),3)</f>
        <v>3</v>
      </c>
      <c r="M8" s="2">
        <f ca="1">IFERROR(__xludf.DUMMYFUNCTION("""COMPUTED_VALUE"""),0)</f>
        <v>0</v>
      </c>
      <c r="N8" s="2">
        <f ca="1">IFERROR(__xludf.DUMMYFUNCTION("""COMPUTED_VALUE"""),0)</f>
        <v>0</v>
      </c>
      <c r="O8" s="2">
        <f ca="1">IFERROR(__xludf.DUMMYFUNCTION("""COMPUTED_VALUE"""),0)</f>
        <v>0</v>
      </c>
      <c r="P8" s="3">
        <f ca="1">IFERROR(__xludf.DUMMYFUNCTION("""COMPUTED_VALUE"""),0.718)</f>
        <v>0.71799999999999997</v>
      </c>
      <c r="Q8" s="2" t="str">
        <f ca="1">IFERROR(__xludf.DUMMYFUNCTION("""COMPUTED_VALUE"""),"0/0")</f>
        <v>0/0</v>
      </c>
      <c r="R8" s="2">
        <f ca="1">IFERROR(__xludf.DUMMYFUNCTION("""COMPUTED_VALUE"""),6.8)</f>
        <v>6.8</v>
      </c>
    </row>
    <row r="9" spans="1:18" x14ac:dyDescent="0.2">
      <c r="A9" s="2" t="str">
        <f ca="1">IFERROR(__xludf.DUMMYFUNCTION("""COMPUTED_VALUE"""),"D.Brees")</f>
        <v>D.Brees</v>
      </c>
      <c r="B9" s="2" t="str">
        <f ca="1">IFERROR(__xludf.DUMMYFUNCTION("""COMPUTED_VALUE"""),"NO")</f>
        <v>NO</v>
      </c>
      <c r="C9" s="2">
        <f ca="1">IFERROR(__xludf.DUMMYFUNCTION("""COMPUTED_VALUE"""),105)</f>
        <v>105</v>
      </c>
      <c r="D9" s="2">
        <f ca="1">IFERROR(__xludf.DUMMYFUNCTION("""COMPUTED_VALUE"""),8)</f>
        <v>8</v>
      </c>
      <c r="E9" s="3">
        <f ca="1">IFERROR(__xludf.DUMMYFUNCTION("""COMPUTED_VALUE"""),0.258)</f>
        <v>0.25800000000000001</v>
      </c>
      <c r="F9" s="2">
        <f ca="1">IFERROR(__xludf.DUMMYFUNCTION("""COMPUTED_VALUE"""),9)</f>
        <v>9</v>
      </c>
      <c r="G9" s="2" t="str">
        <f ca="1">IFERROR(__xludf.DUMMYFUNCTION("""COMPUTED_VALUE"""),"")</f>
        <v/>
      </c>
      <c r="H9" s="2" t="str">
        <f ca="1">IFERROR(__xludf.DUMMYFUNCTION("""COMPUTED_VALUE"""),"--")</f>
        <v>--</v>
      </c>
      <c r="I9" s="2">
        <f ca="1">IFERROR(__xludf.DUMMYFUNCTION("""COMPUTED_VALUE"""),42)</f>
        <v>42</v>
      </c>
      <c r="J9" s="2">
        <f ca="1">IFERROR(__xludf.DUMMYFUNCTION("""COMPUTED_VALUE"""),362)</f>
        <v>362</v>
      </c>
      <c r="K9" s="2">
        <f ca="1">IFERROR(__xludf.DUMMYFUNCTION("""COMPUTED_VALUE"""),372)</f>
        <v>372</v>
      </c>
      <c r="L9" s="2">
        <f ca="1">IFERROR(__xludf.DUMMYFUNCTION("""COMPUTED_VALUE"""),2)</f>
        <v>2</v>
      </c>
      <c r="M9" s="2">
        <f ca="1">IFERROR(__xludf.DUMMYFUNCTION("""COMPUTED_VALUE"""),0)</f>
        <v>0</v>
      </c>
      <c r="N9" s="2">
        <f ca="1">IFERROR(__xludf.DUMMYFUNCTION("""COMPUTED_VALUE"""),0)</f>
        <v>0</v>
      </c>
      <c r="O9" s="2">
        <f ca="1">IFERROR(__xludf.DUMMYFUNCTION("""COMPUTED_VALUE"""),1)</f>
        <v>1</v>
      </c>
      <c r="P9" s="3">
        <f ca="1">IFERROR(__xludf.DUMMYFUNCTION("""COMPUTED_VALUE"""),0.78)</f>
        <v>0.78</v>
      </c>
      <c r="Q9" s="2" t="str">
        <f ca="1">IFERROR(__xludf.DUMMYFUNCTION("""COMPUTED_VALUE"""),"0/0")</f>
        <v>0/0</v>
      </c>
      <c r="R9" s="2">
        <f ca="1">IFERROR(__xludf.DUMMYFUNCTION("""COMPUTED_VALUE"""),6.6)</f>
        <v>6.6</v>
      </c>
    </row>
    <row r="10" spans="1:18" x14ac:dyDescent="0.2">
      <c r="A10" s="2" t="str">
        <f ca="1">IFERROR(__xludf.DUMMYFUNCTION("""COMPUTED_VALUE"""),"M.Stafford")</f>
        <v>M.Stafford</v>
      </c>
      <c r="B10" s="2" t="str">
        <f ca="1">IFERROR(__xludf.DUMMYFUNCTION("""COMPUTED_VALUE"""),"DET")</f>
        <v>DET</v>
      </c>
      <c r="C10" s="2">
        <f ca="1">IFERROR(__xludf.DUMMYFUNCTION("""COMPUTED_VALUE"""),85)</f>
        <v>85</v>
      </c>
      <c r="D10" s="2">
        <f ca="1">IFERROR(__xludf.DUMMYFUNCTION("""COMPUTED_VALUE"""),9)</f>
        <v>9</v>
      </c>
      <c r="E10" s="3">
        <f ca="1">IFERROR(__xludf.DUMMYFUNCTION("""COMPUTED_VALUE"""),0.198)</f>
        <v>0.19800000000000001</v>
      </c>
      <c r="F10" s="2">
        <f ca="1">IFERROR(__xludf.DUMMYFUNCTION("""COMPUTED_VALUE"""),10)</f>
        <v>10</v>
      </c>
      <c r="G10" s="2" t="str">
        <f ca="1">IFERROR(__xludf.DUMMYFUNCTION("""COMPUTED_VALUE"""),"")</f>
        <v/>
      </c>
      <c r="H10" s="2" t="str">
        <f ca="1">IFERROR(__xludf.DUMMYFUNCTION("""COMPUTED_VALUE"""),"--")</f>
        <v>--</v>
      </c>
      <c r="I10" s="2">
        <f ca="1">IFERROR(__xludf.DUMMYFUNCTION("""COMPUTED_VALUE"""),46)</f>
        <v>46</v>
      </c>
      <c r="J10" s="2">
        <f ca="1">IFERROR(__xludf.DUMMYFUNCTION("""COMPUTED_VALUE"""),359)</f>
        <v>359</v>
      </c>
      <c r="K10" s="2">
        <f ca="1">IFERROR(__xludf.DUMMYFUNCTION("""COMPUTED_VALUE"""),338)</f>
        <v>338</v>
      </c>
      <c r="L10" s="2">
        <f ca="1">IFERROR(__xludf.DUMMYFUNCTION("""COMPUTED_VALUE"""),3)</f>
        <v>3</v>
      </c>
      <c r="M10" s="2">
        <f ca="1">IFERROR(__xludf.DUMMYFUNCTION("""COMPUTED_VALUE"""),1)</f>
        <v>1</v>
      </c>
      <c r="N10" s="2">
        <f ca="1">IFERROR(__xludf.DUMMYFUNCTION("""COMPUTED_VALUE"""),1)</f>
        <v>1</v>
      </c>
      <c r="O10" s="2">
        <f ca="1">IFERROR(__xludf.DUMMYFUNCTION("""COMPUTED_VALUE"""),0)</f>
        <v>0</v>
      </c>
      <c r="P10" s="3">
        <f ca="1">IFERROR(__xludf.DUMMYFUNCTION("""COMPUTED_VALUE"""),0.628)</f>
        <v>0.628</v>
      </c>
      <c r="Q10" s="2" t="str">
        <f ca="1">IFERROR(__xludf.DUMMYFUNCTION("""COMPUTED_VALUE"""),"0/0")</f>
        <v>0/0</v>
      </c>
      <c r="R10" s="2">
        <f ca="1">IFERROR(__xludf.DUMMYFUNCTION("""COMPUTED_VALUE"""),5.6)</f>
        <v>5.6</v>
      </c>
    </row>
    <row r="11" spans="1:18" x14ac:dyDescent="0.2">
      <c r="A11" s="2" t="str">
        <f ca="1">IFERROR(__xludf.DUMMYFUNCTION("""COMPUTED_VALUE"""),"G.Minshew")</f>
        <v>G.Minshew</v>
      </c>
      <c r="B11" s="2" t="str">
        <f ca="1">IFERROR(__xludf.DUMMYFUNCTION("""COMPUTED_VALUE"""),"JAX")</f>
        <v>JAX</v>
      </c>
      <c r="C11" s="2">
        <f ca="1">IFERROR(__xludf.DUMMYFUNCTION("""COMPUTED_VALUE"""),82)</f>
        <v>82</v>
      </c>
      <c r="D11" s="2">
        <f ca="1">IFERROR(__xludf.DUMMYFUNCTION("""COMPUTED_VALUE"""),10)</f>
        <v>10</v>
      </c>
      <c r="E11" s="3">
        <f ca="1">IFERROR(__xludf.DUMMYFUNCTION("""COMPUTED_VALUE"""),0.388)</f>
        <v>0.38800000000000001</v>
      </c>
      <c r="F11" s="2">
        <f ca="1">IFERROR(__xludf.DUMMYFUNCTION("""COMPUTED_VALUE"""),7)</f>
        <v>7</v>
      </c>
      <c r="G11" s="2" t="str">
        <f ca="1">IFERROR(__xludf.DUMMYFUNCTION("""COMPUTED_VALUE"""),"")</f>
        <v/>
      </c>
      <c r="H11" s="2" t="str">
        <f ca="1">IFERROR(__xludf.DUMMYFUNCTION("""COMPUTED_VALUE"""),"--")</f>
        <v>--</v>
      </c>
      <c r="I11" s="2">
        <f ca="1">IFERROR(__xludf.DUMMYFUNCTION("""COMPUTED_VALUE"""),26)</f>
        <v>26</v>
      </c>
      <c r="J11" s="2">
        <f ca="1">IFERROR(__xludf.DUMMYFUNCTION("""COMPUTED_VALUE"""),272)</f>
        <v>272</v>
      </c>
      <c r="K11" s="2">
        <f ca="1">IFERROR(__xludf.DUMMYFUNCTION("""COMPUTED_VALUE"""),242)</f>
        <v>242</v>
      </c>
      <c r="L11" s="2">
        <f ca="1">IFERROR(__xludf.DUMMYFUNCTION("""COMPUTED_VALUE"""),2)</f>
        <v>2</v>
      </c>
      <c r="M11" s="2">
        <f ca="1">IFERROR(__xludf.DUMMYFUNCTION("""COMPUTED_VALUE"""),0)</f>
        <v>0</v>
      </c>
      <c r="N11" s="2">
        <f ca="1">IFERROR(__xludf.DUMMYFUNCTION("""COMPUTED_VALUE"""),0)</f>
        <v>0</v>
      </c>
      <c r="O11" s="2">
        <f ca="1">IFERROR(__xludf.DUMMYFUNCTION("""COMPUTED_VALUE"""),1)</f>
        <v>1</v>
      </c>
      <c r="P11" s="3">
        <f ca="1">IFERROR(__xludf.DUMMYFUNCTION("""COMPUTED_VALUE"""),0.88)</f>
        <v>0.88</v>
      </c>
      <c r="Q11" s="2" t="str">
        <f ca="1">IFERROR(__xludf.DUMMYFUNCTION("""COMPUTED_VALUE"""),"0/0")</f>
        <v>0/0</v>
      </c>
      <c r="R11" s="2">
        <f ca="1">IFERROR(__xludf.DUMMYFUNCTION("""COMPUTED_VALUE"""),-0.8)</f>
        <v>-0.8</v>
      </c>
    </row>
    <row r="12" spans="1:18" x14ac:dyDescent="0.2">
      <c r="A12" s="2" t="str">
        <f ca="1">IFERROR(__xludf.DUMMYFUNCTION("""COMPUTED_VALUE"""),"D.Watson")</f>
        <v>D.Watson</v>
      </c>
      <c r="B12" s="2" t="str">
        <f ca="1">IFERROR(__xludf.DUMMYFUNCTION("""COMPUTED_VALUE"""),"HOU")</f>
        <v>HOU</v>
      </c>
      <c r="C12" s="2">
        <f ca="1">IFERROR(__xludf.DUMMYFUNCTION("""COMPUTED_VALUE"""),51)</f>
        <v>51</v>
      </c>
      <c r="D12" s="2">
        <f ca="1">IFERROR(__xludf.DUMMYFUNCTION("""COMPUTED_VALUE"""),11)</f>
        <v>11</v>
      </c>
      <c r="E12" s="3">
        <f ca="1">IFERROR(__xludf.DUMMYFUNCTION("""COMPUTED_VALUE"""),0.141)</f>
        <v>0.14099999999999999</v>
      </c>
      <c r="F12" s="2">
        <f ca="1">IFERROR(__xludf.DUMMYFUNCTION("""COMPUTED_VALUE"""),11)</f>
        <v>11</v>
      </c>
      <c r="G12" s="2" t="str">
        <f ca="1">IFERROR(__xludf.DUMMYFUNCTION("""COMPUTED_VALUE"""),"")</f>
        <v/>
      </c>
      <c r="H12" s="2" t="str">
        <f ca="1">IFERROR(__xludf.DUMMYFUNCTION("""COMPUTED_VALUE"""),"--")</f>
        <v>--</v>
      </c>
      <c r="I12" s="2">
        <f ca="1">IFERROR(__xludf.DUMMYFUNCTION("""COMPUTED_VALUE"""),36)</f>
        <v>36</v>
      </c>
      <c r="J12" s="2">
        <f ca="1">IFERROR(__xludf.DUMMYFUNCTION("""COMPUTED_VALUE"""),234)</f>
        <v>234</v>
      </c>
      <c r="K12" s="2">
        <f ca="1">IFERROR(__xludf.DUMMYFUNCTION("""COMPUTED_VALUE"""),231)</f>
        <v>231</v>
      </c>
      <c r="L12" s="2">
        <f ca="1">IFERROR(__xludf.DUMMYFUNCTION("""COMPUTED_VALUE"""),3)</f>
        <v>3</v>
      </c>
      <c r="M12" s="2">
        <f ca="1">IFERROR(__xludf.DUMMYFUNCTION("""COMPUTED_VALUE"""),0)</f>
        <v>0</v>
      </c>
      <c r="N12" s="2">
        <f ca="1">IFERROR(__xludf.DUMMYFUNCTION("""COMPUTED_VALUE"""),0)</f>
        <v>0</v>
      </c>
      <c r="O12" s="2">
        <f ca="1">IFERROR(__xludf.DUMMYFUNCTION("""COMPUTED_VALUE"""),1)</f>
        <v>1</v>
      </c>
      <c r="P12" s="3">
        <f ca="1">IFERROR(__xludf.DUMMYFUNCTION("""COMPUTED_VALUE"""),0.667)</f>
        <v>0.66700000000000004</v>
      </c>
      <c r="Q12" s="2" t="str">
        <f ca="1">IFERROR(__xludf.DUMMYFUNCTION("""COMPUTED_VALUE"""),"0/0")</f>
        <v>0/0</v>
      </c>
      <c r="R12" s="2">
        <f ca="1">IFERROR(__xludf.DUMMYFUNCTION("""COMPUTED_VALUE"""),3.7)</f>
        <v>3.7</v>
      </c>
    </row>
    <row r="13" spans="1:18" x14ac:dyDescent="0.2">
      <c r="A13" s="2" t="str">
        <f ca="1">IFERROR(__xludf.DUMMYFUNCTION("""COMPUTED_VALUE"""),"P.Rivers")</f>
        <v>P.Rivers</v>
      </c>
      <c r="B13" s="2" t="str">
        <f ca="1">IFERROR(__xludf.DUMMYFUNCTION("""COMPUTED_VALUE"""),"LAC")</f>
        <v>LAC</v>
      </c>
      <c r="C13" s="2">
        <f ca="1">IFERROR(__xludf.DUMMYFUNCTION("""COMPUTED_VALUE"""),40)</f>
        <v>40</v>
      </c>
      <c r="D13" s="2">
        <f ca="1">IFERROR(__xludf.DUMMYFUNCTION("""COMPUTED_VALUE"""),12)</f>
        <v>12</v>
      </c>
      <c r="E13" s="3">
        <f ca="1">IFERROR(__xludf.DUMMYFUNCTION("""COMPUTED_VALUE"""),0.051)</f>
        <v>5.0999999999999997E-2</v>
      </c>
      <c r="F13" s="2">
        <f ca="1">IFERROR(__xludf.DUMMYFUNCTION("""COMPUTED_VALUE"""),13)</f>
        <v>13</v>
      </c>
      <c r="G13" s="2" t="str">
        <f ca="1">IFERROR(__xludf.DUMMYFUNCTION("""COMPUTED_VALUE"""),"")</f>
        <v/>
      </c>
      <c r="H13" s="2" t="str">
        <f ca="1">IFERROR(__xludf.DUMMYFUNCTION("""COMPUTED_VALUE"""),"--")</f>
        <v>--</v>
      </c>
      <c r="I13" s="2">
        <f ca="1">IFERROR(__xludf.DUMMYFUNCTION("""COMPUTED_VALUE"""),38)</f>
        <v>38</v>
      </c>
      <c r="J13" s="2">
        <f ca="1">IFERROR(__xludf.DUMMYFUNCTION("""COMPUTED_VALUE"""),309)</f>
        <v>309</v>
      </c>
      <c r="K13" s="2">
        <f ca="1">IFERROR(__xludf.DUMMYFUNCTION("""COMPUTED_VALUE"""),255)</f>
        <v>255</v>
      </c>
      <c r="L13" s="2">
        <f ca="1">IFERROR(__xludf.DUMMYFUNCTION("""COMPUTED_VALUE"""),3)</f>
        <v>3</v>
      </c>
      <c r="M13" s="2">
        <f ca="1">IFERROR(__xludf.DUMMYFUNCTION("""COMPUTED_VALUE"""),1)</f>
        <v>1</v>
      </c>
      <c r="N13" s="2">
        <f ca="1">IFERROR(__xludf.DUMMYFUNCTION("""COMPUTED_VALUE"""),0)</f>
        <v>0</v>
      </c>
      <c r="O13" s="2">
        <f ca="1">IFERROR(__xludf.DUMMYFUNCTION("""COMPUTED_VALUE"""),1)</f>
        <v>1</v>
      </c>
      <c r="P13" s="3">
        <f ca="1">IFERROR(__xludf.DUMMYFUNCTION("""COMPUTED_VALUE"""),0.735)</f>
        <v>0.73499999999999999</v>
      </c>
      <c r="Q13" s="4">
        <f ca="1">IFERROR(__xludf.DUMMYFUNCTION("""COMPUTED_VALUE"""),43468)</f>
        <v>43468</v>
      </c>
      <c r="R13" s="2">
        <f ca="1">IFERROR(__xludf.DUMMYFUNCTION("""COMPUTED_VALUE"""),3.3)</f>
        <v>3.3</v>
      </c>
    </row>
    <row r="14" spans="1:18" x14ac:dyDescent="0.2">
      <c r="A14" s="2" t="str">
        <f ca="1">IFERROR(__xludf.DUMMYFUNCTION("""COMPUTED_VALUE"""),"J.Flacco")</f>
        <v>J.Flacco</v>
      </c>
      <c r="B14" s="2" t="str">
        <f ca="1">IFERROR(__xludf.DUMMYFUNCTION("""COMPUTED_VALUE"""),"DEN")</f>
        <v>DEN</v>
      </c>
      <c r="C14" s="2">
        <f ca="1">IFERROR(__xludf.DUMMYFUNCTION("""COMPUTED_VALUE"""),33)</f>
        <v>33</v>
      </c>
      <c r="D14" s="2">
        <f ca="1">IFERROR(__xludf.DUMMYFUNCTION("""COMPUTED_VALUE"""),13)</f>
        <v>13</v>
      </c>
      <c r="E14" s="3">
        <f ca="1">IFERROR(__xludf.DUMMYFUNCTION("""COMPUTED_VALUE"""),0.03)</f>
        <v>0.03</v>
      </c>
      <c r="F14" s="2">
        <f ca="1">IFERROR(__xludf.DUMMYFUNCTION("""COMPUTED_VALUE"""),15)</f>
        <v>15</v>
      </c>
      <c r="G14" s="2" t="str">
        <f ca="1">IFERROR(__xludf.DUMMYFUNCTION("""COMPUTED_VALUE"""),"")</f>
        <v/>
      </c>
      <c r="H14" s="2" t="str">
        <f ca="1">IFERROR(__xludf.DUMMYFUNCTION("""COMPUTED_VALUE"""),"--")</f>
        <v>--</v>
      </c>
      <c r="I14" s="2">
        <f ca="1">IFERROR(__xludf.DUMMYFUNCTION("""COMPUTED_VALUE"""),34)</f>
        <v>34</v>
      </c>
      <c r="J14" s="2">
        <f ca="1">IFERROR(__xludf.DUMMYFUNCTION("""COMPUTED_VALUE"""),249)</f>
        <v>249</v>
      </c>
      <c r="K14" s="2">
        <f ca="1">IFERROR(__xludf.DUMMYFUNCTION("""COMPUTED_VALUE"""),235)</f>
        <v>235</v>
      </c>
      <c r="L14" s="2">
        <f ca="1">IFERROR(__xludf.DUMMYFUNCTION("""COMPUTED_VALUE"""),1)</f>
        <v>1</v>
      </c>
      <c r="M14" s="2">
        <f ca="1">IFERROR(__xludf.DUMMYFUNCTION("""COMPUTED_VALUE"""),1)</f>
        <v>1</v>
      </c>
      <c r="N14" s="2">
        <f ca="1">IFERROR(__xludf.DUMMYFUNCTION("""COMPUTED_VALUE"""),0)</f>
        <v>0</v>
      </c>
      <c r="O14" s="2">
        <f ca="1">IFERROR(__xludf.DUMMYFUNCTION("""COMPUTED_VALUE"""),0)</f>
        <v>0</v>
      </c>
      <c r="P14" s="3">
        <f ca="1">IFERROR(__xludf.DUMMYFUNCTION("""COMPUTED_VALUE"""),0.677)</f>
        <v>0.67700000000000005</v>
      </c>
      <c r="Q14" s="4">
        <f ca="1">IFERROR(__xludf.DUMMYFUNCTION("""COMPUTED_VALUE"""),43480)</f>
        <v>43480</v>
      </c>
      <c r="R14" s="2">
        <f ca="1">IFERROR(__xludf.DUMMYFUNCTION("""COMPUTED_VALUE"""),1.3)</f>
        <v>1.3</v>
      </c>
    </row>
    <row r="15" spans="1:18" x14ac:dyDescent="0.2">
      <c r="A15" s="2" t="str">
        <f ca="1">IFERROR(__xludf.DUMMYFUNCTION("""COMPUTED_VALUE"""),"E.Manning")</f>
        <v>E.Manning</v>
      </c>
      <c r="B15" s="2" t="str">
        <f ca="1">IFERROR(__xludf.DUMMYFUNCTION("""COMPUTED_VALUE"""),"NYG")</f>
        <v>NYG</v>
      </c>
      <c r="C15" s="2">
        <f ca="1">IFERROR(__xludf.DUMMYFUNCTION("""COMPUTED_VALUE"""),30)</f>
        <v>30</v>
      </c>
      <c r="D15" s="2">
        <f ca="1">IFERROR(__xludf.DUMMYFUNCTION("""COMPUTED_VALUE"""),14)</f>
        <v>14</v>
      </c>
      <c r="E15" s="3">
        <f ca="1">IFERROR(__xludf.DUMMYFUNCTION("""COMPUTED_VALUE"""),-0.013)</f>
        <v>-1.2999999999999999E-2</v>
      </c>
      <c r="F15" s="2">
        <f ca="1">IFERROR(__xludf.DUMMYFUNCTION("""COMPUTED_VALUE"""),16)</f>
        <v>16</v>
      </c>
      <c r="G15" s="2" t="str">
        <f ca="1">IFERROR(__xludf.DUMMYFUNCTION("""COMPUTED_VALUE"""),"")</f>
        <v/>
      </c>
      <c r="H15" s="2" t="str">
        <f ca="1">IFERROR(__xludf.DUMMYFUNCTION("""COMPUTED_VALUE"""),"--")</f>
        <v>--</v>
      </c>
      <c r="I15" s="2">
        <f ca="1">IFERROR(__xludf.DUMMYFUNCTION("""COMPUTED_VALUE"""),45)</f>
        <v>45</v>
      </c>
      <c r="J15" s="2">
        <f ca="1">IFERROR(__xludf.DUMMYFUNCTION("""COMPUTED_VALUE"""),294)</f>
        <v>294</v>
      </c>
      <c r="K15" s="2">
        <f ca="1">IFERROR(__xludf.DUMMYFUNCTION("""COMPUTED_VALUE"""),289)</f>
        <v>289</v>
      </c>
      <c r="L15" s="2">
        <f ca="1">IFERROR(__xludf.DUMMYFUNCTION("""COMPUTED_VALUE"""),1)</f>
        <v>1</v>
      </c>
      <c r="M15" s="2">
        <f ca="1">IFERROR(__xludf.DUMMYFUNCTION("""COMPUTED_VALUE"""),0)</f>
        <v>0</v>
      </c>
      <c r="N15" s="2">
        <f ca="1">IFERROR(__xludf.DUMMYFUNCTION("""COMPUTED_VALUE"""),1)</f>
        <v>1</v>
      </c>
      <c r="O15" s="2">
        <f ca="1">IFERROR(__xludf.DUMMYFUNCTION("""COMPUTED_VALUE"""),0)</f>
        <v>0</v>
      </c>
      <c r="P15" s="3">
        <f ca="1">IFERROR(__xludf.DUMMYFUNCTION("""COMPUTED_VALUE"""),0.698)</f>
        <v>0.69799999999999995</v>
      </c>
      <c r="Q15" s="2" t="str">
        <f ca="1">IFERROR(__xludf.DUMMYFUNCTION("""COMPUTED_VALUE"""),"0/0")</f>
        <v>0/0</v>
      </c>
      <c r="R15" s="2">
        <f ca="1">IFERROR(__xludf.DUMMYFUNCTION("""COMPUTED_VALUE"""),-3.7)</f>
        <v>-3.7</v>
      </c>
    </row>
    <row r="16" spans="1:18" x14ac:dyDescent="0.2">
      <c r="A16" s="2" t="str">
        <f ca="1">IFERROR(__xludf.DUMMYFUNCTION("""COMPUTED_VALUE"""),"M.Mariota")</f>
        <v>M.Mariota</v>
      </c>
      <c r="B16" s="2" t="str">
        <f ca="1">IFERROR(__xludf.DUMMYFUNCTION("""COMPUTED_VALUE"""),"TEN")</f>
        <v>TEN</v>
      </c>
      <c r="C16" s="2">
        <f ca="1">IFERROR(__xludf.DUMMYFUNCTION("""COMPUTED_VALUE"""),29)</f>
        <v>29</v>
      </c>
      <c r="D16" s="2">
        <f ca="1">IFERROR(__xludf.DUMMYFUNCTION("""COMPUTED_VALUE"""),15)</f>
        <v>15</v>
      </c>
      <c r="E16" s="3">
        <f ca="1">IFERROR(__xludf.DUMMYFUNCTION("""COMPUTED_VALUE"""),0.062)</f>
        <v>6.2E-2</v>
      </c>
      <c r="F16" s="2">
        <f ca="1">IFERROR(__xludf.DUMMYFUNCTION("""COMPUTED_VALUE"""),12)</f>
        <v>12</v>
      </c>
      <c r="G16" s="2" t="str">
        <f ca="1">IFERROR(__xludf.DUMMYFUNCTION("""COMPUTED_VALUE"""),"")</f>
        <v/>
      </c>
      <c r="H16" s="2" t="str">
        <f ca="1">IFERROR(__xludf.DUMMYFUNCTION("""COMPUTED_VALUE"""),"--")</f>
        <v>--</v>
      </c>
      <c r="I16" s="2">
        <f ca="1">IFERROR(__xludf.DUMMYFUNCTION("""COMPUTED_VALUE"""),28)</f>
        <v>28</v>
      </c>
      <c r="J16" s="2">
        <f ca="1">IFERROR(__xludf.DUMMYFUNCTION("""COMPUTED_VALUE"""),216)</f>
        <v>216</v>
      </c>
      <c r="K16" s="2">
        <f ca="1">IFERROR(__xludf.DUMMYFUNCTION("""COMPUTED_VALUE"""),175)</f>
        <v>175</v>
      </c>
      <c r="L16" s="2">
        <f ca="1">IFERROR(__xludf.DUMMYFUNCTION("""COMPUTED_VALUE"""),3)</f>
        <v>3</v>
      </c>
      <c r="M16" s="2">
        <f ca="1">IFERROR(__xludf.DUMMYFUNCTION("""COMPUTED_VALUE"""),0)</f>
        <v>0</v>
      </c>
      <c r="N16" s="2">
        <f ca="1">IFERROR(__xludf.DUMMYFUNCTION("""COMPUTED_VALUE"""),0)</f>
        <v>0</v>
      </c>
      <c r="O16" s="2">
        <f ca="1">IFERROR(__xludf.DUMMYFUNCTION("""COMPUTED_VALUE"""),0)</f>
        <v>0</v>
      </c>
      <c r="P16" s="3">
        <f ca="1">IFERROR(__xludf.DUMMYFUNCTION("""COMPUTED_VALUE"""),0.583)</f>
        <v>0.58299999999999996</v>
      </c>
      <c r="Q16" s="2" t="str">
        <f ca="1">IFERROR(__xludf.DUMMYFUNCTION("""COMPUTED_VALUE"""),"0/0")</f>
        <v>0/0</v>
      </c>
      <c r="R16" s="2">
        <f ca="1">IFERROR(__xludf.DUMMYFUNCTION("""COMPUTED_VALUE"""),-5)</f>
        <v>-5</v>
      </c>
    </row>
    <row r="17" spans="1:18" x14ac:dyDescent="0.2">
      <c r="A17" s="2" t="str">
        <f ca="1">IFERROR(__xludf.DUMMYFUNCTION("""COMPUTED_VALUE"""),"R.Wilson")</f>
        <v>R.Wilson</v>
      </c>
      <c r="B17" s="2" t="str">
        <f ca="1">IFERROR(__xludf.DUMMYFUNCTION("""COMPUTED_VALUE"""),"SEA")</f>
        <v>SEA</v>
      </c>
      <c r="C17" s="2">
        <f ca="1">IFERROR(__xludf.DUMMYFUNCTION("""COMPUTED_VALUE"""),20)</f>
        <v>20</v>
      </c>
      <c r="D17" s="2">
        <f ca="1">IFERROR(__xludf.DUMMYFUNCTION("""COMPUTED_VALUE"""),16)</f>
        <v>16</v>
      </c>
      <c r="E17" s="3">
        <f ca="1">IFERROR(__xludf.DUMMYFUNCTION("""COMPUTED_VALUE"""),0.042)</f>
        <v>4.2000000000000003E-2</v>
      </c>
      <c r="F17" s="2">
        <f ca="1">IFERROR(__xludf.DUMMYFUNCTION("""COMPUTED_VALUE"""),14)</f>
        <v>14</v>
      </c>
      <c r="G17" s="2" t="str">
        <f ca="1">IFERROR(__xludf.DUMMYFUNCTION("""COMPUTED_VALUE"""),"")</f>
        <v/>
      </c>
      <c r="H17" s="2" t="str">
        <f ca="1">IFERROR(__xludf.DUMMYFUNCTION("""COMPUTED_VALUE"""),"--")</f>
        <v>--</v>
      </c>
      <c r="I17" s="2">
        <f ca="1">IFERROR(__xludf.DUMMYFUNCTION("""COMPUTED_VALUE"""),24)</f>
        <v>24</v>
      </c>
      <c r="J17" s="2">
        <f ca="1">IFERROR(__xludf.DUMMYFUNCTION("""COMPUTED_VALUE"""),161)</f>
        <v>161</v>
      </c>
      <c r="K17" s="2">
        <f ca="1">IFERROR(__xludf.DUMMYFUNCTION("""COMPUTED_VALUE"""),137)</f>
        <v>137</v>
      </c>
      <c r="L17" s="2">
        <f ca="1">IFERROR(__xludf.DUMMYFUNCTION("""COMPUTED_VALUE"""),2)</f>
        <v>2</v>
      </c>
      <c r="M17" s="2">
        <f ca="1">IFERROR(__xludf.DUMMYFUNCTION("""COMPUTED_VALUE"""),0)</f>
        <v>0</v>
      </c>
      <c r="N17" s="2">
        <f ca="1">IFERROR(__xludf.DUMMYFUNCTION("""COMPUTED_VALUE"""),0)</f>
        <v>0</v>
      </c>
      <c r="O17" s="2">
        <f ca="1">IFERROR(__xludf.DUMMYFUNCTION("""COMPUTED_VALUE"""),0)</f>
        <v>0</v>
      </c>
      <c r="P17" s="3">
        <f ca="1">IFERROR(__xludf.DUMMYFUNCTION("""COMPUTED_VALUE"""),0.7)</f>
        <v>0.7</v>
      </c>
      <c r="Q17" s="4">
        <f ca="1">IFERROR(__xludf.DUMMYFUNCTION("""COMPUTED_VALUE"""),43469)</f>
        <v>43469</v>
      </c>
      <c r="R17" s="2">
        <f ca="1">IFERROR(__xludf.DUMMYFUNCTION("""COMPUTED_VALUE"""),-2.9)</f>
        <v>-2.9</v>
      </c>
    </row>
    <row r="18" spans="1:18" x14ac:dyDescent="0.2">
      <c r="A18" s="2" t="str">
        <f ca="1">IFERROR(__xludf.DUMMYFUNCTION("""COMPUTED_VALUE"""),"J.Brissett")</f>
        <v>J.Brissett</v>
      </c>
      <c r="B18" s="2" t="str">
        <f ca="1">IFERROR(__xludf.DUMMYFUNCTION("""COMPUTED_VALUE"""),"IND")</f>
        <v>IND</v>
      </c>
      <c r="C18" s="2">
        <f ca="1">IFERROR(__xludf.DUMMYFUNCTION("""COMPUTED_VALUE"""),15)</f>
        <v>15</v>
      </c>
      <c r="D18" s="2">
        <f ca="1">IFERROR(__xludf.DUMMYFUNCTION("""COMPUTED_VALUE"""),17)</f>
        <v>17</v>
      </c>
      <c r="E18" s="3">
        <f ca="1">IFERROR(__xludf.DUMMYFUNCTION("""COMPUTED_VALUE"""),-0.029)</f>
        <v>-2.9000000000000001E-2</v>
      </c>
      <c r="F18" s="2">
        <f ca="1">IFERROR(__xludf.DUMMYFUNCTION("""COMPUTED_VALUE"""),17)</f>
        <v>17</v>
      </c>
      <c r="G18" s="2" t="str">
        <f ca="1">IFERROR(__xludf.DUMMYFUNCTION("""COMPUTED_VALUE"""),"")</f>
        <v/>
      </c>
      <c r="H18" s="2" t="str">
        <f ca="1">IFERROR(__xludf.DUMMYFUNCTION("""COMPUTED_VALUE"""),"--")</f>
        <v>--</v>
      </c>
      <c r="I18" s="2">
        <f ca="1">IFERROR(__xludf.DUMMYFUNCTION("""COMPUTED_VALUE"""),30)</f>
        <v>30</v>
      </c>
      <c r="J18" s="2">
        <f ca="1">IFERROR(__xludf.DUMMYFUNCTION("""COMPUTED_VALUE"""),172)</f>
        <v>172</v>
      </c>
      <c r="K18" s="2">
        <f ca="1">IFERROR(__xludf.DUMMYFUNCTION("""COMPUTED_VALUE"""),170)</f>
        <v>170</v>
      </c>
      <c r="L18" s="2">
        <f ca="1">IFERROR(__xludf.DUMMYFUNCTION("""COMPUTED_VALUE"""),2)</f>
        <v>2</v>
      </c>
      <c r="M18" s="2">
        <f ca="1">IFERROR(__xludf.DUMMYFUNCTION("""COMPUTED_VALUE"""),1)</f>
        <v>1</v>
      </c>
      <c r="N18" s="2">
        <f ca="1">IFERROR(__xludf.DUMMYFUNCTION("""COMPUTED_VALUE"""),0)</f>
        <v>0</v>
      </c>
      <c r="O18" s="2">
        <f ca="1">IFERROR(__xludf.DUMMYFUNCTION("""COMPUTED_VALUE"""),0)</f>
        <v>0</v>
      </c>
      <c r="P18" s="3">
        <f ca="1">IFERROR(__xludf.DUMMYFUNCTION("""COMPUTED_VALUE"""),0.778)</f>
        <v>0.77800000000000002</v>
      </c>
      <c r="Q18" s="2" t="str">
        <f ca="1">IFERROR(__xludf.DUMMYFUNCTION("""COMPUTED_VALUE"""),"0/0")</f>
        <v>0/0</v>
      </c>
      <c r="R18" s="2">
        <f ca="1">IFERROR(__xludf.DUMMYFUNCTION("""COMPUTED_VALUE"""),-2.6)</f>
        <v>-2.6</v>
      </c>
    </row>
    <row r="19" spans="1:18" x14ac:dyDescent="0.2">
      <c r="A19" s="2" t="str">
        <f ca="1">IFERROR(__xludf.DUMMYFUNCTION("""COMPUTED_VALUE"""),"A.Dalton")</f>
        <v>A.Dalton</v>
      </c>
      <c r="B19" s="2" t="str">
        <f ca="1">IFERROR(__xludf.DUMMYFUNCTION("""COMPUTED_VALUE"""),"CIN")</f>
        <v>CIN</v>
      </c>
      <c r="C19" s="2">
        <f ca="1">IFERROR(__xludf.DUMMYFUNCTION("""COMPUTED_VALUE"""),10)</f>
        <v>10</v>
      </c>
      <c r="D19" s="2">
        <f ca="1">IFERROR(__xludf.DUMMYFUNCTION("""COMPUTED_VALUE"""),18)</f>
        <v>18</v>
      </c>
      <c r="E19" s="3">
        <f ca="1">IFERROR(__xludf.DUMMYFUNCTION("""COMPUTED_VALUE"""),-0.084)</f>
        <v>-8.4000000000000005E-2</v>
      </c>
      <c r="F19" s="2">
        <f ca="1">IFERROR(__xludf.DUMMYFUNCTION("""COMPUTED_VALUE"""),18)</f>
        <v>18</v>
      </c>
      <c r="G19" s="2" t="str">
        <f ca="1">IFERROR(__xludf.DUMMYFUNCTION("""COMPUTED_VALUE"""),"")</f>
        <v/>
      </c>
      <c r="H19" s="2" t="str">
        <f ca="1">IFERROR(__xludf.DUMMYFUNCTION("""COMPUTED_VALUE"""),"--")</f>
        <v>--</v>
      </c>
      <c r="I19" s="2">
        <f ca="1">IFERROR(__xludf.DUMMYFUNCTION("""COMPUTED_VALUE"""),56)</f>
        <v>56</v>
      </c>
      <c r="J19" s="2">
        <f ca="1">IFERROR(__xludf.DUMMYFUNCTION("""COMPUTED_VALUE"""),387)</f>
        <v>387</v>
      </c>
      <c r="K19" s="2">
        <f ca="1">IFERROR(__xludf.DUMMYFUNCTION("""COMPUTED_VALUE"""),311)</f>
        <v>311</v>
      </c>
      <c r="L19" s="2">
        <f ca="1">IFERROR(__xludf.DUMMYFUNCTION("""COMPUTED_VALUE"""),2)</f>
        <v>2</v>
      </c>
      <c r="M19" s="2">
        <f ca="1">IFERROR(__xludf.DUMMYFUNCTION("""COMPUTED_VALUE"""),0)</f>
        <v>0</v>
      </c>
      <c r="N19" s="2">
        <f ca="1">IFERROR(__xludf.DUMMYFUNCTION("""COMPUTED_VALUE"""),2)</f>
        <v>2</v>
      </c>
      <c r="O19" s="2">
        <f ca="1">IFERROR(__xludf.DUMMYFUNCTION("""COMPUTED_VALUE"""),0)</f>
        <v>0</v>
      </c>
      <c r="P19" s="3">
        <f ca="1">IFERROR(__xludf.DUMMYFUNCTION("""COMPUTED_VALUE"""),0.686)</f>
        <v>0.68600000000000005</v>
      </c>
      <c r="Q19" s="4">
        <f ca="1">IFERROR(__xludf.DUMMYFUNCTION("""COMPUTED_VALUE"""),43480)</f>
        <v>43480</v>
      </c>
      <c r="R19" s="2">
        <f ca="1">IFERROR(__xludf.DUMMYFUNCTION("""COMPUTED_VALUE"""),-1.4)</f>
        <v>-1.4</v>
      </c>
    </row>
    <row r="20" spans="1:18" x14ac:dyDescent="0.2">
      <c r="A20" s="2" t="str">
        <f ca="1">IFERROR(__xludf.DUMMYFUNCTION("""COMPUTED_VALUE"""),"J.Garoppolo")</f>
        <v>J.Garoppolo</v>
      </c>
      <c r="B20" s="2" t="str">
        <f ca="1">IFERROR(__xludf.DUMMYFUNCTION("""COMPUTED_VALUE"""),"SF")</f>
        <v>SF</v>
      </c>
      <c r="C20" s="2">
        <f ca="1">IFERROR(__xludf.DUMMYFUNCTION("""COMPUTED_VALUE"""),-1)</f>
        <v>-1</v>
      </c>
      <c r="D20" s="2">
        <f ca="1">IFERROR(__xludf.DUMMYFUNCTION("""COMPUTED_VALUE"""),19)</f>
        <v>19</v>
      </c>
      <c r="E20" s="3">
        <f ca="1">IFERROR(__xludf.DUMMYFUNCTION("""COMPUTED_VALUE"""),-0.115)</f>
        <v>-0.115</v>
      </c>
      <c r="F20" s="2">
        <f ca="1">IFERROR(__xludf.DUMMYFUNCTION("""COMPUTED_VALUE"""),19)</f>
        <v>19</v>
      </c>
      <c r="G20" s="2" t="str">
        <f ca="1">IFERROR(__xludf.DUMMYFUNCTION("""COMPUTED_VALUE"""),"")</f>
        <v/>
      </c>
      <c r="H20" s="2" t="str">
        <f ca="1">IFERROR(__xludf.DUMMYFUNCTION("""COMPUTED_VALUE"""),"--")</f>
        <v>--</v>
      </c>
      <c r="I20" s="2">
        <f ca="1">IFERROR(__xludf.DUMMYFUNCTION("""COMPUTED_VALUE"""),28)</f>
        <v>28</v>
      </c>
      <c r="J20" s="2">
        <f ca="1">IFERROR(__xludf.DUMMYFUNCTION("""COMPUTED_VALUE"""),158)</f>
        <v>158</v>
      </c>
      <c r="K20" s="2">
        <f ca="1">IFERROR(__xludf.DUMMYFUNCTION("""COMPUTED_VALUE"""),134)</f>
        <v>134</v>
      </c>
      <c r="L20" s="2">
        <f ca="1">IFERROR(__xludf.DUMMYFUNCTION("""COMPUTED_VALUE"""),1)</f>
        <v>1</v>
      </c>
      <c r="M20" s="2">
        <f ca="1">IFERROR(__xludf.DUMMYFUNCTION("""COMPUTED_VALUE"""),0)</f>
        <v>0</v>
      </c>
      <c r="N20" s="2">
        <f ca="1">IFERROR(__xludf.DUMMYFUNCTION("""COMPUTED_VALUE"""),0)</f>
        <v>0</v>
      </c>
      <c r="O20" s="2">
        <f ca="1">IFERROR(__xludf.DUMMYFUNCTION("""COMPUTED_VALUE"""),1)</f>
        <v>1</v>
      </c>
      <c r="P20" s="3">
        <f ca="1">IFERROR(__xludf.DUMMYFUNCTION("""COMPUTED_VALUE"""),0.667)</f>
        <v>0.66700000000000004</v>
      </c>
      <c r="Q20" s="2" t="str">
        <f ca="1">IFERROR(__xludf.DUMMYFUNCTION("""COMPUTED_VALUE"""),"2/32")</f>
        <v>2/32</v>
      </c>
      <c r="R20" s="2">
        <f ca="1">IFERROR(__xludf.DUMMYFUNCTION("""COMPUTED_VALUE"""),-0.4)</f>
        <v>-0.4</v>
      </c>
    </row>
    <row r="21" spans="1:18" x14ac:dyDescent="0.2">
      <c r="A21" s="2" t="str">
        <f ca="1">IFERROR(__xludf.DUMMYFUNCTION("""COMPUTED_VALUE"""),"A.Rodgers")</f>
        <v>A.Rodgers</v>
      </c>
      <c r="B21" s="2" t="str">
        <f ca="1">IFERROR(__xludf.DUMMYFUNCTION("""COMPUTED_VALUE"""),"GB")</f>
        <v>GB</v>
      </c>
      <c r="C21" s="2">
        <f ca="1">IFERROR(__xludf.DUMMYFUNCTION("""COMPUTED_VALUE"""),-6)</f>
        <v>-6</v>
      </c>
      <c r="D21" s="2">
        <f ca="1">IFERROR(__xludf.DUMMYFUNCTION("""COMPUTED_VALUE"""),20)</f>
        <v>20</v>
      </c>
      <c r="E21" s="3">
        <f ca="1">IFERROR(__xludf.DUMMYFUNCTION("""COMPUTED_VALUE"""),-0.136)</f>
        <v>-0.13600000000000001</v>
      </c>
      <c r="F21" s="2">
        <f ca="1">IFERROR(__xludf.DUMMYFUNCTION("""COMPUTED_VALUE"""),20)</f>
        <v>20</v>
      </c>
      <c r="G21" s="2" t="str">
        <f ca="1">IFERROR(__xludf.DUMMYFUNCTION("""COMPUTED_VALUE"""),"")</f>
        <v/>
      </c>
      <c r="H21" s="2" t="str">
        <f ca="1">IFERROR(__xludf.DUMMYFUNCTION("""COMPUTED_VALUE"""),"--")</f>
        <v>--</v>
      </c>
      <c r="I21" s="2">
        <f ca="1">IFERROR(__xludf.DUMMYFUNCTION("""COMPUTED_VALUE"""),35)</f>
        <v>35</v>
      </c>
      <c r="J21" s="2">
        <f ca="1">IFERROR(__xludf.DUMMYFUNCTION("""COMPUTED_VALUE"""),166)</f>
        <v>166</v>
      </c>
      <c r="K21" s="2">
        <f ca="1">IFERROR(__xludf.DUMMYFUNCTION("""COMPUTED_VALUE"""),172)</f>
        <v>172</v>
      </c>
      <c r="L21" s="2">
        <f ca="1">IFERROR(__xludf.DUMMYFUNCTION("""COMPUTED_VALUE"""),1)</f>
        <v>1</v>
      </c>
      <c r="M21" s="2">
        <f ca="1">IFERROR(__xludf.DUMMYFUNCTION("""COMPUTED_VALUE"""),0)</f>
        <v>0</v>
      </c>
      <c r="N21" s="2">
        <f ca="1">IFERROR(__xludf.DUMMYFUNCTION("""COMPUTED_VALUE"""),0)</f>
        <v>0</v>
      </c>
      <c r="O21" s="2">
        <f ca="1">IFERROR(__xludf.DUMMYFUNCTION("""COMPUTED_VALUE"""),0)</f>
        <v>0</v>
      </c>
      <c r="P21" s="3">
        <f ca="1">IFERROR(__xludf.DUMMYFUNCTION("""COMPUTED_VALUE"""),0.6)</f>
        <v>0.6</v>
      </c>
      <c r="Q21" s="2" t="str">
        <f ca="1">IFERROR(__xludf.DUMMYFUNCTION("""COMPUTED_VALUE"""),"1/38")</f>
        <v>1/38</v>
      </c>
      <c r="R21" s="2">
        <f ca="1">IFERROR(__xludf.DUMMYFUNCTION("""COMPUTED_VALUE"""),2.7)</f>
        <v>2.7</v>
      </c>
    </row>
    <row r="22" spans="1:18" x14ac:dyDescent="0.2">
      <c r="A22" s="2" t="str">
        <f ca="1">IFERROR(__xludf.DUMMYFUNCTION("""COMPUTED_VALUE"""),"R.Fitzpatrick")</f>
        <v>R.Fitzpatrick</v>
      </c>
      <c r="B22" s="2" t="str">
        <f ca="1">IFERROR(__xludf.DUMMYFUNCTION("""COMPUTED_VALUE"""),"MIA")</f>
        <v>MIA</v>
      </c>
      <c r="C22" s="2">
        <f ca="1">IFERROR(__xludf.DUMMYFUNCTION("""COMPUTED_VALUE"""),-16)</f>
        <v>-16</v>
      </c>
      <c r="D22" s="2">
        <f ca="1">IFERROR(__xludf.DUMMYFUNCTION("""COMPUTED_VALUE"""),21)</f>
        <v>21</v>
      </c>
      <c r="E22" s="3">
        <f ca="1">IFERROR(__xludf.DUMMYFUNCTION("""COMPUTED_VALUE"""),-0.202)</f>
        <v>-0.20200000000000001</v>
      </c>
      <c r="F22" s="2">
        <f ca="1">IFERROR(__xludf.DUMMYFUNCTION("""COMPUTED_VALUE"""),21)</f>
        <v>21</v>
      </c>
      <c r="G22" s="2" t="str">
        <f ca="1">IFERROR(__xludf.DUMMYFUNCTION("""COMPUTED_VALUE"""),"")</f>
        <v/>
      </c>
      <c r="H22" s="2" t="str">
        <f ca="1">IFERROR(__xludf.DUMMYFUNCTION("""COMPUTED_VALUE"""),"--")</f>
        <v>--</v>
      </c>
      <c r="I22" s="2">
        <f ca="1">IFERROR(__xludf.DUMMYFUNCTION("""COMPUTED_VALUE"""),31)</f>
        <v>31</v>
      </c>
      <c r="J22" s="2">
        <f ca="1">IFERROR(__xludf.DUMMYFUNCTION("""COMPUTED_VALUE"""),180)</f>
        <v>180</v>
      </c>
      <c r="K22" s="2">
        <f ca="1">IFERROR(__xludf.DUMMYFUNCTION("""COMPUTED_VALUE"""),120)</f>
        <v>120</v>
      </c>
      <c r="L22" s="2">
        <f ca="1">IFERROR(__xludf.DUMMYFUNCTION("""COMPUTED_VALUE"""),1)</f>
        <v>1</v>
      </c>
      <c r="M22" s="2">
        <f ca="1">IFERROR(__xludf.DUMMYFUNCTION("""COMPUTED_VALUE"""),0)</f>
        <v>0</v>
      </c>
      <c r="N22" s="2">
        <f ca="1">IFERROR(__xludf.DUMMYFUNCTION("""COMPUTED_VALUE"""),0)</f>
        <v>0</v>
      </c>
      <c r="O22" s="2">
        <f ca="1">IFERROR(__xludf.DUMMYFUNCTION("""COMPUTED_VALUE"""),1)</f>
        <v>1</v>
      </c>
      <c r="P22" s="3">
        <f ca="1">IFERROR(__xludf.DUMMYFUNCTION("""COMPUTED_VALUE"""),0.483)</f>
        <v>0.48299999999999998</v>
      </c>
      <c r="Q22" s="2" t="str">
        <f ca="1">IFERROR(__xludf.DUMMYFUNCTION("""COMPUTED_VALUE"""),"0/0")</f>
        <v>0/0</v>
      </c>
      <c r="R22" s="2">
        <f ca="1">IFERROR(__xludf.DUMMYFUNCTION("""COMPUTED_VALUE"""),4.1)</f>
        <v>4.0999999999999996</v>
      </c>
    </row>
    <row r="23" spans="1:18" x14ac:dyDescent="0.2">
      <c r="A23" s="2" t="str">
        <f ca="1">IFERROR(__xludf.DUMMYFUNCTION("""COMPUTED_VALUE"""),"M.Ryan")</f>
        <v>M.Ryan</v>
      </c>
      <c r="B23" s="2" t="str">
        <f ca="1">IFERROR(__xludf.DUMMYFUNCTION("""COMPUTED_VALUE"""),"ATL")</f>
        <v>ATL</v>
      </c>
      <c r="C23" s="2">
        <f ca="1">IFERROR(__xludf.DUMMYFUNCTION("""COMPUTED_VALUE"""),-39)</f>
        <v>-39</v>
      </c>
      <c r="D23" s="2">
        <f ca="1">IFERROR(__xludf.DUMMYFUNCTION("""COMPUTED_VALUE"""),22)</f>
        <v>22</v>
      </c>
      <c r="E23" s="3">
        <f ca="1">IFERROR(__xludf.DUMMYFUNCTION("""COMPUTED_VALUE"""),-0.23)</f>
        <v>-0.23</v>
      </c>
      <c r="F23" s="2">
        <f ca="1">IFERROR(__xludf.DUMMYFUNCTION("""COMPUTED_VALUE"""),22)</f>
        <v>22</v>
      </c>
      <c r="G23" s="2" t="str">
        <f ca="1">IFERROR(__xludf.DUMMYFUNCTION("""COMPUTED_VALUE"""),"")</f>
        <v/>
      </c>
      <c r="H23" s="2" t="str">
        <f ca="1">IFERROR(__xludf.DUMMYFUNCTION("""COMPUTED_VALUE"""),"--")</f>
        <v>--</v>
      </c>
      <c r="I23" s="2">
        <f ca="1">IFERROR(__xludf.DUMMYFUNCTION("""COMPUTED_VALUE"""),50)</f>
        <v>50</v>
      </c>
      <c r="J23" s="2">
        <f ca="1">IFERROR(__xludf.DUMMYFUNCTION("""COMPUTED_VALUE"""),272)</f>
        <v>272</v>
      </c>
      <c r="K23" s="2">
        <f ca="1">IFERROR(__xludf.DUMMYFUNCTION("""COMPUTED_VALUE"""),212)</f>
        <v>212</v>
      </c>
      <c r="L23" s="2">
        <f ca="1">IFERROR(__xludf.DUMMYFUNCTION("""COMPUTED_VALUE"""),2)</f>
        <v>2</v>
      </c>
      <c r="M23" s="2">
        <f ca="1">IFERROR(__xludf.DUMMYFUNCTION("""COMPUTED_VALUE"""),0)</f>
        <v>0</v>
      </c>
      <c r="N23" s="2">
        <f ca="1">IFERROR(__xludf.DUMMYFUNCTION("""COMPUTED_VALUE"""),0)</f>
        <v>0</v>
      </c>
      <c r="O23" s="2">
        <f ca="1">IFERROR(__xludf.DUMMYFUNCTION("""COMPUTED_VALUE"""),2)</f>
        <v>2</v>
      </c>
      <c r="P23" s="3">
        <f ca="1">IFERROR(__xludf.DUMMYFUNCTION("""COMPUTED_VALUE"""),0.717)</f>
        <v>0.71699999999999997</v>
      </c>
      <c r="Q23" s="2" t="str">
        <f ca="1">IFERROR(__xludf.DUMMYFUNCTION("""COMPUTED_VALUE"""),"2/35")</f>
        <v>2/35</v>
      </c>
      <c r="R23" s="2">
        <f ca="1">IFERROR(__xludf.DUMMYFUNCTION("""COMPUTED_VALUE"""),2.5)</f>
        <v>2.5</v>
      </c>
    </row>
    <row r="24" spans="1:18" x14ac:dyDescent="0.2">
      <c r="A24" s="2" t="str">
        <f ca="1">IFERROR(__xludf.DUMMYFUNCTION("""COMPUTED_VALUE"""),"B.Roethlisberger")</f>
        <v>B.Roethlisberger</v>
      </c>
      <c r="B24" s="2" t="str">
        <f ca="1">IFERROR(__xludf.DUMMYFUNCTION("""COMPUTED_VALUE"""),"PIT")</f>
        <v>PIT</v>
      </c>
      <c r="C24" s="2">
        <f ca="1">IFERROR(__xludf.DUMMYFUNCTION("""COMPUTED_VALUE"""),-48)</f>
        <v>-48</v>
      </c>
      <c r="D24" s="2">
        <f ca="1">IFERROR(__xludf.DUMMYFUNCTION("""COMPUTED_VALUE"""),23)</f>
        <v>23</v>
      </c>
      <c r="E24" s="3">
        <f ca="1">IFERROR(__xludf.DUMMYFUNCTION("""COMPUTED_VALUE"""),-0.272)</f>
        <v>-0.27200000000000002</v>
      </c>
      <c r="F24" s="2">
        <f ca="1">IFERROR(__xludf.DUMMYFUNCTION("""COMPUTED_VALUE"""),23)</f>
        <v>23</v>
      </c>
      <c r="G24" s="2" t="str">
        <f ca="1">IFERROR(__xludf.DUMMYFUNCTION("""COMPUTED_VALUE"""),"")</f>
        <v/>
      </c>
      <c r="H24" s="2" t="str">
        <f ca="1">IFERROR(__xludf.DUMMYFUNCTION("""COMPUTED_VALUE"""),"--")</f>
        <v>--</v>
      </c>
      <c r="I24" s="2">
        <f ca="1">IFERROR(__xludf.DUMMYFUNCTION("""COMPUTED_VALUE"""),48)</f>
        <v>48</v>
      </c>
      <c r="J24" s="2">
        <f ca="1">IFERROR(__xludf.DUMMYFUNCTION("""COMPUTED_VALUE"""),270)</f>
        <v>270</v>
      </c>
      <c r="K24" s="2">
        <f ca="1">IFERROR(__xludf.DUMMYFUNCTION("""COMPUTED_VALUE"""),178)</f>
        <v>178</v>
      </c>
      <c r="L24" s="2">
        <f ca="1">IFERROR(__xludf.DUMMYFUNCTION("""COMPUTED_VALUE"""),0)</f>
        <v>0</v>
      </c>
      <c r="M24" s="2">
        <f ca="1">IFERROR(__xludf.DUMMYFUNCTION("""COMPUTED_VALUE"""),1)</f>
        <v>1</v>
      </c>
      <c r="N24" s="2">
        <f ca="1">IFERROR(__xludf.DUMMYFUNCTION("""COMPUTED_VALUE"""),0)</f>
        <v>0</v>
      </c>
      <c r="O24" s="2">
        <f ca="1">IFERROR(__xludf.DUMMYFUNCTION("""COMPUTED_VALUE"""),1)</f>
        <v>1</v>
      </c>
      <c r="P24" s="3">
        <f ca="1">IFERROR(__xludf.DUMMYFUNCTION("""COMPUTED_VALUE"""),0.574)</f>
        <v>0.57399999999999995</v>
      </c>
      <c r="Q24" s="4">
        <f ca="1">IFERROR(__xludf.DUMMYFUNCTION("""COMPUTED_VALUE"""),43475)</f>
        <v>43475</v>
      </c>
      <c r="R24" s="2">
        <f ca="1">IFERROR(__xludf.DUMMYFUNCTION("""COMPUTED_VALUE"""),1.4)</f>
        <v>1.4</v>
      </c>
    </row>
    <row r="25" spans="1:18" x14ac:dyDescent="0.2">
      <c r="A25" s="2" t="str">
        <f ca="1">IFERROR(__xludf.DUMMYFUNCTION("""COMPUTED_VALUE"""),"J.Goff")</f>
        <v>J.Goff</v>
      </c>
      <c r="B25" s="2" t="str">
        <f ca="1">IFERROR(__xludf.DUMMYFUNCTION("""COMPUTED_VALUE"""),"LAR")</f>
        <v>LAR</v>
      </c>
      <c r="C25" s="2">
        <f ca="1">IFERROR(__xludf.DUMMYFUNCTION("""COMPUTED_VALUE"""),-55)</f>
        <v>-55</v>
      </c>
      <c r="D25" s="2">
        <f ca="1">IFERROR(__xludf.DUMMYFUNCTION("""COMPUTED_VALUE"""),24)</f>
        <v>24</v>
      </c>
      <c r="E25" s="3">
        <f ca="1">IFERROR(__xludf.DUMMYFUNCTION("""COMPUTED_VALUE"""),-0.308)</f>
        <v>-0.308</v>
      </c>
      <c r="F25" s="2">
        <f ca="1">IFERROR(__xludf.DUMMYFUNCTION("""COMPUTED_VALUE"""),24)</f>
        <v>24</v>
      </c>
      <c r="G25" s="2" t="str">
        <f ca="1">IFERROR(__xludf.DUMMYFUNCTION("""COMPUTED_VALUE"""),"")</f>
        <v/>
      </c>
      <c r="H25" s="2" t="str">
        <f ca="1">IFERROR(__xludf.DUMMYFUNCTION("""COMPUTED_VALUE"""),"--")</f>
        <v>--</v>
      </c>
      <c r="I25" s="2">
        <f ca="1">IFERROR(__xludf.DUMMYFUNCTION("""COMPUTED_VALUE"""),41)</f>
        <v>41</v>
      </c>
      <c r="J25" s="2">
        <f ca="1">IFERROR(__xludf.DUMMYFUNCTION("""COMPUTED_VALUE"""),180)</f>
        <v>180</v>
      </c>
      <c r="K25" s="2">
        <f ca="1">IFERROR(__xludf.DUMMYFUNCTION("""COMPUTED_VALUE"""),150)</f>
        <v>150</v>
      </c>
      <c r="L25" s="2">
        <f ca="1">IFERROR(__xludf.DUMMYFUNCTION("""COMPUTED_VALUE"""),1)</f>
        <v>1</v>
      </c>
      <c r="M25" s="2">
        <f ca="1">IFERROR(__xludf.DUMMYFUNCTION("""COMPUTED_VALUE"""),1)</f>
        <v>1</v>
      </c>
      <c r="N25" s="2">
        <f ca="1">IFERROR(__xludf.DUMMYFUNCTION("""COMPUTED_VALUE"""),0)</f>
        <v>0</v>
      </c>
      <c r="O25" s="2">
        <f ca="1">IFERROR(__xludf.DUMMYFUNCTION("""COMPUTED_VALUE"""),1)</f>
        <v>1</v>
      </c>
      <c r="P25" s="3">
        <f ca="1">IFERROR(__xludf.DUMMYFUNCTION("""COMPUTED_VALUE"""),0.59)</f>
        <v>0.59</v>
      </c>
      <c r="Q25" s="4">
        <f ca="1">IFERROR(__xludf.DUMMYFUNCTION("""COMPUTED_VALUE"""),43481)</f>
        <v>43481</v>
      </c>
      <c r="R25" s="2">
        <f ca="1">IFERROR(__xludf.DUMMYFUNCTION("""COMPUTED_VALUE"""),-0.6)</f>
        <v>-0.6</v>
      </c>
    </row>
    <row r="26" spans="1:18" x14ac:dyDescent="0.2">
      <c r="A26" s="2" t="str">
        <f ca="1">IFERROR(__xludf.DUMMYFUNCTION("""COMPUTED_VALUE"""),"C.Newton")</f>
        <v>C.Newton</v>
      </c>
      <c r="B26" s="2" t="str">
        <f ca="1">IFERROR(__xludf.DUMMYFUNCTION("""COMPUTED_VALUE"""),"CAR")</f>
        <v>CAR</v>
      </c>
      <c r="C26" s="2">
        <f ca="1">IFERROR(__xludf.DUMMYFUNCTION("""COMPUTED_VALUE"""),-57)</f>
        <v>-57</v>
      </c>
      <c r="D26" s="2">
        <f ca="1">IFERROR(__xludf.DUMMYFUNCTION("""COMPUTED_VALUE"""),25)</f>
        <v>25</v>
      </c>
      <c r="E26" s="3">
        <f ca="1">IFERROR(__xludf.DUMMYFUNCTION("""COMPUTED_VALUE"""),-0.327)</f>
        <v>-0.32700000000000001</v>
      </c>
      <c r="F26" s="2">
        <f ca="1">IFERROR(__xludf.DUMMYFUNCTION("""COMPUTED_VALUE"""),25)</f>
        <v>25</v>
      </c>
      <c r="G26" s="2" t="str">
        <f ca="1">IFERROR(__xludf.DUMMYFUNCTION("""COMPUTED_VALUE"""),"")</f>
        <v/>
      </c>
      <c r="H26" s="2" t="str">
        <f ca="1">IFERROR(__xludf.DUMMYFUNCTION("""COMPUTED_VALUE"""),"--")</f>
        <v>--</v>
      </c>
      <c r="I26" s="2">
        <f ca="1">IFERROR(__xludf.DUMMYFUNCTION("""COMPUTED_VALUE"""),40)</f>
        <v>40</v>
      </c>
      <c r="J26" s="2">
        <f ca="1">IFERROR(__xludf.DUMMYFUNCTION("""COMPUTED_VALUE"""),216)</f>
        <v>216</v>
      </c>
      <c r="K26" s="2">
        <f ca="1">IFERROR(__xludf.DUMMYFUNCTION("""COMPUTED_VALUE"""),135)</f>
        <v>135</v>
      </c>
      <c r="L26" s="2">
        <f ca="1">IFERROR(__xludf.DUMMYFUNCTION("""COMPUTED_VALUE"""),0)</f>
        <v>0</v>
      </c>
      <c r="M26" s="2">
        <f ca="1">IFERROR(__xludf.DUMMYFUNCTION("""COMPUTED_VALUE"""),0)</f>
        <v>0</v>
      </c>
      <c r="N26" s="2">
        <f ca="1">IFERROR(__xludf.DUMMYFUNCTION("""COMPUTED_VALUE"""),0)</f>
        <v>0</v>
      </c>
      <c r="O26" s="2">
        <f ca="1">IFERROR(__xludf.DUMMYFUNCTION("""COMPUTED_VALUE"""),1)</f>
        <v>1</v>
      </c>
      <c r="P26" s="3">
        <f ca="1">IFERROR(__xludf.DUMMYFUNCTION("""COMPUTED_VALUE"""),0.676)</f>
        <v>0.67600000000000005</v>
      </c>
      <c r="Q26" s="2" t="str">
        <f ca="1">IFERROR(__xludf.DUMMYFUNCTION("""COMPUTED_VALUE"""),"0/0")</f>
        <v>0/0</v>
      </c>
      <c r="R26" s="2">
        <f ca="1">IFERROR(__xludf.DUMMYFUNCTION("""COMPUTED_VALUE"""),0.9)</f>
        <v>0.9</v>
      </c>
    </row>
    <row r="27" spans="1:18" x14ac:dyDescent="0.2">
      <c r="A27" s="2" t="str">
        <f ca="1">IFERROR(__xludf.DUMMYFUNCTION("""COMPUTED_VALUE"""),"S.Darnold")</f>
        <v>S.Darnold</v>
      </c>
      <c r="B27" s="2" t="str">
        <f ca="1">IFERROR(__xludf.DUMMYFUNCTION("""COMPUTED_VALUE"""),"NYJ")</f>
        <v>NYJ</v>
      </c>
      <c r="C27" s="2">
        <f ca="1">IFERROR(__xludf.DUMMYFUNCTION("""COMPUTED_VALUE"""),-81)</f>
        <v>-81</v>
      </c>
      <c r="D27" s="2">
        <f ca="1">IFERROR(__xludf.DUMMYFUNCTION("""COMPUTED_VALUE"""),26)</f>
        <v>26</v>
      </c>
      <c r="E27" s="3">
        <f ca="1">IFERROR(__xludf.DUMMYFUNCTION("""COMPUTED_VALUE"""),-0.381)</f>
        <v>-0.38100000000000001</v>
      </c>
      <c r="F27" s="2">
        <f ca="1">IFERROR(__xludf.DUMMYFUNCTION("""COMPUTED_VALUE"""),27)</f>
        <v>27</v>
      </c>
      <c r="G27" s="2" t="str">
        <f ca="1">IFERROR(__xludf.DUMMYFUNCTION("""COMPUTED_VALUE"""),"")</f>
        <v/>
      </c>
      <c r="H27" s="2" t="str">
        <f ca="1">IFERROR(__xludf.DUMMYFUNCTION("""COMPUTED_VALUE"""),"--")</f>
        <v>--</v>
      </c>
      <c r="I27" s="2">
        <f ca="1">IFERROR(__xludf.DUMMYFUNCTION("""COMPUTED_VALUE"""),46)</f>
        <v>46</v>
      </c>
      <c r="J27" s="2">
        <f ca="1">IFERROR(__xludf.DUMMYFUNCTION("""COMPUTED_VALUE"""),164)</f>
        <v>164</v>
      </c>
      <c r="K27" s="2">
        <f ca="1">IFERROR(__xludf.DUMMYFUNCTION("""COMPUTED_VALUE"""),131)</f>
        <v>131</v>
      </c>
      <c r="L27" s="2">
        <f ca="1">IFERROR(__xludf.DUMMYFUNCTION("""COMPUTED_VALUE"""),1)</f>
        <v>1</v>
      </c>
      <c r="M27" s="2">
        <f ca="1">IFERROR(__xludf.DUMMYFUNCTION("""COMPUTED_VALUE"""),1)</f>
        <v>1</v>
      </c>
      <c r="N27" s="2">
        <f ca="1">IFERROR(__xludf.DUMMYFUNCTION("""COMPUTED_VALUE"""),0)</f>
        <v>0</v>
      </c>
      <c r="O27" s="2">
        <f ca="1">IFERROR(__xludf.DUMMYFUNCTION("""COMPUTED_VALUE"""),0)</f>
        <v>0</v>
      </c>
      <c r="P27" s="3">
        <f ca="1">IFERROR(__xludf.DUMMYFUNCTION("""COMPUTED_VALUE"""),0.683)</f>
        <v>0.68300000000000005</v>
      </c>
      <c r="Q27" s="2" t="str">
        <f ca="1">IFERROR(__xludf.DUMMYFUNCTION("""COMPUTED_VALUE"""),"0/0")</f>
        <v>0/0</v>
      </c>
      <c r="R27" s="2">
        <f ca="1">IFERROR(__xludf.DUMMYFUNCTION("""COMPUTED_VALUE"""),-0.9)</f>
        <v>-0.9</v>
      </c>
    </row>
    <row r="28" spans="1:18" x14ac:dyDescent="0.2">
      <c r="A28" s="2" t="str">
        <f ca="1">IFERROR(__xludf.DUMMYFUNCTION("""COMPUTED_VALUE"""),"K.Murray")</f>
        <v>K.Murray</v>
      </c>
      <c r="B28" s="2" t="str">
        <f ca="1">IFERROR(__xludf.DUMMYFUNCTION("""COMPUTED_VALUE"""),"ARI")</f>
        <v>ARI</v>
      </c>
      <c r="C28" s="2">
        <f ca="1">IFERROR(__xludf.DUMMYFUNCTION("""COMPUTED_VALUE"""),-85)</f>
        <v>-85</v>
      </c>
      <c r="D28" s="2">
        <f ca="1">IFERROR(__xludf.DUMMYFUNCTION("""COMPUTED_VALUE"""),27)</f>
        <v>27</v>
      </c>
      <c r="E28" s="3">
        <f ca="1">IFERROR(__xludf.DUMMYFUNCTION("""COMPUTED_VALUE"""),-0.339)</f>
        <v>-0.33900000000000002</v>
      </c>
      <c r="F28" s="2">
        <f ca="1">IFERROR(__xludf.DUMMYFUNCTION("""COMPUTED_VALUE"""),26)</f>
        <v>26</v>
      </c>
      <c r="G28" s="2" t="str">
        <f ca="1">IFERROR(__xludf.DUMMYFUNCTION("""COMPUTED_VALUE"""),"")</f>
        <v/>
      </c>
      <c r="H28" s="2" t="str">
        <f ca="1">IFERROR(__xludf.DUMMYFUNCTION("""COMPUTED_VALUE"""),"--")</f>
        <v>--</v>
      </c>
      <c r="I28" s="2">
        <f ca="1">IFERROR(__xludf.DUMMYFUNCTION("""COMPUTED_VALUE"""),59)</f>
        <v>59</v>
      </c>
      <c r="J28" s="2">
        <f ca="1">IFERROR(__xludf.DUMMYFUNCTION("""COMPUTED_VALUE"""),275)</f>
        <v>275</v>
      </c>
      <c r="K28" s="2">
        <f ca="1">IFERROR(__xludf.DUMMYFUNCTION("""COMPUTED_VALUE"""),185)</f>
        <v>185</v>
      </c>
      <c r="L28" s="2">
        <f ca="1">IFERROR(__xludf.DUMMYFUNCTION("""COMPUTED_VALUE"""),2)</f>
        <v>2</v>
      </c>
      <c r="M28" s="2">
        <f ca="1">IFERROR(__xludf.DUMMYFUNCTION("""COMPUTED_VALUE"""),0)</f>
        <v>0</v>
      </c>
      <c r="N28" s="2">
        <f ca="1">IFERROR(__xludf.DUMMYFUNCTION("""COMPUTED_VALUE"""),0)</f>
        <v>0</v>
      </c>
      <c r="O28" s="2">
        <f ca="1">IFERROR(__xludf.DUMMYFUNCTION("""COMPUTED_VALUE"""),1)</f>
        <v>1</v>
      </c>
      <c r="P28" s="3">
        <f ca="1">IFERROR(__xludf.DUMMYFUNCTION("""COMPUTED_VALUE"""),0.537)</f>
        <v>0.53700000000000003</v>
      </c>
      <c r="Q28" s="2" t="str">
        <f ca="1">IFERROR(__xludf.DUMMYFUNCTION("""COMPUTED_VALUE"""),"0/0")</f>
        <v>0/0</v>
      </c>
      <c r="R28" s="2">
        <f ca="1">IFERROR(__xludf.DUMMYFUNCTION("""COMPUTED_VALUE"""),0.1)</f>
        <v>0.1</v>
      </c>
    </row>
    <row r="29" spans="1:18" x14ac:dyDescent="0.2">
      <c r="A29" s="2" t="str">
        <f ca="1">IFERROR(__xludf.DUMMYFUNCTION("""COMPUTED_VALUE"""),"J.Allen")</f>
        <v>J.Allen</v>
      </c>
      <c r="B29" s="2" t="str">
        <f ca="1">IFERROR(__xludf.DUMMYFUNCTION("""COMPUTED_VALUE"""),"BUF")</f>
        <v>BUF</v>
      </c>
      <c r="C29" s="2">
        <f ca="1">IFERROR(__xludf.DUMMYFUNCTION("""COMPUTED_VALUE"""),-91)</f>
        <v>-91</v>
      </c>
      <c r="D29" s="2">
        <f ca="1">IFERROR(__xludf.DUMMYFUNCTION("""COMPUTED_VALUE"""),28)</f>
        <v>28</v>
      </c>
      <c r="E29" s="3">
        <f ca="1">IFERROR(__xludf.DUMMYFUNCTION("""COMPUTED_VALUE"""),-0.46)</f>
        <v>-0.46</v>
      </c>
      <c r="F29" s="2">
        <f ca="1">IFERROR(__xludf.DUMMYFUNCTION("""COMPUTED_VALUE"""),29)</f>
        <v>29</v>
      </c>
      <c r="G29" s="2" t="str">
        <f ca="1">IFERROR(__xludf.DUMMYFUNCTION("""COMPUTED_VALUE"""),"")</f>
        <v/>
      </c>
      <c r="H29" s="2" t="str">
        <f ca="1">IFERROR(__xludf.DUMMYFUNCTION("""COMPUTED_VALUE"""),"--")</f>
        <v>--</v>
      </c>
      <c r="I29" s="2">
        <f ca="1">IFERROR(__xludf.DUMMYFUNCTION("""COMPUTED_VALUE"""),39)</f>
        <v>39</v>
      </c>
      <c r="J29" s="2">
        <f ca="1">IFERROR(__xludf.DUMMYFUNCTION("""COMPUTED_VALUE"""),246)</f>
        <v>246</v>
      </c>
      <c r="K29" s="2">
        <f ca="1">IFERROR(__xludf.DUMMYFUNCTION("""COMPUTED_VALUE"""),86)</f>
        <v>86</v>
      </c>
      <c r="L29" s="2">
        <f ca="1">IFERROR(__xludf.DUMMYFUNCTION("""COMPUTED_VALUE"""),1)</f>
        <v>1</v>
      </c>
      <c r="M29" s="2">
        <f ca="1">IFERROR(__xludf.DUMMYFUNCTION("""COMPUTED_VALUE"""),0)</f>
        <v>0</v>
      </c>
      <c r="N29" s="2">
        <f ca="1">IFERROR(__xludf.DUMMYFUNCTION("""COMPUTED_VALUE"""),2)</f>
        <v>2</v>
      </c>
      <c r="O29" s="2">
        <f ca="1">IFERROR(__xludf.DUMMYFUNCTION("""COMPUTED_VALUE"""),2)</f>
        <v>2</v>
      </c>
      <c r="P29" s="3">
        <f ca="1">IFERROR(__xludf.DUMMYFUNCTION("""COMPUTED_VALUE"""),0.649)</f>
        <v>0.64900000000000002</v>
      </c>
      <c r="Q29" s="2" t="str">
        <f ca="1">IFERROR(__xludf.DUMMYFUNCTION("""COMPUTED_VALUE"""),"0/0")</f>
        <v>0/0</v>
      </c>
      <c r="R29" s="2">
        <f ca="1">IFERROR(__xludf.DUMMYFUNCTION("""COMPUTED_VALUE"""),7.4)</f>
        <v>7.4</v>
      </c>
    </row>
    <row r="30" spans="1:18" x14ac:dyDescent="0.2">
      <c r="A30" s="2" t="str">
        <f ca="1">IFERROR(__xludf.DUMMYFUNCTION("""COMPUTED_VALUE"""),"M.Trubisky")</f>
        <v>M.Trubisky</v>
      </c>
      <c r="B30" s="2" t="str">
        <f ca="1">IFERROR(__xludf.DUMMYFUNCTION("""COMPUTED_VALUE"""),"CHI")</f>
        <v>CHI</v>
      </c>
      <c r="C30" s="2">
        <f ca="1">IFERROR(__xludf.DUMMYFUNCTION("""COMPUTED_VALUE"""),-95)</f>
        <v>-95</v>
      </c>
      <c r="D30" s="2">
        <f ca="1">IFERROR(__xludf.DUMMYFUNCTION("""COMPUTED_VALUE"""),29)</f>
        <v>29</v>
      </c>
      <c r="E30" s="3">
        <f ca="1">IFERROR(__xludf.DUMMYFUNCTION("""COMPUTED_VALUE"""),-0.424)</f>
        <v>-0.42399999999999999</v>
      </c>
      <c r="F30" s="2">
        <f ca="1">IFERROR(__xludf.DUMMYFUNCTION("""COMPUTED_VALUE"""),28)</f>
        <v>28</v>
      </c>
      <c r="G30" s="2" t="str">
        <f ca="1">IFERROR(__xludf.DUMMYFUNCTION("""COMPUTED_VALUE"""),"")</f>
        <v/>
      </c>
      <c r="H30" s="2" t="str">
        <f ca="1">IFERROR(__xludf.DUMMYFUNCTION("""COMPUTED_VALUE"""),"--")</f>
        <v>--</v>
      </c>
      <c r="I30" s="2">
        <f ca="1">IFERROR(__xludf.DUMMYFUNCTION("""COMPUTED_VALUE"""),50)</f>
        <v>50</v>
      </c>
      <c r="J30" s="2">
        <f ca="1">IFERROR(__xludf.DUMMYFUNCTION("""COMPUTED_VALUE"""),208)</f>
        <v>208</v>
      </c>
      <c r="K30" s="2">
        <f ca="1">IFERROR(__xludf.DUMMYFUNCTION("""COMPUTED_VALUE"""),116)</f>
        <v>116</v>
      </c>
      <c r="L30" s="2">
        <f ca="1">IFERROR(__xludf.DUMMYFUNCTION("""COMPUTED_VALUE"""),0)</f>
        <v>0</v>
      </c>
      <c r="M30" s="2">
        <f ca="1">IFERROR(__xludf.DUMMYFUNCTION("""COMPUTED_VALUE"""),0)</f>
        <v>0</v>
      </c>
      <c r="N30" s="2">
        <f ca="1">IFERROR(__xludf.DUMMYFUNCTION("""COMPUTED_VALUE"""),0)</f>
        <v>0</v>
      </c>
      <c r="O30" s="2">
        <f ca="1">IFERROR(__xludf.DUMMYFUNCTION("""COMPUTED_VALUE"""),1)</f>
        <v>1</v>
      </c>
      <c r="P30" s="3">
        <f ca="1">IFERROR(__xludf.DUMMYFUNCTION("""COMPUTED_VALUE"""),0.578)</f>
        <v>0.57799999999999996</v>
      </c>
      <c r="Q30" s="4">
        <f ca="1">IFERROR(__xludf.DUMMYFUNCTION("""COMPUTED_VALUE"""),43471)</f>
        <v>43471</v>
      </c>
      <c r="R30" s="2">
        <f ca="1">IFERROR(__xludf.DUMMYFUNCTION("""COMPUTED_VALUE"""),-2.7)</f>
        <v>-2.7</v>
      </c>
    </row>
    <row r="31" spans="1:18" x14ac:dyDescent="0.2">
      <c r="A31" s="2" t="str">
        <f ca="1">IFERROR(__xludf.DUMMYFUNCTION("""COMPUTED_VALUE"""),"B.Mayfield")</f>
        <v>B.Mayfield</v>
      </c>
      <c r="B31" s="2" t="str">
        <f ca="1">IFERROR(__xludf.DUMMYFUNCTION("""COMPUTED_VALUE"""),"CLE")</f>
        <v>CLE</v>
      </c>
      <c r="C31" s="2">
        <f ca="1">IFERROR(__xludf.DUMMYFUNCTION("""COMPUTED_VALUE"""),-101)</f>
        <v>-101</v>
      </c>
      <c r="D31" s="2">
        <f ca="1">IFERROR(__xludf.DUMMYFUNCTION("""COMPUTED_VALUE"""),30)</f>
        <v>30</v>
      </c>
      <c r="E31" s="3">
        <f ca="1">IFERROR(__xludf.DUMMYFUNCTION("""COMPUTED_VALUE"""),-0.526)</f>
        <v>-0.52600000000000002</v>
      </c>
      <c r="F31" s="2">
        <f ca="1">IFERROR(__xludf.DUMMYFUNCTION("""COMPUTED_VALUE"""),30)</f>
        <v>30</v>
      </c>
      <c r="G31" s="2" t="str">
        <f ca="1">IFERROR(__xludf.DUMMYFUNCTION("""COMPUTED_VALUE"""),"")</f>
        <v/>
      </c>
      <c r="H31" s="2" t="str">
        <f ca="1">IFERROR(__xludf.DUMMYFUNCTION("""COMPUTED_VALUE"""),"--")</f>
        <v>--</v>
      </c>
      <c r="I31" s="2">
        <f ca="1">IFERROR(__xludf.DUMMYFUNCTION("""COMPUTED_VALUE"""),43)</f>
        <v>43</v>
      </c>
      <c r="J31" s="2">
        <f ca="1">IFERROR(__xludf.DUMMYFUNCTION("""COMPUTED_VALUE"""),244)</f>
        <v>244</v>
      </c>
      <c r="K31" s="2">
        <f ca="1">IFERROR(__xludf.DUMMYFUNCTION("""COMPUTED_VALUE"""),60)</f>
        <v>60</v>
      </c>
      <c r="L31" s="2">
        <f ca="1">IFERROR(__xludf.DUMMYFUNCTION("""COMPUTED_VALUE"""),1)</f>
        <v>1</v>
      </c>
      <c r="M31" s="2">
        <f ca="1">IFERROR(__xludf.DUMMYFUNCTION("""COMPUTED_VALUE"""),0)</f>
        <v>0</v>
      </c>
      <c r="N31" s="2">
        <f ca="1">IFERROR(__xludf.DUMMYFUNCTION("""COMPUTED_VALUE"""),0)</f>
        <v>0</v>
      </c>
      <c r="O31" s="2">
        <f ca="1">IFERROR(__xludf.DUMMYFUNCTION("""COMPUTED_VALUE"""),3)</f>
        <v>3</v>
      </c>
      <c r="P31" s="3">
        <f ca="1">IFERROR(__xludf.DUMMYFUNCTION("""COMPUTED_VALUE"""),0.658)</f>
        <v>0.65800000000000003</v>
      </c>
      <c r="Q31" s="4">
        <f ca="1">IFERROR(__xludf.DUMMYFUNCTION("""COMPUTED_VALUE"""),43481)</f>
        <v>43481</v>
      </c>
      <c r="R31" s="2">
        <f ca="1">IFERROR(__xludf.DUMMYFUNCTION("""COMPUTED_VALUE"""),0.1)</f>
        <v>0.1</v>
      </c>
    </row>
    <row r="32" spans="1:18" x14ac:dyDescent="0.2">
      <c r="A32" s="2" t="str">
        <f ca="1">IFERROR(__xludf.DUMMYFUNCTION("""COMPUTED_VALUE"""),"J.Winston")</f>
        <v>J.Winston</v>
      </c>
      <c r="B32" s="2" t="str">
        <f ca="1">IFERROR(__xludf.DUMMYFUNCTION("""COMPUTED_VALUE"""),"TB")</f>
        <v>TB</v>
      </c>
      <c r="C32" s="2">
        <f ca="1">IFERROR(__xludf.DUMMYFUNCTION("""COMPUTED_VALUE"""),-227)</f>
        <v>-227</v>
      </c>
      <c r="D32" s="2">
        <f ca="1">IFERROR(__xludf.DUMMYFUNCTION("""COMPUTED_VALUE"""),31)</f>
        <v>31</v>
      </c>
      <c r="E32" s="3">
        <f ca="1">IFERROR(__xludf.DUMMYFUNCTION("""COMPUTED_VALUE"""),-1.031)</f>
        <v>-1.0309999999999999</v>
      </c>
      <c r="F32" s="2">
        <f ca="1">IFERROR(__xludf.DUMMYFUNCTION("""COMPUTED_VALUE"""),31)</f>
        <v>31</v>
      </c>
      <c r="G32" s="2" t="str">
        <f ca="1">IFERROR(__xludf.DUMMYFUNCTION("""COMPUTED_VALUE"""),"")</f>
        <v/>
      </c>
      <c r="H32" s="2" t="str">
        <f ca="1">IFERROR(__xludf.DUMMYFUNCTION("""COMPUTED_VALUE"""),"--")</f>
        <v>--</v>
      </c>
      <c r="I32" s="2">
        <f ca="1">IFERROR(__xludf.DUMMYFUNCTION("""COMPUTED_VALUE"""),40)</f>
        <v>40</v>
      </c>
      <c r="J32" s="2">
        <f ca="1">IFERROR(__xludf.DUMMYFUNCTION("""COMPUTED_VALUE"""),161)</f>
        <v>161</v>
      </c>
      <c r="K32" s="2">
        <f ca="1">IFERROR(__xludf.DUMMYFUNCTION("""COMPUTED_VALUE"""),-112)</f>
        <v>-112</v>
      </c>
      <c r="L32" s="2">
        <f ca="1">IFERROR(__xludf.DUMMYFUNCTION("""COMPUTED_VALUE"""),1)</f>
        <v>1</v>
      </c>
      <c r="M32" s="2">
        <f ca="1">IFERROR(__xludf.DUMMYFUNCTION("""COMPUTED_VALUE"""),2)</f>
        <v>2</v>
      </c>
      <c r="N32" s="2">
        <f ca="1">IFERROR(__xludf.DUMMYFUNCTION("""COMPUTED_VALUE"""),0)</f>
        <v>0</v>
      </c>
      <c r="O32" s="2">
        <f ca="1">IFERROR(__xludf.DUMMYFUNCTION("""COMPUTED_VALUE"""),3)</f>
        <v>3</v>
      </c>
      <c r="P32" s="3">
        <f ca="1">IFERROR(__xludf.DUMMYFUNCTION("""COMPUTED_VALUE"""),0.571)</f>
        <v>0.57099999999999995</v>
      </c>
      <c r="Q32" s="4">
        <f ca="1">IFERROR(__xludf.DUMMYFUNCTION("""COMPUTED_VALUE"""),43481)</f>
        <v>43481</v>
      </c>
      <c r="R32" s="2">
        <f ca="1">IFERROR(__xludf.DUMMYFUNCTION("""COMPUTED_VALUE"""),-4.1)</f>
        <v>-4.0999999999999996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M42"/>
  <sheetViews>
    <sheetView workbookViewId="0"/>
  </sheetViews>
  <sheetFormatPr defaultColWidth="14.42578125" defaultRowHeight="15.75" customHeight="1" x14ac:dyDescent="0.2"/>
  <sheetData>
    <row r="1" spans="1:13" x14ac:dyDescent="0.2">
      <c r="A1" s="2" t="s">
        <v>0</v>
      </c>
      <c r="B1" s="2" t="str">
        <f ca="1">IFERROR(__xludf.DUMMYFUNCTION("""COMPUTED_VALUE"""),"*Team*")</f>
        <v>*Team*</v>
      </c>
      <c r="C1" s="2" t="str">
        <f ca="1">IFERROR(__xludf.DUMMYFUNCTION("""COMPUTED_VALUE"""),"*DYAR*")</f>
        <v>*DYAR*</v>
      </c>
      <c r="D1" s="2" t="str">
        <f ca="1">IFERROR(__xludf.DUMMYFUNCTION("""COMPUTED_VALUE"""),"*Rk*")</f>
        <v>*Rk*</v>
      </c>
      <c r="E1" s="2" t="str">
        <f ca="1">IFERROR(__xludf.DUMMYFUNCTION("""COMPUTED_VALUE"""),"*DVOA*")</f>
        <v>*DVOA*</v>
      </c>
      <c r="F1" s="2" t="str">
        <f ca="1">IFERROR(__xludf.DUMMYFUNCTION("""COMPUTED_VALUE"""),"*Rk*")</f>
        <v>*Rk*</v>
      </c>
      <c r="G1" s="2" t="str">
        <f ca="1">IFERROR(__xludf.DUMMYFUNCTION("""COMPUTED_VALUE"""),"*Runs*")</f>
        <v>*Runs*</v>
      </c>
      <c r="H1" s="2" t="str">
        <f ca="1">IFERROR(__xludf.DUMMYFUNCTION("""COMPUTED_VALUE"""),"*Yards*")</f>
        <v>*Yards*</v>
      </c>
      <c r="I1" s="2" t="str">
        <f ca="1">IFERROR(__xludf.DUMMYFUNCTION("""COMPUTED_VALUE"""),"*EYds*")</f>
        <v>*EYds*</v>
      </c>
      <c r="J1" s="2" t="str">
        <f ca="1">IFERROR(__xludf.DUMMYFUNCTION("""COMPUTED_VALUE"""),"*TD*")</f>
        <v>*TD*</v>
      </c>
      <c r="K1" s="2" t="str">
        <f ca="1">IFERROR(__xludf.DUMMYFUNCTION("""COMPUTED_VALUE"""),"*FUM*")</f>
        <v>*FUM*</v>
      </c>
      <c r="L1" s="2" t="str">
        <f ca="1">IFERROR(__xludf.DUMMYFUNCTION("""COMPUTED_VALUE"""),"*Suc Rate*")</f>
        <v>*Suc Rate*</v>
      </c>
      <c r="M1" s="2" t="str">
        <f ca="1">IFERROR(__xludf.DUMMYFUNCTION("""COMPUTED_VALUE"""),"*Rk*")</f>
        <v>*Rk*</v>
      </c>
    </row>
    <row r="2" spans="1:13" x14ac:dyDescent="0.2">
      <c r="A2" s="2" t="str">
        <f ca="1">IFERROR(__xludf.DUMMYFUNCTION("""COMPUTED_VALUE"""),"C.McCaffrey")</f>
        <v>C.McCaffrey</v>
      </c>
      <c r="B2" s="2" t="str">
        <f ca="1">IFERROR(__xludf.DUMMYFUNCTION("""COMPUTED_VALUE"""),"CAR")</f>
        <v>CAR</v>
      </c>
      <c r="C2" s="2">
        <f ca="1">IFERROR(__xludf.DUMMYFUNCTION("""COMPUTED_VALUE"""),61)</f>
        <v>61</v>
      </c>
      <c r="D2" s="2">
        <f ca="1">IFERROR(__xludf.DUMMYFUNCTION("""COMPUTED_VALUE"""),1)</f>
        <v>1</v>
      </c>
      <c r="E2" s="3">
        <f ca="1">IFERROR(__xludf.DUMMYFUNCTION("""COMPUTED_VALUE"""),0.709)</f>
        <v>0.70899999999999996</v>
      </c>
      <c r="F2" s="2">
        <f ca="1">IFERROR(__xludf.DUMMYFUNCTION("""COMPUTED_VALUE"""),2)</f>
        <v>2</v>
      </c>
      <c r="G2" s="2">
        <f ca="1">IFERROR(__xludf.DUMMYFUNCTION("""COMPUTED_VALUE"""),19)</f>
        <v>19</v>
      </c>
      <c r="H2" s="2">
        <f ca="1">IFERROR(__xludf.DUMMYFUNCTION("""COMPUTED_VALUE"""),128)</f>
        <v>128</v>
      </c>
      <c r="I2" s="2">
        <f ca="1">IFERROR(__xludf.DUMMYFUNCTION("""COMPUTED_VALUE"""),164)</f>
        <v>164</v>
      </c>
      <c r="J2" s="2">
        <f ca="1">IFERROR(__xludf.DUMMYFUNCTION("""COMPUTED_VALUE"""),2)</f>
        <v>2</v>
      </c>
      <c r="K2" s="2">
        <f ca="1">IFERROR(__xludf.DUMMYFUNCTION("""COMPUTED_VALUE"""),0)</f>
        <v>0</v>
      </c>
      <c r="L2" s="5">
        <f ca="1">IFERROR(__xludf.DUMMYFUNCTION("""COMPUTED_VALUE"""),0.63)</f>
        <v>0.63</v>
      </c>
      <c r="M2" s="2">
        <f ca="1">IFERROR(__xludf.DUMMYFUNCTION("""COMPUTED_VALUE"""),9)</f>
        <v>9</v>
      </c>
    </row>
    <row r="3" spans="1:13" x14ac:dyDescent="0.2">
      <c r="A3" s="2" t="str">
        <f ca="1">IFERROR(__xludf.DUMMYFUNCTION("""COMPUTED_VALUE"""),"M.Mack")</f>
        <v>M.Mack</v>
      </c>
      <c r="B3" s="2" t="str">
        <f ca="1">IFERROR(__xludf.DUMMYFUNCTION("""COMPUTED_VALUE"""),"IND")</f>
        <v>IND</v>
      </c>
      <c r="C3" s="2">
        <f ca="1">IFERROR(__xludf.DUMMYFUNCTION("""COMPUTED_VALUE"""),54)</f>
        <v>54</v>
      </c>
      <c r="D3" s="2">
        <f ca="1">IFERROR(__xludf.DUMMYFUNCTION("""COMPUTED_VALUE"""),2)</f>
        <v>2</v>
      </c>
      <c r="E3" s="3">
        <f ca="1">IFERROR(__xludf.DUMMYFUNCTION("""COMPUTED_VALUE"""),0.362)</f>
        <v>0.36199999999999999</v>
      </c>
      <c r="F3" s="2">
        <f ca="1">IFERROR(__xludf.DUMMYFUNCTION("""COMPUTED_VALUE"""),8)</f>
        <v>8</v>
      </c>
      <c r="G3" s="2">
        <f ca="1">IFERROR(__xludf.DUMMYFUNCTION("""COMPUTED_VALUE"""),25)</f>
        <v>25</v>
      </c>
      <c r="H3" s="2">
        <f ca="1">IFERROR(__xludf.DUMMYFUNCTION("""COMPUTED_VALUE"""),174)</f>
        <v>174</v>
      </c>
      <c r="I3" s="2">
        <f ca="1">IFERROR(__xludf.DUMMYFUNCTION("""COMPUTED_VALUE"""),190)</f>
        <v>190</v>
      </c>
      <c r="J3" s="2">
        <f ca="1">IFERROR(__xludf.DUMMYFUNCTION("""COMPUTED_VALUE"""),1)</f>
        <v>1</v>
      </c>
      <c r="K3" s="2">
        <f ca="1">IFERROR(__xludf.DUMMYFUNCTION("""COMPUTED_VALUE"""),0)</f>
        <v>0</v>
      </c>
      <c r="L3" s="5">
        <f ca="1">IFERROR(__xludf.DUMMYFUNCTION("""COMPUTED_VALUE"""),0.68)</f>
        <v>0.68</v>
      </c>
      <c r="M3" s="2">
        <f ca="1">IFERROR(__xludf.DUMMYFUNCTION("""COMPUTED_VALUE"""),7)</f>
        <v>7</v>
      </c>
    </row>
    <row r="4" spans="1:13" x14ac:dyDescent="0.2">
      <c r="A4" s="2" t="str">
        <f ca="1">IFERROR(__xludf.DUMMYFUNCTION("""COMPUTED_VALUE"""),"M.Ingram")</f>
        <v>M.Ingram</v>
      </c>
      <c r="B4" s="2" t="str">
        <f ca="1">IFERROR(__xludf.DUMMYFUNCTION("""COMPUTED_VALUE"""),"BAL")</f>
        <v>BAL</v>
      </c>
      <c r="C4" s="2">
        <f ca="1">IFERROR(__xludf.DUMMYFUNCTION("""COMPUTED_VALUE"""),47)</f>
        <v>47</v>
      </c>
      <c r="D4" s="2">
        <f ca="1">IFERROR(__xludf.DUMMYFUNCTION("""COMPUTED_VALUE"""),3)</f>
        <v>3</v>
      </c>
      <c r="E4" s="3">
        <f ca="1">IFERROR(__xludf.DUMMYFUNCTION("""COMPUTED_VALUE"""),0.696)</f>
        <v>0.69599999999999995</v>
      </c>
      <c r="F4" s="2">
        <f ca="1">IFERROR(__xludf.DUMMYFUNCTION("""COMPUTED_VALUE"""),3)</f>
        <v>3</v>
      </c>
      <c r="G4" s="2">
        <f ca="1">IFERROR(__xludf.DUMMYFUNCTION("""COMPUTED_VALUE"""),14)</f>
        <v>14</v>
      </c>
      <c r="H4" s="2">
        <f ca="1">IFERROR(__xludf.DUMMYFUNCTION("""COMPUTED_VALUE"""),107)</f>
        <v>107</v>
      </c>
      <c r="I4" s="2">
        <f ca="1">IFERROR(__xludf.DUMMYFUNCTION("""COMPUTED_VALUE"""),128)</f>
        <v>128</v>
      </c>
      <c r="J4" s="2">
        <f ca="1">IFERROR(__xludf.DUMMYFUNCTION("""COMPUTED_VALUE"""),2)</f>
        <v>2</v>
      </c>
      <c r="K4" s="2">
        <f ca="1">IFERROR(__xludf.DUMMYFUNCTION("""COMPUTED_VALUE"""),0)</f>
        <v>0</v>
      </c>
      <c r="L4" s="5">
        <f ca="1">IFERROR(__xludf.DUMMYFUNCTION("""COMPUTED_VALUE"""),0.64)</f>
        <v>0.64</v>
      </c>
      <c r="M4" s="2">
        <f ca="1">IFERROR(__xludf.DUMMYFUNCTION("""COMPUTED_VALUE"""),8)</f>
        <v>8</v>
      </c>
    </row>
    <row r="5" spans="1:13" x14ac:dyDescent="0.2">
      <c r="A5" s="2" t="str">
        <f ca="1">IFERROR(__xludf.DUMMYFUNCTION("""COMPUTED_VALUE"""),"C.Hyde")</f>
        <v>C.Hyde</v>
      </c>
      <c r="B5" s="2" t="str">
        <f ca="1">IFERROR(__xludf.DUMMYFUNCTION("""COMPUTED_VALUE"""),"HOU")</f>
        <v>HOU</v>
      </c>
      <c r="C5" s="2">
        <f ca="1">IFERROR(__xludf.DUMMYFUNCTION("""COMPUTED_VALUE"""),34)</f>
        <v>34</v>
      </c>
      <c r="D5" s="2">
        <f ca="1">IFERROR(__xludf.DUMMYFUNCTION("""COMPUTED_VALUE"""),4)</f>
        <v>4</v>
      </c>
      <c r="E5" s="3">
        <f ca="1">IFERROR(__xludf.DUMMYFUNCTION("""COMPUTED_VALUE"""),0.787)</f>
        <v>0.78700000000000003</v>
      </c>
      <c r="F5" s="2">
        <f ca="1">IFERROR(__xludf.DUMMYFUNCTION("""COMPUTED_VALUE"""),1)</f>
        <v>1</v>
      </c>
      <c r="G5" s="2">
        <f ca="1">IFERROR(__xludf.DUMMYFUNCTION("""COMPUTED_VALUE"""),10)</f>
        <v>10</v>
      </c>
      <c r="H5" s="2">
        <f ca="1">IFERROR(__xludf.DUMMYFUNCTION("""COMPUTED_VALUE"""),83)</f>
        <v>83</v>
      </c>
      <c r="I5" s="2">
        <f ca="1">IFERROR(__xludf.DUMMYFUNCTION("""COMPUTED_VALUE"""),88)</f>
        <v>88</v>
      </c>
      <c r="J5" s="2">
        <f ca="1">IFERROR(__xludf.DUMMYFUNCTION("""COMPUTED_VALUE"""),0)</f>
        <v>0</v>
      </c>
      <c r="K5" s="2">
        <f ca="1">IFERROR(__xludf.DUMMYFUNCTION("""COMPUTED_VALUE"""),0)</f>
        <v>0</v>
      </c>
      <c r="L5" s="5">
        <f ca="1">IFERROR(__xludf.DUMMYFUNCTION("""COMPUTED_VALUE"""),0.8)</f>
        <v>0.8</v>
      </c>
      <c r="M5" s="2">
        <f ca="1">IFERROR(__xludf.DUMMYFUNCTION("""COMPUTED_VALUE"""),1)</f>
        <v>1</v>
      </c>
    </row>
    <row r="6" spans="1:13" x14ac:dyDescent="0.2">
      <c r="A6" s="2" t="str">
        <f ca="1">IFERROR(__xludf.DUMMYFUNCTION("""COMPUTED_VALUE"""),"S.Barkley")</f>
        <v>S.Barkley</v>
      </c>
      <c r="B6" s="2" t="str">
        <f ca="1">IFERROR(__xludf.DUMMYFUNCTION("""COMPUTED_VALUE"""),"NYG")</f>
        <v>NYG</v>
      </c>
      <c r="C6" s="2">
        <f ca="1">IFERROR(__xludf.DUMMYFUNCTION("""COMPUTED_VALUE"""),30)</f>
        <v>30</v>
      </c>
      <c r="D6" s="2">
        <f ca="1">IFERROR(__xludf.DUMMYFUNCTION("""COMPUTED_VALUE"""),5)</f>
        <v>5</v>
      </c>
      <c r="E6" s="3">
        <f ca="1">IFERROR(__xludf.DUMMYFUNCTION("""COMPUTED_VALUE"""),0.414)</f>
        <v>0.41399999999999998</v>
      </c>
      <c r="F6" s="2">
        <f ca="1">IFERROR(__xludf.DUMMYFUNCTION("""COMPUTED_VALUE"""),6)</f>
        <v>6</v>
      </c>
      <c r="G6" s="2">
        <f ca="1">IFERROR(__xludf.DUMMYFUNCTION("""COMPUTED_VALUE"""),11)</f>
        <v>11</v>
      </c>
      <c r="H6" s="2">
        <f ca="1">IFERROR(__xludf.DUMMYFUNCTION("""COMPUTED_VALUE"""),120)</f>
        <v>120</v>
      </c>
      <c r="I6" s="2">
        <f ca="1">IFERROR(__xludf.DUMMYFUNCTION("""COMPUTED_VALUE"""),99)</f>
        <v>99</v>
      </c>
      <c r="J6" s="2">
        <f ca="1">IFERROR(__xludf.DUMMYFUNCTION("""COMPUTED_VALUE"""),0)</f>
        <v>0</v>
      </c>
      <c r="K6" s="2">
        <f ca="1">IFERROR(__xludf.DUMMYFUNCTION("""COMPUTED_VALUE"""),0)</f>
        <v>0</v>
      </c>
      <c r="L6" s="5">
        <f ca="1">IFERROR(__xludf.DUMMYFUNCTION("""COMPUTED_VALUE"""),0.73)</f>
        <v>0.73</v>
      </c>
      <c r="M6" s="2">
        <f ca="1">IFERROR(__xludf.DUMMYFUNCTION("""COMPUTED_VALUE"""),2)</f>
        <v>2</v>
      </c>
    </row>
    <row r="7" spans="1:13" x14ac:dyDescent="0.2">
      <c r="A7" s="2" t="str">
        <f ca="1">IFERROR(__xludf.DUMMYFUNCTION("""COMPUTED_VALUE"""),"M.Brown")</f>
        <v>M.Brown</v>
      </c>
      <c r="B7" s="2" t="str">
        <f ca="1">IFERROR(__xludf.DUMMYFUNCTION("""COMPUTED_VALUE"""),"LAR")</f>
        <v>LAR</v>
      </c>
      <c r="C7" s="2">
        <f ca="1">IFERROR(__xludf.DUMMYFUNCTION("""COMPUTED_VALUE"""),28)</f>
        <v>28</v>
      </c>
      <c r="D7" s="2">
        <f ca="1">IFERROR(__xludf.DUMMYFUNCTION("""COMPUTED_VALUE"""),6)</f>
        <v>6</v>
      </c>
      <c r="E7" s="3">
        <f ca="1">IFERROR(__xludf.DUMMYFUNCTION("""COMPUTED_VALUE"""),0.487)</f>
        <v>0.48699999999999999</v>
      </c>
      <c r="F7" s="2">
        <f ca="1">IFERROR(__xludf.DUMMYFUNCTION("""COMPUTED_VALUE"""),4)</f>
        <v>4</v>
      </c>
      <c r="G7" s="2">
        <f ca="1">IFERROR(__xludf.DUMMYFUNCTION("""COMPUTED_VALUE"""),11)</f>
        <v>11</v>
      </c>
      <c r="H7" s="2">
        <f ca="1">IFERROR(__xludf.DUMMYFUNCTION("""COMPUTED_VALUE"""),53)</f>
        <v>53</v>
      </c>
      <c r="I7" s="2">
        <f ca="1">IFERROR(__xludf.DUMMYFUNCTION("""COMPUTED_VALUE"""),88)</f>
        <v>88</v>
      </c>
      <c r="J7" s="2">
        <f ca="1">IFERROR(__xludf.DUMMYFUNCTION("""COMPUTED_VALUE"""),2)</f>
        <v>2</v>
      </c>
      <c r="K7" s="2">
        <f ca="1">IFERROR(__xludf.DUMMYFUNCTION("""COMPUTED_VALUE"""),0)</f>
        <v>0</v>
      </c>
      <c r="L7" s="5">
        <f ca="1">IFERROR(__xludf.DUMMYFUNCTION("""COMPUTED_VALUE"""),0.73)</f>
        <v>0.73</v>
      </c>
      <c r="M7" s="2">
        <f ca="1">IFERROR(__xludf.DUMMYFUNCTION("""COMPUTED_VALUE"""),2)</f>
        <v>2</v>
      </c>
    </row>
    <row r="8" spans="1:13" x14ac:dyDescent="0.2">
      <c r="A8" s="2" t="str">
        <f ca="1">IFERROR(__xludf.DUMMYFUNCTION("""COMPUTED_VALUE"""),"D.Cook")</f>
        <v>D.Cook</v>
      </c>
      <c r="B8" s="2" t="str">
        <f ca="1">IFERROR(__xludf.DUMMYFUNCTION("""COMPUTED_VALUE"""),"MIN")</f>
        <v>MIN</v>
      </c>
      <c r="C8" s="2">
        <f ca="1">IFERROR(__xludf.DUMMYFUNCTION("""COMPUTED_VALUE"""),27)</f>
        <v>27</v>
      </c>
      <c r="D8" s="2">
        <f ca="1">IFERROR(__xludf.DUMMYFUNCTION("""COMPUTED_VALUE"""),7)</f>
        <v>7</v>
      </c>
      <c r="E8" s="3">
        <f ca="1">IFERROR(__xludf.DUMMYFUNCTION("""COMPUTED_VALUE"""),0.218)</f>
        <v>0.218</v>
      </c>
      <c r="F8" s="2">
        <f ca="1">IFERROR(__xludf.DUMMYFUNCTION("""COMPUTED_VALUE"""),13)</f>
        <v>13</v>
      </c>
      <c r="G8" s="2">
        <f ca="1">IFERROR(__xludf.DUMMYFUNCTION("""COMPUTED_VALUE"""),21)</f>
        <v>21</v>
      </c>
      <c r="H8" s="2">
        <f ca="1">IFERROR(__xludf.DUMMYFUNCTION("""COMPUTED_VALUE"""),111)</f>
        <v>111</v>
      </c>
      <c r="I8" s="2">
        <f ca="1">IFERROR(__xludf.DUMMYFUNCTION("""COMPUTED_VALUE"""),119)</f>
        <v>119</v>
      </c>
      <c r="J8" s="2">
        <f ca="1">IFERROR(__xludf.DUMMYFUNCTION("""COMPUTED_VALUE"""),2)</f>
        <v>2</v>
      </c>
      <c r="K8" s="2">
        <f ca="1">IFERROR(__xludf.DUMMYFUNCTION("""COMPUTED_VALUE"""),0)</f>
        <v>0</v>
      </c>
      <c r="L8" s="5">
        <f ca="1">IFERROR(__xludf.DUMMYFUNCTION("""COMPUTED_VALUE"""),0.43)</f>
        <v>0.43</v>
      </c>
      <c r="M8" s="2">
        <f ca="1">IFERROR(__xludf.DUMMYFUNCTION("""COMPUTED_VALUE"""),28)</f>
        <v>28</v>
      </c>
    </row>
    <row r="9" spans="1:13" x14ac:dyDescent="0.2">
      <c r="A9" s="2" t="str">
        <f ca="1">IFERROR(__xludf.DUMMYFUNCTION("""COMPUTED_VALUE"""),"L.McCoy")</f>
        <v>L.McCoy</v>
      </c>
      <c r="B9" s="2" t="str">
        <f ca="1">IFERROR(__xludf.DUMMYFUNCTION("""COMPUTED_VALUE"""),"KC")</f>
        <v>KC</v>
      </c>
      <c r="C9" s="2">
        <f ca="1">IFERROR(__xludf.DUMMYFUNCTION("""COMPUTED_VALUE"""),27)</f>
        <v>27</v>
      </c>
      <c r="D9" s="2">
        <f ca="1">IFERROR(__xludf.DUMMYFUNCTION("""COMPUTED_VALUE"""),8)</f>
        <v>8</v>
      </c>
      <c r="E9" s="3">
        <f ca="1">IFERROR(__xludf.DUMMYFUNCTION("""COMPUTED_VALUE"""),0.443)</f>
        <v>0.443</v>
      </c>
      <c r="F9" s="2">
        <f ca="1">IFERROR(__xludf.DUMMYFUNCTION("""COMPUTED_VALUE"""),5)</f>
        <v>5</v>
      </c>
      <c r="G9" s="2">
        <f ca="1">IFERROR(__xludf.DUMMYFUNCTION("""COMPUTED_VALUE"""),10)</f>
        <v>10</v>
      </c>
      <c r="H9" s="2">
        <f ca="1">IFERROR(__xludf.DUMMYFUNCTION("""COMPUTED_VALUE"""),81)</f>
        <v>81</v>
      </c>
      <c r="I9" s="2">
        <f ca="1">IFERROR(__xludf.DUMMYFUNCTION("""COMPUTED_VALUE"""),86)</f>
        <v>86</v>
      </c>
      <c r="J9" s="2">
        <f ca="1">IFERROR(__xludf.DUMMYFUNCTION("""COMPUTED_VALUE"""),0)</f>
        <v>0</v>
      </c>
      <c r="K9" s="2">
        <f ca="1">IFERROR(__xludf.DUMMYFUNCTION("""COMPUTED_VALUE"""),0)</f>
        <v>0</v>
      </c>
      <c r="L9" s="5">
        <f ca="1">IFERROR(__xludf.DUMMYFUNCTION("""COMPUTED_VALUE"""),0.7)</f>
        <v>0.7</v>
      </c>
      <c r="M9" s="2">
        <f ca="1">IFERROR(__xludf.DUMMYFUNCTION("""COMPUTED_VALUE"""),5)</f>
        <v>5</v>
      </c>
    </row>
    <row r="10" spans="1:13" x14ac:dyDescent="0.2">
      <c r="A10" s="2" t="str">
        <f ca="1">IFERROR(__xludf.DUMMYFUNCTION("""COMPUTED_VALUE"""),"T.Gurley")</f>
        <v>T.Gurley</v>
      </c>
      <c r="B10" s="2" t="str">
        <f ca="1">IFERROR(__xludf.DUMMYFUNCTION("""COMPUTED_VALUE"""),"LAR")</f>
        <v>LAR</v>
      </c>
      <c r="C10" s="2">
        <f ca="1">IFERROR(__xludf.DUMMYFUNCTION("""COMPUTED_VALUE"""),26)</f>
        <v>26</v>
      </c>
      <c r="D10" s="2">
        <f ca="1">IFERROR(__xludf.DUMMYFUNCTION("""COMPUTED_VALUE"""),9)</f>
        <v>9</v>
      </c>
      <c r="E10" s="3">
        <f ca="1">IFERROR(__xludf.DUMMYFUNCTION("""COMPUTED_VALUE"""),0.372)</f>
        <v>0.372</v>
      </c>
      <c r="F10" s="2">
        <f ca="1">IFERROR(__xludf.DUMMYFUNCTION("""COMPUTED_VALUE"""),7)</f>
        <v>7</v>
      </c>
      <c r="G10" s="2">
        <f ca="1">IFERROR(__xludf.DUMMYFUNCTION("""COMPUTED_VALUE"""),14)</f>
        <v>14</v>
      </c>
      <c r="H10" s="2">
        <f ca="1">IFERROR(__xludf.DUMMYFUNCTION("""COMPUTED_VALUE"""),97)</f>
        <v>97</v>
      </c>
      <c r="I10" s="2">
        <f ca="1">IFERROR(__xludf.DUMMYFUNCTION("""COMPUTED_VALUE"""),91)</f>
        <v>91</v>
      </c>
      <c r="J10" s="2">
        <f ca="1">IFERROR(__xludf.DUMMYFUNCTION("""COMPUTED_VALUE"""),0)</f>
        <v>0</v>
      </c>
      <c r="K10" s="2">
        <f ca="1">IFERROR(__xludf.DUMMYFUNCTION("""COMPUTED_VALUE"""),0)</f>
        <v>0</v>
      </c>
      <c r="L10" s="5">
        <f ca="1">IFERROR(__xludf.DUMMYFUNCTION("""COMPUTED_VALUE"""),0.71)</f>
        <v>0.71</v>
      </c>
      <c r="M10" s="2">
        <f ca="1">IFERROR(__xludf.DUMMYFUNCTION("""COMPUTED_VALUE"""),4)</f>
        <v>4</v>
      </c>
    </row>
    <row r="11" spans="1:13" x14ac:dyDescent="0.2">
      <c r="A11" s="2" t="str">
        <f ca="1">IFERROR(__xludf.DUMMYFUNCTION("""COMPUTED_VALUE"""),"D.Henry")</f>
        <v>D.Henry</v>
      </c>
      <c r="B11" s="2" t="str">
        <f ca="1">IFERROR(__xludf.DUMMYFUNCTION("""COMPUTED_VALUE"""),"TEN")</f>
        <v>TEN</v>
      </c>
      <c r="C11" s="2">
        <f ca="1">IFERROR(__xludf.DUMMYFUNCTION("""COMPUTED_VALUE"""),24)</f>
        <v>24</v>
      </c>
      <c r="D11" s="2">
        <f ca="1">IFERROR(__xludf.DUMMYFUNCTION("""COMPUTED_VALUE"""),10)</f>
        <v>10</v>
      </c>
      <c r="E11" s="3">
        <f ca="1">IFERROR(__xludf.DUMMYFUNCTION("""COMPUTED_VALUE"""),0.26)</f>
        <v>0.26</v>
      </c>
      <c r="F11" s="2">
        <f ca="1">IFERROR(__xludf.DUMMYFUNCTION("""COMPUTED_VALUE"""),11)</f>
        <v>11</v>
      </c>
      <c r="G11" s="2">
        <f ca="1">IFERROR(__xludf.DUMMYFUNCTION("""COMPUTED_VALUE"""),19)</f>
        <v>19</v>
      </c>
      <c r="H11" s="2">
        <f ca="1">IFERROR(__xludf.DUMMYFUNCTION("""COMPUTED_VALUE"""),86)</f>
        <v>86</v>
      </c>
      <c r="I11" s="2">
        <f ca="1">IFERROR(__xludf.DUMMYFUNCTION("""COMPUTED_VALUE"""),100)</f>
        <v>100</v>
      </c>
      <c r="J11" s="2">
        <f ca="1">IFERROR(__xludf.DUMMYFUNCTION("""COMPUTED_VALUE"""),1)</f>
        <v>1</v>
      </c>
      <c r="K11" s="2">
        <f ca="1">IFERROR(__xludf.DUMMYFUNCTION("""COMPUTED_VALUE"""),0)</f>
        <v>0</v>
      </c>
      <c r="L11" s="5">
        <f ca="1">IFERROR(__xludf.DUMMYFUNCTION("""COMPUTED_VALUE"""),0.53)</f>
        <v>0.53</v>
      </c>
      <c r="M11" s="2">
        <f ca="1">IFERROR(__xludf.DUMMYFUNCTION("""COMPUTED_VALUE"""),19)</f>
        <v>19</v>
      </c>
    </row>
    <row r="12" spans="1:13" x14ac:dyDescent="0.2">
      <c r="A12" s="2" t="str">
        <f ca="1">IFERROR(__xludf.DUMMYFUNCTION("""COMPUTED_VALUE"""),"J.Jacobs")</f>
        <v>J.Jacobs</v>
      </c>
      <c r="B12" s="2" t="str">
        <f ca="1">IFERROR(__xludf.DUMMYFUNCTION("""COMPUTED_VALUE"""),"OAK")</f>
        <v>OAK</v>
      </c>
      <c r="C12" s="2">
        <f ca="1">IFERROR(__xludf.DUMMYFUNCTION("""COMPUTED_VALUE"""),22)</f>
        <v>22</v>
      </c>
      <c r="D12" s="2">
        <f ca="1">IFERROR(__xludf.DUMMYFUNCTION("""COMPUTED_VALUE"""),11)</f>
        <v>11</v>
      </c>
      <c r="E12" s="3">
        <f ca="1">IFERROR(__xludf.DUMMYFUNCTION("""COMPUTED_VALUE"""),0.109)</f>
        <v>0.109</v>
      </c>
      <c r="F12" s="2">
        <f ca="1">IFERROR(__xludf.DUMMYFUNCTION("""COMPUTED_VALUE"""),17)</f>
        <v>17</v>
      </c>
      <c r="G12" s="2">
        <f ca="1">IFERROR(__xludf.DUMMYFUNCTION("""COMPUTED_VALUE"""),23)</f>
        <v>23</v>
      </c>
      <c r="H12" s="2">
        <f ca="1">IFERROR(__xludf.DUMMYFUNCTION("""COMPUTED_VALUE"""),85)</f>
        <v>85</v>
      </c>
      <c r="I12" s="2">
        <f ca="1">IFERROR(__xludf.DUMMYFUNCTION("""COMPUTED_VALUE"""),131)</f>
        <v>131</v>
      </c>
      <c r="J12" s="2">
        <f ca="1">IFERROR(__xludf.DUMMYFUNCTION("""COMPUTED_VALUE"""),2)</f>
        <v>2</v>
      </c>
      <c r="K12" s="2">
        <f ca="1">IFERROR(__xludf.DUMMYFUNCTION("""COMPUTED_VALUE"""),0)</f>
        <v>0</v>
      </c>
      <c r="L12" s="5">
        <f ca="1">IFERROR(__xludf.DUMMYFUNCTION("""COMPUTED_VALUE"""),0.57)</f>
        <v>0.56999999999999995</v>
      </c>
      <c r="M12" s="2">
        <f ca="1">IFERROR(__xludf.DUMMYFUNCTION("""COMPUTED_VALUE"""),14)</f>
        <v>14</v>
      </c>
    </row>
    <row r="13" spans="1:13" x14ac:dyDescent="0.2">
      <c r="A13" s="2" t="str">
        <f ca="1">IFERROR(__xludf.DUMMYFUNCTION("""COMPUTED_VALUE"""),"A.Ekeler")</f>
        <v>A.Ekeler</v>
      </c>
      <c r="B13" s="2" t="str">
        <f ca="1">IFERROR(__xludf.DUMMYFUNCTION("""COMPUTED_VALUE"""),"LAC")</f>
        <v>LAC</v>
      </c>
      <c r="C13" s="2">
        <f ca="1">IFERROR(__xludf.DUMMYFUNCTION("""COMPUTED_VALUE"""),19)</f>
        <v>19</v>
      </c>
      <c r="D13" s="2">
        <f ca="1">IFERROR(__xludf.DUMMYFUNCTION("""COMPUTED_VALUE"""),12)</f>
        <v>12</v>
      </c>
      <c r="E13" s="3">
        <f ca="1">IFERROR(__xludf.DUMMYFUNCTION("""COMPUTED_VALUE"""),0.304)</f>
        <v>0.30399999999999999</v>
      </c>
      <c r="F13" s="2">
        <f ca="1">IFERROR(__xludf.DUMMYFUNCTION("""COMPUTED_VALUE"""),10)</f>
        <v>10</v>
      </c>
      <c r="G13" s="2">
        <f ca="1">IFERROR(__xludf.DUMMYFUNCTION("""COMPUTED_VALUE"""),12)</f>
        <v>12</v>
      </c>
      <c r="H13" s="2">
        <f ca="1">IFERROR(__xludf.DUMMYFUNCTION("""COMPUTED_VALUE"""),58)</f>
        <v>58</v>
      </c>
      <c r="I13" s="2">
        <f ca="1">IFERROR(__xludf.DUMMYFUNCTION("""COMPUTED_VALUE"""),74)</f>
        <v>74</v>
      </c>
      <c r="J13" s="2">
        <f ca="1">IFERROR(__xludf.DUMMYFUNCTION("""COMPUTED_VALUE"""),1)</f>
        <v>1</v>
      </c>
      <c r="K13" s="2">
        <f ca="1">IFERROR(__xludf.DUMMYFUNCTION("""COMPUTED_VALUE"""),0)</f>
        <v>0</v>
      </c>
      <c r="L13" s="5">
        <f ca="1">IFERROR(__xludf.DUMMYFUNCTION("""COMPUTED_VALUE"""),0.5)</f>
        <v>0.5</v>
      </c>
      <c r="M13" s="2">
        <f ca="1">IFERROR(__xludf.DUMMYFUNCTION("""COMPUTED_VALUE"""),20)</f>
        <v>20</v>
      </c>
    </row>
    <row r="14" spans="1:13" x14ac:dyDescent="0.2">
      <c r="A14" s="2" t="str">
        <f ca="1">IFERROR(__xludf.DUMMYFUNCTION("""COMPUTED_VALUE"""),"R.Jones")</f>
        <v>R.Jones</v>
      </c>
      <c r="B14" s="2" t="str">
        <f ca="1">IFERROR(__xludf.DUMMYFUNCTION("""COMPUTED_VALUE"""),"TB")</f>
        <v>TB</v>
      </c>
      <c r="C14" s="2">
        <f ca="1">IFERROR(__xludf.DUMMYFUNCTION("""COMPUTED_VALUE"""),19)</f>
        <v>19</v>
      </c>
      <c r="D14" s="2">
        <f ca="1">IFERROR(__xludf.DUMMYFUNCTION("""COMPUTED_VALUE"""),13)</f>
        <v>13</v>
      </c>
      <c r="E14" s="3">
        <f ca="1">IFERROR(__xludf.DUMMYFUNCTION("""COMPUTED_VALUE"""),0.26)</f>
        <v>0.26</v>
      </c>
      <c r="F14" s="2">
        <f ca="1">IFERROR(__xludf.DUMMYFUNCTION("""COMPUTED_VALUE"""),12)</f>
        <v>12</v>
      </c>
      <c r="G14" s="2">
        <f ca="1">IFERROR(__xludf.DUMMYFUNCTION("""COMPUTED_VALUE"""),13)</f>
        <v>13</v>
      </c>
      <c r="H14" s="2">
        <f ca="1">IFERROR(__xludf.DUMMYFUNCTION("""COMPUTED_VALUE"""),75)</f>
        <v>75</v>
      </c>
      <c r="I14" s="2">
        <f ca="1">IFERROR(__xludf.DUMMYFUNCTION("""COMPUTED_VALUE"""),79)</f>
        <v>79</v>
      </c>
      <c r="J14" s="2">
        <f ca="1">IFERROR(__xludf.DUMMYFUNCTION("""COMPUTED_VALUE"""),0)</f>
        <v>0</v>
      </c>
      <c r="K14" s="2">
        <f ca="1">IFERROR(__xludf.DUMMYFUNCTION("""COMPUTED_VALUE"""),0)</f>
        <v>0</v>
      </c>
      <c r="L14" s="5">
        <f ca="1">IFERROR(__xludf.DUMMYFUNCTION("""COMPUTED_VALUE"""),0.69)</f>
        <v>0.69</v>
      </c>
      <c r="M14" s="2">
        <f ca="1">IFERROR(__xludf.DUMMYFUNCTION("""COMPUTED_VALUE"""),6)</f>
        <v>6</v>
      </c>
    </row>
    <row r="15" spans="1:13" x14ac:dyDescent="0.2">
      <c r="A15" s="2" t="str">
        <f ca="1">IFERROR(__xludf.DUMMYFUNCTION("""COMPUTED_VALUE"""),"E.Elliott")</f>
        <v>E.Elliott</v>
      </c>
      <c r="B15" s="2" t="str">
        <f ca="1">IFERROR(__xludf.DUMMYFUNCTION("""COMPUTED_VALUE"""),"DAL")</f>
        <v>DAL</v>
      </c>
      <c r="C15" s="2">
        <f ca="1">IFERROR(__xludf.DUMMYFUNCTION("""COMPUTED_VALUE"""),14)</f>
        <v>14</v>
      </c>
      <c r="D15" s="2">
        <f ca="1">IFERROR(__xludf.DUMMYFUNCTION("""COMPUTED_VALUE"""),14)</f>
        <v>14</v>
      </c>
      <c r="E15" s="3">
        <f ca="1">IFERROR(__xludf.DUMMYFUNCTION("""COMPUTED_VALUE"""),0.206)</f>
        <v>0.20599999999999999</v>
      </c>
      <c r="F15" s="2">
        <f ca="1">IFERROR(__xludf.DUMMYFUNCTION("""COMPUTED_VALUE"""),14)</f>
        <v>14</v>
      </c>
      <c r="G15" s="2">
        <f ca="1">IFERROR(__xludf.DUMMYFUNCTION("""COMPUTED_VALUE"""),13)</f>
        <v>13</v>
      </c>
      <c r="H15" s="2">
        <f ca="1">IFERROR(__xludf.DUMMYFUNCTION("""COMPUTED_VALUE"""),53)</f>
        <v>53</v>
      </c>
      <c r="I15" s="2">
        <f ca="1">IFERROR(__xludf.DUMMYFUNCTION("""COMPUTED_VALUE"""),66)</f>
        <v>66</v>
      </c>
      <c r="J15" s="2">
        <f ca="1">IFERROR(__xludf.DUMMYFUNCTION("""COMPUTED_VALUE"""),1)</f>
        <v>1</v>
      </c>
      <c r="K15" s="2">
        <f ca="1">IFERROR(__xludf.DUMMYFUNCTION("""COMPUTED_VALUE"""),0)</f>
        <v>0</v>
      </c>
      <c r="L15" s="5">
        <f ca="1">IFERROR(__xludf.DUMMYFUNCTION("""COMPUTED_VALUE"""),0.62)</f>
        <v>0.62</v>
      </c>
      <c r="M15" s="2">
        <f ca="1">IFERROR(__xludf.DUMMYFUNCTION("""COMPUTED_VALUE"""),11)</f>
        <v>11</v>
      </c>
    </row>
    <row r="16" spans="1:13" x14ac:dyDescent="0.2">
      <c r="A16" s="2" t="str">
        <f ca="1">IFERROR(__xludf.DUMMYFUNCTION("""COMPUTED_VALUE"""),"R.Burkhead")</f>
        <v>R.Burkhead</v>
      </c>
      <c r="B16" s="2" t="str">
        <f ca="1">IFERROR(__xludf.DUMMYFUNCTION("""COMPUTED_VALUE"""),"NE")</f>
        <v>NE</v>
      </c>
      <c r="C16" s="2">
        <f ca="1">IFERROR(__xludf.DUMMYFUNCTION("""COMPUTED_VALUE"""),13)</f>
        <v>13</v>
      </c>
      <c r="D16" s="2">
        <f ca="1">IFERROR(__xludf.DUMMYFUNCTION("""COMPUTED_VALUE"""),15)</f>
        <v>15</v>
      </c>
      <c r="E16" s="3">
        <f ca="1">IFERROR(__xludf.DUMMYFUNCTION("""COMPUTED_VALUE"""),0.321)</f>
        <v>0.32100000000000001</v>
      </c>
      <c r="F16" s="2">
        <f ca="1">IFERROR(__xludf.DUMMYFUNCTION("""COMPUTED_VALUE"""),9)</f>
        <v>9</v>
      </c>
      <c r="G16" s="2">
        <f ca="1">IFERROR(__xludf.DUMMYFUNCTION("""COMPUTED_VALUE"""),8)</f>
        <v>8</v>
      </c>
      <c r="H16" s="2">
        <f ca="1">IFERROR(__xludf.DUMMYFUNCTION("""COMPUTED_VALUE"""),44)</f>
        <v>44</v>
      </c>
      <c r="I16" s="2">
        <f ca="1">IFERROR(__xludf.DUMMYFUNCTION("""COMPUTED_VALUE"""),48)</f>
        <v>48</v>
      </c>
      <c r="J16" s="2">
        <f ca="1">IFERROR(__xludf.DUMMYFUNCTION("""COMPUTED_VALUE"""),0)</f>
        <v>0</v>
      </c>
      <c r="K16" s="2">
        <f ca="1">IFERROR(__xludf.DUMMYFUNCTION("""COMPUTED_VALUE"""),0)</f>
        <v>0</v>
      </c>
      <c r="L16" s="5">
        <f ca="1">IFERROR(__xludf.DUMMYFUNCTION("""COMPUTED_VALUE"""),0.63)</f>
        <v>0.63</v>
      </c>
      <c r="M16" s="2">
        <f ca="1">IFERROR(__xludf.DUMMYFUNCTION("""COMPUTED_VALUE"""),10)</f>
        <v>10</v>
      </c>
    </row>
    <row r="17" spans="1:13" x14ac:dyDescent="0.2">
      <c r="A17" s="2" t="str">
        <f ca="1">IFERROR(__xludf.DUMMYFUNCTION("""COMPUTED_VALUE"""),"R.Freeman")</f>
        <v>R.Freeman</v>
      </c>
      <c r="B17" s="2" t="str">
        <f ca="1">IFERROR(__xludf.DUMMYFUNCTION("""COMPUTED_VALUE"""),"DEN")</f>
        <v>DEN</v>
      </c>
      <c r="C17" s="2">
        <f ca="1">IFERROR(__xludf.DUMMYFUNCTION("""COMPUTED_VALUE"""),10)</f>
        <v>10</v>
      </c>
      <c r="D17" s="2">
        <f ca="1">IFERROR(__xludf.DUMMYFUNCTION("""COMPUTED_VALUE"""),16)</f>
        <v>16</v>
      </c>
      <c r="E17" s="3">
        <f ca="1">IFERROR(__xludf.DUMMYFUNCTION("""COMPUTED_VALUE"""),0.174)</f>
        <v>0.17399999999999999</v>
      </c>
      <c r="F17" s="2">
        <f ca="1">IFERROR(__xludf.DUMMYFUNCTION("""COMPUTED_VALUE"""),15)</f>
        <v>15</v>
      </c>
      <c r="G17" s="2">
        <f ca="1">IFERROR(__xludf.DUMMYFUNCTION("""COMPUTED_VALUE"""),10)</f>
        <v>10</v>
      </c>
      <c r="H17" s="2">
        <f ca="1">IFERROR(__xludf.DUMMYFUNCTION("""COMPUTED_VALUE"""),56)</f>
        <v>56</v>
      </c>
      <c r="I17" s="2">
        <f ca="1">IFERROR(__xludf.DUMMYFUNCTION("""COMPUTED_VALUE"""),48)</f>
        <v>48</v>
      </c>
      <c r="J17" s="2">
        <f ca="1">IFERROR(__xludf.DUMMYFUNCTION("""COMPUTED_VALUE"""),0)</f>
        <v>0</v>
      </c>
      <c r="K17" s="2">
        <f ca="1">IFERROR(__xludf.DUMMYFUNCTION("""COMPUTED_VALUE"""),0)</f>
        <v>0</v>
      </c>
      <c r="L17" s="5">
        <f ca="1">IFERROR(__xludf.DUMMYFUNCTION("""COMPUTED_VALUE"""),0.5)</f>
        <v>0.5</v>
      </c>
      <c r="M17" s="2">
        <f ca="1">IFERROR(__xludf.DUMMYFUNCTION("""COMPUTED_VALUE"""),20)</f>
        <v>20</v>
      </c>
    </row>
    <row r="18" spans="1:13" x14ac:dyDescent="0.2">
      <c r="A18" s="2" t="str">
        <f ca="1">IFERROR(__xludf.DUMMYFUNCTION("""COMPUTED_VALUE"""),"L.Fournette")</f>
        <v>L.Fournette</v>
      </c>
      <c r="B18" s="2" t="str">
        <f ca="1">IFERROR(__xludf.DUMMYFUNCTION("""COMPUTED_VALUE"""),"JAX")</f>
        <v>JAX</v>
      </c>
      <c r="C18" s="2">
        <f ca="1">IFERROR(__xludf.DUMMYFUNCTION("""COMPUTED_VALUE"""),9)</f>
        <v>9</v>
      </c>
      <c r="D18" s="2">
        <f ca="1">IFERROR(__xludf.DUMMYFUNCTION("""COMPUTED_VALUE"""),17)</f>
        <v>17</v>
      </c>
      <c r="E18" s="3">
        <f ca="1">IFERROR(__xludf.DUMMYFUNCTION("""COMPUTED_VALUE"""),0.095)</f>
        <v>9.5000000000000001E-2</v>
      </c>
      <c r="F18" s="2">
        <f ca="1">IFERROR(__xludf.DUMMYFUNCTION("""COMPUTED_VALUE"""),18)</f>
        <v>18</v>
      </c>
      <c r="G18" s="2">
        <f ca="1">IFERROR(__xludf.DUMMYFUNCTION("""COMPUTED_VALUE"""),13)</f>
        <v>13</v>
      </c>
      <c r="H18" s="2">
        <f ca="1">IFERROR(__xludf.DUMMYFUNCTION("""COMPUTED_VALUE"""),66)</f>
        <v>66</v>
      </c>
      <c r="I18" s="2">
        <f ca="1">IFERROR(__xludf.DUMMYFUNCTION("""COMPUTED_VALUE"""),57)</f>
        <v>57</v>
      </c>
      <c r="J18" s="2">
        <f ca="1">IFERROR(__xludf.DUMMYFUNCTION("""COMPUTED_VALUE"""),0)</f>
        <v>0</v>
      </c>
      <c r="K18" s="2">
        <f ca="1">IFERROR(__xludf.DUMMYFUNCTION("""COMPUTED_VALUE"""),0)</f>
        <v>0</v>
      </c>
      <c r="L18" s="5">
        <f ca="1">IFERROR(__xludf.DUMMYFUNCTION("""COMPUTED_VALUE"""),0.46)</f>
        <v>0.46</v>
      </c>
      <c r="M18" s="2">
        <f ca="1">IFERROR(__xludf.DUMMYFUNCTION("""COMPUTED_VALUE"""),22)</f>
        <v>22</v>
      </c>
    </row>
    <row r="19" spans="1:13" x14ac:dyDescent="0.2">
      <c r="A19" s="2" t="str">
        <f ca="1">IFERROR(__xludf.DUMMYFUNCTION("""COMPUTED_VALUE"""),"Du.Johnson")</f>
        <v>Du.Johnson</v>
      </c>
      <c r="B19" s="2" t="str">
        <f ca="1">IFERROR(__xludf.DUMMYFUNCTION("""COMPUTED_VALUE"""),"HOU")</f>
        <v>HOU</v>
      </c>
      <c r="C19" s="2">
        <f ca="1">IFERROR(__xludf.DUMMYFUNCTION("""COMPUTED_VALUE"""),7)</f>
        <v>7</v>
      </c>
      <c r="D19" s="2">
        <f ca="1">IFERROR(__xludf.DUMMYFUNCTION("""COMPUTED_VALUE"""),18)</f>
        <v>18</v>
      </c>
      <c r="E19" s="3">
        <f ca="1">IFERROR(__xludf.DUMMYFUNCTION("""COMPUTED_VALUE"""),0.167)</f>
        <v>0.16700000000000001</v>
      </c>
      <c r="F19" s="2">
        <f ca="1">IFERROR(__xludf.DUMMYFUNCTION("""COMPUTED_VALUE"""),16)</f>
        <v>16</v>
      </c>
      <c r="G19" s="2">
        <f ca="1">IFERROR(__xludf.DUMMYFUNCTION("""COMPUTED_VALUE"""),9)</f>
        <v>9</v>
      </c>
      <c r="H19" s="2">
        <f ca="1">IFERROR(__xludf.DUMMYFUNCTION("""COMPUTED_VALUE"""),57)</f>
        <v>57</v>
      </c>
      <c r="I19" s="2">
        <f ca="1">IFERROR(__xludf.DUMMYFUNCTION("""COMPUTED_VALUE"""),37)</f>
        <v>37</v>
      </c>
      <c r="J19" s="2">
        <f ca="1">IFERROR(__xludf.DUMMYFUNCTION("""COMPUTED_VALUE"""),0)</f>
        <v>0</v>
      </c>
      <c r="K19" s="2">
        <f ca="1">IFERROR(__xludf.DUMMYFUNCTION("""COMPUTED_VALUE"""),0)</f>
        <v>0</v>
      </c>
      <c r="L19" s="5">
        <f ca="1">IFERROR(__xludf.DUMMYFUNCTION("""COMPUTED_VALUE"""),0.44)</f>
        <v>0.44</v>
      </c>
      <c r="M19" s="2">
        <f ca="1">IFERROR(__xludf.DUMMYFUNCTION("""COMPUTED_VALUE"""),25)</f>
        <v>25</v>
      </c>
    </row>
    <row r="20" spans="1:13" x14ac:dyDescent="0.2">
      <c r="A20" s="2" t="str">
        <f ca="1">IFERROR(__xludf.DUMMYFUNCTION("""COMPUTED_VALUE"""),"L.Bell")</f>
        <v>L.Bell</v>
      </c>
      <c r="B20" s="2" t="str">
        <f ca="1">IFERROR(__xludf.DUMMYFUNCTION("""COMPUTED_VALUE"""),"NYJ")</f>
        <v>NYJ</v>
      </c>
      <c r="C20" s="2">
        <f ca="1">IFERROR(__xludf.DUMMYFUNCTION("""COMPUTED_VALUE"""),6)</f>
        <v>6</v>
      </c>
      <c r="D20" s="2">
        <f ca="1">IFERROR(__xludf.DUMMYFUNCTION("""COMPUTED_VALUE"""),19)</f>
        <v>19</v>
      </c>
      <c r="E20" s="3">
        <f ca="1">IFERROR(__xludf.DUMMYFUNCTION("""COMPUTED_VALUE"""),0.014)</f>
        <v>1.4E-2</v>
      </c>
      <c r="F20" s="2">
        <f ca="1">IFERROR(__xludf.DUMMYFUNCTION("""COMPUTED_VALUE"""),20)</f>
        <v>20</v>
      </c>
      <c r="G20" s="2">
        <f ca="1">IFERROR(__xludf.DUMMYFUNCTION("""COMPUTED_VALUE"""),17)</f>
        <v>17</v>
      </c>
      <c r="H20" s="2">
        <f ca="1">IFERROR(__xludf.DUMMYFUNCTION("""COMPUTED_VALUE"""),60)</f>
        <v>60</v>
      </c>
      <c r="I20" s="2">
        <f ca="1">IFERROR(__xludf.DUMMYFUNCTION("""COMPUTED_VALUE"""),63)</f>
        <v>63</v>
      </c>
      <c r="J20" s="2">
        <f ca="1">IFERROR(__xludf.DUMMYFUNCTION("""COMPUTED_VALUE"""),0)</f>
        <v>0</v>
      </c>
      <c r="K20" s="2">
        <f ca="1">IFERROR(__xludf.DUMMYFUNCTION("""COMPUTED_VALUE"""),0)</f>
        <v>0</v>
      </c>
      <c r="L20" s="5">
        <f ca="1">IFERROR(__xludf.DUMMYFUNCTION("""COMPUTED_VALUE"""),0.59)</f>
        <v>0.59</v>
      </c>
      <c r="M20" s="2">
        <f ca="1">IFERROR(__xludf.DUMMYFUNCTION("""COMPUTED_VALUE"""),13)</f>
        <v>13</v>
      </c>
    </row>
    <row r="21" spans="1:13" x14ac:dyDescent="0.2">
      <c r="A21" s="2" t="str">
        <f ca="1">IFERROR(__xludf.DUMMYFUNCTION("""COMPUTED_VALUE"""),"Da.Johnson")</f>
        <v>Da.Johnson</v>
      </c>
      <c r="B21" s="2" t="str">
        <f ca="1">IFERROR(__xludf.DUMMYFUNCTION("""COMPUTED_VALUE"""),"ARI")</f>
        <v>ARI</v>
      </c>
      <c r="C21" s="2">
        <f ca="1">IFERROR(__xludf.DUMMYFUNCTION("""COMPUTED_VALUE"""),4)</f>
        <v>4</v>
      </c>
      <c r="D21" s="2">
        <f ca="1">IFERROR(__xludf.DUMMYFUNCTION("""COMPUTED_VALUE"""),20)</f>
        <v>20</v>
      </c>
      <c r="E21" s="3">
        <f ca="1">IFERROR(__xludf.DUMMYFUNCTION("""COMPUTED_VALUE"""),-0.023)</f>
        <v>-2.3E-2</v>
      </c>
      <c r="F21" s="2">
        <f ca="1">IFERROR(__xludf.DUMMYFUNCTION("""COMPUTED_VALUE"""),24)</f>
        <v>24</v>
      </c>
      <c r="G21" s="2">
        <f ca="1">IFERROR(__xludf.DUMMYFUNCTION("""COMPUTED_VALUE"""),18)</f>
        <v>18</v>
      </c>
      <c r="H21" s="2">
        <f ca="1">IFERROR(__xludf.DUMMYFUNCTION("""COMPUTED_VALUE"""),82)</f>
        <v>82</v>
      </c>
      <c r="I21" s="2">
        <f ca="1">IFERROR(__xludf.DUMMYFUNCTION("""COMPUTED_VALUE"""),68)</f>
        <v>68</v>
      </c>
      <c r="J21" s="2">
        <f ca="1">IFERROR(__xludf.DUMMYFUNCTION("""COMPUTED_VALUE"""),0)</f>
        <v>0</v>
      </c>
      <c r="K21" s="2">
        <f ca="1">IFERROR(__xludf.DUMMYFUNCTION("""COMPUTED_VALUE"""),0)</f>
        <v>0</v>
      </c>
      <c r="L21" s="5">
        <f ca="1">IFERROR(__xludf.DUMMYFUNCTION("""COMPUTED_VALUE"""),0.39)</f>
        <v>0.39</v>
      </c>
      <c r="M21" s="2">
        <f ca="1">IFERROR(__xludf.DUMMYFUNCTION("""COMPUTED_VALUE"""),30)</f>
        <v>30</v>
      </c>
    </row>
    <row r="22" spans="1:13" x14ac:dyDescent="0.2">
      <c r="A22" s="2" t="str">
        <f ca="1">IFERROR(__xludf.DUMMYFUNCTION("""COMPUTED_VALUE"""),"D.Sproles")</f>
        <v>D.Sproles</v>
      </c>
      <c r="B22" s="2" t="str">
        <f ca="1">IFERROR(__xludf.DUMMYFUNCTION("""COMPUTED_VALUE"""),"PHI")</f>
        <v>PHI</v>
      </c>
      <c r="C22" s="2">
        <f ca="1">IFERROR(__xludf.DUMMYFUNCTION("""COMPUTED_VALUE"""),4)</f>
        <v>4</v>
      </c>
      <c r="D22" s="2">
        <f ca="1">IFERROR(__xludf.DUMMYFUNCTION("""COMPUTED_VALUE"""),21)</f>
        <v>21</v>
      </c>
      <c r="E22" s="3">
        <f ca="1">IFERROR(__xludf.DUMMYFUNCTION("""COMPUTED_VALUE"""),0.01)</f>
        <v>0.01</v>
      </c>
      <c r="F22" s="2">
        <f ca="1">IFERROR(__xludf.DUMMYFUNCTION("""COMPUTED_VALUE"""),21)</f>
        <v>21</v>
      </c>
      <c r="G22" s="2">
        <f ca="1">IFERROR(__xludf.DUMMYFUNCTION("""COMPUTED_VALUE"""),9)</f>
        <v>9</v>
      </c>
      <c r="H22" s="2">
        <f ca="1">IFERROR(__xludf.DUMMYFUNCTION("""COMPUTED_VALUE"""),47)</f>
        <v>47</v>
      </c>
      <c r="I22" s="2">
        <f ca="1">IFERROR(__xludf.DUMMYFUNCTION("""COMPUTED_VALUE"""),42)</f>
        <v>42</v>
      </c>
      <c r="J22" s="2">
        <f ca="1">IFERROR(__xludf.DUMMYFUNCTION("""COMPUTED_VALUE"""),0)</f>
        <v>0</v>
      </c>
      <c r="K22" s="2">
        <f ca="1">IFERROR(__xludf.DUMMYFUNCTION("""COMPUTED_VALUE"""),0)</f>
        <v>0</v>
      </c>
      <c r="L22" s="5">
        <f ca="1">IFERROR(__xludf.DUMMYFUNCTION("""COMPUTED_VALUE"""),0.44)</f>
        <v>0.44</v>
      </c>
      <c r="M22" s="2">
        <f ca="1">IFERROR(__xludf.DUMMYFUNCTION("""COMPUTED_VALUE"""),25)</f>
        <v>25</v>
      </c>
    </row>
    <row r="23" spans="1:13" x14ac:dyDescent="0.2">
      <c r="A23" s="2" t="str">
        <f ca="1">IFERROR(__xludf.DUMMYFUNCTION("""COMPUTED_VALUE"""),"P.Barber")</f>
        <v>P.Barber</v>
      </c>
      <c r="B23" s="2" t="str">
        <f ca="1">IFERROR(__xludf.DUMMYFUNCTION("""COMPUTED_VALUE"""),"TB")</f>
        <v>TB</v>
      </c>
      <c r="C23" s="2">
        <f ca="1">IFERROR(__xludf.DUMMYFUNCTION("""COMPUTED_VALUE"""),4)</f>
        <v>4</v>
      </c>
      <c r="D23" s="2">
        <f ca="1">IFERROR(__xludf.DUMMYFUNCTION("""COMPUTED_VALUE"""),22)</f>
        <v>22</v>
      </c>
      <c r="E23" s="3">
        <f ca="1">IFERROR(__xludf.DUMMYFUNCTION("""COMPUTED_VALUE"""),0.041)</f>
        <v>4.1000000000000002E-2</v>
      </c>
      <c r="F23" s="2">
        <f ca="1">IFERROR(__xludf.DUMMYFUNCTION("""COMPUTED_VALUE"""),19)</f>
        <v>19</v>
      </c>
      <c r="G23" s="2">
        <f ca="1">IFERROR(__xludf.DUMMYFUNCTION("""COMPUTED_VALUE"""),8)</f>
        <v>8</v>
      </c>
      <c r="H23" s="2">
        <f ca="1">IFERROR(__xludf.DUMMYFUNCTION("""COMPUTED_VALUE"""),33)</f>
        <v>33</v>
      </c>
      <c r="I23" s="2">
        <f ca="1">IFERROR(__xludf.DUMMYFUNCTION("""COMPUTED_VALUE"""),31)</f>
        <v>31</v>
      </c>
      <c r="J23" s="2">
        <f ca="1">IFERROR(__xludf.DUMMYFUNCTION("""COMPUTED_VALUE"""),0)</f>
        <v>0</v>
      </c>
      <c r="K23" s="2">
        <f ca="1">IFERROR(__xludf.DUMMYFUNCTION("""COMPUTED_VALUE"""),0)</f>
        <v>0</v>
      </c>
      <c r="L23" s="5">
        <f ca="1">IFERROR(__xludf.DUMMYFUNCTION("""COMPUTED_VALUE"""),0.38)</f>
        <v>0.38</v>
      </c>
      <c r="M23" s="2">
        <f ca="1">IFERROR(__xludf.DUMMYFUNCTION("""COMPUTED_VALUE"""),31)</f>
        <v>31</v>
      </c>
    </row>
    <row r="24" spans="1:13" x14ac:dyDescent="0.2">
      <c r="A24" s="2" t="str">
        <f ca="1">IFERROR(__xludf.DUMMYFUNCTION("""COMPUTED_VALUE"""),"R.Mostert")</f>
        <v>R.Mostert</v>
      </c>
      <c r="B24" s="2" t="str">
        <f ca="1">IFERROR(__xludf.DUMMYFUNCTION("""COMPUTED_VALUE"""),"SF")</f>
        <v>SF</v>
      </c>
      <c r="C24" s="2">
        <f ca="1">IFERROR(__xludf.DUMMYFUNCTION("""COMPUTED_VALUE"""),3)</f>
        <v>3</v>
      </c>
      <c r="D24" s="2">
        <f ca="1">IFERROR(__xludf.DUMMYFUNCTION("""COMPUTED_VALUE"""),23)</f>
        <v>23</v>
      </c>
      <c r="E24" s="3">
        <f ca="1">IFERROR(__xludf.DUMMYFUNCTION("""COMPUTED_VALUE"""),-0.006)</f>
        <v>-6.0000000000000001E-3</v>
      </c>
      <c r="F24" s="2">
        <f ca="1">IFERROR(__xludf.DUMMYFUNCTION("""COMPUTED_VALUE"""),23)</f>
        <v>23</v>
      </c>
      <c r="G24" s="2">
        <f ca="1">IFERROR(__xludf.DUMMYFUNCTION("""COMPUTED_VALUE"""),9)</f>
        <v>9</v>
      </c>
      <c r="H24" s="2">
        <f ca="1">IFERROR(__xludf.DUMMYFUNCTION("""COMPUTED_VALUE"""),40)</f>
        <v>40</v>
      </c>
      <c r="I24" s="2">
        <f ca="1">IFERROR(__xludf.DUMMYFUNCTION("""COMPUTED_VALUE"""),35)</f>
        <v>35</v>
      </c>
      <c r="J24" s="2">
        <f ca="1">IFERROR(__xludf.DUMMYFUNCTION("""COMPUTED_VALUE"""),0)</f>
        <v>0</v>
      </c>
      <c r="K24" s="2">
        <f ca="1">IFERROR(__xludf.DUMMYFUNCTION("""COMPUTED_VALUE"""),0)</f>
        <v>0</v>
      </c>
      <c r="L24" s="5">
        <f ca="1">IFERROR(__xludf.DUMMYFUNCTION("""COMPUTED_VALUE"""),0.44)</f>
        <v>0.44</v>
      </c>
      <c r="M24" s="2">
        <f ca="1">IFERROR(__xludf.DUMMYFUNCTION("""COMPUTED_VALUE"""),25)</f>
        <v>25</v>
      </c>
    </row>
    <row r="25" spans="1:13" x14ac:dyDescent="0.2">
      <c r="A25" s="2" t="str">
        <f ca="1">IFERROR(__xludf.DUMMYFUNCTION("""COMPUTED_VALUE"""),"N.Chubb")</f>
        <v>N.Chubb</v>
      </c>
      <c r="B25" s="2" t="str">
        <f ca="1">IFERROR(__xludf.DUMMYFUNCTION("""COMPUTED_VALUE"""),"CLE")</f>
        <v>CLE</v>
      </c>
      <c r="C25" s="2">
        <f ca="1">IFERROR(__xludf.DUMMYFUNCTION("""COMPUTED_VALUE"""),3)</f>
        <v>3</v>
      </c>
      <c r="D25" s="2">
        <f ca="1">IFERROR(__xludf.DUMMYFUNCTION("""COMPUTED_VALUE"""),24)</f>
        <v>24</v>
      </c>
      <c r="E25" s="3">
        <f ca="1">IFERROR(__xludf.DUMMYFUNCTION("""COMPUTED_VALUE"""),-0.04)</f>
        <v>-0.04</v>
      </c>
      <c r="F25" s="2">
        <f ca="1">IFERROR(__xludf.DUMMYFUNCTION("""COMPUTED_VALUE"""),25)</f>
        <v>25</v>
      </c>
      <c r="G25" s="2">
        <f ca="1">IFERROR(__xludf.DUMMYFUNCTION("""COMPUTED_VALUE"""),17)</f>
        <v>17</v>
      </c>
      <c r="H25" s="2">
        <f ca="1">IFERROR(__xludf.DUMMYFUNCTION("""COMPUTED_VALUE"""),75)</f>
        <v>75</v>
      </c>
      <c r="I25" s="2">
        <f ca="1">IFERROR(__xludf.DUMMYFUNCTION("""COMPUTED_VALUE"""),57)</f>
        <v>57</v>
      </c>
      <c r="J25" s="2">
        <f ca="1">IFERROR(__xludf.DUMMYFUNCTION("""COMPUTED_VALUE"""),0)</f>
        <v>0</v>
      </c>
      <c r="K25" s="2">
        <f ca="1">IFERROR(__xludf.DUMMYFUNCTION("""COMPUTED_VALUE"""),0)</f>
        <v>0</v>
      </c>
      <c r="L25" s="5">
        <f ca="1">IFERROR(__xludf.DUMMYFUNCTION("""COMPUTED_VALUE"""),0.29)</f>
        <v>0.28999999999999998</v>
      </c>
      <c r="M25" s="2">
        <f ca="1">IFERROR(__xludf.DUMMYFUNCTION("""COMPUTED_VALUE"""),36)</f>
        <v>36</v>
      </c>
    </row>
    <row r="26" spans="1:13" x14ac:dyDescent="0.2">
      <c r="A26" s="2" t="str">
        <f ca="1">IFERROR(__xludf.DUMMYFUNCTION("""COMPUTED_VALUE"""),"A.Mattison")</f>
        <v>A.Mattison</v>
      </c>
      <c r="B26" s="2" t="str">
        <f ca="1">IFERROR(__xludf.DUMMYFUNCTION("""COMPUTED_VALUE"""),"MIN")</f>
        <v>MIN</v>
      </c>
      <c r="C26" s="2">
        <f ca="1">IFERROR(__xludf.DUMMYFUNCTION("""COMPUTED_VALUE"""),3)</f>
        <v>3</v>
      </c>
      <c r="D26" s="2">
        <f ca="1">IFERROR(__xludf.DUMMYFUNCTION("""COMPUTED_VALUE"""),25)</f>
        <v>25</v>
      </c>
      <c r="E26" s="3">
        <f ca="1">IFERROR(__xludf.DUMMYFUNCTION("""COMPUTED_VALUE"""),0.003)</f>
        <v>3.0000000000000001E-3</v>
      </c>
      <c r="F26" s="2">
        <f ca="1">IFERROR(__xludf.DUMMYFUNCTION("""COMPUTED_VALUE"""),22)</f>
        <v>22</v>
      </c>
      <c r="G26" s="2">
        <f ca="1">IFERROR(__xludf.DUMMYFUNCTION("""COMPUTED_VALUE"""),9)</f>
        <v>9</v>
      </c>
      <c r="H26" s="2">
        <f ca="1">IFERROR(__xludf.DUMMYFUNCTION("""COMPUTED_VALUE"""),49)</f>
        <v>49</v>
      </c>
      <c r="I26" s="2">
        <f ca="1">IFERROR(__xludf.DUMMYFUNCTION("""COMPUTED_VALUE"""),29)</f>
        <v>29</v>
      </c>
      <c r="J26" s="2">
        <f ca="1">IFERROR(__xludf.DUMMYFUNCTION("""COMPUTED_VALUE"""),0)</f>
        <v>0</v>
      </c>
      <c r="K26" s="2">
        <f ca="1">IFERROR(__xludf.DUMMYFUNCTION("""COMPUTED_VALUE"""),0)</f>
        <v>0</v>
      </c>
      <c r="L26" s="5">
        <f ca="1">IFERROR(__xludf.DUMMYFUNCTION("""COMPUTED_VALUE"""),0.33)</f>
        <v>0.33</v>
      </c>
      <c r="M26" s="2">
        <f ca="1">IFERROR(__xludf.DUMMYFUNCTION("""COMPUTED_VALUE"""),32)</f>
        <v>32</v>
      </c>
    </row>
    <row r="27" spans="1:13" x14ac:dyDescent="0.2">
      <c r="A27" s="2" t="str">
        <f ca="1">IFERROR(__xludf.DUMMYFUNCTION("""COMPUTED_VALUE"""),"A.Kamara")</f>
        <v>A.Kamara</v>
      </c>
      <c r="B27" s="2" t="str">
        <f ca="1">IFERROR(__xludf.DUMMYFUNCTION("""COMPUTED_VALUE"""),"NO")</f>
        <v>NO</v>
      </c>
      <c r="C27" s="2">
        <f ca="1">IFERROR(__xludf.DUMMYFUNCTION("""COMPUTED_VALUE"""),-2)</f>
        <v>-2</v>
      </c>
      <c r="D27" s="2">
        <f ca="1">IFERROR(__xludf.DUMMYFUNCTION("""COMPUTED_VALUE"""),26)</f>
        <v>26</v>
      </c>
      <c r="E27" s="3">
        <f ca="1">IFERROR(__xludf.DUMMYFUNCTION("""COMPUTED_VALUE"""),-0.131)</f>
        <v>-0.13100000000000001</v>
      </c>
      <c r="F27" s="2">
        <f ca="1">IFERROR(__xludf.DUMMYFUNCTION("""COMPUTED_VALUE"""),26)</f>
        <v>26</v>
      </c>
      <c r="G27" s="2">
        <f ca="1">IFERROR(__xludf.DUMMYFUNCTION("""COMPUTED_VALUE"""),13)</f>
        <v>13</v>
      </c>
      <c r="H27" s="2">
        <f ca="1">IFERROR(__xludf.DUMMYFUNCTION("""COMPUTED_VALUE"""),99)</f>
        <v>99</v>
      </c>
      <c r="I27" s="2">
        <f ca="1">IFERROR(__xludf.DUMMYFUNCTION("""COMPUTED_VALUE"""),38)</f>
        <v>38</v>
      </c>
      <c r="J27" s="2">
        <f ca="1">IFERROR(__xludf.DUMMYFUNCTION("""COMPUTED_VALUE"""),0)</f>
        <v>0</v>
      </c>
      <c r="K27" s="2">
        <f ca="1">IFERROR(__xludf.DUMMYFUNCTION("""COMPUTED_VALUE"""),1)</f>
        <v>1</v>
      </c>
      <c r="L27" s="5">
        <f ca="1">IFERROR(__xludf.DUMMYFUNCTION("""COMPUTED_VALUE"""),0.46)</f>
        <v>0.46</v>
      </c>
      <c r="M27" s="2">
        <f ca="1">IFERROR(__xludf.DUMMYFUNCTION("""COMPUTED_VALUE"""),22)</f>
        <v>22</v>
      </c>
    </row>
    <row r="28" spans="1:13" x14ac:dyDescent="0.2">
      <c r="A28" s="2" t="str">
        <f ca="1">IFERROR(__xludf.DUMMYFUNCTION("""COMPUTED_VALUE"""),"P.Lindsay")</f>
        <v>P.Lindsay</v>
      </c>
      <c r="B28" s="2" t="str">
        <f ca="1">IFERROR(__xludf.DUMMYFUNCTION("""COMPUTED_VALUE"""),"DEN")</f>
        <v>DEN</v>
      </c>
      <c r="C28" s="2">
        <f ca="1">IFERROR(__xludf.DUMMYFUNCTION("""COMPUTED_VALUE"""),-3)</f>
        <v>-3</v>
      </c>
      <c r="D28" s="2">
        <f ca="1">IFERROR(__xludf.DUMMYFUNCTION("""COMPUTED_VALUE"""),27)</f>
        <v>27</v>
      </c>
      <c r="E28" s="3">
        <f ca="1">IFERROR(__xludf.DUMMYFUNCTION("""COMPUTED_VALUE"""),-0.15)</f>
        <v>-0.15</v>
      </c>
      <c r="F28" s="2">
        <f ca="1">IFERROR(__xludf.DUMMYFUNCTION("""COMPUTED_VALUE"""),28)</f>
        <v>28</v>
      </c>
      <c r="G28" s="2">
        <f ca="1">IFERROR(__xludf.DUMMYFUNCTION("""COMPUTED_VALUE"""),11)</f>
        <v>11</v>
      </c>
      <c r="H28" s="2">
        <f ca="1">IFERROR(__xludf.DUMMYFUNCTION("""COMPUTED_VALUE"""),43)</f>
        <v>43</v>
      </c>
      <c r="I28" s="2">
        <f ca="1">IFERROR(__xludf.DUMMYFUNCTION("""COMPUTED_VALUE"""),40)</f>
        <v>40</v>
      </c>
      <c r="J28" s="2">
        <f ca="1">IFERROR(__xludf.DUMMYFUNCTION("""COMPUTED_VALUE"""),0)</f>
        <v>0</v>
      </c>
      <c r="K28" s="2">
        <f ca="1">IFERROR(__xludf.DUMMYFUNCTION("""COMPUTED_VALUE"""),0)</f>
        <v>0</v>
      </c>
      <c r="L28" s="5">
        <f ca="1">IFERROR(__xludf.DUMMYFUNCTION("""COMPUTED_VALUE"""),0.55)</f>
        <v>0.55000000000000004</v>
      </c>
      <c r="M28" s="2">
        <f ca="1">IFERROR(__xludf.DUMMYFUNCTION("""COMPUTED_VALUE"""),16)</f>
        <v>16</v>
      </c>
    </row>
    <row r="29" spans="1:13" x14ac:dyDescent="0.2">
      <c r="A29" s="2" t="str">
        <f ca="1">IFERROR(__xludf.DUMMYFUNCTION("""COMPUTED_VALUE"""),"C.Carson")</f>
        <v>C.Carson</v>
      </c>
      <c r="B29" s="2" t="str">
        <f ca="1">IFERROR(__xludf.DUMMYFUNCTION("""COMPUTED_VALUE"""),"SEA")</f>
        <v>SEA</v>
      </c>
      <c r="C29" s="2">
        <f ca="1">IFERROR(__xludf.DUMMYFUNCTION("""COMPUTED_VALUE"""),-4)</f>
        <v>-4</v>
      </c>
      <c r="D29" s="2">
        <f ca="1">IFERROR(__xludf.DUMMYFUNCTION("""COMPUTED_VALUE"""),28)</f>
        <v>28</v>
      </c>
      <c r="E29" s="3">
        <f ca="1">IFERROR(__xludf.DUMMYFUNCTION("""COMPUTED_VALUE"""),-0.145)</f>
        <v>-0.14499999999999999</v>
      </c>
      <c r="F29" s="2">
        <f ca="1">IFERROR(__xludf.DUMMYFUNCTION("""COMPUTED_VALUE"""),27)</f>
        <v>27</v>
      </c>
      <c r="G29" s="2">
        <f ca="1">IFERROR(__xludf.DUMMYFUNCTION("""COMPUTED_VALUE"""),15)</f>
        <v>15</v>
      </c>
      <c r="H29" s="2">
        <f ca="1">IFERROR(__xludf.DUMMYFUNCTION("""COMPUTED_VALUE"""),46)</f>
        <v>46</v>
      </c>
      <c r="I29" s="2">
        <f ca="1">IFERROR(__xludf.DUMMYFUNCTION("""COMPUTED_VALUE"""),48)</f>
        <v>48</v>
      </c>
      <c r="J29" s="2">
        <f ca="1">IFERROR(__xludf.DUMMYFUNCTION("""COMPUTED_VALUE"""),1)</f>
        <v>1</v>
      </c>
      <c r="K29" s="2">
        <f ca="1">IFERROR(__xludf.DUMMYFUNCTION("""COMPUTED_VALUE"""),0)</f>
        <v>0</v>
      </c>
      <c r="L29" s="5">
        <f ca="1">IFERROR(__xludf.DUMMYFUNCTION("""COMPUTED_VALUE"""),0.33)</f>
        <v>0.33</v>
      </c>
      <c r="M29" s="2">
        <f ca="1">IFERROR(__xludf.DUMMYFUNCTION("""COMPUTED_VALUE"""),32)</f>
        <v>32</v>
      </c>
    </row>
    <row r="30" spans="1:13" x14ac:dyDescent="0.2">
      <c r="A30" s="2" t="str">
        <f ca="1">IFERROR(__xludf.DUMMYFUNCTION("""COMPUTED_VALUE"""),"Da.Williams")</f>
        <v>Da.Williams</v>
      </c>
      <c r="B30" s="2" t="str">
        <f ca="1">IFERROR(__xludf.DUMMYFUNCTION("""COMPUTED_VALUE"""),"KC")</f>
        <v>KC</v>
      </c>
      <c r="C30" s="2">
        <f ca="1">IFERROR(__xludf.DUMMYFUNCTION("""COMPUTED_VALUE"""),-4)</f>
        <v>-4</v>
      </c>
      <c r="D30" s="2">
        <f ca="1">IFERROR(__xludf.DUMMYFUNCTION("""COMPUTED_VALUE"""),29)</f>
        <v>29</v>
      </c>
      <c r="E30" s="3">
        <f ca="1">IFERROR(__xludf.DUMMYFUNCTION("""COMPUTED_VALUE"""),-0.157)</f>
        <v>-0.157</v>
      </c>
      <c r="F30" s="2">
        <f ca="1">IFERROR(__xludf.DUMMYFUNCTION("""COMPUTED_VALUE"""),29)</f>
        <v>29</v>
      </c>
      <c r="G30" s="2">
        <f ca="1">IFERROR(__xludf.DUMMYFUNCTION("""COMPUTED_VALUE"""),13)</f>
        <v>13</v>
      </c>
      <c r="H30" s="2">
        <f ca="1">IFERROR(__xludf.DUMMYFUNCTION("""COMPUTED_VALUE"""),26)</f>
        <v>26</v>
      </c>
      <c r="I30" s="2">
        <f ca="1">IFERROR(__xludf.DUMMYFUNCTION("""COMPUTED_VALUE"""),47)</f>
        <v>47</v>
      </c>
      <c r="J30" s="2">
        <f ca="1">IFERROR(__xludf.DUMMYFUNCTION("""COMPUTED_VALUE"""),1)</f>
        <v>1</v>
      </c>
      <c r="K30" s="2">
        <f ca="1">IFERROR(__xludf.DUMMYFUNCTION("""COMPUTED_VALUE"""),0)</f>
        <v>0</v>
      </c>
      <c r="L30" s="5">
        <f ca="1">IFERROR(__xludf.DUMMYFUNCTION("""COMPUTED_VALUE"""),0.54)</f>
        <v>0.54</v>
      </c>
      <c r="M30" s="2">
        <f ca="1">IFERROR(__xludf.DUMMYFUNCTION("""COMPUTED_VALUE"""),17)</f>
        <v>17</v>
      </c>
    </row>
    <row r="31" spans="1:13" x14ac:dyDescent="0.2">
      <c r="A31" s="2" t="str">
        <f ca="1">IFERROR(__xludf.DUMMYFUNCTION("""COMPUTED_VALUE"""),"A.Jones")</f>
        <v>A.Jones</v>
      </c>
      <c r="B31" s="2" t="str">
        <f ca="1">IFERROR(__xludf.DUMMYFUNCTION("""COMPUTED_VALUE"""),"GB")</f>
        <v>GB</v>
      </c>
      <c r="C31" s="2">
        <f ca="1">IFERROR(__xludf.DUMMYFUNCTION("""COMPUTED_VALUE"""),-12)</f>
        <v>-12</v>
      </c>
      <c r="D31" s="2">
        <f ca="1">IFERROR(__xludf.DUMMYFUNCTION("""COMPUTED_VALUE"""),30)</f>
        <v>30</v>
      </c>
      <c r="E31" s="3">
        <f ca="1">IFERROR(__xludf.DUMMYFUNCTION("""COMPUTED_VALUE"""),-0.317)</f>
        <v>-0.317</v>
      </c>
      <c r="F31" s="2">
        <f ca="1">IFERROR(__xludf.DUMMYFUNCTION("""COMPUTED_VALUE"""),32)</f>
        <v>32</v>
      </c>
      <c r="G31" s="2">
        <f ca="1">IFERROR(__xludf.DUMMYFUNCTION("""COMPUTED_VALUE"""),13)</f>
        <v>13</v>
      </c>
      <c r="H31" s="2">
        <f ca="1">IFERROR(__xludf.DUMMYFUNCTION("""COMPUTED_VALUE"""),39)</f>
        <v>39</v>
      </c>
      <c r="I31" s="2">
        <f ca="1">IFERROR(__xludf.DUMMYFUNCTION("""COMPUTED_VALUE"""),25)</f>
        <v>25</v>
      </c>
      <c r="J31" s="2">
        <f ca="1">IFERROR(__xludf.DUMMYFUNCTION("""COMPUTED_VALUE"""),0)</f>
        <v>0</v>
      </c>
      <c r="K31" s="2">
        <f ca="1">IFERROR(__xludf.DUMMYFUNCTION("""COMPUTED_VALUE"""),0)</f>
        <v>0</v>
      </c>
      <c r="L31" s="5">
        <f ca="1">IFERROR(__xludf.DUMMYFUNCTION("""COMPUTED_VALUE"""),0.31)</f>
        <v>0.31</v>
      </c>
      <c r="M31" s="2">
        <f ca="1">IFERROR(__xludf.DUMMYFUNCTION("""COMPUTED_VALUE"""),34)</f>
        <v>34</v>
      </c>
    </row>
    <row r="32" spans="1:13" x14ac:dyDescent="0.2">
      <c r="A32" s="2" t="str">
        <f ca="1">IFERROR(__xludf.DUMMYFUNCTION("""COMPUTED_VALUE"""),"K.Johnson")</f>
        <v>K.Johnson</v>
      </c>
      <c r="B32" s="2" t="str">
        <f ca="1">IFERROR(__xludf.DUMMYFUNCTION("""COMPUTED_VALUE"""),"DET")</f>
        <v>DET</v>
      </c>
      <c r="C32" s="2">
        <f ca="1">IFERROR(__xludf.DUMMYFUNCTION("""COMPUTED_VALUE"""),-12)</f>
        <v>-12</v>
      </c>
      <c r="D32" s="2">
        <f ca="1">IFERROR(__xludf.DUMMYFUNCTION("""COMPUTED_VALUE"""),31)</f>
        <v>31</v>
      </c>
      <c r="E32" s="3">
        <f ca="1">IFERROR(__xludf.DUMMYFUNCTION("""COMPUTED_VALUE"""),-0.28)</f>
        <v>-0.28000000000000003</v>
      </c>
      <c r="F32" s="2">
        <f ca="1">IFERROR(__xludf.DUMMYFUNCTION("""COMPUTED_VALUE"""),31)</f>
        <v>31</v>
      </c>
      <c r="G32" s="2">
        <f ca="1">IFERROR(__xludf.DUMMYFUNCTION("""COMPUTED_VALUE"""),16)</f>
        <v>16</v>
      </c>
      <c r="H32" s="2">
        <f ca="1">IFERROR(__xludf.DUMMYFUNCTION("""COMPUTED_VALUE"""),49)</f>
        <v>49</v>
      </c>
      <c r="I32" s="2">
        <f ca="1">IFERROR(__xludf.DUMMYFUNCTION("""COMPUTED_VALUE"""),35)</f>
        <v>35</v>
      </c>
      <c r="J32" s="2">
        <f ca="1">IFERROR(__xludf.DUMMYFUNCTION("""COMPUTED_VALUE"""),0)</f>
        <v>0</v>
      </c>
      <c r="K32" s="2">
        <f ca="1">IFERROR(__xludf.DUMMYFUNCTION("""COMPUTED_VALUE"""),0)</f>
        <v>0</v>
      </c>
      <c r="L32" s="5">
        <f ca="1">IFERROR(__xludf.DUMMYFUNCTION("""COMPUTED_VALUE"""),0.56)</f>
        <v>0.56000000000000005</v>
      </c>
      <c r="M32" s="2">
        <f ca="1">IFERROR(__xludf.DUMMYFUNCTION("""COMPUTED_VALUE"""),15)</f>
        <v>15</v>
      </c>
    </row>
    <row r="33" spans="1:13" x14ac:dyDescent="0.2">
      <c r="A33" s="2" t="str">
        <f ca="1">IFERROR(__xludf.DUMMYFUNCTION("""COMPUTED_VALUE"""),"C.J.Anderson")</f>
        <v>C.J.Anderson</v>
      </c>
      <c r="B33" s="2" t="str">
        <f ca="1">IFERROR(__xludf.DUMMYFUNCTION("""COMPUTED_VALUE"""),"DET")</f>
        <v>DET</v>
      </c>
      <c r="C33" s="2">
        <f ca="1">IFERROR(__xludf.DUMMYFUNCTION("""COMPUTED_VALUE"""),-13)</f>
        <v>-13</v>
      </c>
      <c r="D33" s="2">
        <f ca="1">IFERROR(__xludf.DUMMYFUNCTION("""COMPUTED_VALUE"""),32)</f>
        <v>32</v>
      </c>
      <c r="E33" s="3">
        <f ca="1">IFERROR(__xludf.DUMMYFUNCTION("""COMPUTED_VALUE"""),-0.371)</f>
        <v>-0.371</v>
      </c>
      <c r="F33" s="2">
        <f ca="1">IFERROR(__xludf.DUMMYFUNCTION("""COMPUTED_VALUE"""),34)</f>
        <v>34</v>
      </c>
      <c r="G33" s="2">
        <f ca="1">IFERROR(__xludf.DUMMYFUNCTION("""COMPUTED_VALUE"""),11)</f>
        <v>11</v>
      </c>
      <c r="H33" s="2">
        <f ca="1">IFERROR(__xludf.DUMMYFUNCTION("""COMPUTED_VALUE"""),35)</f>
        <v>35</v>
      </c>
      <c r="I33" s="2">
        <f ca="1">IFERROR(__xludf.DUMMYFUNCTION("""COMPUTED_VALUE"""),19)</f>
        <v>19</v>
      </c>
      <c r="J33" s="2">
        <f ca="1">IFERROR(__xludf.DUMMYFUNCTION("""COMPUTED_VALUE"""),0)</f>
        <v>0</v>
      </c>
      <c r="K33" s="2">
        <f ca="1">IFERROR(__xludf.DUMMYFUNCTION("""COMPUTED_VALUE"""),0)</f>
        <v>0</v>
      </c>
      <c r="L33" s="5">
        <f ca="1">IFERROR(__xludf.DUMMYFUNCTION("""COMPUTED_VALUE"""),0.45)</f>
        <v>0.45</v>
      </c>
      <c r="M33" s="2">
        <f ca="1">IFERROR(__xludf.DUMMYFUNCTION("""COMPUTED_VALUE"""),24)</f>
        <v>24</v>
      </c>
    </row>
    <row r="34" spans="1:13" x14ac:dyDescent="0.2">
      <c r="A34" s="2" t="str">
        <f ca="1">IFERROR(__xludf.DUMMYFUNCTION("""COMPUTED_VALUE"""),"M.Breida")</f>
        <v>M.Breida</v>
      </c>
      <c r="B34" s="2" t="str">
        <f ca="1">IFERROR(__xludf.DUMMYFUNCTION("""COMPUTED_VALUE"""),"SF")</f>
        <v>SF</v>
      </c>
      <c r="C34" s="2">
        <f ca="1">IFERROR(__xludf.DUMMYFUNCTION("""COMPUTED_VALUE"""),-14)</f>
        <v>-14</v>
      </c>
      <c r="D34" s="2">
        <f ca="1">IFERROR(__xludf.DUMMYFUNCTION("""COMPUTED_VALUE"""),33)</f>
        <v>33</v>
      </c>
      <c r="E34" s="3">
        <f ca="1">IFERROR(__xludf.DUMMYFUNCTION("""COMPUTED_VALUE"""),-0.351)</f>
        <v>-0.35099999999999998</v>
      </c>
      <c r="F34" s="2">
        <f ca="1">IFERROR(__xludf.DUMMYFUNCTION("""COMPUTED_VALUE"""),33)</f>
        <v>33</v>
      </c>
      <c r="G34" s="2">
        <f ca="1">IFERROR(__xludf.DUMMYFUNCTION("""COMPUTED_VALUE"""),15)</f>
        <v>15</v>
      </c>
      <c r="H34" s="2">
        <f ca="1">IFERROR(__xludf.DUMMYFUNCTION("""COMPUTED_VALUE"""),37)</f>
        <v>37</v>
      </c>
      <c r="I34" s="2">
        <f ca="1">IFERROR(__xludf.DUMMYFUNCTION("""COMPUTED_VALUE"""),23)</f>
        <v>23</v>
      </c>
      <c r="J34" s="2">
        <f ca="1">IFERROR(__xludf.DUMMYFUNCTION("""COMPUTED_VALUE"""),0)</f>
        <v>0</v>
      </c>
      <c r="K34" s="2">
        <f ca="1">IFERROR(__xludf.DUMMYFUNCTION("""COMPUTED_VALUE"""),0)</f>
        <v>0</v>
      </c>
      <c r="L34" s="5">
        <f ca="1">IFERROR(__xludf.DUMMYFUNCTION("""COMPUTED_VALUE"""),0.27)</f>
        <v>0.27</v>
      </c>
      <c r="M34" s="2">
        <f ca="1">IFERROR(__xludf.DUMMYFUNCTION("""COMPUTED_VALUE"""),39)</f>
        <v>39</v>
      </c>
    </row>
    <row r="35" spans="1:13" x14ac:dyDescent="0.2">
      <c r="A35" s="2" t="str">
        <f ca="1">IFERROR(__xludf.DUMMYFUNCTION("""COMPUTED_VALUE"""),"G.Edwards")</f>
        <v>G.Edwards</v>
      </c>
      <c r="B35" s="2" t="str">
        <f ca="1">IFERROR(__xludf.DUMMYFUNCTION("""COMPUTED_VALUE"""),"BAL")</f>
        <v>BAL</v>
      </c>
      <c r="C35" s="2">
        <f ca="1">IFERROR(__xludf.DUMMYFUNCTION("""COMPUTED_VALUE"""),-16)</f>
        <v>-16</v>
      </c>
      <c r="D35" s="2">
        <f ca="1">IFERROR(__xludf.DUMMYFUNCTION("""COMPUTED_VALUE"""),34)</f>
        <v>34</v>
      </c>
      <c r="E35" s="3">
        <f ca="1">IFERROR(__xludf.DUMMYFUNCTION("""COMPUTED_VALUE"""),-0.269)</f>
        <v>-0.26900000000000002</v>
      </c>
      <c r="F35" s="2">
        <f ca="1">IFERROR(__xludf.DUMMYFUNCTION("""COMPUTED_VALUE"""),30)</f>
        <v>30</v>
      </c>
      <c r="G35" s="2">
        <f ca="1">IFERROR(__xludf.DUMMYFUNCTION("""COMPUTED_VALUE"""),17)</f>
        <v>17</v>
      </c>
      <c r="H35" s="2">
        <f ca="1">IFERROR(__xludf.DUMMYFUNCTION("""COMPUTED_VALUE"""),56)</f>
        <v>56</v>
      </c>
      <c r="I35" s="2">
        <f ca="1">IFERROR(__xludf.DUMMYFUNCTION("""COMPUTED_VALUE"""),48)</f>
        <v>48</v>
      </c>
      <c r="J35" s="2">
        <f ca="1">IFERROR(__xludf.DUMMYFUNCTION("""COMPUTED_VALUE"""),0)</f>
        <v>0</v>
      </c>
      <c r="K35" s="2">
        <f ca="1">IFERROR(__xludf.DUMMYFUNCTION("""COMPUTED_VALUE"""),0)</f>
        <v>0</v>
      </c>
      <c r="L35" s="5">
        <f ca="1">IFERROR(__xludf.DUMMYFUNCTION("""COMPUTED_VALUE"""),0.53)</f>
        <v>0.53</v>
      </c>
      <c r="M35" s="2">
        <f ca="1">IFERROR(__xludf.DUMMYFUNCTION("""COMPUTED_VALUE"""),18)</f>
        <v>18</v>
      </c>
    </row>
    <row r="36" spans="1:13" x14ac:dyDescent="0.2">
      <c r="A36" s="2" t="str">
        <f ca="1">IFERROR(__xludf.DUMMYFUNCTION("""COMPUTED_VALUE"""),"D.Guice")</f>
        <v>D.Guice</v>
      </c>
      <c r="B36" s="2" t="str">
        <f ca="1">IFERROR(__xludf.DUMMYFUNCTION("""COMPUTED_VALUE"""),"WAS")</f>
        <v>WAS</v>
      </c>
      <c r="C36" s="2">
        <f ca="1">IFERROR(__xludf.DUMMYFUNCTION("""COMPUTED_VALUE"""),-18)</f>
        <v>-18</v>
      </c>
      <c r="D36" s="2">
        <f ca="1">IFERROR(__xludf.DUMMYFUNCTION("""COMPUTED_VALUE"""),35)</f>
        <v>35</v>
      </c>
      <c r="E36" s="3">
        <f ca="1">IFERROR(__xludf.DUMMYFUNCTION("""COMPUTED_VALUE"""),-0.582)</f>
        <v>-0.58199999999999996</v>
      </c>
      <c r="F36" s="2">
        <f ca="1">IFERROR(__xludf.DUMMYFUNCTION("""COMPUTED_VALUE"""),37)</f>
        <v>37</v>
      </c>
      <c r="G36" s="2">
        <f ca="1">IFERROR(__xludf.DUMMYFUNCTION("""COMPUTED_VALUE"""),10)</f>
        <v>10</v>
      </c>
      <c r="H36" s="2">
        <f ca="1">IFERROR(__xludf.DUMMYFUNCTION("""COMPUTED_VALUE"""),18)</f>
        <v>18</v>
      </c>
      <c r="I36" s="2">
        <f ca="1">IFERROR(__xludf.DUMMYFUNCTION("""COMPUTED_VALUE"""),2)</f>
        <v>2</v>
      </c>
      <c r="J36" s="2">
        <f ca="1">IFERROR(__xludf.DUMMYFUNCTION("""COMPUTED_VALUE"""),0)</f>
        <v>0</v>
      </c>
      <c r="K36" s="2">
        <f ca="1">IFERROR(__xludf.DUMMYFUNCTION("""COMPUTED_VALUE"""),0)</f>
        <v>0</v>
      </c>
      <c r="L36" s="5">
        <f ca="1">IFERROR(__xludf.DUMMYFUNCTION("""COMPUTED_VALUE"""),0.3)</f>
        <v>0.3</v>
      </c>
      <c r="M36" s="2">
        <f ca="1">IFERROR(__xludf.DUMMYFUNCTION("""COMPUTED_VALUE"""),35)</f>
        <v>35</v>
      </c>
    </row>
    <row r="37" spans="1:13" x14ac:dyDescent="0.2">
      <c r="A37" s="2" t="str">
        <f ca="1">IFERROR(__xludf.DUMMYFUNCTION("""COMPUTED_VALUE"""),"J.Conner")</f>
        <v>J.Conner</v>
      </c>
      <c r="B37" s="2" t="str">
        <f ca="1">IFERROR(__xludf.DUMMYFUNCTION("""COMPUTED_VALUE"""),"PIT")</f>
        <v>PIT</v>
      </c>
      <c r="C37" s="2">
        <f ca="1">IFERROR(__xludf.DUMMYFUNCTION("""COMPUTED_VALUE"""),-20)</f>
        <v>-20</v>
      </c>
      <c r="D37" s="2">
        <f ca="1">IFERROR(__xludf.DUMMYFUNCTION("""COMPUTED_VALUE"""),36)</f>
        <v>36</v>
      </c>
      <c r="E37" s="3">
        <f ca="1">IFERROR(__xludf.DUMMYFUNCTION("""COMPUTED_VALUE"""),-0.479)</f>
        <v>-0.47899999999999998</v>
      </c>
      <c r="F37" s="2">
        <f ca="1">IFERROR(__xludf.DUMMYFUNCTION("""COMPUTED_VALUE"""),35)</f>
        <v>35</v>
      </c>
      <c r="G37" s="2">
        <f ca="1">IFERROR(__xludf.DUMMYFUNCTION("""COMPUTED_VALUE"""),10)</f>
        <v>10</v>
      </c>
      <c r="H37" s="2">
        <f ca="1">IFERROR(__xludf.DUMMYFUNCTION("""COMPUTED_VALUE"""),21)</f>
        <v>21</v>
      </c>
      <c r="I37" s="2">
        <f ca="1">IFERROR(__xludf.DUMMYFUNCTION("""COMPUTED_VALUE"""),12)</f>
        <v>12</v>
      </c>
      <c r="J37" s="2">
        <f ca="1">IFERROR(__xludf.DUMMYFUNCTION("""COMPUTED_VALUE"""),0)</f>
        <v>0</v>
      </c>
      <c r="K37" s="2">
        <f ca="1">IFERROR(__xludf.DUMMYFUNCTION("""COMPUTED_VALUE"""),0)</f>
        <v>0</v>
      </c>
      <c r="L37" s="5">
        <f ca="1">IFERROR(__xludf.DUMMYFUNCTION("""COMPUTED_VALUE"""),0.6)</f>
        <v>0.6</v>
      </c>
      <c r="M37" s="2">
        <f ca="1">IFERROR(__xludf.DUMMYFUNCTION("""COMPUTED_VALUE"""),12)</f>
        <v>12</v>
      </c>
    </row>
    <row r="38" spans="1:13" x14ac:dyDescent="0.2">
      <c r="A38" s="2" t="str">
        <f ca="1">IFERROR(__xludf.DUMMYFUNCTION("""COMPUTED_VALUE"""),"F.Gore")</f>
        <v>F.Gore</v>
      </c>
      <c r="B38" s="2" t="str">
        <f ca="1">IFERROR(__xludf.DUMMYFUNCTION("""COMPUTED_VALUE"""),"BUF")</f>
        <v>BUF</v>
      </c>
      <c r="C38" s="2">
        <f ca="1">IFERROR(__xludf.DUMMYFUNCTION("""COMPUTED_VALUE"""),-23)</f>
        <v>-23</v>
      </c>
      <c r="D38" s="2">
        <f ca="1">IFERROR(__xludf.DUMMYFUNCTION("""COMPUTED_VALUE"""),37)</f>
        <v>37</v>
      </c>
      <c r="E38" s="3">
        <f ca="1">IFERROR(__xludf.DUMMYFUNCTION("""COMPUTED_VALUE"""),-0.622)</f>
        <v>-0.622</v>
      </c>
      <c r="F38" s="2">
        <f ca="1">IFERROR(__xludf.DUMMYFUNCTION("""COMPUTED_VALUE"""),38)</f>
        <v>38</v>
      </c>
      <c r="G38" s="2">
        <f ca="1">IFERROR(__xludf.DUMMYFUNCTION("""COMPUTED_VALUE"""),11)</f>
        <v>11</v>
      </c>
      <c r="H38" s="2">
        <f ca="1">IFERROR(__xludf.DUMMYFUNCTION("""COMPUTED_VALUE"""),20)</f>
        <v>20</v>
      </c>
      <c r="I38" s="2">
        <f ca="1">IFERROR(__xludf.DUMMYFUNCTION("""COMPUTED_VALUE"""),0)</f>
        <v>0</v>
      </c>
      <c r="J38" s="2">
        <f ca="1">IFERROR(__xludf.DUMMYFUNCTION("""COMPUTED_VALUE"""),1)</f>
        <v>1</v>
      </c>
      <c r="K38" s="2">
        <f ca="1">IFERROR(__xludf.DUMMYFUNCTION("""COMPUTED_VALUE"""),0)</f>
        <v>0</v>
      </c>
      <c r="L38" s="5">
        <f ca="1">IFERROR(__xludf.DUMMYFUNCTION("""COMPUTED_VALUE"""),0.27)</f>
        <v>0.27</v>
      </c>
      <c r="M38" s="2">
        <f ca="1">IFERROR(__xludf.DUMMYFUNCTION("""COMPUTED_VALUE"""),37)</f>
        <v>37</v>
      </c>
    </row>
    <row r="39" spans="1:13" x14ac:dyDescent="0.2">
      <c r="A39" s="2" t="str">
        <f ca="1">IFERROR(__xludf.DUMMYFUNCTION("""COMPUTED_VALUE"""),"T.Pollard")</f>
        <v>T.Pollard</v>
      </c>
      <c r="B39" s="2" t="str">
        <f ca="1">IFERROR(__xludf.DUMMYFUNCTION("""COMPUTED_VALUE"""),"DAL")</f>
        <v>DAL</v>
      </c>
      <c r="C39" s="2">
        <f ca="1">IFERROR(__xludf.DUMMYFUNCTION("""COMPUTED_VALUE"""),-25)</f>
        <v>-25</v>
      </c>
      <c r="D39" s="2">
        <f ca="1">IFERROR(__xludf.DUMMYFUNCTION("""COMPUTED_VALUE"""),38)</f>
        <v>38</v>
      </c>
      <c r="E39" s="3">
        <f ca="1">IFERROR(__xludf.DUMMYFUNCTION("""COMPUTED_VALUE"""),-0.736)</f>
        <v>-0.73599999999999999</v>
      </c>
      <c r="F39" s="2">
        <f ca="1">IFERROR(__xludf.DUMMYFUNCTION("""COMPUTED_VALUE"""),39)</f>
        <v>39</v>
      </c>
      <c r="G39" s="2">
        <f ca="1">IFERROR(__xludf.DUMMYFUNCTION("""COMPUTED_VALUE"""),13)</f>
        <v>13</v>
      </c>
      <c r="H39" s="2">
        <f ca="1">IFERROR(__xludf.DUMMYFUNCTION("""COMPUTED_VALUE"""),24)</f>
        <v>24</v>
      </c>
      <c r="I39" s="2">
        <f ca="1">IFERROR(__xludf.DUMMYFUNCTION("""COMPUTED_VALUE"""),-8)</f>
        <v>-8</v>
      </c>
      <c r="J39" s="2">
        <f ca="1">IFERROR(__xludf.DUMMYFUNCTION("""COMPUTED_VALUE"""),0)</f>
        <v>0</v>
      </c>
      <c r="K39" s="2">
        <f ca="1">IFERROR(__xludf.DUMMYFUNCTION("""COMPUTED_VALUE"""),0)</f>
        <v>0</v>
      </c>
      <c r="L39" s="5">
        <f ca="1">IFERROR(__xludf.DUMMYFUNCTION("""COMPUTED_VALUE"""),0.08)</f>
        <v>0.08</v>
      </c>
      <c r="M39" s="2">
        <f ca="1">IFERROR(__xludf.DUMMYFUNCTION("""COMPUTED_VALUE"""),41)</f>
        <v>41</v>
      </c>
    </row>
    <row r="40" spans="1:13" x14ac:dyDescent="0.2">
      <c r="A40" s="2" t="str">
        <f ca="1">IFERROR(__xludf.DUMMYFUNCTION("""COMPUTED_VALUE"""),"D.Freeman")</f>
        <v>D.Freeman</v>
      </c>
      <c r="B40" s="2" t="str">
        <f ca="1">IFERROR(__xludf.DUMMYFUNCTION("""COMPUTED_VALUE"""),"ATL")</f>
        <v>ATL</v>
      </c>
      <c r="C40" s="2">
        <f ca="1">IFERROR(__xludf.DUMMYFUNCTION("""COMPUTED_VALUE"""),-30)</f>
        <v>-30</v>
      </c>
      <c r="D40" s="2">
        <f ca="1">IFERROR(__xludf.DUMMYFUNCTION("""COMPUTED_VALUE"""),39)</f>
        <v>39</v>
      </c>
      <c r="E40" s="3">
        <f ca="1">IFERROR(__xludf.DUMMYFUNCTION("""COMPUTED_VALUE"""),-0.981)</f>
        <v>-0.98099999999999998</v>
      </c>
      <c r="F40" s="2">
        <f ca="1">IFERROR(__xludf.DUMMYFUNCTION("""COMPUTED_VALUE"""),41)</f>
        <v>41</v>
      </c>
      <c r="G40" s="2">
        <f ca="1">IFERROR(__xludf.DUMMYFUNCTION("""COMPUTED_VALUE"""),8)</f>
        <v>8</v>
      </c>
      <c r="H40" s="2">
        <f ca="1">IFERROR(__xludf.DUMMYFUNCTION("""COMPUTED_VALUE"""),19)</f>
        <v>19</v>
      </c>
      <c r="I40" s="2">
        <f ca="1">IFERROR(__xludf.DUMMYFUNCTION("""COMPUTED_VALUE"""),-20)</f>
        <v>-20</v>
      </c>
      <c r="J40" s="2">
        <f ca="1">IFERROR(__xludf.DUMMYFUNCTION("""COMPUTED_VALUE"""),0)</f>
        <v>0</v>
      </c>
      <c r="K40" s="2">
        <f ca="1">IFERROR(__xludf.DUMMYFUNCTION("""COMPUTED_VALUE"""),1)</f>
        <v>1</v>
      </c>
      <c r="L40" s="5">
        <f ca="1">IFERROR(__xludf.DUMMYFUNCTION("""COMPUTED_VALUE"""),0.25)</f>
        <v>0.25</v>
      </c>
      <c r="M40" s="2">
        <f ca="1">IFERROR(__xludf.DUMMYFUNCTION("""COMPUTED_VALUE"""),40)</f>
        <v>40</v>
      </c>
    </row>
    <row r="41" spans="1:13" x14ac:dyDescent="0.2">
      <c r="A41" s="2" t="str">
        <f ca="1">IFERROR(__xludf.DUMMYFUNCTION("""COMPUTED_VALUE"""),"S.Michel")</f>
        <v>S.Michel</v>
      </c>
      <c r="B41" s="2" t="str">
        <f ca="1">IFERROR(__xludf.DUMMYFUNCTION("""COMPUTED_VALUE"""),"NE")</f>
        <v>NE</v>
      </c>
      <c r="C41" s="2">
        <f ca="1">IFERROR(__xludf.DUMMYFUNCTION("""COMPUTED_VALUE"""),-31)</f>
        <v>-31</v>
      </c>
      <c r="D41" s="2">
        <f ca="1">IFERROR(__xludf.DUMMYFUNCTION("""COMPUTED_VALUE"""),40)</f>
        <v>40</v>
      </c>
      <c r="E41" s="3">
        <f ca="1">IFERROR(__xludf.DUMMYFUNCTION("""COMPUTED_VALUE"""),-0.544)</f>
        <v>-0.54400000000000004</v>
      </c>
      <c r="F41" s="2">
        <f ca="1">IFERROR(__xludf.DUMMYFUNCTION("""COMPUTED_VALUE"""),36)</f>
        <v>36</v>
      </c>
      <c r="G41" s="2">
        <f ca="1">IFERROR(__xludf.DUMMYFUNCTION("""COMPUTED_VALUE"""),15)</f>
        <v>15</v>
      </c>
      <c r="H41" s="2">
        <f ca="1">IFERROR(__xludf.DUMMYFUNCTION("""COMPUTED_VALUE"""),14)</f>
        <v>14</v>
      </c>
      <c r="I41" s="2">
        <f ca="1">IFERROR(__xludf.DUMMYFUNCTION("""COMPUTED_VALUE"""),8)</f>
        <v>8</v>
      </c>
      <c r="J41" s="2">
        <f ca="1">IFERROR(__xludf.DUMMYFUNCTION("""COMPUTED_VALUE"""),0)</f>
        <v>0</v>
      </c>
      <c r="K41" s="2">
        <f ca="1">IFERROR(__xludf.DUMMYFUNCTION("""COMPUTED_VALUE"""),0)</f>
        <v>0</v>
      </c>
      <c r="L41" s="5">
        <f ca="1">IFERROR(__xludf.DUMMYFUNCTION("""COMPUTED_VALUE"""),0.4)</f>
        <v>0.4</v>
      </c>
      <c r="M41" s="2">
        <f ca="1">IFERROR(__xludf.DUMMYFUNCTION("""COMPUTED_VALUE"""),29)</f>
        <v>29</v>
      </c>
    </row>
    <row r="42" spans="1:13" x14ac:dyDescent="0.2">
      <c r="A42" s="2" t="str">
        <f ca="1">IFERROR(__xludf.DUMMYFUNCTION("""COMPUTED_VALUE"""),"M.Sanders")</f>
        <v>M.Sanders</v>
      </c>
      <c r="B42" s="2" t="str">
        <f ca="1">IFERROR(__xludf.DUMMYFUNCTION("""COMPUTED_VALUE"""),"PHI")</f>
        <v>PHI</v>
      </c>
      <c r="C42" s="2">
        <f ca="1">IFERROR(__xludf.DUMMYFUNCTION("""COMPUTED_VALUE"""),-32)</f>
        <v>-32</v>
      </c>
      <c r="D42" s="2">
        <f ca="1">IFERROR(__xludf.DUMMYFUNCTION("""COMPUTED_VALUE"""),41)</f>
        <v>41</v>
      </c>
      <c r="E42" s="3">
        <f ca="1">IFERROR(__xludf.DUMMYFUNCTION("""COMPUTED_VALUE"""),-0.773)</f>
        <v>-0.77300000000000002</v>
      </c>
      <c r="F42" s="2">
        <f ca="1">IFERROR(__xludf.DUMMYFUNCTION("""COMPUTED_VALUE"""),40)</f>
        <v>40</v>
      </c>
      <c r="G42" s="2">
        <f ca="1">IFERROR(__xludf.DUMMYFUNCTION("""COMPUTED_VALUE"""),11)</f>
        <v>11</v>
      </c>
      <c r="H42" s="2">
        <f ca="1">IFERROR(__xludf.DUMMYFUNCTION("""COMPUTED_VALUE"""),25)</f>
        <v>25</v>
      </c>
      <c r="I42" s="2">
        <f ca="1">IFERROR(__xludf.DUMMYFUNCTION("""COMPUTED_VALUE"""),-12)</f>
        <v>-12</v>
      </c>
      <c r="J42" s="2">
        <f ca="1">IFERROR(__xludf.DUMMYFUNCTION("""COMPUTED_VALUE"""),0)</f>
        <v>0</v>
      </c>
      <c r="K42" s="2">
        <f ca="1">IFERROR(__xludf.DUMMYFUNCTION("""COMPUTED_VALUE"""),0)</f>
        <v>0</v>
      </c>
      <c r="L42" s="5">
        <f ca="1">IFERROR(__xludf.DUMMYFUNCTION("""COMPUTED_VALUE"""),0.27)</f>
        <v>0.27</v>
      </c>
      <c r="M42" s="2">
        <f ca="1">IFERROR(__xludf.DUMMYFUNCTION("""COMPUTED_VALUE"""),37)</f>
        <v>37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M80"/>
  <sheetViews>
    <sheetView workbookViewId="0"/>
  </sheetViews>
  <sheetFormatPr defaultColWidth="14.42578125" defaultRowHeight="15.75" customHeight="1" x14ac:dyDescent="0.2"/>
  <sheetData>
    <row r="1" spans="1:13" x14ac:dyDescent="0.2">
      <c r="A1" s="2" t="s">
        <v>0</v>
      </c>
      <c r="B1" s="2" t="str">
        <f ca="1">IFERROR(__xludf.DUMMYFUNCTION("""COMPUTED_VALUE"""),"*Team*")</f>
        <v>*Team*</v>
      </c>
      <c r="C1" s="2" t="str">
        <f ca="1">IFERROR(__xludf.DUMMYFUNCTION("""COMPUTED_VALUE"""),"*DYAR*")</f>
        <v>*DYAR*</v>
      </c>
      <c r="D1" s="2" t="str">
        <f ca="1">IFERROR(__xludf.DUMMYFUNCTION("""COMPUTED_VALUE"""),"*Rk*")</f>
        <v>*Rk*</v>
      </c>
      <c r="E1" s="2" t="str">
        <f ca="1">IFERROR(__xludf.DUMMYFUNCTION("""COMPUTED_VALUE"""),"*DVOA*")</f>
        <v>*DVOA*</v>
      </c>
      <c r="F1" s="2" t="str">
        <f ca="1">IFERROR(__xludf.DUMMYFUNCTION("""COMPUTED_VALUE"""),"*Rk*")</f>
        <v>*Rk*</v>
      </c>
      <c r="G1" s="2" t="str">
        <f ca="1">IFERROR(__xludf.DUMMYFUNCTION("""COMPUTED_VALUE"""),"*Passes*")</f>
        <v>*Passes*</v>
      </c>
      <c r="H1" s="2" t="str">
        <f ca="1">IFERROR(__xludf.DUMMYFUNCTION("""COMPUTED_VALUE"""),"*Yards*")</f>
        <v>*Yards*</v>
      </c>
      <c r="I1" s="2" t="str">
        <f ca="1">IFERROR(__xludf.DUMMYFUNCTION("""COMPUTED_VALUE"""),"*EYds*")</f>
        <v>*EYds*</v>
      </c>
      <c r="J1" s="2" t="str">
        <f ca="1">IFERROR(__xludf.DUMMYFUNCTION("""COMPUTED_VALUE"""),"*TD*")</f>
        <v>*TD*</v>
      </c>
      <c r="K1" s="2" t="str">
        <f ca="1">IFERROR(__xludf.DUMMYFUNCTION("""COMPUTED_VALUE"""),"*Catch Rate*")</f>
        <v>*Catch Rate*</v>
      </c>
      <c r="L1" s="2" t="str">
        <f ca="1">IFERROR(__xludf.DUMMYFUNCTION("""COMPUTED_VALUE"""),"*FUM*")</f>
        <v>*FUM*</v>
      </c>
      <c r="M1" s="2" t="str">
        <f ca="1">IFERROR(__xludf.DUMMYFUNCTION("""COMPUTED_VALUE"""),"*DPI*")</f>
        <v>*DPI*</v>
      </c>
    </row>
    <row r="2" spans="1:13" x14ac:dyDescent="0.2">
      <c r="A2" s="2" t="str">
        <f ca="1">IFERROR(__xludf.DUMMYFUNCTION("""COMPUTED_VALUE"""),"S.Watkins")</f>
        <v>S.Watkins</v>
      </c>
      <c r="B2" s="2" t="str">
        <f ca="1">IFERROR(__xludf.DUMMYFUNCTION("""COMPUTED_VALUE"""),"KC")</f>
        <v>KC</v>
      </c>
      <c r="C2" s="2">
        <f ca="1">IFERROR(__xludf.DUMMYFUNCTION("""COMPUTED_VALUE"""),89)</f>
        <v>89</v>
      </c>
      <c r="D2" s="2">
        <f ca="1">IFERROR(__xludf.DUMMYFUNCTION("""COMPUTED_VALUE"""),1)</f>
        <v>1</v>
      </c>
      <c r="E2" s="3">
        <f ca="1">IFERROR(__xludf.DUMMYFUNCTION("""COMPUTED_VALUE"""),0.874)</f>
        <v>0.874</v>
      </c>
      <c r="F2" s="2">
        <f ca="1">IFERROR(__xludf.DUMMYFUNCTION("""COMPUTED_VALUE"""),7)</f>
        <v>7</v>
      </c>
      <c r="G2" s="2">
        <f ca="1">IFERROR(__xludf.DUMMYFUNCTION("""COMPUTED_VALUE"""),11)</f>
        <v>11</v>
      </c>
      <c r="H2" s="2">
        <f ca="1">IFERROR(__xludf.DUMMYFUNCTION("""COMPUTED_VALUE"""),198)</f>
        <v>198</v>
      </c>
      <c r="I2" s="2">
        <f ca="1">IFERROR(__xludf.DUMMYFUNCTION("""COMPUTED_VALUE"""),204)</f>
        <v>204</v>
      </c>
      <c r="J2" s="2">
        <f ca="1">IFERROR(__xludf.DUMMYFUNCTION("""COMPUTED_VALUE"""),3)</f>
        <v>3</v>
      </c>
      <c r="K2" s="5">
        <f ca="1">IFERROR(__xludf.DUMMYFUNCTION("""COMPUTED_VALUE"""),0.82)</f>
        <v>0.82</v>
      </c>
      <c r="L2" s="2">
        <f ca="1">IFERROR(__xludf.DUMMYFUNCTION("""COMPUTED_VALUE"""),0)</f>
        <v>0</v>
      </c>
      <c r="M2" s="2" t="str">
        <f ca="1">IFERROR(__xludf.DUMMYFUNCTION("""COMPUTED_VALUE"""),"0/0")</f>
        <v>0/0</v>
      </c>
    </row>
    <row r="3" spans="1:13" x14ac:dyDescent="0.2">
      <c r="A3" s="2" t="str">
        <f ca="1">IFERROR(__xludf.DUMMYFUNCTION("""COMPUTED_VALUE"""),"DJ Chark")</f>
        <v>DJ Chark</v>
      </c>
      <c r="B3" s="2" t="str">
        <f ca="1">IFERROR(__xludf.DUMMYFUNCTION("""COMPUTED_VALUE"""),"JAX")</f>
        <v>JAX</v>
      </c>
      <c r="C3" s="2">
        <f ca="1">IFERROR(__xludf.DUMMYFUNCTION("""COMPUTED_VALUE"""),65)</f>
        <v>65</v>
      </c>
      <c r="D3" s="2">
        <f ca="1">IFERROR(__xludf.DUMMYFUNCTION("""COMPUTED_VALUE"""),2)</f>
        <v>2</v>
      </c>
      <c r="E3" s="3">
        <f ca="1">IFERROR(__xludf.DUMMYFUNCTION("""COMPUTED_VALUE"""),2.056)</f>
        <v>2.056</v>
      </c>
      <c r="F3" s="2">
        <f ca="1">IFERROR(__xludf.DUMMYFUNCTION("""COMPUTED_VALUE"""),1)</f>
        <v>1</v>
      </c>
      <c r="G3" s="2">
        <f ca="1">IFERROR(__xludf.DUMMYFUNCTION("""COMPUTED_VALUE"""),4)</f>
        <v>4</v>
      </c>
      <c r="H3" s="2">
        <f ca="1">IFERROR(__xludf.DUMMYFUNCTION("""COMPUTED_VALUE"""),146)</f>
        <v>146</v>
      </c>
      <c r="I3" s="2">
        <f ca="1">IFERROR(__xludf.DUMMYFUNCTION("""COMPUTED_VALUE"""),119)</f>
        <v>119</v>
      </c>
      <c r="J3" s="2">
        <f ca="1">IFERROR(__xludf.DUMMYFUNCTION("""COMPUTED_VALUE"""),1)</f>
        <v>1</v>
      </c>
      <c r="K3" s="5">
        <f ca="1">IFERROR(__xludf.DUMMYFUNCTION("""COMPUTED_VALUE"""),1)</f>
        <v>1</v>
      </c>
      <c r="L3" s="2">
        <f ca="1">IFERROR(__xludf.DUMMYFUNCTION("""COMPUTED_VALUE"""),0)</f>
        <v>0</v>
      </c>
      <c r="M3" s="2" t="str">
        <f ca="1">IFERROR(__xludf.DUMMYFUNCTION("""COMPUTED_VALUE"""),"0/0")</f>
        <v>0/0</v>
      </c>
    </row>
    <row r="4" spans="1:13" x14ac:dyDescent="0.2">
      <c r="A4" s="2" t="str">
        <f ca="1">IFERROR(__xludf.DUMMYFUNCTION("""COMPUTED_VALUE"""),"M.Gallup")</f>
        <v>M.Gallup</v>
      </c>
      <c r="B4" s="2" t="str">
        <f ca="1">IFERROR(__xludf.DUMMYFUNCTION("""COMPUTED_VALUE"""),"DAL")</f>
        <v>DAL</v>
      </c>
      <c r="C4" s="2">
        <f ca="1">IFERROR(__xludf.DUMMYFUNCTION("""COMPUTED_VALUE"""),64)</f>
        <v>64</v>
      </c>
      <c r="D4" s="2">
        <f ca="1">IFERROR(__xludf.DUMMYFUNCTION("""COMPUTED_VALUE"""),3)</f>
        <v>3</v>
      </c>
      <c r="E4" s="3">
        <f ca="1">IFERROR(__xludf.DUMMYFUNCTION("""COMPUTED_VALUE"""),0.998)</f>
        <v>0.998</v>
      </c>
      <c r="F4" s="2">
        <f ca="1">IFERROR(__xludf.DUMMYFUNCTION("""COMPUTED_VALUE"""),6)</f>
        <v>6</v>
      </c>
      <c r="G4" s="2">
        <f ca="1">IFERROR(__xludf.DUMMYFUNCTION("""COMPUTED_VALUE"""),7)</f>
        <v>7</v>
      </c>
      <c r="H4" s="2">
        <f ca="1">IFERROR(__xludf.DUMMYFUNCTION("""COMPUTED_VALUE"""),158)</f>
        <v>158</v>
      </c>
      <c r="I4" s="2">
        <f ca="1">IFERROR(__xludf.DUMMYFUNCTION("""COMPUTED_VALUE"""),141)</f>
        <v>141</v>
      </c>
      <c r="J4" s="2">
        <f ca="1">IFERROR(__xludf.DUMMYFUNCTION("""COMPUTED_VALUE"""),0)</f>
        <v>0</v>
      </c>
      <c r="K4" s="5">
        <f ca="1">IFERROR(__xludf.DUMMYFUNCTION("""COMPUTED_VALUE"""),1)</f>
        <v>1</v>
      </c>
      <c r="L4" s="2">
        <f ca="1">IFERROR(__xludf.DUMMYFUNCTION("""COMPUTED_VALUE"""),0)</f>
        <v>0</v>
      </c>
      <c r="M4" s="2" t="str">
        <f ca="1">IFERROR(__xludf.DUMMYFUNCTION("""COMPUTED_VALUE"""),"0/0")</f>
        <v>0/0</v>
      </c>
    </row>
    <row r="5" spans="1:13" x14ac:dyDescent="0.2">
      <c r="A5" s="2" t="str">
        <f ca="1">IFERROR(__xludf.DUMMYFUNCTION("""COMPUTED_VALUE"""),"M.Brown")</f>
        <v>M.Brown</v>
      </c>
      <c r="B5" s="2" t="str">
        <f ca="1">IFERROR(__xludf.DUMMYFUNCTION("""COMPUTED_VALUE"""),"BAL")</f>
        <v>BAL</v>
      </c>
      <c r="C5" s="2">
        <f ca="1">IFERROR(__xludf.DUMMYFUNCTION("""COMPUTED_VALUE"""),59)</f>
        <v>59</v>
      </c>
      <c r="D5" s="2">
        <f ca="1">IFERROR(__xludf.DUMMYFUNCTION("""COMPUTED_VALUE"""),4)</f>
        <v>4</v>
      </c>
      <c r="E5" s="3">
        <f ca="1">IFERROR(__xludf.DUMMYFUNCTION("""COMPUTED_VALUE"""),1.297)</f>
        <v>1.2969999999999999</v>
      </c>
      <c r="F5" s="2">
        <f ca="1">IFERROR(__xludf.DUMMYFUNCTION("""COMPUTED_VALUE"""),3)</f>
        <v>3</v>
      </c>
      <c r="G5" s="2">
        <f ca="1">IFERROR(__xludf.DUMMYFUNCTION("""COMPUTED_VALUE"""),5)</f>
        <v>5</v>
      </c>
      <c r="H5" s="2">
        <f ca="1">IFERROR(__xludf.DUMMYFUNCTION("""COMPUTED_VALUE"""),147)</f>
        <v>147</v>
      </c>
      <c r="I5" s="2">
        <f ca="1">IFERROR(__xludf.DUMMYFUNCTION("""COMPUTED_VALUE"""),121)</f>
        <v>121</v>
      </c>
      <c r="J5" s="2">
        <f ca="1">IFERROR(__xludf.DUMMYFUNCTION("""COMPUTED_VALUE"""),2)</f>
        <v>2</v>
      </c>
      <c r="K5" s="5">
        <f ca="1">IFERROR(__xludf.DUMMYFUNCTION("""COMPUTED_VALUE"""),0.8)</f>
        <v>0.8</v>
      </c>
      <c r="L5" s="2">
        <f ca="1">IFERROR(__xludf.DUMMYFUNCTION("""COMPUTED_VALUE"""),0)</f>
        <v>0</v>
      </c>
      <c r="M5" s="2" t="str">
        <f ca="1">IFERROR(__xludf.DUMMYFUNCTION("""COMPUTED_VALUE"""),"0/0")</f>
        <v>0/0</v>
      </c>
    </row>
    <row r="6" spans="1:13" x14ac:dyDescent="0.2">
      <c r="A6" s="2" t="str">
        <f ca="1">IFERROR(__xludf.DUMMYFUNCTION("""COMPUTED_VALUE"""),"P.Dorsett")</f>
        <v>P.Dorsett</v>
      </c>
      <c r="B6" s="2" t="str">
        <f ca="1">IFERROR(__xludf.DUMMYFUNCTION("""COMPUTED_VALUE"""),"NE")</f>
        <v>NE</v>
      </c>
      <c r="C6" s="2">
        <f ca="1">IFERROR(__xludf.DUMMYFUNCTION("""COMPUTED_VALUE"""),53)</f>
        <v>53</v>
      </c>
      <c r="D6" s="2">
        <f ca="1">IFERROR(__xludf.DUMMYFUNCTION("""COMPUTED_VALUE"""),5)</f>
        <v>5</v>
      </c>
      <c r="E6" s="3">
        <f ca="1">IFERROR(__xludf.DUMMYFUNCTION("""COMPUTED_VALUE"""),1.586)</f>
        <v>1.5860000000000001</v>
      </c>
      <c r="F6" s="2">
        <f ca="1">IFERROR(__xludf.DUMMYFUNCTION("""COMPUTED_VALUE"""),2)</f>
        <v>2</v>
      </c>
      <c r="G6" s="2">
        <f ca="1">IFERROR(__xludf.DUMMYFUNCTION("""COMPUTED_VALUE"""),4)</f>
        <v>4</v>
      </c>
      <c r="H6" s="2">
        <f ca="1">IFERROR(__xludf.DUMMYFUNCTION("""COMPUTED_VALUE"""),95)</f>
        <v>95</v>
      </c>
      <c r="I6" s="2">
        <f ca="1">IFERROR(__xludf.DUMMYFUNCTION("""COMPUTED_VALUE"""),103)</f>
        <v>103</v>
      </c>
      <c r="J6" s="2">
        <f ca="1">IFERROR(__xludf.DUMMYFUNCTION("""COMPUTED_VALUE"""),2)</f>
        <v>2</v>
      </c>
      <c r="K6" s="5">
        <f ca="1">IFERROR(__xludf.DUMMYFUNCTION("""COMPUTED_VALUE"""),1)</f>
        <v>1</v>
      </c>
      <c r="L6" s="2">
        <f ca="1">IFERROR(__xludf.DUMMYFUNCTION("""COMPUTED_VALUE"""),0)</f>
        <v>0</v>
      </c>
      <c r="M6" s="2" t="str">
        <f ca="1">IFERROR(__xludf.DUMMYFUNCTION("""COMPUTED_VALUE"""),"0/0")</f>
        <v>0/0</v>
      </c>
    </row>
    <row r="7" spans="1:13" x14ac:dyDescent="0.2">
      <c r="A7" s="2" t="str">
        <f ca="1">IFERROR(__xludf.DUMMYFUNCTION("""COMPUTED_VALUE"""),"Jo.Brown")</f>
        <v>Jo.Brown</v>
      </c>
      <c r="B7" s="2" t="str">
        <f ca="1">IFERROR(__xludf.DUMMYFUNCTION("""COMPUTED_VALUE"""),"BUF")</f>
        <v>BUF</v>
      </c>
      <c r="C7" s="2">
        <f ca="1">IFERROR(__xludf.DUMMYFUNCTION("""COMPUTED_VALUE"""),47)</f>
        <v>47</v>
      </c>
      <c r="D7" s="2">
        <f ca="1">IFERROR(__xludf.DUMMYFUNCTION("""COMPUTED_VALUE"""),6)</f>
        <v>6</v>
      </c>
      <c r="E7" s="3">
        <f ca="1">IFERROR(__xludf.DUMMYFUNCTION("""COMPUTED_VALUE"""),0.457)</f>
        <v>0.45700000000000002</v>
      </c>
      <c r="F7" s="2">
        <f ca="1">IFERROR(__xludf.DUMMYFUNCTION("""COMPUTED_VALUE"""),19)</f>
        <v>19</v>
      </c>
      <c r="G7" s="2">
        <f ca="1">IFERROR(__xludf.DUMMYFUNCTION("""COMPUTED_VALUE"""),10)</f>
        <v>10</v>
      </c>
      <c r="H7" s="2">
        <f ca="1">IFERROR(__xludf.DUMMYFUNCTION("""COMPUTED_VALUE"""),123)</f>
        <v>123</v>
      </c>
      <c r="I7" s="2">
        <f ca="1">IFERROR(__xludf.DUMMYFUNCTION("""COMPUTED_VALUE"""),135)</f>
        <v>135</v>
      </c>
      <c r="J7" s="2">
        <f ca="1">IFERROR(__xludf.DUMMYFUNCTION("""COMPUTED_VALUE"""),1)</f>
        <v>1</v>
      </c>
      <c r="K7" s="5">
        <f ca="1">IFERROR(__xludf.DUMMYFUNCTION("""COMPUTED_VALUE"""),0.7)</f>
        <v>0.7</v>
      </c>
      <c r="L7" s="2">
        <f ca="1">IFERROR(__xludf.DUMMYFUNCTION("""COMPUTED_VALUE"""),0)</f>
        <v>0</v>
      </c>
      <c r="M7" s="2" t="str">
        <f ca="1">IFERROR(__xludf.DUMMYFUNCTION("""COMPUTED_VALUE"""),"0/0")</f>
        <v>0/0</v>
      </c>
    </row>
    <row r="8" spans="1:13" x14ac:dyDescent="0.2">
      <c r="A8" s="2" t="str">
        <f ca="1">IFERROR(__xludf.DUMMYFUNCTION("""COMPUTED_VALUE"""),"D.Jackson")</f>
        <v>D.Jackson</v>
      </c>
      <c r="B8" s="2" t="str">
        <f ca="1">IFERROR(__xludf.DUMMYFUNCTION("""COMPUTED_VALUE"""),"PHI")</f>
        <v>PHI</v>
      </c>
      <c r="C8" s="2">
        <f ca="1">IFERROR(__xludf.DUMMYFUNCTION("""COMPUTED_VALUE"""),47)</f>
        <v>47</v>
      </c>
      <c r="D8" s="2">
        <f ca="1">IFERROR(__xludf.DUMMYFUNCTION("""COMPUTED_VALUE"""),7)</f>
        <v>7</v>
      </c>
      <c r="E8" s="3">
        <f ca="1">IFERROR(__xludf.DUMMYFUNCTION("""COMPUTED_VALUE"""),0.464)</f>
        <v>0.46400000000000002</v>
      </c>
      <c r="F8" s="2">
        <f ca="1">IFERROR(__xludf.DUMMYFUNCTION("""COMPUTED_VALUE"""),18)</f>
        <v>18</v>
      </c>
      <c r="G8" s="2">
        <f ca="1">IFERROR(__xludf.DUMMYFUNCTION("""COMPUTED_VALUE"""),10)</f>
        <v>10</v>
      </c>
      <c r="H8" s="2">
        <f ca="1">IFERROR(__xludf.DUMMYFUNCTION("""COMPUTED_VALUE"""),154)</f>
        <v>154</v>
      </c>
      <c r="I8" s="2">
        <f ca="1">IFERROR(__xludf.DUMMYFUNCTION("""COMPUTED_VALUE"""),133)</f>
        <v>133</v>
      </c>
      <c r="J8" s="2">
        <f ca="1">IFERROR(__xludf.DUMMYFUNCTION("""COMPUTED_VALUE"""),2)</f>
        <v>2</v>
      </c>
      <c r="K8" s="5">
        <f ca="1">IFERROR(__xludf.DUMMYFUNCTION("""COMPUTED_VALUE"""),0.8)</f>
        <v>0.8</v>
      </c>
      <c r="L8" s="2">
        <f ca="1">IFERROR(__xludf.DUMMYFUNCTION("""COMPUTED_VALUE"""),0)</f>
        <v>0</v>
      </c>
      <c r="M8" s="2" t="str">
        <f ca="1">IFERROR(__xludf.DUMMYFUNCTION("""COMPUTED_VALUE"""),"0/0")</f>
        <v>0/0</v>
      </c>
    </row>
    <row r="9" spans="1:13" x14ac:dyDescent="0.2">
      <c r="A9" s="2" t="str">
        <f ca="1">IFERROR(__xludf.DUMMYFUNCTION("""COMPUTED_VALUE"""),"T.Williams")</f>
        <v>T.Williams</v>
      </c>
      <c r="B9" s="2" t="str">
        <f ca="1">IFERROR(__xludf.DUMMYFUNCTION("""COMPUTED_VALUE"""),"OAK")</f>
        <v>OAK</v>
      </c>
      <c r="C9" s="2">
        <f ca="1">IFERROR(__xludf.DUMMYFUNCTION("""COMPUTED_VALUE"""),46)</f>
        <v>46</v>
      </c>
      <c r="D9" s="2">
        <f ca="1">IFERROR(__xludf.DUMMYFUNCTION("""COMPUTED_VALUE"""),8)</f>
        <v>8</v>
      </c>
      <c r="E9" s="3">
        <f ca="1">IFERROR(__xludf.DUMMYFUNCTION("""COMPUTED_VALUE"""),0.672)</f>
        <v>0.67200000000000004</v>
      </c>
      <c r="F9" s="2">
        <f ca="1">IFERROR(__xludf.DUMMYFUNCTION("""COMPUTED_VALUE"""),10)</f>
        <v>10</v>
      </c>
      <c r="G9" s="2">
        <f ca="1">IFERROR(__xludf.DUMMYFUNCTION("""COMPUTED_VALUE"""),7)</f>
        <v>7</v>
      </c>
      <c r="H9" s="2">
        <f ca="1">IFERROR(__xludf.DUMMYFUNCTION("""COMPUTED_VALUE"""),105)</f>
        <v>105</v>
      </c>
      <c r="I9" s="2">
        <f ca="1">IFERROR(__xludf.DUMMYFUNCTION("""COMPUTED_VALUE"""),115)</f>
        <v>115</v>
      </c>
      <c r="J9" s="2">
        <f ca="1">IFERROR(__xludf.DUMMYFUNCTION("""COMPUTED_VALUE"""),1)</f>
        <v>1</v>
      </c>
      <c r="K9" s="5">
        <f ca="1">IFERROR(__xludf.DUMMYFUNCTION("""COMPUTED_VALUE"""),0.86)</f>
        <v>0.86</v>
      </c>
      <c r="L9" s="2">
        <f ca="1">IFERROR(__xludf.DUMMYFUNCTION("""COMPUTED_VALUE"""),0)</f>
        <v>0</v>
      </c>
      <c r="M9" s="2" t="str">
        <f ca="1">IFERROR(__xludf.DUMMYFUNCTION("""COMPUTED_VALUE"""),"0/0")</f>
        <v>0/0</v>
      </c>
    </row>
    <row r="10" spans="1:13" x14ac:dyDescent="0.2">
      <c r="A10" s="2" t="str">
        <f ca="1">IFERROR(__xludf.DUMMYFUNCTION("""COMPUTED_VALUE"""),"C.Sutton")</f>
        <v>C.Sutton</v>
      </c>
      <c r="B10" s="2" t="str">
        <f ca="1">IFERROR(__xludf.DUMMYFUNCTION("""COMPUTED_VALUE"""),"DEN")</f>
        <v>DEN</v>
      </c>
      <c r="C10" s="2">
        <f ca="1">IFERROR(__xludf.DUMMYFUNCTION("""COMPUTED_VALUE"""),45)</f>
        <v>45</v>
      </c>
      <c r="D10" s="2">
        <f ca="1">IFERROR(__xludf.DUMMYFUNCTION("""COMPUTED_VALUE"""),9)</f>
        <v>9</v>
      </c>
      <c r="E10" s="3">
        <f ca="1">IFERROR(__xludf.DUMMYFUNCTION("""COMPUTED_VALUE"""),0.603)</f>
        <v>0.60299999999999998</v>
      </c>
      <c r="F10" s="2">
        <f ca="1">IFERROR(__xludf.DUMMYFUNCTION("""COMPUTED_VALUE"""),13)</f>
        <v>13</v>
      </c>
      <c r="G10" s="2">
        <f ca="1">IFERROR(__xludf.DUMMYFUNCTION("""COMPUTED_VALUE"""),8)</f>
        <v>8</v>
      </c>
      <c r="H10" s="2">
        <f ca="1">IFERROR(__xludf.DUMMYFUNCTION("""COMPUTED_VALUE"""),120)</f>
        <v>120</v>
      </c>
      <c r="I10" s="2">
        <f ca="1">IFERROR(__xludf.DUMMYFUNCTION("""COMPUTED_VALUE"""),117)</f>
        <v>117</v>
      </c>
      <c r="J10" s="2">
        <f ca="1">IFERROR(__xludf.DUMMYFUNCTION("""COMPUTED_VALUE"""),0)</f>
        <v>0</v>
      </c>
      <c r="K10" s="5">
        <f ca="1">IFERROR(__xludf.DUMMYFUNCTION("""COMPUTED_VALUE"""),0.88)</f>
        <v>0.88</v>
      </c>
      <c r="L10" s="2">
        <f ca="1">IFERROR(__xludf.DUMMYFUNCTION("""COMPUTED_VALUE"""),0)</f>
        <v>0</v>
      </c>
      <c r="M10" s="2" t="str">
        <f ca="1">IFERROR(__xludf.DUMMYFUNCTION("""COMPUTED_VALUE"""),"0/0")</f>
        <v>0/0</v>
      </c>
    </row>
    <row r="11" spans="1:13" x14ac:dyDescent="0.2">
      <c r="A11" s="2" t="str">
        <f ca="1">IFERROR(__xludf.DUMMYFUNCTION("""COMPUTED_VALUE"""),"J.Ross")</f>
        <v>J.Ross</v>
      </c>
      <c r="B11" s="2" t="str">
        <f ca="1">IFERROR(__xludf.DUMMYFUNCTION("""COMPUTED_VALUE"""),"CIN")</f>
        <v>CIN</v>
      </c>
      <c r="C11" s="2">
        <f ca="1">IFERROR(__xludf.DUMMYFUNCTION("""COMPUTED_VALUE"""),44)</f>
        <v>44</v>
      </c>
      <c r="D11" s="2">
        <f ca="1">IFERROR(__xludf.DUMMYFUNCTION("""COMPUTED_VALUE"""),10)</f>
        <v>10</v>
      </c>
      <c r="E11" s="3">
        <f ca="1">IFERROR(__xludf.DUMMYFUNCTION("""COMPUTED_VALUE"""),0.385)</f>
        <v>0.38500000000000001</v>
      </c>
      <c r="F11" s="2">
        <f ca="1">IFERROR(__xludf.DUMMYFUNCTION("""COMPUTED_VALUE"""),21)</f>
        <v>21</v>
      </c>
      <c r="G11" s="2">
        <f ca="1">IFERROR(__xludf.DUMMYFUNCTION("""COMPUTED_VALUE"""),12)</f>
        <v>12</v>
      </c>
      <c r="H11" s="2">
        <f ca="1">IFERROR(__xludf.DUMMYFUNCTION("""COMPUTED_VALUE"""),158)</f>
        <v>158</v>
      </c>
      <c r="I11" s="2">
        <f ca="1">IFERROR(__xludf.DUMMYFUNCTION("""COMPUTED_VALUE"""),134)</f>
        <v>134</v>
      </c>
      <c r="J11" s="2">
        <f ca="1">IFERROR(__xludf.DUMMYFUNCTION("""COMPUTED_VALUE"""),2)</f>
        <v>2</v>
      </c>
      <c r="K11" s="5">
        <f ca="1">IFERROR(__xludf.DUMMYFUNCTION("""COMPUTED_VALUE"""),0.58)</f>
        <v>0.57999999999999996</v>
      </c>
      <c r="L11" s="2">
        <f ca="1">IFERROR(__xludf.DUMMYFUNCTION("""COMPUTED_VALUE"""),0)</f>
        <v>0</v>
      </c>
      <c r="M11" s="2" t="str">
        <f ca="1">IFERROR(__xludf.DUMMYFUNCTION("""COMPUTED_VALUE"""),"0/0")</f>
        <v>0/0</v>
      </c>
    </row>
    <row r="12" spans="1:13" x14ac:dyDescent="0.2">
      <c r="A12" s="2" t="str">
        <f ca="1">IFERROR(__xludf.DUMMYFUNCTION("""COMPUTED_VALUE"""),"C.Conley")</f>
        <v>C.Conley</v>
      </c>
      <c r="B12" s="2" t="str">
        <f ca="1">IFERROR(__xludf.DUMMYFUNCTION("""COMPUTED_VALUE"""),"JAX")</f>
        <v>JAX</v>
      </c>
      <c r="C12" s="2">
        <f ca="1">IFERROR(__xludf.DUMMYFUNCTION("""COMPUTED_VALUE"""),41)</f>
        <v>41</v>
      </c>
      <c r="D12" s="2">
        <f ca="1">IFERROR(__xludf.DUMMYFUNCTION("""COMPUTED_VALUE"""),11)</f>
        <v>11</v>
      </c>
      <c r="E12" s="3">
        <f ca="1">IFERROR(__xludf.DUMMYFUNCTION("""COMPUTED_VALUE"""),0.648)</f>
        <v>0.64800000000000002</v>
      </c>
      <c r="F12" s="2">
        <f ca="1">IFERROR(__xludf.DUMMYFUNCTION("""COMPUTED_VALUE"""),11)</f>
        <v>11</v>
      </c>
      <c r="G12" s="2">
        <f ca="1">IFERROR(__xludf.DUMMYFUNCTION("""COMPUTED_VALUE"""),7)</f>
        <v>7</v>
      </c>
      <c r="H12" s="2">
        <f ca="1">IFERROR(__xludf.DUMMYFUNCTION("""COMPUTED_VALUE"""),97)</f>
        <v>97</v>
      </c>
      <c r="I12" s="2">
        <f ca="1">IFERROR(__xludf.DUMMYFUNCTION("""COMPUTED_VALUE"""),102)</f>
        <v>102</v>
      </c>
      <c r="J12" s="2">
        <f ca="1">IFERROR(__xludf.DUMMYFUNCTION("""COMPUTED_VALUE"""),1)</f>
        <v>1</v>
      </c>
      <c r="K12" s="5">
        <f ca="1">IFERROR(__xludf.DUMMYFUNCTION("""COMPUTED_VALUE"""),0.86)</f>
        <v>0.86</v>
      </c>
      <c r="L12" s="2">
        <f ca="1">IFERROR(__xludf.DUMMYFUNCTION("""COMPUTED_VALUE"""),0)</f>
        <v>0</v>
      </c>
      <c r="M12" s="2" t="str">
        <f ca="1">IFERROR(__xludf.DUMMYFUNCTION("""COMPUTED_VALUE"""),"0/0")</f>
        <v>0/0</v>
      </c>
    </row>
    <row r="13" spans="1:13" x14ac:dyDescent="0.2">
      <c r="A13" s="2" t="str">
        <f ca="1">IFERROR(__xludf.DUMMYFUNCTION("""COMPUTED_VALUE"""),"T.McLaurin")</f>
        <v>T.McLaurin</v>
      </c>
      <c r="B13" s="2" t="str">
        <f ca="1">IFERROR(__xludf.DUMMYFUNCTION("""COMPUTED_VALUE"""),"WAS")</f>
        <v>WAS</v>
      </c>
      <c r="C13" s="2">
        <f ca="1">IFERROR(__xludf.DUMMYFUNCTION("""COMPUTED_VALUE"""),40)</f>
        <v>40</v>
      </c>
      <c r="D13" s="2">
        <f ca="1">IFERROR(__xludf.DUMMYFUNCTION("""COMPUTED_VALUE"""),12)</f>
        <v>12</v>
      </c>
      <c r="E13" s="3">
        <f ca="1">IFERROR(__xludf.DUMMYFUNCTION("""COMPUTED_VALUE"""),0.637)</f>
        <v>0.63700000000000001</v>
      </c>
      <c r="F13" s="2">
        <f ca="1">IFERROR(__xludf.DUMMYFUNCTION("""COMPUTED_VALUE"""),12)</f>
        <v>12</v>
      </c>
      <c r="G13" s="2">
        <f ca="1">IFERROR(__xludf.DUMMYFUNCTION("""COMPUTED_VALUE"""),7)</f>
        <v>7</v>
      </c>
      <c r="H13" s="2">
        <f ca="1">IFERROR(__xludf.DUMMYFUNCTION("""COMPUTED_VALUE"""),125)</f>
        <v>125</v>
      </c>
      <c r="I13" s="2">
        <f ca="1">IFERROR(__xludf.DUMMYFUNCTION("""COMPUTED_VALUE"""),102)</f>
        <v>102</v>
      </c>
      <c r="J13" s="2">
        <f ca="1">IFERROR(__xludf.DUMMYFUNCTION("""COMPUTED_VALUE"""),1)</f>
        <v>1</v>
      </c>
      <c r="K13" s="5">
        <f ca="1">IFERROR(__xludf.DUMMYFUNCTION("""COMPUTED_VALUE"""),0.71)</f>
        <v>0.71</v>
      </c>
      <c r="L13" s="2">
        <f ca="1">IFERROR(__xludf.DUMMYFUNCTION("""COMPUTED_VALUE"""),0)</f>
        <v>0</v>
      </c>
      <c r="M13" s="2" t="str">
        <f ca="1">IFERROR(__xludf.DUMMYFUNCTION("""COMPUTED_VALUE"""),"0/0")</f>
        <v>0/0</v>
      </c>
    </row>
    <row r="14" spans="1:13" x14ac:dyDescent="0.2">
      <c r="A14" s="2" t="str">
        <f ca="1">IFERROR(__xludf.DUMMYFUNCTION("""COMPUTED_VALUE"""),"E.Sanders")</f>
        <v>E.Sanders</v>
      </c>
      <c r="B14" s="2" t="str">
        <f ca="1">IFERROR(__xludf.DUMMYFUNCTION("""COMPUTED_VALUE"""),"DEN")</f>
        <v>DEN</v>
      </c>
      <c r="C14" s="2">
        <f ca="1">IFERROR(__xludf.DUMMYFUNCTION("""COMPUTED_VALUE"""),40)</f>
        <v>40</v>
      </c>
      <c r="D14" s="2">
        <f ca="1">IFERROR(__xludf.DUMMYFUNCTION("""COMPUTED_VALUE"""),13)</f>
        <v>13</v>
      </c>
      <c r="E14" s="3">
        <f ca="1">IFERROR(__xludf.DUMMYFUNCTION("""COMPUTED_VALUE"""),0.498)</f>
        <v>0.498</v>
      </c>
      <c r="F14" s="2">
        <f ca="1">IFERROR(__xludf.DUMMYFUNCTION("""COMPUTED_VALUE"""),15)</f>
        <v>15</v>
      </c>
      <c r="G14" s="2">
        <f ca="1">IFERROR(__xludf.DUMMYFUNCTION("""COMPUTED_VALUE"""),7)</f>
        <v>7</v>
      </c>
      <c r="H14" s="2">
        <f ca="1">IFERROR(__xludf.DUMMYFUNCTION("""COMPUTED_VALUE"""),86)</f>
        <v>86</v>
      </c>
      <c r="I14" s="2">
        <f ca="1">IFERROR(__xludf.DUMMYFUNCTION("""COMPUTED_VALUE"""),110)</f>
        <v>110</v>
      </c>
      <c r="J14" s="2">
        <f ca="1">IFERROR(__xludf.DUMMYFUNCTION("""COMPUTED_VALUE"""),1)</f>
        <v>1</v>
      </c>
      <c r="K14" s="5">
        <f ca="1">IFERROR(__xludf.DUMMYFUNCTION("""COMPUTED_VALUE"""),0.71)</f>
        <v>0.71</v>
      </c>
      <c r="L14" s="2">
        <f ca="1">IFERROR(__xludf.DUMMYFUNCTION("""COMPUTED_VALUE"""),0)</f>
        <v>0</v>
      </c>
      <c r="M14" s="4">
        <f ca="1">IFERROR(__xludf.DUMMYFUNCTION("""COMPUTED_VALUE"""),43480)</f>
        <v>43480</v>
      </c>
    </row>
    <row r="15" spans="1:13" x14ac:dyDescent="0.2">
      <c r="A15" s="2" t="str">
        <f ca="1">IFERROR(__xludf.DUMMYFUNCTION("""COMPUTED_VALUE"""),"R.Cobb")</f>
        <v>R.Cobb</v>
      </c>
      <c r="B15" s="2" t="str">
        <f ca="1">IFERROR(__xludf.DUMMYFUNCTION("""COMPUTED_VALUE"""),"DAL")</f>
        <v>DAL</v>
      </c>
      <c r="C15" s="2">
        <f ca="1">IFERROR(__xludf.DUMMYFUNCTION("""COMPUTED_VALUE"""),39)</f>
        <v>39</v>
      </c>
      <c r="D15" s="2">
        <f ca="1">IFERROR(__xludf.DUMMYFUNCTION("""COMPUTED_VALUE"""),14)</f>
        <v>14</v>
      </c>
      <c r="E15" s="3">
        <f ca="1">IFERROR(__xludf.DUMMYFUNCTION("""COMPUTED_VALUE"""),0.847)</f>
        <v>0.84699999999999998</v>
      </c>
      <c r="F15" s="2">
        <f ca="1">IFERROR(__xludf.DUMMYFUNCTION("""COMPUTED_VALUE"""),8)</f>
        <v>8</v>
      </c>
      <c r="G15" s="2">
        <f ca="1">IFERROR(__xludf.DUMMYFUNCTION("""COMPUTED_VALUE"""),5)</f>
        <v>5</v>
      </c>
      <c r="H15" s="2">
        <f ca="1">IFERROR(__xludf.DUMMYFUNCTION("""COMPUTED_VALUE"""),69)</f>
        <v>69</v>
      </c>
      <c r="I15" s="2">
        <f ca="1">IFERROR(__xludf.DUMMYFUNCTION("""COMPUTED_VALUE"""),91)</f>
        <v>91</v>
      </c>
      <c r="J15" s="2">
        <f ca="1">IFERROR(__xludf.DUMMYFUNCTION("""COMPUTED_VALUE"""),1)</f>
        <v>1</v>
      </c>
      <c r="K15" s="5">
        <f ca="1">IFERROR(__xludf.DUMMYFUNCTION("""COMPUTED_VALUE"""),0.8)</f>
        <v>0.8</v>
      </c>
      <c r="L15" s="2">
        <f ca="1">IFERROR(__xludf.DUMMYFUNCTION("""COMPUTED_VALUE"""),0)</f>
        <v>0</v>
      </c>
      <c r="M15" s="2" t="str">
        <f ca="1">IFERROR(__xludf.DUMMYFUNCTION("""COMPUTED_VALUE"""),"0/0")</f>
        <v>0/0</v>
      </c>
    </row>
    <row r="16" spans="1:13" x14ac:dyDescent="0.2">
      <c r="A16" s="2" t="str">
        <f ca="1">IFERROR(__xludf.DUMMYFUNCTION("""COMPUTED_VALUE"""),"K.Allen")</f>
        <v>K.Allen</v>
      </c>
      <c r="B16" s="2" t="str">
        <f ca="1">IFERROR(__xludf.DUMMYFUNCTION("""COMPUTED_VALUE"""),"LAC")</f>
        <v>LAC</v>
      </c>
      <c r="C16" s="2">
        <f ca="1">IFERROR(__xludf.DUMMYFUNCTION("""COMPUTED_VALUE"""),38)</f>
        <v>38</v>
      </c>
      <c r="D16" s="2">
        <f ca="1">IFERROR(__xludf.DUMMYFUNCTION("""COMPUTED_VALUE"""),15)</f>
        <v>15</v>
      </c>
      <c r="E16" s="3">
        <f ca="1">IFERROR(__xludf.DUMMYFUNCTION("""COMPUTED_VALUE"""),0.356)</f>
        <v>0.35599999999999998</v>
      </c>
      <c r="F16" s="2">
        <f ca="1">IFERROR(__xludf.DUMMYFUNCTION("""COMPUTED_VALUE"""),23)</f>
        <v>23</v>
      </c>
      <c r="G16" s="2">
        <f ca="1">IFERROR(__xludf.DUMMYFUNCTION("""COMPUTED_VALUE"""),10)</f>
        <v>10</v>
      </c>
      <c r="H16" s="2">
        <f ca="1">IFERROR(__xludf.DUMMYFUNCTION("""COMPUTED_VALUE"""),123)</f>
        <v>123</v>
      </c>
      <c r="I16" s="2">
        <f ca="1">IFERROR(__xludf.DUMMYFUNCTION("""COMPUTED_VALUE"""),122)</f>
        <v>122</v>
      </c>
      <c r="J16" s="2">
        <f ca="1">IFERROR(__xludf.DUMMYFUNCTION("""COMPUTED_VALUE"""),1)</f>
        <v>1</v>
      </c>
      <c r="K16" s="5">
        <f ca="1">IFERROR(__xludf.DUMMYFUNCTION("""COMPUTED_VALUE"""),0.8)</f>
        <v>0.8</v>
      </c>
      <c r="L16" s="2">
        <f ca="1">IFERROR(__xludf.DUMMYFUNCTION("""COMPUTED_VALUE"""),0)</f>
        <v>0</v>
      </c>
      <c r="M16" s="2" t="str">
        <f ca="1">IFERROR(__xludf.DUMMYFUNCTION("""COMPUTED_VALUE"""),"0/0")</f>
        <v>0/0</v>
      </c>
    </row>
    <row r="17" spans="1:13" x14ac:dyDescent="0.2">
      <c r="A17" s="2" t="str">
        <f ca="1">IFERROR(__xludf.DUMMYFUNCTION("""COMPUTED_VALUE"""),"T.Ginn")</f>
        <v>T.Ginn</v>
      </c>
      <c r="B17" s="2" t="str">
        <f ca="1">IFERROR(__xludf.DUMMYFUNCTION("""COMPUTED_VALUE"""),"NO")</f>
        <v>NO</v>
      </c>
      <c r="C17" s="2">
        <f ca="1">IFERROR(__xludf.DUMMYFUNCTION("""COMPUTED_VALUE"""),38)</f>
        <v>38</v>
      </c>
      <c r="D17" s="2">
        <f ca="1">IFERROR(__xludf.DUMMYFUNCTION("""COMPUTED_VALUE"""),16)</f>
        <v>16</v>
      </c>
      <c r="E17" s="3">
        <f ca="1">IFERROR(__xludf.DUMMYFUNCTION("""COMPUTED_VALUE"""),0.531)</f>
        <v>0.53100000000000003</v>
      </c>
      <c r="F17" s="2">
        <f ca="1">IFERROR(__xludf.DUMMYFUNCTION("""COMPUTED_VALUE"""),14)</f>
        <v>14</v>
      </c>
      <c r="G17" s="2">
        <f ca="1">IFERROR(__xludf.DUMMYFUNCTION("""COMPUTED_VALUE"""),7)</f>
        <v>7</v>
      </c>
      <c r="H17" s="2">
        <f ca="1">IFERROR(__xludf.DUMMYFUNCTION("""COMPUTED_VALUE"""),101)</f>
        <v>101</v>
      </c>
      <c r="I17" s="2">
        <f ca="1">IFERROR(__xludf.DUMMYFUNCTION("""COMPUTED_VALUE"""),102)</f>
        <v>102</v>
      </c>
      <c r="J17" s="2">
        <f ca="1">IFERROR(__xludf.DUMMYFUNCTION("""COMPUTED_VALUE"""),0)</f>
        <v>0</v>
      </c>
      <c r="K17" s="5">
        <f ca="1">IFERROR(__xludf.DUMMYFUNCTION("""COMPUTED_VALUE"""),1)</f>
        <v>1</v>
      </c>
      <c r="L17" s="2">
        <f ca="1">IFERROR(__xludf.DUMMYFUNCTION("""COMPUTED_VALUE"""),0)</f>
        <v>0</v>
      </c>
      <c r="M17" s="2" t="str">
        <f ca="1">IFERROR(__xludf.DUMMYFUNCTION("""COMPUTED_VALUE"""),"0/0")</f>
        <v>0/0</v>
      </c>
    </row>
    <row r="18" spans="1:13" x14ac:dyDescent="0.2">
      <c r="A18" s="2" t="str">
        <f ca="1">IFERROR(__xludf.DUMMYFUNCTION("""COMPUTED_VALUE"""),"C.Ridley")</f>
        <v>C.Ridley</v>
      </c>
      <c r="B18" s="2" t="str">
        <f ca="1">IFERROR(__xludf.DUMMYFUNCTION("""COMPUTED_VALUE"""),"ATL")</f>
        <v>ATL</v>
      </c>
      <c r="C18" s="2">
        <f ca="1">IFERROR(__xludf.DUMMYFUNCTION("""COMPUTED_VALUE"""),37)</f>
        <v>37</v>
      </c>
      <c r="D18" s="2">
        <f ca="1">IFERROR(__xludf.DUMMYFUNCTION("""COMPUTED_VALUE"""),17)</f>
        <v>17</v>
      </c>
      <c r="E18" s="3">
        <f ca="1">IFERROR(__xludf.DUMMYFUNCTION("""COMPUTED_VALUE"""),0.493)</f>
        <v>0.49299999999999999</v>
      </c>
      <c r="F18" s="2">
        <f ca="1">IFERROR(__xludf.DUMMYFUNCTION("""COMPUTED_VALUE"""),16)</f>
        <v>16</v>
      </c>
      <c r="G18" s="2">
        <f ca="1">IFERROR(__xludf.DUMMYFUNCTION("""COMPUTED_VALUE"""),6)</f>
        <v>6</v>
      </c>
      <c r="H18" s="2">
        <f ca="1">IFERROR(__xludf.DUMMYFUNCTION("""COMPUTED_VALUE"""),64)</f>
        <v>64</v>
      </c>
      <c r="I18" s="2">
        <f ca="1">IFERROR(__xludf.DUMMYFUNCTION("""COMPUTED_VALUE"""),102)</f>
        <v>102</v>
      </c>
      <c r="J18" s="2">
        <f ca="1">IFERROR(__xludf.DUMMYFUNCTION("""COMPUTED_VALUE"""),1)</f>
        <v>1</v>
      </c>
      <c r="K18" s="5">
        <f ca="1">IFERROR(__xludf.DUMMYFUNCTION("""COMPUTED_VALUE"""),0.67)</f>
        <v>0.67</v>
      </c>
      <c r="L18" s="2">
        <f ca="1">IFERROR(__xludf.DUMMYFUNCTION("""COMPUTED_VALUE"""),0)</f>
        <v>0</v>
      </c>
      <c r="M18" s="4">
        <f ca="1">IFERROR(__xludf.DUMMYFUNCTION("""COMPUTED_VALUE"""),43491)</f>
        <v>43491</v>
      </c>
    </row>
    <row r="19" spans="1:13" x14ac:dyDescent="0.2">
      <c r="A19" s="2" t="str">
        <f ca="1">IFERROR(__xludf.DUMMYFUNCTION("""COMPUTED_VALUE"""),"J.Gordon")</f>
        <v>J.Gordon</v>
      </c>
      <c r="B19" s="2" t="str">
        <f ca="1">IFERROR(__xludf.DUMMYFUNCTION("""COMPUTED_VALUE"""),"NE")</f>
        <v>NE</v>
      </c>
      <c r="C19" s="2">
        <f ca="1">IFERROR(__xludf.DUMMYFUNCTION("""COMPUTED_VALUE"""),36)</f>
        <v>36</v>
      </c>
      <c r="D19" s="2">
        <f ca="1">IFERROR(__xludf.DUMMYFUNCTION("""COMPUTED_VALUE"""),18)</f>
        <v>18</v>
      </c>
      <c r="E19" s="3">
        <f ca="1">IFERROR(__xludf.DUMMYFUNCTION("""COMPUTED_VALUE"""),1.036)</f>
        <v>1.036</v>
      </c>
      <c r="F19" s="2">
        <f ca="1">IFERROR(__xludf.DUMMYFUNCTION("""COMPUTED_VALUE"""),5)</f>
        <v>5</v>
      </c>
      <c r="G19" s="2">
        <f ca="1">IFERROR(__xludf.DUMMYFUNCTION("""COMPUTED_VALUE"""),4)</f>
        <v>4</v>
      </c>
      <c r="H19" s="2">
        <f ca="1">IFERROR(__xludf.DUMMYFUNCTION("""COMPUTED_VALUE"""),73)</f>
        <v>73</v>
      </c>
      <c r="I19" s="2">
        <f ca="1">IFERROR(__xludf.DUMMYFUNCTION("""COMPUTED_VALUE"""),79)</f>
        <v>79</v>
      </c>
      <c r="J19" s="2">
        <f ca="1">IFERROR(__xludf.DUMMYFUNCTION("""COMPUTED_VALUE"""),1)</f>
        <v>1</v>
      </c>
      <c r="K19" s="5">
        <f ca="1">IFERROR(__xludf.DUMMYFUNCTION("""COMPUTED_VALUE"""),0.75)</f>
        <v>0.75</v>
      </c>
      <c r="L19" s="2">
        <f ca="1">IFERROR(__xludf.DUMMYFUNCTION("""COMPUTED_VALUE"""),0)</f>
        <v>0</v>
      </c>
      <c r="M19" s="2" t="str">
        <f ca="1">IFERROR(__xludf.DUMMYFUNCTION("""COMPUTED_VALUE"""),"0/0")</f>
        <v>0/0</v>
      </c>
    </row>
    <row r="20" spans="1:13" x14ac:dyDescent="0.2">
      <c r="A20" s="2" t="str">
        <f ca="1">IFERROR(__xludf.DUMMYFUNCTION("""COMPUTED_VALUE"""),"A.Thielen")</f>
        <v>A.Thielen</v>
      </c>
      <c r="B20" s="2" t="str">
        <f ca="1">IFERROR(__xludf.DUMMYFUNCTION("""COMPUTED_VALUE"""),"MIN")</f>
        <v>MIN</v>
      </c>
      <c r="C20" s="2">
        <f ca="1">IFERROR(__xludf.DUMMYFUNCTION("""COMPUTED_VALUE"""),35)</f>
        <v>35</v>
      </c>
      <c r="D20" s="2">
        <f ca="1">IFERROR(__xludf.DUMMYFUNCTION("""COMPUTED_VALUE"""),19)</f>
        <v>19</v>
      </c>
      <c r="E20" s="3">
        <f ca="1">IFERROR(__xludf.DUMMYFUNCTION("""COMPUTED_VALUE"""),1.05)</f>
        <v>1.05</v>
      </c>
      <c r="F20" s="2">
        <f ca="1">IFERROR(__xludf.DUMMYFUNCTION("""COMPUTED_VALUE"""),4)</f>
        <v>4</v>
      </c>
      <c r="G20" s="2">
        <f ca="1">IFERROR(__xludf.DUMMYFUNCTION("""COMPUTED_VALUE"""),3)</f>
        <v>3</v>
      </c>
      <c r="H20" s="2">
        <f ca="1">IFERROR(__xludf.DUMMYFUNCTION("""COMPUTED_VALUE"""),43)</f>
        <v>43</v>
      </c>
      <c r="I20" s="2">
        <f ca="1">IFERROR(__xludf.DUMMYFUNCTION("""COMPUTED_VALUE"""),75)</f>
        <v>75</v>
      </c>
      <c r="J20" s="2">
        <f ca="1">IFERROR(__xludf.DUMMYFUNCTION("""COMPUTED_VALUE"""),1)</f>
        <v>1</v>
      </c>
      <c r="K20" s="5">
        <f ca="1">IFERROR(__xludf.DUMMYFUNCTION("""COMPUTED_VALUE"""),1)</f>
        <v>1</v>
      </c>
      <c r="L20" s="2">
        <f ca="1">IFERROR(__xludf.DUMMYFUNCTION("""COMPUTED_VALUE"""),0)</f>
        <v>0</v>
      </c>
      <c r="M20" s="4">
        <f ca="1">IFERROR(__xludf.DUMMYFUNCTION("""COMPUTED_VALUE"""),43480)</f>
        <v>43480</v>
      </c>
    </row>
    <row r="21" spans="1:13" x14ac:dyDescent="0.2">
      <c r="A21" s="2" t="str">
        <f ca="1">IFERROR(__xludf.DUMMYFUNCTION("""COMPUTED_VALUE"""),"T.Y.Hilton")</f>
        <v>T.Y.Hilton</v>
      </c>
      <c r="B21" s="2" t="str">
        <f ca="1">IFERROR(__xludf.DUMMYFUNCTION("""COMPUTED_VALUE"""),"IND")</f>
        <v>IND</v>
      </c>
      <c r="C21" s="2">
        <f ca="1">IFERROR(__xludf.DUMMYFUNCTION("""COMPUTED_VALUE"""),32)</f>
        <v>32</v>
      </c>
      <c r="D21" s="2">
        <f ca="1">IFERROR(__xludf.DUMMYFUNCTION("""COMPUTED_VALUE"""),20)</f>
        <v>20</v>
      </c>
      <c r="E21" s="3">
        <f ca="1">IFERROR(__xludf.DUMMYFUNCTION("""COMPUTED_VALUE"""),0.356)</f>
        <v>0.35599999999999998</v>
      </c>
      <c r="F21" s="2">
        <f ca="1">IFERROR(__xludf.DUMMYFUNCTION("""COMPUTED_VALUE"""),22)</f>
        <v>22</v>
      </c>
      <c r="G21" s="2">
        <f ca="1">IFERROR(__xludf.DUMMYFUNCTION("""COMPUTED_VALUE"""),9)</f>
        <v>9</v>
      </c>
      <c r="H21" s="2">
        <f ca="1">IFERROR(__xludf.DUMMYFUNCTION("""COMPUTED_VALUE"""),87)</f>
        <v>87</v>
      </c>
      <c r="I21" s="2">
        <f ca="1">IFERROR(__xludf.DUMMYFUNCTION("""COMPUTED_VALUE"""),100)</f>
        <v>100</v>
      </c>
      <c r="J21" s="2">
        <f ca="1">IFERROR(__xludf.DUMMYFUNCTION("""COMPUTED_VALUE"""),2)</f>
        <v>2</v>
      </c>
      <c r="K21" s="5">
        <f ca="1">IFERROR(__xludf.DUMMYFUNCTION("""COMPUTED_VALUE"""),0.89)</f>
        <v>0.89</v>
      </c>
      <c r="L21" s="2">
        <f ca="1">IFERROR(__xludf.DUMMYFUNCTION("""COMPUTED_VALUE"""),0)</f>
        <v>0</v>
      </c>
      <c r="M21" s="2" t="str">
        <f ca="1">IFERROR(__xludf.DUMMYFUNCTION("""COMPUTED_VALUE"""),"0/0")</f>
        <v>0/0</v>
      </c>
    </row>
    <row r="22" spans="1:13" x14ac:dyDescent="0.2">
      <c r="A22" s="2" t="str">
        <f ca="1">IFERROR(__xludf.DUMMYFUNCTION("""COMPUTED_VALUE"""),"A.Cooper")</f>
        <v>A.Cooper</v>
      </c>
      <c r="B22" s="2" t="str">
        <f ca="1">IFERROR(__xludf.DUMMYFUNCTION("""COMPUTED_VALUE"""),"DAL")</f>
        <v>DAL</v>
      </c>
      <c r="C22" s="2">
        <f ca="1">IFERROR(__xludf.DUMMYFUNCTION("""COMPUTED_VALUE"""),29)</f>
        <v>29</v>
      </c>
      <c r="D22" s="2">
        <f ca="1">IFERROR(__xludf.DUMMYFUNCTION("""COMPUTED_VALUE"""),21)</f>
        <v>21</v>
      </c>
      <c r="E22" s="3">
        <f ca="1">IFERROR(__xludf.DUMMYFUNCTION("""COMPUTED_VALUE"""),0.288)</f>
        <v>0.28799999999999998</v>
      </c>
      <c r="F22" s="2">
        <f ca="1">IFERROR(__xludf.DUMMYFUNCTION("""COMPUTED_VALUE"""),24)</f>
        <v>24</v>
      </c>
      <c r="G22" s="2">
        <f ca="1">IFERROR(__xludf.DUMMYFUNCTION("""COMPUTED_VALUE"""),9)</f>
        <v>9</v>
      </c>
      <c r="H22" s="2">
        <f ca="1">IFERROR(__xludf.DUMMYFUNCTION("""COMPUTED_VALUE"""),106)</f>
        <v>106</v>
      </c>
      <c r="I22" s="2">
        <f ca="1">IFERROR(__xludf.DUMMYFUNCTION("""COMPUTED_VALUE"""),99)</f>
        <v>99</v>
      </c>
      <c r="J22" s="2">
        <f ca="1">IFERROR(__xludf.DUMMYFUNCTION("""COMPUTED_VALUE"""),1)</f>
        <v>1</v>
      </c>
      <c r="K22" s="5">
        <f ca="1">IFERROR(__xludf.DUMMYFUNCTION("""COMPUTED_VALUE"""),0.67)</f>
        <v>0.67</v>
      </c>
      <c r="L22" s="2">
        <f ca="1">IFERROR(__xludf.DUMMYFUNCTION("""COMPUTED_VALUE"""),0)</f>
        <v>0</v>
      </c>
      <c r="M22" s="2" t="str">
        <f ca="1">IFERROR(__xludf.DUMMYFUNCTION("""COMPUTED_VALUE"""),"0/0")</f>
        <v>0/0</v>
      </c>
    </row>
    <row r="23" spans="1:13" x14ac:dyDescent="0.2">
      <c r="A23" s="2" t="str">
        <f ca="1">IFERROR(__xludf.DUMMYFUNCTION("""COMPUTED_VALUE"""),"A.Brown")</f>
        <v>A.Brown</v>
      </c>
      <c r="B23" s="2" t="str">
        <f ca="1">IFERROR(__xludf.DUMMYFUNCTION("""COMPUTED_VALUE"""),"TEN")</f>
        <v>TEN</v>
      </c>
      <c r="C23" s="2">
        <f ca="1">IFERROR(__xludf.DUMMYFUNCTION("""COMPUTED_VALUE"""),27)</f>
        <v>27</v>
      </c>
      <c r="D23" s="2">
        <f ca="1">IFERROR(__xludf.DUMMYFUNCTION("""COMPUTED_VALUE"""),22)</f>
        <v>22</v>
      </c>
      <c r="E23" s="3">
        <f ca="1">IFERROR(__xludf.DUMMYFUNCTION("""COMPUTED_VALUE"""),0.686)</f>
        <v>0.68600000000000005</v>
      </c>
      <c r="F23" s="2">
        <f ca="1">IFERROR(__xludf.DUMMYFUNCTION("""COMPUTED_VALUE"""),9)</f>
        <v>9</v>
      </c>
      <c r="G23" s="2">
        <f ca="1">IFERROR(__xludf.DUMMYFUNCTION("""COMPUTED_VALUE"""),4)</f>
        <v>4</v>
      </c>
      <c r="H23" s="2">
        <f ca="1">IFERROR(__xludf.DUMMYFUNCTION("""COMPUTED_VALUE"""),100)</f>
        <v>100</v>
      </c>
      <c r="I23" s="2">
        <f ca="1">IFERROR(__xludf.DUMMYFUNCTION("""COMPUTED_VALUE"""),66)</f>
        <v>66</v>
      </c>
      <c r="J23" s="2">
        <f ca="1">IFERROR(__xludf.DUMMYFUNCTION("""COMPUTED_VALUE"""),0)</f>
        <v>0</v>
      </c>
      <c r="K23" s="5">
        <f ca="1">IFERROR(__xludf.DUMMYFUNCTION("""COMPUTED_VALUE"""),0.75)</f>
        <v>0.75</v>
      </c>
      <c r="L23" s="2">
        <f ca="1">IFERROR(__xludf.DUMMYFUNCTION("""COMPUTED_VALUE"""),0)</f>
        <v>0</v>
      </c>
      <c r="M23" s="2" t="str">
        <f ca="1">IFERROR(__xludf.DUMMYFUNCTION("""COMPUTED_VALUE"""),"0/0")</f>
        <v>0/0</v>
      </c>
    </row>
    <row r="24" spans="1:13" x14ac:dyDescent="0.2">
      <c r="A24" s="2" t="str">
        <f ca="1">IFERROR(__xludf.DUMMYFUNCTION("""COMPUTED_VALUE"""),"M.Thomas")</f>
        <v>M.Thomas</v>
      </c>
      <c r="B24" s="2" t="str">
        <f ca="1">IFERROR(__xludf.DUMMYFUNCTION("""COMPUTED_VALUE"""),"NO")</f>
        <v>NO</v>
      </c>
      <c r="C24" s="2">
        <f ca="1">IFERROR(__xludf.DUMMYFUNCTION("""COMPUTED_VALUE"""),26)</f>
        <v>26</v>
      </c>
      <c r="D24" s="2">
        <f ca="1">IFERROR(__xludf.DUMMYFUNCTION("""COMPUTED_VALUE"""),23)</f>
        <v>23</v>
      </c>
      <c r="E24" s="3">
        <f ca="1">IFERROR(__xludf.DUMMYFUNCTION("""COMPUTED_VALUE"""),0.126)</f>
        <v>0.126</v>
      </c>
      <c r="F24" s="2">
        <f ca="1">IFERROR(__xludf.DUMMYFUNCTION("""COMPUTED_VALUE"""),27)</f>
        <v>27</v>
      </c>
      <c r="G24" s="2">
        <f ca="1">IFERROR(__xludf.DUMMYFUNCTION("""COMPUTED_VALUE"""),13)</f>
        <v>13</v>
      </c>
      <c r="H24" s="2">
        <f ca="1">IFERROR(__xludf.DUMMYFUNCTION("""COMPUTED_VALUE"""),123)</f>
        <v>123</v>
      </c>
      <c r="I24" s="2">
        <f ca="1">IFERROR(__xludf.DUMMYFUNCTION("""COMPUTED_VALUE"""),121)</f>
        <v>121</v>
      </c>
      <c r="J24" s="2">
        <f ca="1">IFERROR(__xludf.DUMMYFUNCTION("""COMPUTED_VALUE"""),0)</f>
        <v>0</v>
      </c>
      <c r="K24" s="5">
        <f ca="1">IFERROR(__xludf.DUMMYFUNCTION("""COMPUTED_VALUE"""),0.77)</f>
        <v>0.77</v>
      </c>
      <c r="L24" s="2">
        <f ca="1">IFERROR(__xludf.DUMMYFUNCTION("""COMPUTED_VALUE"""),0)</f>
        <v>0</v>
      </c>
      <c r="M24" s="2" t="str">
        <f ca="1">IFERROR(__xludf.DUMMYFUNCTION("""COMPUTED_VALUE"""),"0/0")</f>
        <v>0/0</v>
      </c>
    </row>
    <row r="25" spans="1:13" x14ac:dyDescent="0.2">
      <c r="A25" s="2" t="str">
        <f ca="1">IFERROR(__xludf.DUMMYFUNCTION("""COMPUTED_VALUE"""),"A.Jeffery")</f>
        <v>A.Jeffery</v>
      </c>
      <c r="B25" s="2" t="str">
        <f ca="1">IFERROR(__xludf.DUMMYFUNCTION("""COMPUTED_VALUE"""),"PHI")</f>
        <v>PHI</v>
      </c>
      <c r="C25" s="2">
        <f ca="1">IFERROR(__xludf.DUMMYFUNCTION("""COMPUTED_VALUE"""),24)</f>
        <v>24</v>
      </c>
      <c r="D25" s="2">
        <f ca="1">IFERROR(__xludf.DUMMYFUNCTION("""COMPUTED_VALUE"""),24)</f>
        <v>24</v>
      </c>
      <c r="E25" s="3">
        <f ca="1">IFERROR(__xludf.DUMMYFUNCTION("""COMPUTED_VALUE"""),0.387)</f>
        <v>0.38700000000000001</v>
      </c>
      <c r="F25" s="2">
        <f ca="1">IFERROR(__xludf.DUMMYFUNCTION("""COMPUTED_VALUE"""),20)</f>
        <v>20</v>
      </c>
      <c r="G25" s="2">
        <f ca="1">IFERROR(__xludf.DUMMYFUNCTION("""COMPUTED_VALUE"""),6)</f>
        <v>6</v>
      </c>
      <c r="H25" s="2">
        <f ca="1">IFERROR(__xludf.DUMMYFUNCTION("""COMPUTED_VALUE"""),49)</f>
        <v>49</v>
      </c>
      <c r="I25" s="2">
        <f ca="1">IFERROR(__xludf.DUMMYFUNCTION("""COMPUTED_VALUE"""),75)</f>
        <v>75</v>
      </c>
      <c r="J25" s="2">
        <f ca="1">IFERROR(__xludf.DUMMYFUNCTION("""COMPUTED_VALUE"""),1)</f>
        <v>1</v>
      </c>
      <c r="K25" s="5">
        <f ca="1">IFERROR(__xludf.DUMMYFUNCTION("""COMPUTED_VALUE"""),0.83)</f>
        <v>0.83</v>
      </c>
      <c r="L25" s="2">
        <f ca="1">IFERROR(__xludf.DUMMYFUNCTION("""COMPUTED_VALUE"""),0)</f>
        <v>0</v>
      </c>
      <c r="M25" s="2" t="str">
        <f ca="1">IFERROR(__xludf.DUMMYFUNCTION("""COMPUTED_VALUE"""),"0/0")</f>
        <v>0/0</v>
      </c>
    </row>
    <row r="26" spans="1:13" x14ac:dyDescent="0.2">
      <c r="A26" s="2" t="str">
        <f ca="1">IFERROR(__xludf.DUMMYFUNCTION("""COMPUTED_VALUE"""),"J.Smith-Schuster")</f>
        <v>J.Smith-Schuster</v>
      </c>
      <c r="B26" s="2" t="str">
        <f ca="1">IFERROR(__xludf.DUMMYFUNCTION("""COMPUTED_VALUE"""),"PIT")</f>
        <v>PIT</v>
      </c>
      <c r="C26" s="2">
        <f ca="1">IFERROR(__xludf.DUMMYFUNCTION("""COMPUTED_VALUE"""),24)</f>
        <v>24</v>
      </c>
      <c r="D26" s="2">
        <f ca="1">IFERROR(__xludf.DUMMYFUNCTION("""COMPUTED_VALUE"""),25)</f>
        <v>25</v>
      </c>
      <c r="E26" s="3">
        <f ca="1">IFERROR(__xludf.DUMMYFUNCTION("""COMPUTED_VALUE"""),0.232)</f>
        <v>0.23200000000000001</v>
      </c>
      <c r="F26" s="2">
        <f ca="1">IFERROR(__xludf.DUMMYFUNCTION("""COMPUTED_VALUE"""),25)</f>
        <v>25</v>
      </c>
      <c r="G26" s="2">
        <f ca="1">IFERROR(__xludf.DUMMYFUNCTION("""COMPUTED_VALUE"""),8)</f>
        <v>8</v>
      </c>
      <c r="H26" s="2">
        <f ca="1">IFERROR(__xludf.DUMMYFUNCTION("""COMPUTED_VALUE"""),78)</f>
        <v>78</v>
      </c>
      <c r="I26" s="2">
        <f ca="1">IFERROR(__xludf.DUMMYFUNCTION("""COMPUTED_VALUE"""),89)</f>
        <v>89</v>
      </c>
      <c r="J26" s="2">
        <f ca="1">IFERROR(__xludf.DUMMYFUNCTION("""COMPUTED_VALUE"""),0)</f>
        <v>0</v>
      </c>
      <c r="K26" s="5">
        <f ca="1">IFERROR(__xludf.DUMMYFUNCTION("""COMPUTED_VALUE"""),0.75)</f>
        <v>0.75</v>
      </c>
      <c r="L26" s="2">
        <f ca="1">IFERROR(__xludf.DUMMYFUNCTION("""COMPUTED_VALUE"""),0)</f>
        <v>0</v>
      </c>
      <c r="M26" s="4">
        <f ca="1">IFERROR(__xludf.DUMMYFUNCTION("""COMPUTED_VALUE"""),43475)</f>
        <v>43475</v>
      </c>
    </row>
    <row r="27" spans="1:13" x14ac:dyDescent="0.2">
      <c r="A27" s="2" t="str">
        <f ca="1">IFERROR(__xludf.DUMMYFUNCTION("""COMPUTED_VALUE"""),"D.Hopkins")</f>
        <v>D.Hopkins</v>
      </c>
      <c r="B27" s="2" t="str">
        <f ca="1">IFERROR(__xludf.DUMMYFUNCTION("""COMPUTED_VALUE"""),"HOU")</f>
        <v>HOU</v>
      </c>
      <c r="C27" s="2">
        <f ca="1">IFERROR(__xludf.DUMMYFUNCTION("""COMPUTED_VALUE"""),23)</f>
        <v>23</v>
      </c>
      <c r="D27" s="2">
        <f ca="1">IFERROR(__xludf.DUMMYFUNCTION("""COMPUTED_VALUE"""),26)</f>
        <v>26</v>
      </c>
      <c r="E27" s="3">
        <f ca="1">IFERROR(__xludf.DUMMYFUNCTION("""COMPUTED_VALUE"""),0.108)</f>
        <v>0.108</v>
      </c>
      <c r="F27" s="2">
        <f ca="1">IFERROR(__xludf.DUMMYFUNCTION("""COMPUTED_VALUE"""),28)</f>
        <v>28</v>
      </c>
      <c r="G27" s="2">
        <f ca="1">IFERROR(__xludf.DUMMYFUNCTION("""COMPUTED_VALUE"""),13)</f>
        <v>13</v>
      </c>
      <c r="H27" s="2">
        <f ca="1">IFERROR(__xludf.DUMMYFUNCTION("""COMPUTED_VALUE"""),111)</f>
        <v>111</v>
      </c>
      <c r="I27" s="2">
        <f ca="1">IFERROR(__xludf.DUMMYFUNCTION("""COMPUTED_VALUE"""),116)</f>
        <v>116</v>
      </c>
      <c r="J27" s="2">
        <f ca="1">IFERROR(__xludf.DUMMYFUNCTION("""COMPUTED_VALUE"""),2)</f>
        <v>2</v>
      </c>
      <c r="K27" s="5">
        <f ca="1">IFERROR(__xludf.DUMMYFUNCTION("""COMPUTED_VALUE"""),0.62)</f>
        <v>0.62</v>
      </c>
      <c r="L27" s="2">
        <f ca="1">IFERROR(__xludf.DUMMYFUNCTION("""COMPUTED_VALUE"""),0)</f>
        <v>0</v>
      </c>
      <c r="M27" s="2" t="str">
        <f ca="1">IFERROR(__xludf.DUMMYFUNCTION("""COMPUTED_VALUE"""),"0/0")</f>
        <v>0/0</v>
      </c>
    </row>
    <row r="28" spans="1:13" x14ac:dyDescent="0.2">
      <c r="A28" s="2" t="str">
        <f ca="1">IFERROR(__xludf.DUMMYFUNCTION("""COMPUTED_VALUE"""),"M.Jones")</f>
        <v>M.Jones</v>
      </c>
      <c r="B28" s="2" t="str">
        <f ca="1">IFERROR(__xludf.DUMMYFUNCTION("""COMPUTED_VALUE"""),"DET")</f>
        <v>DET</v>
      </c>
      <c r="C28" s="2">
        <f ca="1">IFERROR(__xludf.DUMMYFUNCTION("""COMPUTED_VALUE"""),22)</f>
        <v>22</v>
      </c>
      <c r="D28" s="2">
        <f ca="1">IFERROR(__xludf.DUMMYFUNCTION("""COMPUTED_VALUE"""),27)</f>
        <v>27</v>
      </c>
      <c r="E28" s="3">
        <f ca="1">IFERROR(__xludf.DUMMYFUNCTION("""COMPUTED_VALUE"""),0.486)</f>
        <v>0.48599999999999999</v>
      </c>
      <c r="F28" s="2">
        <f ca="1">IFERROR(__xludf.DUMMYFUNCTION("""COMPUTED_VALUE"""),17)</f>
        <v>17</v>
      </c>
      <c r="G28" s="2">
        <f ca="1">IFERROR(__xludf.DUMMYFUNCTION("""COMPUTED_VALUE"""),4)</f>
        <v>4</v>
      </c>
      <c r="H28" s="2">
        <f ca="1">IFERROR(__xludf.DUMMYFUNCTION("""COMPUTED_VALUE"""),56)</f>
        <v>56</v>
      </c>
      <c r="I28" s="2">
        <f ca="1">IFERROR(__xludf.DUMMYFUNCTION("""COMPUTED_VALUE"""),61)</f>
        <v>61</v>
      </c>
      <c r="J28" s="2">
        <f ca="1">IFERROR(__xludf.DUMMYFUNCTION("""COMPUTED_VALUE"""),0)</f>
        <v>0</v>
      </c>
      <c r="K28" s="5">
        <f ca="1">IFERROR(__xludf.DUMMYFUNCTION("""COMPUTED_VALUE"""),1)</f>
        <v>1</v>
      </c>
      <c r="L28" s="2">
        <f ca="1">IFERROR(__xludf.DUMMYFUNCTION("""COMPUTED_VALUE"""),0)</f>
        <v>0</v>
      </c>
      <c r="M28" s="2" t="str">
        <f ca="1">IFERROR(__xludf.DUMMYFUNCTION("""COMPUTED_VALUE"""),"0/0")</f>
        <v>0/0</v>
      </c>
    </row>
    <row r="29" spans="1:13" x14ac:dyDescent="0.2">
      <c r="A29" s="2" t="str">
        <f ca="1">IFERROR(__xludf.DUMMYFUNCTION("""COMPUTED_VALUE"""),"D.K.Metcalf")</f>
        <v>D.K.Metcalf</v>
      </c>
      <c r="B29" s="2" t="str">
        <f ca="1">IFERROR(__xludf.DUMMYFUNCTION("""COMPUTED_VALUE"""),"SEA")</f>
        <v>SEA</v>
      </c>
      <c r="C29" s="2">
        <f ca="1">IFERROR(__xludf.DUMMYFUNCTION("""COMPUTED_VALUE"""),19)</f>
        <v>19</v>
      </c>
      <c r="D29" s="2">
        <f ca="1">IFERROR(__xludf.DUMMYFUNCTION("""COMPUTED_VALUE"""),28)</f>
        <v>28</v>
      </c>
      <c r="E29" s="3">
        <f ca="1">IFERROR(__xludf.DUMMYFUNCTION("""COMPUTED_VALUE"""),0.22)</f>
        <v>0.22</v>
      </c>
      <c r="F29" s="2">
        <f ca="1">IFERROR(__xludf.DUMMYFUNCTION("""COMPUTED_VALUE"""),26)</f>
        <v>26</v>
      </c>
      <c r="G29" s="2">
        <f ca="1">IFERROR(__xludf.DUMMYFUNCTION("""COMPUTED_VALUE"""),6)</f>
        <v>6</v>
      </c>
      <c r="H29" s="2">
        <f ca="1">IFERROR(__xludf.DUMMYFUNCTION("""COMPUTED_VALUE"""),89)</f>
        <v>89</v>
      </c>
      <c r="I29" s="2">
        <f ca="1">IFERROR(__xludf.DUMMYFUNCTION("""COMPUTED_VALUE"""),73)</f>
        <v>73</v>
      </c>
      <c r="J29" s="2">
        <f ca="1">IFERROR(__xludf.DUMMYFUNCTION("""COMPUTED_VALUE"""),0)</f>
        <v>0</v>
      </c>
      <c r="K29" s="5">
        <f ca="1">IFERROR(__xludf.DUMMYFUNCTION("""COMPUTED_VALUE"""),0.67)</f>
        <v>0.67</v>
      </c>
      <c r="L29" s="2">
        <f ca="1">IFERROR(__xludf.DUMMYFUNCTION("""COMPUTED_VALUE"""),0)</f>
        <v>0</v>
      </c>
      <c r="M29" s="4">
        <f ca="1">IFERROR(__xludf.DUMMYFUNCTION("""COMPUTED_VALUE"""),43469)</f>
        <v>43469</v>
      </c>
    </row>
    <row r="30" spans="1:13" x14ac:dyDescent="0.2">
      <c r="A30" s="2" t="str">
        <f ca="1">IFERROR(__xludf.DUMMYFUNCTION("""COMPUTED_VALUE"""),"C.Godwin")</f>
        <v>C.Godwin</v>
      </c>
      <c r="B30" s="2" t="str">
        <f ca="1">IFERROR(__xludf.DUMMYFUNCTION("""COMPUTED_VALUE"""),"TB")</f>
        <v>TB</v>
      </c>
      <c r="C30" s="2">
        <f ca="1">IFERROR(__xludf.DUMMYFUNCTION("""COMPUTED_VALUE"""),10)</f>
        <v>10</v>
      </c>
      <c r="D30" s="2">
        <f ca="1">IFERROR(__xludf.DUMMYFUNCTION("""COMPUTED_VALUE"""),29)</f>
        <v>29</v>
      </c>
      <c r="E30" s="3">
        <f ca="1">IFERROR(__xludf.DUMMYFUNCTION("""COMPUTED_VALUE"""),0.087)</f>
        <v>8.6999999999999994E-2</v>
      </c>
      <c r="F30" s="2">
        <f ca="1">IFERROR(__xludf.DUMMYFUNCTION("""COMPUTED_VALUE"""),29)</f>
        <v>29</v>
      </c>
      <c r="G30" s="2">
        <f ca="1">IFERROR(__xludf.DUMMYFUNCTION("""COMPUTED_VALUE"""),6)</f>
        <v>6</v>
      </c>
      <c r="H30" s="2">
        <f ca="1">IFERROR(__xludf.DUMMYFUNCTION("""COMPUTED_VALUE"""),53)</f>
        <v>53</v>
      </c>
      <c r="I30" s="2">
        <f ca="1">IFERROR(__xludf.DUMMYFUNCTION("""COMPUTED_VALUE"""),51)</f>
        <v>51</v>
      </c>
      <c r="J30" s="2">
        <f ca="1">IFERROR(__xludf.DUMMYFUNCTION("""COMPUTED_VALUE"""),1)</f>
        <v>1</v>
      </c>
      <c r="K30" s="5">
        <f ca="1">IFERROR(__xludf.DUMMYFUNCTION("""COMPUTED_VALUE"""),0.5)</f>
        <v>0.5</v>
      </c>
      <c r="L30" s="2">
        <f ca="1">IFERROR(__xludf.DUMMYFUNCTION("""COMPUTED_VALUE"""),0)</f>
        <v>0</v>
      </c>
      <c r="M30" s="2" t="str">
        <f ca="1">IFERROR(__xludf.DUMMYFUNCTION("""COMPUTED_VALUE"""),"0/0")</f>
        <v>0/0</v>
      </c>
    </row>
    <row r="31" spans="1:13" x14ac:dyDescent="0.2">
      <c r="A31" s="2" t="str">
        <f ca="1">IFERROR(__xludf.DUMMYFUNCTION("""COMPUTED_VALUE"""),"S.Shepard")</f>
        <v>S.Shepard</v>
      </c>
      <c r="B31" s="2" t="str">
        <f ca="1">IFERROR(__xludf.DUMMYFUNCTION("""COMPUTED_VALUE"""),"NYG")</f>
        <v>NYG</v>
      </c>
      <c r="C31" s="2">
        <f ca="1">IFERROR(__xludf.DUMMYFUNCTION("""COMPUTED_VALUE"""),8)</f>
        <v>8</v>
      </c>
      <c r="D31" s="2">
        <f ca="1">IFERROR(__xludf.DUMMYFUNCTION("""COMPUTED_VALUE"""),30)</f>
        <v>30</v>
      </c>
      <c r="E31" s="3">
        <f ca="1">IFERROR(__xludf.DUMMYFUNCTION("""COMPUTED_VALUE"""),0.012)</f>
        <v>1.2E-2</v>
      </c>
      <c r="F31" s="2">
        <f ca="1">IFERROR(__xludf.DUMMYFUNCTION("""COMPUTED_VALUE"""),32)</f>
        <v>32</v>
      </c>
      <c r="G31" s="2">
        <f ca="1">IFERROR(__xludf.DUMMYFUNCTION("""COMPUTED_VALUE"""),7)</f>
        <v>7</v>
      </c>
      <c r="H31" s="2">
        <f ca="1">IFERROR(__xludf.DUMMYFUNCTION("""COMPUTED_VALUE"""),42)</f>
        <v>42</v>
      </c>
      <c r="I31" s="2">
        <f ca="1">IFERROR(__xludf.DUMMYFUNCTION("""COMPUTED_VALUE"""),58)</f>
        <v>58</v>
      </c>
      <c r="J31" s="2">
        <f ca="1">IFERROR(__xludf.DUMMYFUNCTION("""COMPUTED_VALUE"""),0)</f>
        <v>0</v>
      </c>
      <c r="K31" s="5">
        <f ca="1">IFERROR(__xludf.DUMMYFUNCTION("""COMPUTED_VALUE"""),0.86)</f>
        <v>0.86</v>
      </c>
      <c r="L31" s="2">
        <f ca="1">IFERROR(__xludf.DUMMYFUNCTION("""COMPUTED_VALUE"""),0)</f>
        <v>0</v>
      </c>
      <c r="M31" s="2" t="str">
        <f ca="1">IFERROR(__xludf.DUMMYFUNCTION("""COMPUTED_VALUE"""),"0/0")</f>
        <v>0/0</v>
      </c>
    </row>
    <row r="32" spans="1:13" x14ac:dyDescent="0.2">
      <c r="A32" s="2" t="str">
        <f ca="1">IFERROR(__xludf.DUMMYFUNCTION("""COMPUTED_VALUE"""),"A.Robinson")</f>
        <v>A.Robinson</v>
      </c>
      <c r="B32" s="2" t="str">
        <f ca="1">IFERROR(__xludf.DUMMYFUNCTION("""COMPUTED_VALUE"""),"CHI")</f>
        <v>CHI</v>
      </c>
      <c r="C32" s="2">
        <f ca="1">IFERROR(__xludf.DUMMYFUNCTION("""COMPUTED_VALUE"""),7)</f>
        <v>7</v>
      </c>
      <c r="D32" s="2">
        <f ca="1">IFERROR(__xludf.DUMMYFUNCTION("""COMPUTED_VALUE"""),31)</f>
        <v>31</v>
      </c>
      <c r="E32" s="3">
        <f ca="1">IFERROR(__xludf.DUMMYFUNCTION("""COMPUTED_VALUE"""),-0.054)</f>
        <v>-5.3999999999999999E-2</v>
      </c>
      <c r="F32" s="2">
        <f ca="1">IFERROR(__xludf.DUMMYFUNCTION("""COMPUTED_VALUE"""),37)</f>
        <v>37</v>
      </c>
      <c r="G32" s="2">
        <f ca="1">IFERROR(__xludf.DUMMYFUNCTION("""COMPUTED_VALUE"""),13)</f>
        <v>13</v>
      </c>
      <c r="H32" s="2">
        <f ca="1">IFERROR(__xludf.DUMMYFUNCTION("""COMPUTED_VALUE"""),102)</f>
        <v>102</v>
      </c>
      <c r="I32" s="2">
        <f ca="1">IFERROR(__xludf.DUMMYFUNCTION("""COMPUTED_VALUE"""),85)</f>
        <v>85</v>
      </c>
      <c r="J32" s="2">
        <f ca="1">IFERROR(__xludf.DUMMYFUNCTION("""COMPUTED_VALUE"""),0)</f>
        <v>0</v>
      </c>
      <c r="K32" s="5">
        <f ca="1">IFERROR(__xludf.DUMMYFUNCTION("""COMPUTED_VALUE"""),0.54)</f>
        <v>0.54</v>
      </c>
      <c r="L32" s="2">
        <f ca="1">IFERROR(__xludf.DUMMYFUNCTION("""COMPUTED_VALUE"""),0)</f>
        <v>0</v>
      </c>
      <c r="M32" s="2" t="str">
        <f ca="1">IFERROR(__xludf.DUMMYFUNCTION("""COMPUTED_VALUE"""),"0/0")</f>
        <v>0/0</v>
      </c>
    </row>
    <row r="33" spans="1:13" x14ac:dyDescent="0.2">
      <c r="A33" s="2" t="str">
        <f ca="1">IFERROR(__xludf.DUMMYFUNCTION("""COMPUTED_VALUE"""),"P.Williams")</f>
        <v>P.Williams</v>
      </c>
      <c r="B33" s="2" t="str">
        <f ca="1">IFERROR(__xludf.DUMMYFUNCTION("""COMPUTED_VALUE"""),"MIA")</f>
        <v>MIA</v>
      </c>
      <c r="C33" s="2">
        <f ca="1">IFERROR(__xludf.DUMMYFUNCTION("""COMPUTED_VALUE"""),7)</f>
        <v>7</v>
      </c>
      <c r="D33" s="2">
        <f ca="1">IFERROR(__xludf.DUMMYFUNCTION("""COMPUTED_VALUE"""),32)</f>
        <v>32</v>
      </c>
      <c r="E33" s="3">
        <f ca="1">IFERROR(__xludf.DUMMYFUNCTION("""COMPUTED_VALUE"""),0.054)</f>
        <v>5.3999999999999999E-2</v>
      </c>
      <c r="F33" s="2">
        <f ca="1">IFERROR(__xludf.DUMMYFUNCTION("""COMPUTED_VALUE"""),30)</f>
        <v>30</v>
      </c>
      <c r="G33" s="2">
        <f ca="1">IFERROR(__xludf.DUMMYFUNCTION("""COMPUTED_VALUE"""),5)</f>
        <v>5</v>
      </c>
      <c r="H33" s="2">
        <f ca="1">IFERROR(__xludf.DUMMYFUNCTION("""COMPUTED_VALUE"""),24)</f>
        <v>24</v>
      </c>
      <c r="I33" s="2">
        <f ca="1">IFERROR(__xludf.DUMMYFUNCTION("""COMPUTED_VALUE"""),39)</f>
        <v>39</v>
      </c>
      <c r="J33" s="2">
        <f ca="1">IFERROR(__xludf.DUMMYFUNCTION("""COMPUTED_VALUE"""),1)</f>
        <v>1</v>
      </c>
      <c r="K33" s="5">
        <f ca="1">IFERROR(__xludf.DUMMYFUNCTION("""COMPUTED_VALUE"""),0.6)</f>
        <v>0.6</v>
      </c>
      <c r="L33" s="2">
        <f ca="1">IFERROR(__xludf.DUMMYFUNCTION("""COMPUTED_VALUE"""),0)</f>
        <v>0</v>
      </c>
      <c r="M33" s="2" t="str">
        <f ca="1">IFERROR(__xludf.DUMMYFUNCTION("""COMPUTED_VALUE"""),"0/0")</f>
        <v>0/0</v>
      </c>
    </row>
    <row r="34" spans="1:13" x14ac:dyDescent="0.2">
      <c r="A34" s="2" t="str">
        <f ca="1">IFERROR(__xludf.DUMMYFUNCTION("""COMPUTED_VALUE"""),"B.Fowler")</f>
        <v>B.Fowler</v>
      </c>
      <c r="B34" s="2" t="str">
        <f ca="1">IFERROR(__xludf.DUMMYFUNCTION("""COMPUTED_VALUE"""),"NYG")</f>
        <v>NYG</v>
      </c>
      <c r="C34" s="2">
        <f ca="1">IFERROR(__xludf.DUMMYFUNCTION("""COMPUTED_VALUE"""),6)</f>
        <v>6</v>
      </c>
      <c r="D34" s="2">
        <f ca="1">IFERROR(__xludf.DUMMYFUNCTION("""COMPUTED_VALUE"""),33)</f>
        <v>33</v>
      </c>
      <c r="E34" s="3">
        <f ca="1">IFERROR(__xludf.DUMMYFUNCTION("""COMPUTED_VALUE"""),0.045)</f>
        <v>4.4999999999999998E-2</v>
      </c>
      <c r="F34" s="2">
        <f ca="1">IFERROR(__xludf.DUMMYFUNCTION("""COMPUTED_VALUE"""),31)</f>
        <v>31</v>
      </c>
      <c r="G34" s="2">
        <f ca="1">IFERROR(__xludf.DUMMYFUNCTION("""COMPUTED_VALUE"""),5)</f>
        <v>5</v>
      </c>
      <c r="H34" s="2">
        <f ca="1">IFERROR(__xludf.DUMMYFUNCTION("""COMPUTED_VALUE"""),40)</f>
        <v>40</v>
      </c>
      <c r="I34" s="2">
        <f ca="1">IFERROR(__xludf.DUMMYFUNCTION("""COMPUTED_VALUE"""),39)</f>
        <v>39</v>
      </c>
      <c r="J34" s="2">
        <f ca="1">IFERROR(__xludf.DUMMYFUNCTION("""COMPUTED_VALUE"""),0)</f>
        <v>0</v>
      </c>
      <c r="K34" s="5">
        <f ca="1">IFERROR(__xludf.DUMMYFUNCTION("""COMPUTED_VALUE"""),1)</f>
        <v>1</v>
      </c>
      <c r="L34" s="2">
        <f ca="1">IFERROR(__xludf.DUMMYFUNCTION("""COMPUTED_VALUE"""),0)</f>
        <v>0</v>
      </c>
      <c r="M34" s="2" t="str">
        <f ca="1">IFERROR(__xludf.DUMMYFUNCTION("""COMPUTED_VALUE"""),"0/0")</f>
        <v>0/0</v>
      </c>
    </row>
    <row r="35" spans="1:13" x14ac:dyDescent="0.2">
      <c r="A35" s="2" t="str">
        <f ca="1">IFERROR(__xludf.DUMMYFUNCTION("""COMPUTED_VALUE"""),"D.Parker")</f>
        <v>D.Parker</v>
      </c>
      <c r="B35" s="2" t="str">
        <f ca="1">IFERROR(__xludf.DUMMYFUNCTION("""COMPUTED_VALUE"""),"MIA")</f>
        <v>MIA</v>
      </c>
      <c r="C35" s="2">
        <f ca="1">IFERROR(__xludf.DUMMYFUNCTION("""COMPUTED_VALUE"""),6)</f>
        <v>6</v>
      </c>
      <c r="D35" s="2">
        <f ca="1">IFERROR(__xludf.DUMMYFUNCTION("""COMPUTED_VALUE"""),34)</f>
        <v>34</v>
      </c>
      <c r="E35" s="3">
        <f ca="1">IFERROR(__xludf.DUMMYFUNCTION("""COMPUTED_VALUE"""),-0.004)</f>
        <v>-4.0000000000000001E-3</v>
      </c>
      <c r="F35" s="2">
        <f ca="1">IFERROR(__xludf.DUMMYFUNCTION("""COMPUTED_VALUE"""),34)</f>
        <v>34</v>
      </c>
      <c r="G35" s="2">
        <f ca="1">IFERROR(__xludf.DUMMYFUNCTION("""COMPUTED_VALUE"""),7)</f>
        <v>7</v>
      </c>
      <c r="H35" s="2">
        <f ca="1">IFERROR(__xludf.DUMMYFUNCTION("""COMPUTED_VALUE"""),75)</f>
        <v>75</v>
      </c>
      <c r="I35" s="2">
        <f ca="1">IFERROR(__xludf.DUMMYFUNCTION("""COMPUTED_VALUE"""),51)</f>
        <v>51</v>
      </c>
      <c r="J35" s="2">
        <f ca="1">IFERROR(__xludf.DUMMYFUNCTION("""COMPUTED_VALUE"""),0)</f>
        <v>0</v>
      </c>
      <c r="K35" s="5">
        <f ca="1">IFERROR(__xludf.DUMMYFUNCTION("""COMPUTED_VALUE"""),0.43)</f>
        <v>0.43</v>
      </c>
      <c r="L35" s="2">
        <f ca="1">IFERROR(__xludf.DUMMYFUNCTION("""COMPUTED_VALUE"""),0)</f>
        <v>0</v>
      </c>
      <c r="M35" s="2" t="str">
        <f ca="1">IFERROR(__xludf.DUMMYFUNCTION("""COMPUTED_VALUE"""),"0/0")</f>
        <v>0/0</v>
      </c>
    </row>
    <row r="36" spans="1:13" x14ac:dyDescent="0.2">
      <c r="A36" s="2" t="str">
        <f ca="1">IFERROR(__xludf.DUMMYFUNCTION("""COMPUTED_VALUE"""),"M.Sanu")</f>
        <v>M.Sanu</v>
      </c>
      <c r="B36" s="2" t="str">
        <f ca="1">IFERROR(__xludf.DUMMYFUNCTION("""COMPUTED_VALUE"""),"ATL")</f>
        <v>ATL</v>
      </c>
      <c r="C36" s="2">
        <f ca="1">IFERROR(__xludf.DUMMYFUNCTION("""COMPUTED_VALUE"""),5)</f>
        <v>5</v>
      </c>
      <c r="D36" s="2">
        <f ca="1">IFERROR(__xludf.DUMMYFUNCTION("""COMPUTED_VALUE"""),35)</f>
        <v>35</v>
      </c>
      <c r="E36" s="3">
        <f ca="1">IFERROR(__xludf.DUMMYFUNCTION("""COMPUTED_VALUE"""),0.004)</f>
        <v>4.0000000000000001E-3</v>
      </c>
      <c r="F36" s="2">
        <f ca="1">IFERROR(__xludf.DUMMYFUNCTION("""COMPUTED_VALUE"""),33)</f>
        <v>33</v>
      </c>
      <c r="G36" s="2">
        <f ca="1">IFERROR(__xludf.DUMMYFUNCTION("""COMPUTED_VALUE"""),6)</f>
        <v>6</v>
      </c>
      <c r="H36" s="2">
        <f ca="1">IFERROR(__xludf.DUMMYFUNCTION("""COMPUTED_VALUE"""),57)</f>
        <v>57</v>
      </c>
      <c r="I36" s="2">
        <f ca="1">IFERROR(__xludf.DUMMYFUNCTION("""COMPUTED_VALUE"""),41)</f>
        <v>41</v>
      </c>
      <c r="J36" s="2">
        <f ca="1">IFERROR(__xludf.DUMMYFUNCTION("""COMPUTED_VALUE"""),0)</f>
        <v>0</v>
      </c>
      <c r="K36" s="5">
        <f ca="1">IFERROR(__xludf.DUMMYFUNCTION("""COMPUTED_VALUE"""),0.83)</f>
        <v>0.83</v>
      </c>
      <c r="L36" s="2">
        <f ca="1">IFERROR(__xludf.DUMMYFUNCTION("""COMPUTED_VALUE"""),0)</f>
        <v>0</v>
      </c>
      <c r="M36" s="2" t="str">
        <f ca="1">IFERROR(__xludf.DUMMYFUNCTION("""COMPUTED_VALUE"""),"0/0")</f>
        <v>0/0</v>
      </c>
    </row>
    <row r="37" spans="1:13" x14ac:dyDescent="0.2">
      <c r="A37" s="2" t="str">
        <f ca="1">IFERROR(__xludf.DUMMYFUNCTION("""COMPUTED_VALUE"""),"D.Willis")</f>
        <v>D.Willis</v>
      </c>
      <c r="B37" s="2" t="str">
        <f ca="1">IFERROR(__xludf.DUMMYFUNCTION("""COMPUTED_VALUE"""),"CIN")</f>
        <v>CIN</v>
      </c>
      <c r="C37" s="2">
        <f ca="1">IFERROR(__xludf.DUMMYFUNCTION("""COMPUTED_VALUE"""),5)</f>
        <v>5</v>
      </c>
      <c r="D37" s="2">
        <f ca="1">IFERROR(__xludf.DUMMYFUNCTION("""COMPUTED_VALUE"""),36)</f>
        <v>36</v>
      </c>
      <c r="E37" s="3">
        <f ca="1">IFERROR(__xludf.DUMMYFUNCTION("""COMPUTED_VALUE"""),-0.035)</f>
        <v>-3.5000000000000003E-2</v>
      </c>
      <c r="F37" s="2">
        <f ca="1">IFERROR(__xludf.DUMMYFUNCTION("""COMPUTED_VALUE"""),35)</f>
        <v>35</v>
      </c>
      <c r="G37" s="2">
        <f ca="1">IFERROR(__xludf.DUMMYFUNCTION("""COMPUTED_VALUE"""),5)</f>
        <v>5</v>
      </c>
      <c r="H37" s="2">
        <f ca="1">IFERROR(__xludf.DUMMYFUNCTION("""COMPUTED_VALUE"""),30)</f>
        <v>30</v>
      </c>
      <c r="I37" s="2">
        <f ca="1">IFERROR(__xludf.DUMMYFUNCTION("""COMPUTED_VALUE"""),48)</f>
        <v>48</v>
      </c>
      <c r="J37" s="2">
        <f ca="1">IFERROR(__xludf.DUMMYFUNCTION("""COMPUTED_VALUE"""),0)</f>
        <v>0</v>
      </c>
      <c r="K37" s="5">
        <f ca="1">IFERROR(__xludf.DUMMYFUNCTION("""COMPUTED_VALUE"""),0.6)</f>
        <v>0.6</v>
      </c>
      <c r="L37" s="2">
        <f ca="1">IFERROR(__xludf.DUMMYFUNCTION("""COMPUTED_VALUE"""),0)</f>
        <v>0</v>
      </c>
      <c r="M37" s="4">
        <f ca="1">IFERROR(__xludf.DUMMYFUNCTION("""COMPUTED_VALUE"""),43480)</f>
        <v>43480</v>
      </c>
    </row>
    <row r="38" spans="1:13" x14ac:dyDescent="0.2">
      <c r="A38" s="2" t="str">
        <f ca="1">IFERROR(__xludf.DUMMYFUNCTION("""COMPUTED_VALUE"""),"D.Amendola")</f>
        <v>D.Amendola</v>
      </c>
      <c r="B38" s="2" t="str">
        <f ca="1">IFERROR(__xludf.DUMMYFUNCTION("""COMPUTED_VALUE"""),"DET")</f>
        <v>DET</v>
      </c>
      <c r="C38" s="2">
        <f ca="1">IFERROR(__xludf.DUMMYFUNCTION("""COMPUTED_VALUE"""),3)</f>
        <v>3</v>
      </c>
      <c r="D38" s="2">
        <f ca="1">IFERROR(__xludf.DUMMYFUNCTION("""COMPUTED_VALUE"""),37)</f>
        <v>37</v>
      </c>
      <c r="E38" s="3">
        <f ca="1">IFERROR(__xludf.DUMMYFUNCTION("""COMPUTED_VALUE"""),-0.095)</f>
        <v>-9.5000000000000001E-2</v>
      </c>
      <c r="F38" s="2">
        <f ca="1">IFERROR(__xludf.DUMMYFUNCTION("""COMPUTED_VALUE"""),39)</f>
        <v>39</v>
      </c>
      <c r="G38" s="2">
        <f ca="1">IFERROR(__xludf.DUMMYFUNCTION("""COMPUTED_VALUE"""),13)</f>
        <v>13</v>
      </c>
      <c r="H38" s="2">
        <f ca="1">IFERROR(__xludf.DUMMYFUNCTION("""COMPUTED_VALUE"""),104)</f>
        <v>104</v>
      </c>
      <c r="I38" s="2">
        <f ca="1">IFERROR(__xludf.DUMMYFUNCTION("""COMPUTED_VALUE"""),87)</f>
        <v>87</v>
      </c>
      <c r="J38" s="2">
        <f ca="1">IFERROR(__xludf.DUMMYFUNCTION("""COMPUTED_VALUE"""),1)</f>
        <v>1</v>
      </c>
      <c r="K38" s="5">
        <f ca="1">IFERROR(__xludf.DUMMYFUNCTION("""COMPUTED_VALUE"""),0.54)</f>
        <v>0.54</v>
      </c>
      <c r="L38" s="2">
        <f ca="1">IFERROR(__xludf.DUMMYFUNCTION("""COMPUTED_VALUE"""),0)</f>
        <v>0</v>
      </c>
      <c r="M38" s="2" t="str">
        <f ca="1">IFERROR(__xludf.DUMMYFUNCTION("""COMPUTED_VALUE"""),"0/0")</f>
        <v>0/0</v>
      </c>
    </row>
    <row r="39" spans="1:13" x14ac:dyDescent="0.2">
      <c r="A39" s="2" t="str">
        <f ca="1">IFERROR(__xludf.DUMMYFUNCTION("""COMPUTED_VALUE"""),"T.Quinn")</f>
        <v>T.Quinn</v>
      </c>
      <c r="B39" s="2" t="str">
        <f ca="1">IFERROR(__xludf.DUMMYFUNCTION("""COMPUTED_VALUE"""),"WAS")</f>
        <v>WAS</v>
      </c>
      <c r="C39" s="2">
        <f ca="1">IFERROR(__xludf.DUMMYFUNCTION("""COMPUTED_VALUE"""),3)</f>
        <v>3</v>
      </c>
      <c r="D39" s="2">
        <f ca="1">IFERROR(__xludf.DUMMYFUNCTION("""COMPUTED_VALUE"""),38)</f>
        <v>38</v>
      </c>
      <c r="E39" s="3">
        <f ca="1">IFERROR(__xludf.DUMMYFUNCTION("""COMPUTED_VALUE"""),-0.062)</f>
        <v>-6.2E-2</v>
      </c>
      <c r="F39" s="2">
        <f ca="1">IFERROR(__xludf.DUMMYFUNCTION("""COMPUTED_VALUE"""),38)</f>
        <v>38</v>
      </c>
      <c r="G39" s="2">
        <f ca="1">IFERROR(__xludf.DUMMYFUNCTION("""COMPUTED_VALUE"""),6)</f>
        <v>6</v>
      </c>
      <c r="H39" s="2">
        <f ca="1">IFERROR(__xludf.DUMMYFUNCTION("""COMPUTED_VALUE"""),33)</f>
        <v>33</v>
      </c>
      <c r="I39" s="2">
        <f ca="1">IFERROR(__xludf.DUMMYFUNCTION("""COMPUTED_VALUE"""),41)</f>
        <v>41</v>
      </c>
      <c r="J39" s="2">
        <f ca="1">IFERROR(__xludf.DUMMYFUNCTION("""COMPUTED_VALUE"""),1)</f>
        <v>1</v>
      </c>
      <c r="K39" s="5">
        <f ca="1">IFERROR(__xludf.DUMMYFUNCTION("""COMPUTED_VALUE"""),0.67)</f>
        <v>0.67</v>
      </c>
      <c r="L39" s="2">
        <f ca="1">IFERROR(__xludf.DUMMYFUNCTION("""COMPUTED_VALUE"""),0)</f>
        <v>0</v>
      </c>
      <c r="M39" s="2" t="str">
        <f ca="1">IFERROR(__xludf.DUMMYFUNCTION("""COMPUTED_VALUE"""),"0/0")</f>
        <v>0/0</v>
      </c>
    </row>
    <row r="40" spans="1:13" x14ac:dyDescent="0.2">
      <c r="A40" s="2" t="str">
        <f ca="1">IFERROR(__xludf.DUMMYFUNCTION("""COMPUTED_VALUE"""),"A.Erickson")</f>
        <v>A.Erickson</v>
      </c>
      <c r="B40" s="2" t="str">
        <f ca="1">IFERROR(__xludf.DUMMYFUNCTION("""COMPUTED_VALUE"""),"CIN")</f>
        <v>CIN</v>
      </c>
      <c r="C40" s="2">
        <f ca="1">IFERROR(__xludf.DUMMYFUNCTION("""COMPUTED_VALUE"""),2)</f>
        <v>2</v>
      </c>
      <c r="D40" s="2">
        <f ca="1">IFERROR(__xludf.DUMMYFUNCTION("""COMPUTED_VALUE"""),39)</f>
        <v>39</v>
      </c>
      <c r="E40" s="3">
        <f ca="1">IFERROR(__xludf.DUMMYFUNCTION("""COMPUTED_VALUE"""),-0.047)</f>
        <v>-4.7E-2</v>
      </c>
      <c r="F40" s="2">
        <f ca="1">IFERROR(__xludf.DUMMYFUNCTION("""COMPUTED_VALUE"""),36)</f>
        <v>36</v>
      </c>
      <c r="G40" s="2">
        <f ca="1">IFERROR(__xludf.DUMMYFUNCTION("""COMPUTED_VALUE"""),4)</f>
        <v>4</v>
      </c>
      <c r="H40" s="2">
        <f ca="1">IFERROR(__xludf.DUMMYFUNCTION("""COMPUTED_VALUE"""),28)</f>
        <v>28</v>
      </c>
      <c r="I40" s="2">
        <f ca="1">IFERROR(__xludf.DUMMYFUNCTION("""COMPUTED_VALUE"""),29)</f>
        <v>29</v>
      </c>
      <c r="J40" s="2">
        <f ca="1">IFERROR(__xludf.DUMMYFUNCTION("""COMPUTED_VALUE"""),0)</f>
        <v>0</v>
      </c>
      <c r="K40" s="5">
        <f ca="1">IFERROR(__xludf.DUMMYFUNCTION("""COMPUTED_VALUE"""),1)</f>
        <v>1</v>
      </c>
      <c r="L40" s="2">
        <f ca="1">IFERROR(__xludf.DUMMYFUNCTION("""COMPUTED_VALUE"""),0)</f>
        <v>0</v>
      </c>
      <c r="M40" s="2" t="str">
        <f ca="1">IFERROR(__xludf.DUMMYFUNCTION("""COMPUTED_VALUE"""),"0/0")</f>
        <v>0/0</v>
      </c>
    </row>
    <row r="41" spans="1:13" x14ac:dyDescent="0.2">
      <c r="A41" s="2" t="str">
        <f ca="1">IFERROR(__xludf.DUMMYFUNCTION("""COMPUTED_VALUE"""),"J.Hardy")</f>
        <v>J.Hardy</v>
      </c>
      <c r="B41" s="2" t="str">
        <f ca="1">IFERROR(__xludf.DUMMYFUNCTION("""COMPUTED_VALUE"""),"ATL")</f>
        <v>ATL</v>
      </c>
      <c r="C41" s="2">
        <f ca="1">IFERROR(__xludf.DUMMYFUNCTION("""COMPUTED_VALUE"""),1)</f>
        <v>1</v>
      </c>
      <c r="D41" s="2">
        <f ca="1">IFERROR(__xludf.DUMMYFUNCTION("""COMPUTED_VALUE"""),40)</f>
        <v>40</v>
      </c>
      <c r="E41" s="3">
        <f ca="1">IFERROR(__xludf.DUMMYFUNCTION("""COMPUTED_VALUE"""),-0.099)</f>
        <v>-9.9000000000000005E-2</v>
      </c>
      <c r="F41" s="2">
        <f ca="1">IFERROR(__xludf.DUMMYFUNCTION("""COMPUTED_VALUE"""),40)</f>
        <v>40</v>
      </c>
      <c r="G41" s="2">
        <f ca="1">IFERROR(__xludf.DUMMYFUNCTION("""COMPUTED_VALUE"""),5)</f>
        <v>5</v>
      </c>
      <c r="H41" s="2">
        <f ca="1">IFERROR(__xludf.DUMMYFUNCTION("""COMPUTED_VALUE"""),41)</f>
        <v>41</v>
      </c>
      <c r="I41" s="2">
        <f ca="1">IFERROR(__xludf.DUMMYFUNCTION("""COMPUTED_VALUE"""),32)</f>
        <v>32</v>
      </c>
      <c r="J41" s="2">
        <f ca="1">IFERROR(__xludf.DUMMYFUNCTION("""COMPUTED_VALUE"""),0)</f>
        <v>0</v>
      </c>
      <c r="K41" s="5">
        <f ca="1">IFERROR(__xludf.DUMMYFUNCTION("""COMPUTED_VALUE"""),0.8)</f>
        <v>0.8</v>
      </c>
      <c r="L41" s="2">
        <f ca="1">IFERROR(__xludf.DUMMYFUNCTION("""COMPUTED_VALUE"""),0)</f>
        <v>0</v>
      </c>
      <c r="M41" s="2" t="str">
        <f ca="1">IFERROR(__xludf.DUMMYFUNCTION("""COMPUTED_VALUE"""),"0/0")</f>
        <v>0/0</v>
      </c>
    </row>
    <row r="42" spans="1:13" x14ac:dyDescent="0.2">
      <c r="A42" s="2" t="str">
        <f ca="1">IFERROR(__xludf.DUMMYFUNCTION("""COMPUTED_VALUE"""),"J.Edelman")</f>
        <v>J.Edelman</v>
      </c>
      <c r="B42" s="2" t="str">
        <f ca="1">IFERROR(__xludf.DUMMYFUNCTION("""COMPUTED_VALUE"""),"NE")</f>
        <v>NE</v>
      </c>
      <c r="C42" s="2">
        <f ca="1">IFERROR(__xludf.DUMMYFUNCTION("""COMPUTED_VALUE"""),1)</f>
        <v>1</v>
      </c>
      <c r="D42" s="2">
        <f ca="1">IFERROR(__xludf.DUMMYFUNCTION("""COMPUTED_VALUE"""),41)</f>
        <v>41</v>
      </c>
      <c r="E42" s="3">
        <f ca="1">IFERROR(__xludf.DUMMYFUNCTION("""COMPUTED_VALUE"""),-0.116)</f>
        <v>-0.11600000000000001</v>
      </c>
      <c r="F42" s="2">
        <f ca="1">IFERROR(__xludf.DUMMYFUNCTION("""COMPUTED_VALUE"""),42)</f>
        <v>42</v>
      </c>
      <c r="G42" s="2">
        <f ca="1">IFERROR(__xludf.DUMMYFUNCTION("""COMPUTED_VALUE"""),11)</f>
        <v>11</v>
      </c>
      <c r="H42" s="2">
        <f ca="1">IFERROR(__xludf.DUMMYFUNCTION("""COMPUTED_VALUE"""),83)</f>
        <v>83</v>
      </c>
      <c r="I42" s="2">
        <f ca="1">IFERROR(__xludf.DUMMYFUNCTION("""COMPUTED_VALUE"""),70)</f>
        <v>70</v>
      </c>
      <c r="J42" s="2">
        <f ca="1">IFERROR(__xludf.DUMMYFUNCTION("""COMPUTED_VALUE"""),0)</f>
        <v>0</v>
      </c>
      <c r="K42" s="5">
        <f ca="1">IFERROR(__xludf.DUMMYFUNCTION("""COMPUTED_VALUE"""),0.55)</f>
        <v>0.55000000000000004</v>
      </c>
      <c r="L42" s="2">
        <f ca="1">IFERROR(__xludf.DUMMYFUNCTION("""COMPUTED_VALUE"""),0)</f>
        <v>0</v>
      </c>
      <c r="M42" s="4">
        <f ca="1">IFERROR(__xludf.DUMMYFUNCTION("""COMPUTED_VALUE"""),43474)</f>
        <v>43474</v>
      </c>
    </row>
    <row r="43" spans="1:13" x14ac:dyDescent="0.2">
      <c r="A43" s="2" t="str">
        <f ca="1">IFERROR(__xludf.DUMMYFUNCTION("""COMPUTED_VALUE"""),"D.Westbrook")</f>
        <v>D.Westbrook</v>
      </c>
      <c r="B43" s="2" t="str">
        <f ca="1">IFERROR(__xludf.DUMMYFUNCTION("""COMPUTED_VALUE"""),"JAX")</f>
        <v>JAX</v>
      </c>
      <c r="C43" s="2">
        <f ca="1">IFERROR(__xludf.DUMMYFUNCTION("""COMPUTED_VALUE"""),1)</f>
        <v>1</v>
      </c>
      <c r="D43" s="2">
        <f ca="1">IFERROR(__xludf.DUMMYFUNCTION("""COMPUTED_VALUE"""),42)</f>
        <v>42</v>
      </c>
      <c r="E43" s="3">
        <f ca="1">IFERROR(__xludf.DUMMYFUNCTION("""COMPUTED_VALUE"""),-0.116)</f>
        <v>-0.11600000000000001</v>
      </c>
      <c r="F43" s="2">
        <f ca="1">IFERROR(__xludf.DUMMYFUNCTION("""COMPUTED_VALUE"""),41)</f>
        <v>41</v>
      </c>
      <c r="G43" s="2">
        <f ca="1">IFERROR(__xludf.DUMMYFUNCTION("""COMPUTED_VALUE"""),6)</f>
        <v>6</v>
      </c>
      <c r="H43" s="2">
        <f ca="1">IFERROR(__xludf.DUMMYFUNCTION("""COMPUTED_VALUE"""),30)</f>
        <v>30</v>
      </c>
      <c r="I43" s="2">
        <f ca="1">IFERROR(__xludf.DUMMYFUNCTION("""COMPUTED_VALUE"""),38)</f>
        <v>38</v>
      </c>
      <c r="J43" s="2">
        <f ca="1">IFERROR(__xludf.DUMMYFUNCTION("""COMPUTED_VALUE"""),1)</f>
        <v>1</v>
      </c>
      <c r="K43" s="5">
        <f ca="1">IFERROR(__xludf.DUMMYFUNCTION("""COMPUTED_VALUE"""),0.83)</f>
        <v>0.83</v>
      </c>
      <c r="L43" s="2">
        <f ca="1">IFERROR(__xludf.DUMMYFUNCTION("""COMPUTED_VALUE"""),0)</f>
        <v>0</v>
      </c>
      <c r="M43" s="2" t="str">
        <f ca="1">IFERROR(__xludf.DUMMYFUNCTION("""COMPUTED_VALUE"""),"0/0")</f>
        <v>0/0</v>
      </c>
    </row>
    <row r="44" spans="1:13" x14ac:dyDescent="0.2">
      <c r="A44" s="2" t="str">
        <f ca="1">IFERROR(__xludf.DUMMYFUNCTION("""COMPUTED_VALUE"""),"O.Beckham")</f>
        <v>O.Beckham</v>
      </c>
      <c r="B44" s="2" t="str">
        <f ca="1">IFERROR(__xludf.DUMMYFUNCTION("""COMPUTED_VALUE"""),"CLE")</f>
        <v>CLE</v>
      </c>
      <c r="C44" s="2">
        <f ca="1">IFERROR(__xludf.DUMMYFUNCTION("""COMPUTED_VALUE"""),0)</f>
        <v>0</v>
      </c>
      <c r="D44" s="2">
        <f ca="1">IFERROR(__xludf.DUMMYFUNCTION("""COMPUTED_VALUE"""),43)</f>
        <v>43</v>
      </c>
      <c r="E44" s="3">
        <f ca="1">IFERROR(__xludf.DUMMYFUNCTION("""COMPUTED_VALUE"""),-0.127)</f>
        <v>-0.127</v>
      </c>
      <c r="F44" s="2">
        <f ca="1">IFERROR(__xludf.DUMMYFUNCTION("""COMPUTED_VALUE"""),43)</f>
        <v>43</v>
      </c>
      <c r="G44" s="2">
        <f ca="1">IFERROR(__xludf.DUMMYFUNCTION("""COMPUTED_VALUE"""),11)</f>
        <v>11</v>
      </c>
      <c r="H44" s="2">
        <f ca="1">IFERROR(__xludf.DUMMYFUNCTION("""COMPUTED_VALUE"""),71)</f>
        <v>71</v>
      </c>
      <c r="I44" s="2">
        <f ca="1">IFERROR(__xludf.DUMMYFUNCTION("""COMPUTED_VALUE"""),62)</f>
        <v>62</v>
      </c>
      <c r="J44" s="2">
        <f ca="1">IFERROR(__xludf.DUMMYFUNCTION("""COMPUTED_VALUE"""),0)</f>
        <v>0</v>
      </c>
      <c r="K44" s="5">
        <f ca="1">IFERROR(__xludf.DUMMYFUNCTION("""COMPUTED_VALUE"""),0.64)</f>
        <v>0.64</v>
      </c>
      <c r="L44" s="2">
        <f ca="1">IFERROR(__xludf.DUMMYFUNCTION("""COMPUTED_VALUE"""),0)</f>
        <v>0</v>
      </c>
      <c r="M44" s="4">
        <f ca="1">IFERROR(__xludf.DUMMYFUNCTION("""COMPUTED_VALUE"""),43481)</f>
        <v>43481</v>
      </c>
    </row>
    <row r="45" spans="1:13" x14ac:dyDescent="0.2">
      <c r="A45" s="2" t="str">
        <f ca="1">IFERROR(__xludf.DUMMYFUNCTION("""COMPUTED_VALUE"""),"L.Fitzgerald")</f>
        <v>L.Fitzgerald</v>
      </c>
      <c r="B45" s="2" t="str">
        <f ca="1">IFERROR(__xludf.DUMMYFUNCTION("""COMPUTED_VALUE"""),"ARI")</f>
        <v>ARI</v>
      </c>
      <c r="C45" s="2">
        <f ca="1">IFERROR(__xludf.DUMMYFUNCTION("""COMPUTED_VALUE"""),-2)</f>
        <v>-2</v>
      </c>
      <c r="D45" s="2">
        <f ca="1">IFERROR(__xludf.DUMMYFUNCTION("""COMPUTED_VALUE"""),44)</f>
        <v>44</v>
      </c>
      <c r="E45" s="3">
        <f ca="1">IFERROR(__xludf.DUMMYFUNCTION("""COMPUTED_VALUE"""),-0.146)</f>
        <v>-0.14599999999999999</v>
      </c>
      <c r="F45" s="2">
        <f ca="1">IFERROR(__xludf.DUMMYFUNCTION("""COMPUTED_VALUE"""),44)</f>
        <v>44</v>
      </c>
      <c r="G45" s="2">
        <f ca="1">IFERROR(__xludf.DUMMYFUNCTION("""COMPUTED_VALUE"""),13)</f>
        <v>13</v>
      </c>
      <c r="H45" s="2">
        <f ca="1">IFERROR(__xludf.DUMMYFUNCTION("""COMPUTED_VALUE"""),113)</f>
        <v>113</v>
      </c>
      <c r="I45" s="2">
        <f ca="1">IFERROR(__xludf.DUMMYFUNCTION("""COMPUTED_VALUE"""),80)</f>
        <v>80</v>
      </c>
      <c r="J45" s="2">
        <f ca="1">IFERROR(__xludf.DUMMYFUNCTION("""COMPUTED_VALUE"""),1)</f>
        <v>1</v>
      </c>
      <c r="K45" s="5">
        <f ca="1">IFERROR(__xludf.DUMMYFUNCTION("""COMPUTED_VALUE"""),0.62)</f>
        <v>0.62</v>
      </c>
      <c r="L45" s="2">
        <f ca="1">IFERROR(__xludf.DUMMYFUNCTION("""COMPUTED_VALUE"""),0)</f>
        <v>0</v>
      </c>
      <c r="M45" s="2" t="str">
        <f ca="1">IFERROR(__xludf.DUMMYFUNCTION("""COMPUTED_VALUE"""),"0/0")</f>
        <v>0/0</v>
      </c>
    </row>
    <row r="46" spans="1:13" x14ac:dyDescent="0.2">
      <c r="A46" s="2" t="str">
        <f ca="1">IFERROR(__xludf.DUMMYFUNCTION("""COMPUTED_VALUE"""),"K.Bourne")</f>
        <v>K.Bourne</v>
      </c>
      <c r="B46" s="2" t="str">
        <f ca="1">IFERROR(__xludf.DUMMYFUNCTION("""COMPUTED_VALUE"""),"SF")</f>
        <v>SF</v>
      </c>
      <c r="C46" s="2">
        <f ca="1">IFERROR(__xludf.DUMMYFUNCTION("""COMPUTED_VALUE"""),-3)</f>
        <v>-3</v>
      </c>
      <c r="D46" s="2">
        <f ca="1">IFERROR(__xludf.DUMMYFUNCTION("""COMPUTED_VALUE"""),45)</f>
        <v>45</v>
      </c>
      <c r="E46" s="3">
        <f ca="1">IFERROR(__xludf.DUMMYFUNCTION("""COMPUTED_VALUE"""),-0.241)</f>
        <v>-0.24099999999999999</v>
      </c>
      <c r="F46" s="2">
        <f ca="1">IFERROR(__xludf.DUMMYFUNCTION("""COMPUTED_VALUE"""),52)</f>
        <v>52</v>
      </c>
      <c r="G46" s="2">
        <f ca="1">IFERROR(__xludf.DUMMYFUNCTION("""COMPUTED_VALUE"""),3)</f>
        <v>3</v>
      </c>
      <c r="H46" s="2">
        <f ca="1">IFERROR(__xludf.DUMMYFUNCTION("""COMPUTED_VALUE"""),9)</f>
        <v>9</v>
      </c>
      <c r="I46" s="2">
        <f ca="1">IFERROR(__xludf.DUMMYFUNCTION("""COMPUTED_VALUE"""),16)</f>
        <v>16</v>
      </c>
      <c r="J46" s="2">
        <f ca="1">IFERROR(__xludf.DUMMYFUNCTION("""COMPUTED_VALUE"""),0)</f>
        <v>0</v>
      </c>
      <c r="K46" s="5">
        <f ca="1">IFERROR(__xludf.DUMMYFUNCTION("""COMPUTED_VALUE"""),0.33)</f>
        <v>0.33</v>
      </c>
      <c r="L46" s="2">
        <f ca="1">IFERROR(__xludf.DUMMYFUNCTION("""COMPUTED_VALUE"""),0)</f>
        <v>0</v>
      </c>
      <c r="M46" s="4">
        <f ca="1">IFERROR(__xludf.DUMMYFUNCTION("""COMPUTED_VALUE"""),43488)</f>
        <v>43488</v>
      </c>
    </row>
    <row r="47" spans="1:13" x14ac:dyDescent="0.2">
      <c r="A47" s="2" t="str">
        <f ca="1">IFERROR(__xludf.DUMMYFUNCTION("""COMPUTED_VALUE"""),"J.Washington")</f>
        <v>J.Washington</v>
      </c>
      <c r="B47" s="2" t="str">
        <f ca="1">IFERROR(__xludf.DUMMYFUNCTION("""COMPUTED_VALUE"""),"PIT")</f>
        <v>PIT</v>
      </c>
      <c r="C47" s="2">
        <f ca="1">IFERROR(__xludf.DUMMYFUNCTION("""COMPUTED_VALUE"""),-3)</f>
        <v>-3</v>
      </c>
      <c r="D47" s="2">
        <f ca="1">IFERROR(__xludf.DUMMYFUNCTION("""COMPUTED_VALUE"""),46)</f>
        <v>46</v>
      </c>
      <c r="E47" s="3">
        <f ca="1">IFERROR(__xludf.DUMMYFUNCTION("""COMPUTED_VALUE"""),-0.196)</f>
        <v>-0.19600000000000001</v>
      </c>
      <c r="F47" s="2">
        <f ca="1">IFERROR(__xludf.DUMMYFUNCTION("""COMPUTED_VALUE"""),46)</f>
        <v>46</v>
      </c>
      <c r="G47" s="2">
        <f ca="1">IFERROR(__xludf.DUMMYFUNCTION("""COMPUTED_VALUE"""),6)</f>
        <v>6</v>
      </c>
      <c r="H47" s="2">
        <f ca="1">IFERROR(__xludf.DUMMYFUNCTION("""COMPUTED_VALUE"""),51)</f>
        <v>51</v>
      </c>
      <c r="I47" s="2">
        <f ca="1">IFERROR(__xludf.DUMMYFUNCTION("""COMPUTED_VALUE"""),32)</f>
        <v>32</v>
      </c>
      <c r="J47" s="2">
        <f ca="1">IFERROR(__xludf.DUMMYFUNCTION("""COMPUTED_VALUE"""),0)</f>
        <v>0</v>
      </c>
      <c r="K47" s="5">
        <f ca="1">IFERROR(__xludf.DUMMYFUNCTION("""COMPUTED_VALUE"""),0.33)</f>
        <v>0.33</v>
      </c>
      <c r="L47" s="2">
        <f ca="1">IFERROR(__xludf.DUMMYFUNCTION("""COMPUTED_VALUE"""),0)</f>
        <v>0</v>
      </c>
      <c r="M47" s="2" t="str">
        <f ca="1">IFERROR(__xludf.DUMMYFUNCTION("""COMPUTED_VALUE"""),"0/0")</f>
        <v>0/0</v>
      </c>
    </row>
    <row r="48" spans="1:13" x14ac:dyDescent="0.2">
      <c r="A48" s="2" t="str">
        <f ca="1">IFERROR(__xludf.DUMMYFUNCTION("""COMPUTED_VALUE"""),"M.Evans")</f>
        <v>M.Evans</v>
      </c>
      <c r="B48" s="2" t="str">
        <f ca="1">IFERROR(__xludf.DUMMYFUNCTION("""COMPUTED_VALUE"""),"TB")</f>
        <v>TB</v>
      </c>
      <c r="C48" s="2">
        <f ca="1">IFERROR(__xludf.DUMMYFUNCTION("""COMPUTED_VALUE"""),-3)</f>
        <v>-3</v>
      </c>
      <c r="D48" s="2">
        <f ca="1">IFERROR(__xludf.DUMMYFUNCTION("""COMPUTED_VALUE"""),47)</f>
        <v>47</v>
      </c>
      <c r="E48" s="3">
        <f ca="1">IFERROR(__xludf.DUMMYFUNCTION("""COMPUTED_VALUE"""),-0.196)</f>
        <v>-0.19600000000000001</v>
      </c>
      <c r="F48" s="2">
        <f ca="1">IFERROR(__xludf.DUMMYFUNCTION("""COMPUTED_VALUE"""),45)</f>
        <v>45</v>
      </c>
      <c r="G48" s="2">
        <f ca="1">IFERROR(__xludf.DUMMYFUNCTION("""COMPUTED_VALUE"""),5)</f>
        <v>5</v>
      </c>
      <c r="H48" s="2">
        <f ca="1">IFERROR(__xludf.DUMMYFUNCTION("""COMPUTED_VALUE"""),28)</f>
        <v>28</v>
      </c>
      <c r="I48" s="2">
        <f ca="1">IFERROR(__xludf.DUMMYFUNCTION("""COMPUTED_VALUE"""),36)</f>
        <v>36</v>
      </c>
      <c r="J48" s="2">
        <f ca="1">IFERROR(__xludf.DUMMYFUNCTION("""COMPUTED_VALUE"""),0)</f>
        <v>0</v>
      </c>
      <c r="K48" s="5">
        <f ca="1">IFERROR(__xludf.DUMMYFUNCTION("""COMPUTED_VALUE"""),0.4)</f>
        <v>0.4</v>
      </c>
      <c r="L48" s="2">
        <f ca="1">IFERROR(__xludf.DUMMYFUNCTION("""COMPUTED_VALUE"""),0)</f>
        <v>0</v>
      </c>
      <c r="M48" s="4">
        <f ca="1">IFERROR(__xludf.DUMMYFUNCTION("""COMPUTED_VALUE"""),43481)</f>
        <v>43481</v>
      </c>
    </row>
    <row r="49" spans="1:13" x14ac:dyDescent="0.2">
      <c r="A49" s="2" t="str">
        <f ca="1">IFERROR(__xludf.DUMMYFUNCTION("""COMPUTED_VALUE"""),"D.Funchess")</f>
        <v>D.Funchess</v>
      </c>
      <c r="B49" s="2" t="str">
        <f ca="1">IFERROR(__xludf.DUMMYFUNCTION("""COMPUTED_VALUE"""),"IND")</f>
        <v>IND</v>
      </c>
      <c r="C49" s="2">
        <f ca="1">IFERROR(__xludf.DUMMYFUNCTION("""COMPUTED_VALUE"""),-4)</f>
        <v>-4</v>
      </c>
      <c r="D49" s="2">
        <f ca="1">IFERROR(__xludf.DUMMYFUNCTION("""COMPUTED_VALUE"""),48)</f>
        <v>48</v>
      </c>
      <c r="E49" s="3">
        <f ca="1">IFERROR(__xludf.DUMMYFUNCTION("""COMPUTED_VALUE"""),-0.215)</f>
        <v>-0.215</v>
      </c>
      <c r="F49" s="2">
        <f ca="1">IFERROR(__xludf.DUMMYFUNCTION("""COMPUTED_VALUE"""),49)</f>
        <v>49</v>
      </c>
      <c r="G49" s="2">
        <f ca="1">IFERROR(__xludf.DUMMYFUNCTION("""COMPUTED_VALUE"""),5)</f>
        <v>5</v>
      </c>
      <c r="H49" s="2">
        <f ca="1">IFERROR(__xludf.DUMMYFUNCTION("""COMPUTED_VALUE"""),32)</f>
        <v>32</v>
      </c>
      <c r="I49" s="2">
        <f ca="1">IFERROR(__xludf.DUMMYFUNCTION("""COMPUTED_VALUE"""),27)</f>
        <v>27</v>
      </c>
      <c r="J49" s="2">
        <f ca="1">IFERROR(__xludf.DUMMYFUNCTION("""COMPUTED_VALUE"""),0)</f>
        <v>0</v>
      </c>
      <c r="K49" s="5">
        <f ca="1">IFERROR(__xludf.DUMMYFUNCTION("""COMPUTED_VALUE"""),0.6)</f>
        <v>0.6</v>
      </c>
      <c r="L49" s="2">
        <f ca="1">IFERROR(__xludf.DUMMYFUNCTION("""COMPUTED_VALUE"""),0)</f>
        <v>0</v>
      </c>
      <c r="M49" s="2" t="str">
        <f ca="1">IFERROR(__xludf.DUMMYFUNCTION("""COMPUTED_VALUE"""),"0/0")</f>
        <v>0/0</v>
      </c>
    </row>
    <row r="50" spans="1:13" x14ac:dyDescent="0.2">
      <c r="A50" s="2" t="str">
        <f ca="1">IFERROR(__xludf.DUMMYFUNCTION("""COMPUTED_VALUE"""),"D.Byrd")</f>
        <v>D.Byrd</v>
      </c>
      <c r="B50" s="2" t="str">
        <f ca="1">IFERROR(__xludf.DUMMYFUNCTION("""COMPUTED_VALUE"""),"ARI")</f>
        <v>ARI</v>
      </c>
      <c r="C50" s="2">
        <f ca="1">IFERROR(__xludf.DUMMYFUNCTION("""COMPUTED_VALUE"""),-4)</f>
        <v>-4</v>
      </c>
      <c r="D50" s="2">
        <f ca="1">IFERROR(__xludf.DUMMYFUNCTION("""COMPUTED_VALUE"""),49)</f>
        <v>49</v>
      </c>
      <c r="E50" s="3">
        <f ca="1">IFERROR(__xludf.DUMMYFUNCTION("""COMPUTED_VALUE"""),-0.208)</f>
        <v>-0.20799999999999999</v>
      </c>
      <c r="F50" s="2">
        <f ca="1">IFERROR(__xludf.DUMMYFUNCTION("""COMPUTED_VALUE"""),47)</f>
        <v>47</v>
      </c>
      <c r="G50" s="2">
        <f ca="1">IFERROR(__xludf.DUMMYFUNCTION("""COMPUTED_VALUE"""),7)</f>
        <v>7</v>
      </c>
      <c r="H50" s="2">
        <f ca="1">IFERROR(__xludf.DUMMYFUNCTION("""COMPUTED_VALUE"""),42)</f>
        <v>42</v>
      </c>
      <c r="I50" s="2">
        <f ca="1">IFERROR(__xludf.DUMMYFUNCTION("""COMPUTED_VALUE"""),37)</f>
        <v>37</v>
      </c>
      <c r="J50" s="2">
        <f ca="1">IFERROR(__xludf.DUMMYFUNCTION("""COMPUTED_VALUE"""),0)</f>
        <v>0</v>
      </c>
      <c r="K50" s="5">
        <f ca="1">IFERROR(__xludf.DUMMYFUNCTION("""COMPUTED_VALUE"""),0.57)</f>
        <v>0.56999999999999995</v>
      </c>
      <c r="L50" s="2">
        <f ca="1">IFERROR(__xludf.DUMMYFUNCTION("""COMPUTED_VALUE"""),0)</f>
        <v>0</v>
      </c>
      <c r="M50" s="2" t="str">
        <f ca="1">IFERROR(__xludf.DUMMYFUNCTION("""COMPUTED_VALUE"""),"0/0")</f>
        <v>0/0</v>
      </c>
    </row>
    <row r="51" spans="1:13" x14ac:dyDescent="0.2">
      <c r="A51" s="2" t="str">
        <f ca="1">IFERROR(__xludf.DUMMYFUNCTION("""COMPUTED_VALUE"""),"R.Switzer")</f>
        <v>R.Switzer</v>
      </c>
      <c r="B51" s="2" t="str">
        <f ca="1">IFERROR(__xludf.DUMMYFUNCTION("""COMPUTED_VALUE"""),"PIT")</f>
        <v>PIT</v>
      </c>
      <c r="C51" s="2">
        <f ca="1">IFERROR(__xludf.DUMMYFUNCTION("""COMPUTED_VALUE"""),-4)</f>
        <v>-4</v>
      </c>
      <c r="D51" s="2">
        <f ca="1">IFERROR(__xludf.DUMMYFUNCTION("""COMPUTED_VALUE"""),50)</f>
        <v>50</v>
      </c>
      <c r="E51" s="3">
        <f ca="1">IFERROR(__xludf.DUMMYFUNCTION("""COMPUTED_VALUE"""),-0.209)</f>
        <v>-0.20899999999999999</v>
      </c>
      <c r="F51" s="2">
        <f ca="1">IFERROR(__xludf.DUMMYFUNCTION("""COMPUTED_VALUE"""),48)</f>
        <v>48</v>
      </c>
      <c r="G51" s="2">
        <f ca="1">IFERROR(__xludf.DUMMYFUNCTION("""COMPUTED_VALUE"""),6)</f>
        <v>6</v>
      </c>
      <c r="H51" s="2">
        <f ca="1">IFERROR(__xludf.DUMMYFUNCTION("""COMPUTED_VALUE"""),29)</f>
        <v>29</v>
      </c>
      <c r="I51" s="2">
        <f ca="1">IFERROR(__xludf.DUMMYFUNCTION("""COMPUTED_VALUE"""),37)</f>
        <v>37</v>
      </c>
      <c r="J51" s="2">
        <f ca="1">IFERROR(__xludf.DUMMYFUNCTION("""COMPUTED_VALUE"""),0)</f>
        <v>0</v>
      </c>
      <c r="K51" s="5">
        <f ca="1">IFERROR(__xludf.DUMMYFUNCTION("""COMPUTED_VALUE"""),1)</f>
        <v>1</v>
      </c>
      <c r="L51" s="2">
        <f ca="1">IFERROR(__xludf.DUMMYFUNCTION("""COMPUTED_VALUE"""),0)</f>
        <v>0</v>
      </c>
      <c r="M51" s="2" t="str">
        <f ca="1">IFERROR(__xludf.DUMMYFUNCTION("""COMPUTED_VALUE"""),"0/0")</f>
        <v>0/0</v>
      </c>
    </row>
    <row r="52" spans="1:13" x14ac:dyDescent="0.2">
      <c r="A52" s="2" t="str">
        <f ca="1">IFERROR(__xludf.DUMMYFUNCTION("""COMPUTED_VALUE"""),"C.Samuel")</f>
        <v>C.Samuel</v>
      </c>
      <c r="B52" s="2" t="str">
        <f ca="1">IFERROR(__xludf.DUMMYFUNCTION("""COMPUTED_VALUE"""),"CAR")</f>
        <v>CAR</v>
      </c>
      <c r="C52" s="2">
        <f ca="1">IFERROR(__xludf.DUMMYFUNCTION("""COMPUTED_VALUE"""),-6)</f>
        <v>-6</v>
      </c>
      <c r="D52" s="2">
        <f ca="1">IFERROR(__xludf.DUMMYFUNCTION("""COMPUTED_VALUE"""),51)</f>
        <v>51</v>
      </c>
      <c r="E52" s="3">
        <f ca="1">IFERROR(__xludf.DUMMYFUNCTION("""COMPUTED_VALUE"""),-0.288)</f>
        <v>-0.28799999999999998</v>
      </c>
      <c r="F52" s="2">
        <f ca="1">IFERROR(__xludf.DUMMYFUNCTION("""COMPUTED_VALUE"""),57)</f>
        <v>57</v>
      </c>
      <c r="G52" s="2">
        <f ca="1">IFERROR(__xludf.DUMMYFUNCTION("""COMPUTED_VALUE"""),4)</f>
        <v>4</v>
      </c>
      <c r="H52" s="2">
        <f ca="1">IFERROR(__xludf.DUMMYFUNCTION("""COMPUTED_VALUE"""),32)</f>
        <v>32</v>
      </c>
      <c r="I52" s="2">
        <f ca="1">IFERROR(__xludf.DUMMYFUNCTION("""COMPUTED_VALUE"""),20)</f>
        <v>20</v>
      </c>
      <c r="J52" s="2">
        <f ca="1">IFERROR(__xludf.DUMMYFUNCTION("""COMPUTED_VALUE"""),0)</f>
        <v>0</v>
      </c>
      <c r="K52" s="5">
        <f ca="1">IFERROR(__xludf.DUMMYFUNCTION("""COMPUTED_VALUE"""),0.75)</f>
        <v>0.75</v>
      </c>
      <c r="L52" s="2">
        <f ca="1">IFERROR(__xludf.DUMMYFUNCTION("""COMPUTED_VALUE"""),0)</f>
        <v>0</v>
      </c>
      <c r="M52" s="2" t="str">
        <f ca="1">IFERROR(__xludf.DUMMYFUNCTION("""COMPUTED_VALUE"""),"0/0")</f>
        <v>0/0</v>
      </c>
    </row>
    <row r="53" spans="1:13" x14ac:dyDescent="0.2">
      <c r="A53" s="2" t="str">
        <f ca="1">IFERROR(__xludf.DUMMYFUNCTION("""COMPUTED_VALUE"""),"B.Cooks")</f>
        <v>B.Cooks</v>
      </c>
      <c r="B53" s="2" t="str">
        <f ca="1">IFERROR(__xludf.DUMMYFUNCTION("""COMPUTED_VALUE"""),"LAR")</f>
        <v>LAR</v>
      </c>
      <c r="C53" s="2">
        <f ca="1">IFERROR(__xludf.DUMMYFUNCTION("""COMPUTED_VALUE"""),-7)</f>
        <v>-7</v>
      </c>
      <c r="D53" s="2">
        <f ca="1">IFERROR(__xludf.DUMMYFUNCTION("""COMPUTED_VALUE"""),52)</f>
        <v>52</v>
      </c>
      <c r="E53" s="3">
        <f ca="1">IFERROR(__xludf.DUMMYFUNCTION("""COMPUTED_VALUE"""),-0.261)</f>
        <v>-0.26100000000000001</v>
      </c>
      <c r="F53" s="2">
        <f ca="1">IFERROR(__xludf.DUMMYFUNCTION("""COMPUTED_VALUE"""),53)</f>
        <v>53</v>
      </c>
      <c r="G53" s="2">
        <f ca="1">IFERROR(__xludf.DUMMYFUNCTION("""COMPUTED_VALUE"""),6)</f>
        <v>6</v>
      </c>
      <c r="H53" s="2">
        <f ca="1">IFERROR(__xludf.DUMMYFUNCTION("""COMPUTED_VALUE"""),39)</f>
        <v>39</v>
      </c>
      <c r="I53" s="2">
        <f ca="1">IFERROR(__xludf.DUMMYFUNCTION("""COMPUTED_VALUE"""),33)</f>
        <v>33</v>
      </c>
      <c r="J53" s="2">
        <f ca="1">IFERROR(__xludf.DUMMYFUNCTION("""COMPUTED_VALUE"""),0)</f>
        <v>0</v>
      </c>
      <c r="K53" s="5">
        <f ca="1">IFERROR(__xludf.DUMMYFUNCTION("""COMPUTED_VALUE"""),0.33)</f>
        <v>0.33</v>
      </c>
      <c r="L53" s="2">
        <f ca="1">IFERROR(__xludf.DUMMYFUNCTION("""COMPUTED_VALUE"""),0)</f>
        <v>0</v>
      </c>
      <c r="M53" s="4">
        <f ca="1">IFERROR(__xludf.DUMMYFUNCTION("""COMPUTED_VALUE"""),43481)</f>
        <v>43481</v>
      </c>
    </row>
    <row r="54" spans="1:13" x14ac:dyDescent="0.2">
      <c r="A54" s="2" t="str">
        <f ca="1">IFERROR(__xludf.DUMMYFUNCTION("""COMPUTED_VALUE"""),"M.Valdes-Scantling")</f>
        <v>M.Valdes-Scantling</v>
      </c>
      <c r="B54" s="2" t="str">
        <f ca="1">IFERROR(__xludf.DUMMYFUNCTION("""COMPUTED_VALUE"""),"GB")</f>
        <v>GB</v>
      </c>
      <c r="C54" s="2">
        <f ca="1">IFERROR(__xludf.DUMMYFUNCTION("""COMPUTED_VALUE"""),-7)</f>
        <v>-7</v>
      </c>
      <c r="D54" s="2">
        <f ca="1">IFERROR(__xludf.DUMMYFUNCTION("""COMPUTED_VALUE"""),53)</f>
        <v>53</v>
      </c>
      <c r="E54" s="3">
        <f ca="1">IFERROR(__xludf.DUMMYFUNCTION("""COMPUTED_VALUE"""),-0.267)</f>
        <v>-0.26700000000000002</v>
      </c>
      <c r="F54" s="2">
        <f ca="1">IFERROR(__xludf.DUMMYFUNCTION("""COMPUTED_VALUE"""),54)</f>
        <v>54</v>
      </c>
      <c r="G54" s="2">
        <f ca="1">IFERROR(__xludf.DUMMYFUNCTION("""COMPUTED_VALUE"""),6)</f>
        <v>6</v>
      </c>
      <c r="H54" s="2">
        <f ca="1">IFERROR(__xludf.DUMMYFUNCTION("""COMPUTED_VALUE"""),52)</f>
        <v>52</v>
      </c>
      <c r="I54" s="2">
        <f ca="1">IFERROR(__xludf.DUMMYFUNCTION("""COMPUTED_VALUE"""),32)</f>
        <v>32</v>
      </c>
      <c r="J54" s="2">
        <f ca="1">IFERROR(__xludf.DUMMYFUNCTION("""COMPUTED_VALUE"""),0)</f>
        <v>0</v>
      </c>
      <c r="K54" s="5">
        <f ca="1">IFERROR(__xludf.DUMMYFUNCTION("""COMPUTED_VALUE"""),0.67)</f>
        <v>0.67</v>
      </c>
      <c r="L54" s="2">
        <f ca="1">IFERROR(__xludf.DUMMYFUNCTION("""COMPUTED_VALUE"""),0)</f>
        <v>0</v>
      </c>
      <c r="M54" s="2" t="str">
        <f ca="1">IFERROR(__xludf.DUMMYFUNCTION("""COMPUTED_VALUE"""),"0/0")</f>
        <v>0/0</v>
      </c>
    </row>
    <row r="55" spans="1:13" x14ac:dyDescent="0.2">
      <c r="A55" s="2" t="str">
        <f ca="1">IFERROR(__xludf.DUMMYFUNCTION("""COMPUTED_VALUE"""),"K.Golladay")</f>
        <v>K.Golladay</v>
      </c>
      <c r="B55" s="2" t="str">
        <f ca="1">IFERROR(__xludf.DUMMYFUNCTION("""COMPUTED_VALUE"""),"DET")</f>
        <v>DET</v>
      </c>
      <c r="C55" s="2">
        <f ca="1">IFERROR(__xludf.DUMMYFUNCTION("""COMPUTED_VALUE"""),-7)</f>
        <v>-7</v>
      </c>
      <c r="D55" s="2">
        <f ca="1">IFERROR(__xludf.DUMMYFUNCTION("""COMPUTED_VALUE"""),54)</f>
        <v>54</v>
      </c>
      <c r="E55" s="3">
        <f ca="1">IFERROR(__xludf.DUMMYFUNCTION("""COMPUTED_VALUE"""),-0.241)</f>
        <v>-0.24099999999999999</v>
      </c>
      <c r="F55" s="2">
        <f ca="1">IFERROR(__xludf.DUMMYFUNCTION("""COMPUTED_VALUE"""),51)</f>
        <v>51</v>
      </c>
      <c r="G55" s="2">
        <f ca="1">IFERROR(__xludf.DUMMYFUNCTION("""COMPUTED_VALUE"""),9)</f>
        <v>9</v>
      </c>
      <c r="H55" s="2">
        <f ca="1">IFERROR(__xludf.DUMMYFUNCTION("""COMPUTED_VALUE"""),42)</f>
        <v>42</v>
      </c>
      <c r="I55" s="2">
        <f ca="1">IFERROR(__xludf.DUMMYFUNCTION("""COMPUTED_VALUE"""),42)</f>
        <v>42</v>
      </c>
      <c r="J55" s="2">
        <f ca="1">IFERROR(__xludf.DUMMYFUNCTION("""COMPUTED_VALUE"""),1)</f>
        <v>1</v>
      </c>
      <c r="K55" s="5">
        <f ca="1">IFERROR(__xludf.DUMMYFUNCTION("""COMPUTED_VALUE"""),0.44)</f>
        <v>0.44</v>
      </c>
      <c r="L55" s="2">
        <f ca="1">IFERROR(__xludf.DUMMYFUNCTION("""COMPUTED_VALUE"""),0)</f>
        <v>0</v>
      </c>
      <c r="M55" s="2" t="str">
        <f ca="1">IFERROR(__xludf.DUMMYFUNCTION("""COMPUTED_VALUE"""),"0/0")</f>
        <v>0/0</v>
      </c>
    </row>
    <row r="56" spans="1:13" x14ac:dyDescent="0.2">
      <c r="A56" s="2" t="str">
        <f ca="1">IFERROR(__xludf.DUMMYFUNCTION("""COMPUTED_VALUE"""),"J.Landry")</f>
        <v>J.Landry</v>
      </c>
      <c r="B56" s="2" t="str">
        <f ca="1">IFERROR(__xludf.DUMMYFUNCTION("""COMPUTED_VALUE"""),"CLE")</f>
        <v>CLE</v>
      </c>
      <c r="C56" s="2">
        <f ca="1">IFERROR(__xludf.DUMMYFUNCTION("""COMPUTED_VALUE"""),-8)</f>
        <v>-8</v>
      </c>
      <c r="D56" s="2">
        <f ca="1">IFERROR(__xludf.DUMMYFUNCTION("""COMPUTED_VALUE"""),55)</f>
        <v>55</v>
      </c>
      <c r="E56" s="3">
        <f ca="1">IFERROR(__xludf.DUMMYFUNCTION("""COMPUTED_VALUE"""),-0.272)</f>
        <v>-0.27200000000000002</v>
      </c>
      <c r="F56" s="2">
        <f ca="1">IFERROR(__xludf.DUMMYFUNCTION("""COMPUTED_VALUE"""),55)</f>
        <v>55</v>
      </c>
      <c r="G56" s="2">
        <f ca="1">IFERROR(__xludf.DUMMYFUNCTION("""COMPUTED_VALUE"""),7)</f>
        <v>7</v>
      </c>
      <c r="H56" s="2">
        <f ca="1">IFERROR(__xludf.DUMMYFUNCTION("""COMPUTED_VALUE"""),67)</f>
        <v>67</v>
      </c>
      <c r="I56" s="2">
        <f ca="1">IFERROR(__xludf.DUMMYFUNCTION("""COMPUTED_VALUE"""),32)</f>
        <v>32</v>
      </c>
      <c r="J56" s="2">
        <f ca="1">IFERROR(__xludf.DUMMYFUNCTION("""COMPUTED_VALUE"""),0)</f>
        <v>0</v>
      </c>
      <c r="K56" s="5">
        <f ca="1">IFERROR(__xludf.DUMMYFUNCTION("""COMPUTED_VALUE"""),0.57)</f>
        <v>0.56999999999999995</v>
      </c>
      <c r="L56" s="2">
        <f ca="1">IFERROR(__xludf.DUMMYFUNCTION("""COMPUTED_VALUE"""),0)</f>
        <v>0</v>
      </c>
      <c r="M56" s="2" t="str">
        <f ca="1">IFERROR(__xludf.DUMMYFUNCTION("""COMPUTED_VALUE"""),"0/0")</f>
        <v>0/0</v>
      </c>
    </row>
    <row r="57" spans="1:13" x14ac:dyDescent="0.2">
      <c r="A57" s="2" t="str">
        <f ca="1">IFERROR(__xludf.DUMMYFUNCTION("""COMPUTED_VALUE"""),"M.Goodwin")</f>
        <v>M.Goodwin</v>
      </c>
      <c r="B57" s="2" t="str">
        <f ca="1">IFERROR(__xludf.DUMMYFUNCTION("""COMPUTED_VALUE"""),"SF")</f>
        <v>SF</v>
      </c>
      <c r="C57" s="2">
        <f ca="1">IFERROR(__xludf.DUMMYFUNCTION("""COMPUTED_VALUE"""),-9)</f>
        <v>-9</v>
      </c>
      <c r="D57" s="2">
        <f ca="1">IFERROR(__xludf.DUMMYFUNCTION("""COMPUTED_VALUE"""),56)</f>
        <v>56</v>
      </c>
      <c r="E57" s="3">
        <f ca="1">IFERROR(__xludf.DUMMYFUNCTION("""COMPUTED_VALUE"""),-0.417)</f>
        <v>-0.41699999999999998</v>
      </c>
      <c r="F57" s="2">
        <f ca="1">IFERROR(__xludf.DUMMYFUNCTION("""COMPUTED_VALUE"""),66)</f>
        <v>66</v>
      </c>
      <c r="G57" s="2">
        <f ca="1">IFERROR(__xludf.DUMMYFUNCTION("""COMPUTED_VALUE"""),3)</f>
        <v>3</v>
      </c>
      <c r="H57" s="2">
        <f ca="1">IFERROR(__xludf.DUMMYFUNCTION("""COMPUTED_VALUE"""),7)</f>
        <v>7</v>
      </c>
      <c r="I57" s="2">
        <f ca="1">IFERROR(__xludf.DUMMYFUNCTION("""COMPUTED_VALUE"""),12)</f>
        <v>12</v>
      </c>
      <c r="J57" s="2">
        <f ca="1">IFERROR(__xludf.DUMMYFUNCTION("""COMPUTED_VALUE"""),0)</f>
        <v>0</v>
      </c>
      <c r="K57" s="5">
        <f ca="1">IFERROR(__xludf.DUMMYFUNCTION("""COMPUTED_VALUE"""),0.33)</f>
        <v>0.33</v>
      </c>
      <c r="L57" s="2">
        <f ca="1">IFERROR(__xludf.DUMMYFUNCTION("""COMPUTED_VALUE"""),0)</f>
        <v>0</v>
      </c>
      <c r="M57" s="4">
        <f ca="1">IFERROR(__xludf.DUMMYFUNCTION("""COMPUTED_VALUE"""),43474)</f>
        <v>43474</v>
      </c>
    </row>
    <row r="58" spans="1:13" x14ac:dyDescent="0.2">
      <c r="A58" s="2" t="str">
        <f ca="1">IFERROR(__xludf.DUMMYFUNCTION("""COMPUTED_VALUE"""),"P.Richardson")</f>
        <v>P.Richardson</v>
      </c>
      <c r="B58" s="2" t="str">
        <f ca="1">IFERROR(__xludf.DUMMYFUNCTION("""COMPUTED_VALUE"""),"WAS")</f>
        <v>WAS</v>
      </c>
      <c r="C58" s="2">
        <f ca="1">IFERROR(__xludf.DUMMYFUNCTION("""COMPUTED_VALUE"""),-10)</f>
        <v>-10</v>
      </c>
      <c r="D58" s="2">
        <f ca="1">IFERROR(__xludf.DUMMYFUNCTION("""COMPUTED_VALUE"""),57)</f>
        <v>57</v>
      </c>
      <c r="E58" s="3">
        <f ca="1">IFERROR(__xludf.DUMMYFUNCTION("""COMPUTED_VALUE"""),-0.3)</f>
        <v>-0.3</v>
      </c>
      <c r="F58" s="2">
        <f ca="1">IFERROR(__xludf.DUMMYFUNCTION("""COMPUTED_VALUE"""),59)</f>
        <v>59</v>
      </c>
      <c r="G58" s="2">
        <f ca="1">IFERROR(__xludf.DUMMYFUNCTION("""COMPUTED_VALUE"""),7)</f>
        <v>7</v>
      </c>
      <c r="H58" s="2">
        <f ca="1">IFERROR(__xludf.DUMMYFUNCTION("""COMPUTED_VALUE"""),36)</f>
        <v>36</v>
      </c>
      <c r="I58" s="2">
        <f ca="1">IFERROR(__xludf.DUMMYFUNCTION("""COMPUTED_VALUE"""),31)</f>
        <v>31</v>
      </c>
      <c r="J58" s="2">
        <f ca="1">IFERROR(__xludf.DUMMYFUNCTION("""COMPUTED_VALUE"""),0)</f>
        <v>0</v>
      </c>
      <c r="K58" s="5">
        <f ca="1">IFERROR(__xludf.DUMMYFUNCTION("""COMPUTED_VALUE"""),0.57)</f>
        <v>0.56999999999999995</v>
      </c>
      <c r="L58" s="2">
        <f ca="1">IFERROR(__xludf.DUMMYFUNCTION("""COMPUTED_VALUE"""),0)</f>
        <v>0</v>
      </c>
      <c r="M58" s="2" t="str">
        <f ca="1">IFERROR(__xludf.DUMMYFUNCTION("""COMPUTED_VALUE"""),"0/0")</f>
        <v>0/0</v>
      </c>
    </row>
    <row r="59" spans="1:13" x14ac:dyDescent="0.2">
      <c r="A59" s="2" t="str">
        <f ca="1">IFERROR(__xludf.DUMMYFUNCTION("""COMPUTED_VALUE"""),"R.Grant")</f>
        <v>R.Grant</v>
      </c>
      <c r="B59" s="2" t="str">
        <f ca="1">IFERROR(__xludf.DUMMYFUNCTION("""COMPUTED_VALUE"""),"OAK")</f>
        <v>OAK</v>
      </c>
      <c r="C59" s="2">
        <f ca="1">IFERROR(__xludf.DUMMYFUNCTION("""COMPUTED_VALUE"""),-11)</f>
        <v>-11</v>
      </c>
      <c r="D59" s="2">
        <f ca="1">IFERROR(__xludf.DUMMYFUNCTION("""COMPUTED_VALUE"""),58)</f>
        <v>58</v>
      </c>
      <c r="E59" s="3">
        <f ca="1">IFERROR(__xludf.DUMMYFUNCTION("""COMPUTED_VALUE"""),-0.443)</f>
        <v>-0.443</v>
      </c>
      <c r="F59" s="2">
        <f ca="1">IFERROR(__xludf.DUMMYFUNCTION("""COMPUTED_VALUE"""),67)</f>
        <v>67</v>
      </c>
      <c r="G59" s="2">
        <f ca="1">IFERROR(__xludf.DUMMYFUNCTION("""COMPUTED_VALUE"""),4)</f>
        <v>4</v>
      </c>
      <c r="H59" s="2">
        <f ca="1">IFERROR(__xludf.DUMMYFUNCTION("""COMPUTED_VALUE"""),16)</f>
        <v>16</v>
      </c>
      <c r="I59" s="2">
        <f ca="1">IFERROR(__xludf.DUMMYFUNCTION("""COMPUTED_VALUE"""),12)</f>
        <v>12</v>
      </c>
      <c r="J59" s="2">
        <f ca="1">IFERROR(__xludf.DUMMYFUNCTION("""COMPUTED_VALUE"""),0)</f>
        <v>0</v>
      </c>
      <c r="K59" s="5">
        <f ca="1">IFERROR(__xludf.DUMMYFUNCTION("""COMPUTED_VALUE"""),0.75)</f>
        <v>0.75</v>
      </c>
      <c r="L59" s="2">
        <f ca="1">IFERROR(__xludf.DUMMYFUNCTION("""COMPUTED_VALUE"""),0)</f>
        <v>0</v>
      </c>
      <c r="M59" s="2" t="str">
        <f ca="1">IFERROR(__xludf.DUMMYFUNCTION("""COMPUTED_VALUE"""),"0/0")</f>
        <v>0/0</v>
      </c>
    </row>
    <row r="60" spans="1:13" x14ac:dyDescent="0.2">
      <c r="A60" s="2" t="str">
        <f ca="1">IFERROR(__xludf.DUMMYFUNCTION("""COMPUTED_VALUE"""),"C.Latimer")</f>
        <v>C.Latimer</v>
      </c>
      <c r="B60" s="2" t="str">
        <f ca="1">IFERROR(__xludf.DUMMYFUNCTION("""COMPUTED_VALUE"""),"NYG")</f>
        <v>NYG</v>
      </c>
      <c r="C60" s="2">
        <f ca="1">IFERROR(__xludf.DUMMYFUNCTION("""COMPUTED_VALUE"""),-11)</f>
        <v>-11</v>
      </c>
      <c r="D60" s="2">
        <f ca="1">IFERROR(__xludf.DUMMYFUNCTION("""COMPUTED_VALUE"""),59)</f>
        <v>59</v>
      </c>
      <c r="E60" s="3">
        <f ca="1">IFERROR(__xludf.DUMMYFUNCTION("""COMPUTED_VALUE"""),-0.294)</f>
        <v>-0.29399999999999998</v>
      </c>
      <c r="F60" s="2">
        <f ca="1">IFERROR(__xludf.DUMMYFUNCTION("""COMPUTED_VALUE"""),58)</f>
        <v>58</v>
      </c>
      <c r="G60" s="2">
        <f ca="1">IFERROR(__xludf.DUMMYFUNCTION("""COMPUTED_VALUE"""),8)</f>
        <v>8</v>
      </c>
      <c r="H60" s="2">
        <f ca="1">IFERROR(__xludf.DUMMYFUNCTION("""COMPUTED_VALUE"""),74)</f>
        <v>74</v>
      </c>
      <c r="I60" s="2">
        <f ca="1">IFERROR(__xludf.DUMMYFUNCTION("""COMPUTED_VALUE"""),38)</f>
        <v>38</v>
      </c>
      <c r="J60" s="2">
        <f ca="1">IFERROR(__xludf.DUMMYFUNCTION("""COMPUTED_VALUE"""),0)</f>
        <v>0</v>
      </c>
      <c r="K60" s="5">
        <f ca="1">IFERROR(__xludf.DUMMYFUNCTION("""COMPUTED_VALUE"""),0.38)</f>
        <v>0.38</v>
      </c>
      <c r="L60" s="2">
        <f ca="1">IFERROR(__xludf.DUMMYFUNCTION("""COMPUTED_VALUE"""),0)</f>
        <v>0</v>
      </c>
      <c r="M60" s="2" t="str">
        <f ca="1">IFERROR(__xludf.DUMMYFUNCTION("""COMPUTED_VALUE"""),"0/0")</f>
        <v>0/0</v>
      </c>
    </row>
    <row r="61" spans="1:13" x14ac:dyDescent="0.2">
      <c r="A61" s="2" t="str">
        <f ca="1">IFERROR(__xludf.DUMMYFUNCTION("""COMPUTED_VALUE"""),"D.J.Moore")</f>
        <v>D.J.Moore</v>
      </c>
      <c r="B61" s="2" t="str">
        <f ca="1">IFERROR(__xludf.DUMMYFUNCTION("""COMPUTED_VALUE"""),"CAR")</f>
        <v>CAR</v>
      </c>
      <c r="C61" s="2">
        <f ca="1">IFERROR(__xludf.DUMMYFUNCTION("""COMPUTED_VALUE"""),-12)</f>
        <v>-12</v>
      </c>
      <c r="D61" s="2">
        <f ca="1">IFERROR(__xludf.DUMMYFUNCTION("""COMPUTED_VALUE"""),60)</f>
        <v>60</v>
      </c>
      <c r="E61" s="3">
        <f ca="1">IFERROR(__xludf.DUMMYFUNCTION("""COMPUTED_VALUE"""),-0.274)</f>
        <v>-0.27400000000000002</v>
      </c>
      <c r="F61" s="2">
        <f ca="1">IFERROR(__xludf.DUMMYFUNCTION("""COMPUTED_VALUE"""),56)</f>
        <v>56</v>
      </c>
      <c r="G61" s="2">
        <f ca="1">IFERROR(__xludf.DUMMYFUNCTION("""COMPUTED_VALUE"""),10)</f>
        <v>10</v>
      </c>
      <c r="H61" s="2">
        <f ca="1">IFERROR(__xludf.DUMMYFUNCTION("""COMPUTED_VALUE"""),76)</f>
        <v>76</v>
      </c>
      <c r="I61" s="2">
        <f ca="1">IFERROR(__xludf.DUMMYFUNCTION("""COMPUTED_VALUE"""),48)</f>
        <v>48</v>
      </c>
      <c r="J61" s="2">
        <f ca="1">IFERROR(__xludf.DUMMYFUNCTION("""COMPUTED_VALUE"""),0)</f>
        <v>0</v>
      </c>
      <c r="K61" s="5">
        <f ca="1">IFERROR(__xludf.DUMMYFUNCTION("""COMPUTED_VALUE"""),0.7)</f>
        <v>0.7</v>
      </c>
      <c r="L61" s="2">
        <f ca="1">IFERROR(__xludf.DUMMYFUNCTION("""COMPUTED_VALUE"""),1)</f>
        <v>1</v>
      </c>
      <c r="M61" s="2" t="str">
        <f ca="1">IFERROR(__xludf.DUMMYFUNCTION("""COMPUTED_VALUE"""),"0/0")</f>
        <v>0/0</v>
      </c>
    </row>
    <row r="62" spans="1:13" x14ac:dyDescent="0.2">
      <c r="A62" s="2" t="str">
        <f ca="1">IFERROR(__xludf.DUMMYFUNCTION("""COMPUTED_VALUE"""),"C.Beasley")</f>
        <v>C.Beasley</v>
      </c>
      <c r="B62" s="2" t="str">
        <f ca="1">IFERROR(__xludf.DUMMYFUNCTION("""COMPUTED_VALUE"""),"BUF")</f>
        <v>BUF</v>
      </c>
      <c r="C62" s="2">
        <f ca="1">IFERROR(__xludf.DUMMYFUNCTION("""COMPUTED_VALUE"""),-14)</f>
        <v>-14</v>
      </c>
      <c r="D62" s="2">
        <f ca="1">IFERROR(__xludf.DUMMYFUNCTION("""COMPUTED_VALUE"""),61)</f>
        <v>61</v>
      </c>
      <c r="E62" s="3">
        <f ca="1">IFERROR(__xludf.DUMMYFUNCTION("""COMPUTED_VALUE"""),-0.32)</f>
        <v>-0.32</v>
      </c>
      <c r="F62" s="2">
        <f ca="1">IFERROR(__xludf.DUMMYFUNCTION("""COMPUTED_VALUE"""),60)</f>
        <v>60</v>
      </c>
      <c r="G62" s="2">
        <f ca="1">IFERROR(__xludf.DUMMYFUNCTION("""COMPUTED_VALUE"""),9)</f>
        <v>9</v>
      </c>
      <c r="H62" s="2">
        <f ca="1">IFERROR(__xludf.DUMMYFUNCTION("""COMPUTED_VALUE"""),40)</f>
        <v>40</v>
      </c>
      <c r="I62" s="2">
        <f ca="1">IFERROR(__xludf.DUMMYFUNCTION("""COMPUTED_VALUE"""),38)</f>
        <v>38</v>
      </c>
      <c r="J62" s="2">
        <f ca="1">IFERROR(__xludf.DUMMYFUNCTION("""COMPUTED_VALUE"""),0)</f>
        <v>0</v>
      </c>
      <c r="K62" s="5">
        <f ca="1">IFERROR(__xludf.DUMMYFUNCTION("""COMPUTED_VALUE"""),0.56)</f>
        <v>0.56000000000000005</v>
      </c>
      <c r="L62" s="2">
        <f ca="1">IFERROR(__xludf.DUMMYFUNCTION("""COMPUTED_VALUE"""),0)</f>
        <v>0</v>
      </c>
      <c r="M62" s="2" t="str">
        <f ca="1">IFERROR(__xludf.DUMMYFUNCTION("""COMPUTED_VALUE"""),"0/0")</f>
        <v>0/0</v>
      </c>
    </row>
    <row r="63" spans="1:13" x14ac:dyDescent="0.2">
      <c r="A63" s="2" t="str">
        <f ca="1">IFERROR(__xludf.DUMMYFUNCTION("""COMPUTED_VALUE"""),"J.Crowder")</f>
        <v>J.Crowder</v>
      </c>
      <c r="B63" s="2" t="str">
        <f ca="1">IFERROR(__xludf.DUMMYFUNCTION("""COMPUTED_VALUE"""),"NYJ")</f>
        <v>NYJ</v>
      </c>
      <c r="C63" s="2">
        <f ca="1">IFERROR(__xludf.DUMMYFUNCTION("""COMPUTED_VALUE"""),-15)</f>
        <v>-15</v>
      </c>
      <c r="D63" s="2">
        <f ca="1">IFERROR(__xludf.DUMMYFUNCTION("""COMPUTED_VALUE"""),62)</f>
        <v>62</v>
      </c>
      <c r="E63" s="3">
        <f ca="1">IFERROR(__xludf.DUMMYFUNCTION("""COMPUTED_VALUE"""),-0.236)</f>
        <v>-0.23599999999999999</v>
      </c>
      <c r="F63" s="2">
        <f ca="1">IFERROR(__xludf.DUMMYFUNCTION("""COMPUTED_VALUE"""),50)</f>
        <v>50</v>
      </c>
      <c r="G63" s="2">
        <f ca="1">IFERROR(__xludf.DUMMYFUNCTION("""COMPUTED_VALUE"""),17)</f>
        <v>17</v>
      </c>
      <c r="H63" s="2">
        <f ca="1">IFERROR(__xludf.DUMMYFUNCTION("""COMPUTED_VALUE"""),99)</f>
        <v>99</v>
      </c>
      <c r="I63" s="2">
        <f ca="1">IFERROR(__xludf.DUMMYFUNCTION("""COMPUTED_VALUE"""),88)</f>
        <v>88</v>
      </c>
      <c r="J63" s="2">
        <f ca="1">IFERROR(__xludf.DUMMYFUNCTION("""COMPUTED_VALUE"""),0)</f>
        <v>0</v>
      </c>
      <c r="K63" s="5">
        <f ca="1">IFERROR(__xludf.DUMMYFUNCTION("""COMPUTED_VALUE"""),0.82)</f>
        <v>0.82</v>
      </c>
      <c r="L63" s="2">
        <f ca="1">IFERROR(__xludf.DUMMYFUNCTION("""COMPUTED_VALUE"""),0)</f>
        <v>0</v>
      </c>
      <c r="M63" s="2" t="str">
        <f ca="1">IFERROR(__xludf.DUMMYFUNCTION("""COMPUTED_VALUE"""),"0/0")</f>
        <v>0/0</v>
      </c>
    </row>
    <row r="64" spans="1:13" x14ac:dyDescent="0.2">
      <c r="A64" s="2" t="str">
        <f ca="1">IFERROR(__xludf.DUMMYFUNCTION("""COMPUTED_VALUE"""),"A.Wilson")</f>
        <v>A.Wilson</v>
      </c>
      <c r="B64" s="2" t="str">
        <f ca="1">IFERROR(__xludf.DUMMYFUNCTION("""COMPUTED_VALUE"""),"MIA")</f>
        <v>MIA</v>
      </c>
      <c r="C64" s="2">
        <f ca="1">IFERROR(__xludf.DUMMYFUNCTION("""COMPUTED_VALUE"""),-16)</f>
        <v>-16</v>
      </c>
      <c r="D64" s="2">
        <f ca="1">IFERROR(__xludf.DUMMYFUNCTION("""COMPUTED_VALUE"""),63)</f>
        <v>63</v>
      </c>
      <c r="E64" s="3">
        <f ca="1">IFERROR(__xludf.DUMMYFUNCTION("""COMPUTED_VALUE"""),-0.674)</f>
        <v>-0.67400000000000004</v>
      </c>
      <c r="F64" s="2">
        <f ca="1">IFERROR(__xludf.DUMMYFUNCTION("""COMPUTED_VALUE"""),75)</f>
        <v>75</v>
      </c>
      <c r="G64" s="2">
        <f ca="1">IFERROR(__xludf.DUMMYFUNCTION("""COMPUTED_VALUE"""),4)</f>
        <v>4</v>
      </c>
      <c r="H64" s="2">
        <f ca="1">IFERROR(__xludf.DUMMYFUNCTION("""COMPUTED_VALUE"""),13)</f>
        <v>13</v>
      </c>
      <c r="I64" s="2">
        <f ca="1">IFERROR(__xludf.DUMMYFUNCTION("""COMPUTED_VALUE"""),0)</f>
        <v>0</v>
      </c>
      <c r="J64" s="2">
        <f ca="1">IFERROR(__xludf.DUMMYFUNCTION("""COMPUTED_VALUE"""),0)</f>
        <v>0</v>
      </c>
      <c r="K64" s="5">
        <f ca="1">IFERROR(__xludf.DUMMYFUNCTION("""COMPUTED_VALUE"""),0.5)</f>
        <v>0.5</v>
      </c>
      <c r="L64" s="2">
        <f ca="1">IFERROR(__xludf.DUMMYFUNCTION("""COMPUTED_VALUE"""),0)</f>
        <v>0</v>
      </c>
      <c r="M64" s="2" t="str">
        <f ca="1">IFERROR(__xludf.DUMMYFUNCTION("""COMPUTED_VALUE"""),"0/0")</f>
        <v>0/0</v>
      </c>
    </row>
    <row r="65" spans="1:13" x14ac:dyDescent="0.2">
      <c r="A65" s="2" t="str">
        <f ca="1">IFERROR(__xludf.DUMMYFUNCTION("""COMPUTED_VALUE"""),"C.Patterson")</f>
        <v>C.Patterson</v>
      </c>
      <c r="B65" s="2" t="str">
        <f ca="1">IFERROR(__xludf.DUMMYFUNCTION("""COMPUTED_VALUE"""),"CHI")</f>
        <v>CHI</v>
      </c>
      <c r="C65" s="2">
        <f ca="1">IFERROR(__xludf.DUMMYFUNCTION("""COMPUTED_VALUE"""),-16)</f>
        <v>-16</v>
      </c>
      <c r="D65" s="2">
        <f ca="1">IFERROR(__xludf.DUMMYFUNCTION("""COMPUTED_VALUE"""),64)</f>
        <v>64</v>
      </c>
      <c r="E65" s="3">
        <f ca="1">IFERROR(__xludf.DUMMYFUNCTION("""COMPUTED_VALUE"""),-0.657)</f>
        <v>-0.65700000000000003</v>
      </c>
      <c r="F65" s="2">
        <f ca="1">IFERROR(__xludf.DUMMYFUNCTION("""COMPUTED_VALUE"""),74)</f>
        <v>74</v>
      </c>
      <c r="G65" s="2">
        <f ca="1">IFERROR(__xludf.DUMMYFUNCTION("""COMPUTED_VALUE"""),3)</f>
        <v>3</v>
      </c>
      <c r="H65" s="2">
        <f ca="1">IFERROR(__xludf.DUMMYFUNCTION("""COMPUTED_VALUE"""),3)</f>
        <v>3</v>
      </c>
      <c r="I65" s="2">
        <f ca="1">IFERROR(__xludf.DUMMYFUNCTION("""COMPUTED_VALUE"""),1)</f>
        <v>1</v>
      </c>
      <c r="J65" s="2">
        <f ca="1">IFERROR(__xludf.DUMMYFUNCTION("""COMPUTED_VALUE"""),0)</f>
        <v>0</v>
      </c>
      <c r="K65" s="5">
        <f ca="1">IFERROR(__xludf.DUMMYFUNCTION("""COMPUTED_VALUE"""),0.33)</f>
        <v>0.33</v>
      </c>
      <c r="L65" s="2">
        <f ca="1">IFERROR(__xludf.DUMMYFUNCTION("""COMPUTED_VALUE"""),0)</f>
        <v>0</v>
      </c>
      <c r="M65" s="4">
        <f ca="1">IFERROR(__xludf.DUMMYFUNCTION("""COMPUTED_VALUE"""),43471)</f>
        <v>43471</v>
      </c>
    </row>
    <row r="66" spans="1:13" x14ac:dyDescent="0.2">
      <c r="A66" s="2" t="str">
        <f ca="1">IFERROR(__xludf.DUMMYFUNCTION("""COMPUTED_VALUE"""),"T.Gabriel")</f>
        <v>T.Gabriel</v>
      </c>
      <c r="B66" s="2" t="str">
        <f ca="1">IFERROR(__xludf.DUMMYFUNCTION("""COMPUTED_VALUE"""),"CHI")</f>
        <v>CHI</v>
      </c>
      <c r="C66" s="2">
        <f ca="1">IFERROR(__xludf.DUMMYFUNCTION("""COMPUTED_VALUE"""),-16)</f>
        <v>-16</v>
      </c>
      <c r="D66" s="2">
        <f ca="1">IFERROR(__xludf.DUMMYFUNCTION("""COMPUTED_VALUE"""),65)</f>
        <v>65</v>
      </c>
      <c r="E66" s="3">
        <f ca="1">IFERROR(__xludf.DUMMYFUNCTION("""COMPUTED_VALUE"""),-0.649)</f>
        <v>-0.64900000000000002</v>
      </c>
      <c r="F66" s="2">
        <f ca="1">IFERROR(__xludf.DUMMYFUNCTION("""COMPUTED_VALUE"""),73)</f>
        <v>73</v>
      </c>
      <c r="G66" s="2">
        <f ca="1">IFERROR(__xludf.DUMMYFUNCTION("""COMPUTED_VALUE"""),5)</f>
        <v>5</v>
      </c>
      <c r="H66" s="2">
        <f ca="1">IFERROR(__xludf.DUMMYFUNCTION("""COMPUTED_VALUE"""),24)</f>
        <v>24</v>
      </c>
      <c r="I66" s="2">
        <f ca="1">IFERROR(__xludf.DUMMYFUNCTION("""COMPUTED_VALUE"""),1)</f>
        <v>1</v>
      </c>
      <c r="J66" s="2">
        <f ca="1">IFERROR(__xludf.DUMMYFUNCTION("""COMPUTED_VALUE"""),0)</f>
        <v>0</v>
      </c>
      <c r="K66" s="5">
        <f ca="1">IFERROR(__xludf.DUMMYFUNCTION("""COMPUTED_VALUE"""),0.4)</f>
        <v>0.4</v>
      </c>
      <c r="L66" s="2">
        <f ca="1">IFERROR(__xludf.DUMMYFUNCTION("""COMPUTED_VALUE"""),0)</f>
        <v>0</v>
      </c>
      <c r="M66" s="2" t="str">
        <f ca="1">IFERROR(__xludf.DUMMYFUNCTION("""COMPUTED_VALUE"""),"0/0")</f>
        <v>0/0</v>
      </c>
    </row>
    <row r="67" spans="1:13" x14ac:dyDescent="0.2">
      <c r="A67" s="2" t="str">
        <f ca="1">IFERROR(__xludf.DUMMYFUNCTION("""COMPUTED_VALUE"""),"N.Agholor")</f>
        <v>N.Agholor</v>
      </c>
      <c r="B67" s="2" t="str">
        <f ca="1">IFERROR(__xludf.DUMMYFUNCTION("""COMPUTED_VALUE"""),"PHI")</f>
        <v>PHI</v>
      </c>
      <c r="C67" s="2">
        <f ca="1">IFERROR(__xludf.DUMMYFUNCTION("""COMPUTED_VALUE"""),-17)</f>
        <v>-17</v>
      </c>
      <c r="D67" s="2">
        <f ca="1">IFERROR(__xludf.DUMMYFUNCTION("""COMPUTED_VALUE"""),66)</f>
        <v>66</v>
      </c>
      <c r="E67" s="3">
        <f ca="1">IFERROR(__xludf.DUMMYFUNCTION("""COMPUTED_VALUE"""),-0.646)</f>
        <v>-0.64600000000000002</v>
      </c>
      <c r="F67" s="2">
        <f ca="1">IFERROR(__xludf.DUMMYFUNCTION("""COMPUTED_VALUE"""),72)</f>
        <v>72</v>
      </c>
      <c r="G67" s="2">
        <f ca="1">IFERROR(__xludf.DUMMYFUNCTION("""COMPUTED_VALUE"""),5)</f>
        <v>5</v>
      </c>
      <c r="H67" s="2">
        <f ca="1">IFERROR(__xludf.DUMMYFUNCTION("""COMPUTED_VALUE"""),11)</f>
        <v>11</v>
      </c>
      <c r="I67" s="2">
        <f ca="1">IFERROR(__xludf.DUMMYFUNCTION("""COMPUTED_VALUE"""),2)</f>
        <v>2</v>
      </c>
      <c r="J67" s="2">
        <f ca="1">IFERROR(__xludf.DUMMYFUNCTION("""COMPUTED_VALUE"""),0)</f>
        <v>0</v>
      </c>
      <c r="K67" s="5">
        <f ca="1">IFERROR(__xludf.DUMMYFUNCTION("""COMPUTED_VALUE"""),0.4)</f>
        <v>0.4</v>
      </c>
      <c r="L67" s="2">
        <f ca="1">IFERROR(__xludf.DUMMYFUNCTION("""COMPUTED_VALUE"""),0)</f>
        <v>0</v>
      </c>
      <c r="M67" s="2" t="str">
        <f ca="1">IFERROR(__xludf.DUMMYFUNCTION("""COMPUTED_VALUE"""),"0/0")</f>
        <v>0/0</v>
      </c>
    </row>
    <row r="68" spans="1:13" x14ac:dyDescent="0.2">
      <c r="A68" s="2" t="str">
        <f ca="1">IFERROR(__xludf.DUMMYFUNCTION("""COMPUTED_VALUE"""),"D.Adams")</f>
        <v>D.Adams</v>
      </c>
      <c r="B68" s="2" t="str">
        <f ca="1">IFERROR(__xludf.DUMMYFUNCTION("""COMPUTED_VALUE"""),"GB")</f>
        <v>GB</v>
      </c>
      <c r="C68" s="2">
        <f ca="1">IFERROR(__xludf.DUMMYFUNCTION("""COMPUTED_VALUE"""),-18)</f>
        <v>-18</v>
      </c>
      <c r="D68" s="2">
        <f ca="1">IFERROR(__xludf.DUMMYFUNCTION("""COMPUTED_VALUE"""),67)</f>
        <v>67</v>
      </c>
      <c r="E68" s="3">
        <f ca="1">IFERROR(__xludf.DUMMYFUNCTION("""COMPUTED_VALUE"""),-0.392)</f>
        <v>-0.39200000000000002</v>
      </c>
      <c r="F68" s="2">
        <f ca="1">IFERROR(__xludf.DUMMYFUNCTION("""COMPUTED_VALUE"""),65)</f>
        <v>65</v>
      </c>
      <c r="G68" s="2">
        <f ca="1">IFERROR(__xludf.DUMMYFUNCTION("""COMPUTED_VALUE"""),8)</f>
        <v>8</v>
      </c>
      <c r="H68" s="2">
        <f ca="1">IFERROR(__xludf.DUMMYFUNCTION("""COMPUTED_VALUE"""),36)</f>
        <v>36</v>
      </c>
      <c r="I68" s="2">
        <f ca="1">IFERROR(__xludf.DUMMYFUNCTION("""COMPUTED_VALUE"""),28)</f>
        <v>28</v>
      </c>
      <c r="J68" s="2">
        <f ca="1">IFERROR(__xludf.DUMMYFUNCTION("""COMPUTED_VALUE"""),0)</f>
        <v>0</v>
      </c>
      <c r="K68" s="5">
        <f ca="1">IFERROR(__xludf.DUMMYFUNCTION("""COMPUTED_VALUE"""),0.5)</f>
        <v>0.5</v>
      </c>
      <c r="L68" s="2">
        <f ca="1">IFERROR(__xludf.DUMMYFUNCTION("""COMPUTED_VALUE"""),0)</f>
        <v>0</v>
      </c>
      <c r="M68" s="2" t="str">
        <f ca="1">IFERROR(__xludf.DUMMYFUNCTION("""COMPUTED_VALUE"""),"0/0")</f>
        <v>0/0</v>
      </c>
    </row>
    <row r="69" spans="1:13" x14ac:dyDescent="0.2">
      <c r="A69" s="2" t="str">
        <f ca="1">IFERROR(__xludf.DUMMYFUNCTION("""COMPUTED_VALUE"""),"B.Perriman")</f>
        <v>B.Perriman</v>
      </c>
      <c r="B69" s="2" t="str">
        <f ca="1">IFERROR(__xludf.DUMMYFUNCTION("""COMPUTED_VALUE"""),"TB")</f>
        <v>TB</v>
      </c>
      <c r="C69" s="2">
        <f ca="1">IFERROR(__xludf.DUMMYFUNCTION("""COMPUTED_VALUE"""),-18)</f>
        <v>-18</v>
      </c>
      <c r="D69" s="2">
        <f ca="1">IFERROR(__xludf.DUMMYFUNCTION("""COMPUTED_VALUE"""),68)</f>
        <v>68</v>
      </c>
      <c r="E69" s="3">
        <f ca="1">IFERROR(__xludf.DUMMYFUNCTION("""COMPUTED_VALUE"""),-0.579)</f>
        <v>-0.57899999999999996</v>
      </c>
      <c r="F69" s="2">
        <f ca="1">IFERROR(__xludf.DUMMYFUNCTION("""COMPUTED_VALUE"""),69)</f>
        <v>69</v>
      </c>
      <c r="G69" s="2">
        <f ca="1">IFERROR(__xludf.DUMMYFUNCTION("""COMPUTED_VALUE"""),5)</f>
        <v>5</v>
      </c>
      <c r="H69" s="2">
        <f ca="1">IFERROR(__xludf.DUMMYFUNCTION("""COMPUTED_VALUE"""),10)</f>
        <v>10</v>
      </c>
      <c r="I69" s="2">
        <f ca="1">IFERROR(__xludf.DUMMYFUNCTION("""COMPUTED_VALUE"""),6)</f>
        <v>6</v>
      </c>
      <c r="J69" s="2">
        <f ca="1">IFERROR(__xludf.DUMMYFUNCTION("""COMPUTED_VALUE"""),0)</f>
        <v>0</v>
      </c>
      <c r="K69" s="5">
        <f ca="1">IFERROR(__xludf.DUMMYFUNCTION("""COMPUTED_VALUE"""),0.4)</f>
        <v>0.4</v>
      </c>
      <c r="L69" s="2">
        <f ca="1">IFERROR(__xludf.DUMMYFUNCTION("""COMPUTED_VALUE"""),0)</f>
        <v>0</v>
      </c>
      <c r="M69" s="2" t="str">
        <f ca="1">IFERROR(__xludf.DUMMYFUNCTION("""COMPUTED_VALUE"""),"0/0")</f>
        <v>0/0</v>
      </c>
    </row>
    <row r="70" spans="1:13" x14ac:dyDescent="0.2">
      <c r="A70" s="2" t="str">
        <f ca="1">IFERROR(__xludf.DUMMYFUNCTION("""COMPUTED_VALUE"""),"C.Kupp")</f>
        <v>C.Kupp</v>
      </c>
      <c r="B70" s="2" t="str">
        <f ca="1">IFERROR(__xludf.DUMMYFUNCTION("""COMPUTED_VALUE"""),"LAR")</f>
        <v>LAR</v>
      </c>
      <c r="C70" s="2">
        <f ca="1">IFERROR(__xludf.DUMMYFUNCTION("""COMPUTED_VALUE"""),-19)</f>
        <v>-19</v>
      </c>
      <c r="D70" s="2">
        <f ca="1">IFERROR(__xludf.DUMMYFUNCTION("""COMPUTED_VALUE"""),69)</f>
        <v>69</v>
      </c>
      <c r="E70" s="3">
        <f ca="1">IFERROR(__xludf.DUMMYFUNCTION("""COMPUTED_VALUE"""),-0.366)</f>
        <v>-0.36599999999999999</v>
      </c>
      <c r="F70" s="2">
        <f ca="1">IFERROR(__xludf.DUMMYFUNCTION("""COMPUTED_VALUE"""),61)</f>
        <v>61</v>
      </c>
      <c r="G70" s="2">
        <f ca="1">IFERROR(__xludf.DUMMYFUNCTION("""COMPUTED_VALUE"""),10)</f>
        <v>10</v>
      </c>
      <c r="H70" s="2">
        <f ca="1">IFERROR(__xludf.DUMMYFUNCTION("""COMPUTED_VALUE"""),46)</f>
        <v>46</v>
      </c>
      <c r="I70" s="2">
        <f ca="1">IFERROR(__xludf.DUMMYFUNCTION("""COMPUTED_VALUE"""),37)</f>
        <v>37</v>
      </c>
      <c r="J70" s="2">
        <f ca="1">IFERROR(__xludf.DUMMYFUNCTION("""COMPUTED_VALUE"""),0)</f>
        <v>0</v>
      </c>
      <c r="K70" s="5">
        <f ca="1">IFERROR(__xludf.DUMMYFUNCTION("""COMPUTED_VALUE"""),0.7)</f>
        <v>0.7</v>
      </c>
      <c r="L70" s="2">
        <f ca="1">IFERROR(__xludf.DUMMYFUNCTION("""COMPUTED_VALUE"""),0)</f>
        <v>0</v>
      </c>
      <c r="M70" s="2" t="str">
        <f ca="1">IFERROR(__xludf.DUMMYFUNCTION("""COMPUTED_VALUE"""),"0/0")</f>
        <v>0/0</v>
      </c>
    </row>
    <row r="71" spans="1:13" x14ac:dyDescent="0.2">
      <c r="A71" s="2" t="str">
        <f ca="1">IFERROR(__xludf.DUMMYFUNCTION("""COMPUTED_VALUE"""),"J.Jones")</f>
        <v>J.Jones</v>
      </c>
      <c r="B71" s="2" t="str">
        <f ca="1">IFERROR(__xludf.DUMMYFUNCTION("""COMPUTED_VALUE"""),"ATL")</f>
        <v>ATL</v>
      </c>
      <c r="C71" s="2">
        <f ca="1">IFERROR(__xludf.DUMMYFUNCTION("""COMPUTED_VALUE"""),-21)</f>
        <v>-21</v>
      </c>
      <c r="D71" s="2">
        <f ca="1">IFERROR(__xludf.DUMMYFUNCTION("""COMPUTED_VALUE"""),70)</f>
        <v>70</v>
      </c>
      <c r="E71" s="3">
        <f ca="1">IFERROR(__xludf.DUMMYFUNCTION("""COMPUTED_VALUE"""),-0.381)</f>
        <v>-0.38100000000000001</v>
      </c>
      <c r="F71" s="2">
        <f ca="1">IFERROR(__xludf.DUMMYFUNCTION("""COMPUTED_VALUE"""),63)</f>
        <v>63</v>
      </c>
      <c r="G71" s="2">
        <f ca="1">IFERROR(__xludf.DUMMYFUNCTION("""COMPUTED_VALUE"""),11)</f>
        <v>11</v>
      </c>
      <c r="H71" s="2">
        <f ca="1">IFERROR(__xludf.DUMMYFUNCTION("""COMPUTED_VALUE"""),31)</f>
        <v>31</v>
      </c>
      <c r="I71" s="2">
        <f ca="1">IFERROR(__xludf.DUMMYFUNCTION("""COMPUTED_VALUE"""),37)</f>
        <v>37</v>
      </c>
      <c r="J71" s="2">
        <f ca="1">IFERROR(__xludf.DUMMYFUNCTION("""COMPUTED_VALUE"""),1)</f>
        <v>1</v>
      </c>
      <c r="K71" s="5">
        <f ca="1">IFERROR(__xludf.DUMMYFUNCTION("""COMPUTED_VALUE"""),0.55)</f>
        <v>0.55000000000000004</v>
      </c>
      <c r="L71" s="2">
        <f ca="1">IFERROR(__xludf.DUMMYFUNCTION("""COMPUTED_VALUE"""),0)</f>
        <v>0</v>
      </c>
      <c r="M71" s="2" t="str">
        <f ca="1">IFERROR(__xludf.DUMMYFUNCTION("""COMPUTED_VALUE"""),"0/0")</f>
        <v>0/0</v>
      </c>
    </row>
    <row r="72" spans="1:13" x14ac:dyDescent="0.2">
      <c r="A72" s="2" t="str">
        <f ca="1">IFERROR(__xludf.DUMMYFUNCTION("""COMPUTED_VALUE"""),"T.Boyd")</f>
        <v>T.Boyd</v>
      </c>
      <c r="B72" s="2" t="str">
        <f ca="1">IFERROR(__xludf.DUMMYFUNCTION("""COMPUTED_VALUE"""),"CIN")</f>
        <v>CIN</v>
      </c>
      <c r="C72" s="2">
        <f ca="1">IFERROR(__xludf.DUMMYFUNCTION("""COMPUTED_VALUE"""),-22)</f>
        <v>-22</v>
      </c>
      <c r="D72" s="2">
        <f ca="1">IFERROR(__xludf.DUMMYFUNCTION("""COMPUTED_VALUE"""),71)</f>
        <v>71</v>
      </c>
      <c r="E72" s="3">
        <f ca="1">IFERROR(__xludf.DUMMYFUNCTION("""COMPUTED_VALUE"""),-0.372)</f>
        <v>-0.372</v>
      </c>
      <c r="F72" s="2">
        <f ca="1">IFERROR(__xludf.DUMMYFUNCTION("""COMPUTED_VALUE"""),62)</f>
        <v>62</v>
      </c>
      <c r="G72" s="2">
        <f ca="1">IFERROR(__xludf.DUMMYFUNCTION("""COMPUTED_VALUE"""),11)</f>
        <v>11</v>
      </c>
      <c r="H72" s="2">
        <f ca="1">IFERROR(__xludf.DUMMYFUNCTION("""COMPUTED_VALUE"""),60)</f>
        <v>60</v>
      </c>
      <c r="I72" s="2">
        <f ca="1">IFERROR(__xludf.DUMMYFUNCTION("""COMPUTED_VALUE"""),40)</f>
        <v>40</v>
      </c>
      <c r="J72" s="2">
        <f ca="1">IFERROR(__xludf.DUMMYFUNCTION("""COMPUTED_VALUE"""),0)</f>
        <v>0</v>
      </c>
      <c r="K72" s="5">
        <f ca="1">IFERROR(__xludf.DUMMYFUNCTION("""COMPUTED_VALUE"""),0.73)</f>
        <v>0.73</v>
      </c>
      <c r="L72" s="2">
        <f ca="1">IFERROR(__xludf.DUMMYFUNCTION("""COMPUTED_VALUE"""),0)</f>
        <v>0</v>
      </c>
      <c r="M72" s="2" t="str">
        <f ca="1">IFERROR(__xludf.DUMMYFUNCTION("""COMPUTED_VALUE"""),"0/0")</f>
        <v>0/0</v>
      </c>
    </row>
    <row r="73" spans="1:13" x14ac:dyDescent="0.2">
      <c r="A73" s="2" t="str">
        <f ca="1">IFERROR(__xludf.DUMMYFUNCTION("""COMPUTED_VALUE"""),"Z.Jones")</f>
        <v>Z.Jones</v>
      </c>
      <c r="B73" s="2" t="str">
        <f ca="1">IFERROR(__xludf.DUMMYFUNCTION("""COMPUTED_VALUE"""),"BUF")</f>
        <v>BUF</v>
      </c>
      <c r="C73" s="2">
        <f ca="1">IFERROR(__xludf.DUMMYFUNCTION("""COMPUTED_VALUE"""),-23)</f>
        <v>-23</v>
      </c>
      <c r="D73" s="2">
        <f ca="1">IFERROR(__xludf.DUMMYFUNCTION("""COMPUTED_VALUE"""),72)</f>
        <v>72</v>
      </c>
      <c r="E73" s="3">
        <f ca="1">IFERROR(__xludf.DUMMYFUNCTION("""COMPUTED_VALUE"""),-0.714)</f>
        <v>-0.71399999999999997</v>
      </c>
      <c r="F73" s="2">
        <f ca="1">IFERROR(__xludf.DUMMYFUNCTION("""COMPUTED_VALUE"""),76)</f>
        <v>76</v>
      </c>
      <c r="G73" s="2">
        <f ca="1">IFERROR(__xludf.DUMMYFUNCTION("""COMPUTED_VALUE"""),5)</f>
        <v>5</v>
      </c>
      <c r="H73" s="2">
        <f ca="1">IFERROR(__xludf.DUMMYFUNCTION("""COMPUTED_VALUE"""),18)</f>
        <v>18</v>
      </c>
      <c r="I73" s="2">
        <f ca="1">IFERROR(__xludf.DUMMYFUNCTION("""COMPUTED_VALUE"""),-2)</f>
        <v>-2</v>
      </c>
      <c r="J73" s="2">
        <f ca="1">IFERROR(__xludf.DUMMYFUNCTION("""COMPUTED_VALUE"""),0)</f>
        <v>0</v>
      </c>
      <c r="K73" s="5">
        <f ca="1">IFERROR(__xludf.DUMMYFUNCTION("""COMPUTED_VALUE"""),0.4)</f>
        <v>0.4</v>
      </c>
      <c r="L73" s="2">
        <f ca="1">IFERROR(__xludf.DUMMYFUNCTION("""COMPUTED_VALUE"""),0)</f>
        <v>0</v>
      </c>
      <c r="M73" s="2" t="str">
        <f ca="1">IFERROR(__xludf.DUMMYFUNCTION("""COMPUTED_VALUE"""),"0/0")</f>
        <v>0/0</v>
      </c>
    </row>
    <row r="74" spans="1:13" x14ac:dyDescent="0.2">
      <c r="A74" s="2" t="str">
        <f ca="1">IFERROR(__xludf.DUMMYFUNCTION("""COMPUTED_VALUE"""),"D.Johnson")</f>
        <v>D.Johnson</v>
      </c>
      <c r="B74" s="2" t="str">
        <f ca="1">IFERROR(__xludf.DUMMYFUNCTION("""COMPUTED_VALUE"""),"PIT")</f>
        <v>PIT</v>
      </c>
      <c r="C74" s="2">
        <f ca="1">IFERROR(__xludf.DUMMYFUNCTION("""COMPUTED_VALUE"""),-24)</f>
        <v>-24</v>
      </c>
      <c r="D74" s="2">
        <f ca="1">IFERROR(__xludf.DUMMYFUNCTION("""COMPUTED_VALUE"""),73)</f>
        <v>73</v>
      </c>
      <c r="E74" s="3">
        <f ca="1">IFERROR(__xludf.DUMMYFUNCTION("""COMPUTED_VALUE"""),-0.918)</f>
        <v>-0.91800000000000004</v>
      </c>
      <c r="F74" s="2">
        <f ca="1">IFERROR(__xludf.DUMMYFUNCTION("""COMPUTED_VALUE"""),78)</f>
        <v>78</v>
      </c>
      <c r="G74" s="2">
        <f ca="1">IFERROR(__xludf.DUMMYFUNCTION("""COMPUTED_VALUE"""),5)</f>
        <v>5</v>
      </c>
      <c r="H74" s="2">
        <f ca="1">IFERROR(__xludf.DUMMYFUNCTION("""COMPUTED_VALUE"""),25)</f>
        <v>25</v>
      </c>
      <c r="I74" s="2">
        <f ca="1">IFERROR(__xludf.DUMMYFUNCTION("""COMPUTED_VALUE"""),-11)</f>
        <v>-11</v>
      </c>
      <c r="J74" s="2">
        <f ca="1">IFERROR(__xludf.DUMMYFUNCTION("""COMPUTED_VALUE"""),0)</f>
        <v>0</v>
      </c>
      <c r="K74" s="5">
        <f ca="1">IFERROR(__xludf.DUMMYFUNCTION("""COMPUTED_VALUE"""),0.6)</f>
        <v>0.6</v>
      </c>
      <c r="L74" s="2">
        <f ca="1">IFERROR(__xludf.DUMMYFUNCTION("""COMPUTED_VALUE"""),0)</f>
        <v>0</v>
      </c>
      <c r="M74" s="2" t="str">
        <f ca="1">IFERROR(__xludf.DUMMYFUNCTION("""COMPUTED_VALUE"""),"0/0")</f>
        <v>0/0</v>
      </c>
    </row>
    <row r="75" spans="1:13" x14ac:dyDescent="0.2">
      <c r="A75" s="2" t="str">
        <f ca="1">IFERROR(__xludf.DUMMYFUNCTION("""COMPUTED_VALUE"""),"R.Woods")</f>
        <v>R.Woods</v>
      </c>
      <c r="B75" s="2" t="str">
        <f ca="1">IFERROR(__xludf.DUMMYFUNCTION("""COMPUTED_VALUE"""),"LAR")</f>
        <v>LAR</v>
      </c>
      <c r="C75" s="2">
        <f ca="1">IFERROR(__xludf.DUMMYFUNCTION("""COMPUTED_VALUE"""),-25)</f>
        <v>-25</v>
      </c>
      <c r="D75" s="2">
        <f ca="1">IFERROR(__xludf.DUMMYFUNCTION("""COMPUTED_VALUE"""),74)</f>
        <v>74</v>
      </c>
      <c r="E75" s="3">
        <f ca="1">IFERROR(__xludf.DUMMYFUNCTION("""COMPUTED_VALUE"""),-0.383)</f>
        <v>-0.38300000000000001</v>
      </c>
      <c r="F75" s="2">
        <f ca="1">IFERROR(__xludf.DUMMYFUNCTION("""COMPUTED_VALUE"""),64)</f>
        <v>64</v>
      </c>
      <c r="G75" s="2">
        <f ca="1">IFERROR(__xludf.DUMMYFUNCTION("""COMPUTED_VALUE"""),13)</f>
        <v>13</v>
      </c>
      <c r="H75" s="2">
        <f ca="1">IFERROR(__xludf.DUMMYFUNCTION("""COMPUTED_VALUE"""),70)</f>
        <v>70</v>
      </c>
      <c r="I75" s="2">
        <f ca="1">IFERROR(__xludf.DUMMYFUNCTION("""COMPUTED_VALUE"""),43)</f>
        <v>43</v>
      </c>
      <c r="J75" s="2">
        <f ca="1">IFERROR(__xludf.DUMMYFUNCTION("""COMPUTED_VALUE"""),0)</f>
        <v>0</v>
      </c>
      <c r="K75" s="5">
        <f ca="1">IFERROR(__xludf.DUMMYFUNCTION("""COMPUTED_VALUE"""),0.62)</f>
        <v>0.62</v>
      </c>
      <c r="L75" s="2">
        <f ca="1">IFERROR(__xludf.DUMMYFUNCTION("""COMPUTED_VALUE"""),0)</f>
        <v>0</v>
      </c>
      <c r="M75" s="2" t="str">
        <f ca="1">IFERROR(__xludf.DUMMYFUNCTION("""COMPUTED_VALUE"""),"0/0")</f>
        <v>0/0</v>
      </c>
    </row>
    <row r="76" spans="1:13" x14ac:dyDescent="0.2">
      <c r="A76" s="2" t="str">
        <f ca="1">IFERROR(__xludf.DUMMYFUNCTION("""COMPUTED_VALUE"""),"K.Johnson")</f>
        <v>K.Johnson</v>
      </c>
      <c r="B76" s="2" t="str">
        <f ca="1">IFERROR(__xludf.DUMMYFUNCTION("""COMPUTED_VALUE"""),"ARI")</f>
        <v>ARI</v>
      </c>
      <c r="C76" s="2">
        <f ca="1">IFERROR(__xludf.DUMMYFUNCTION("""COMPUTED_VALUE"""),-28)</f>
        <v>-28</v>
      </c>
      <c r="D76" s="2">
        <f ca="1">IFERROR(__xludf.DUMMYFUNCTION("""COMPUTED_VALUE"""),75)</f>
        <v>75</v>
      </c>
      <c r="E76" s="3">
        <f ca="1">IFERROR(__xludf.DUMMYFUNCTION("""COMPUTED_VALUE"""),-0.521)</f>
        <v>-0.52100000000000002</v>
      </c>
      <c r="F76" s="2">
        <f ca="1">IFERROR(__xludf.DUMMYFUNCTION("""COMPUTED_VALUE"""),68)</f>
        <v>68</v>
      </c>
      <c r="G76" s="2">
        <f ca="1">IFERROR(__xludf.DUMMYFUNCTION("""COMPUTED_VALUE"""),10)</f>
        <v>10</v>
      </c>
      <c r="H76" s="2">
        <f ca="1">IFERROR(__xludf.DUMMYFUNCTION("""COMPUTED_VALUE"""),46)</f>
        <v>46</v>
      </c>
      <c r="I76" s="2">
        <f ca="1">IFERROR(__xludf.DUMMYFUNCTION("""COMPUTED_VALUE"""),16)</f>
        <v>16</v>
      </c>
      <c r="J76" s="2">
        <f ca="1">IFERROR(__xludf.DUMMYFUNCTION("""COMPUTED_VALUE"""),0)</f>
        <v>0</v>
      </c>
      <c r="K76" s="5">
        <f ca="1">IFERROR(__xludf.DUMMYFUNCTION("""COMPUTED_VALUE"""),0.5)</f>
        <v>0.5</v>
      </c>
      <c r="L76" s="2">
        <f ca="1">IFERROR(__xludf.DUMMYFUNCTION("""COMPUTED_VALUE"""),0)</f>
        <v>0</v>
      </c>
      <c r="M76" s="2" t="str">
        <f ca="1">IFERROR(__xludf.DUMMYFUNCTION("""COMPUTED_VALUE"""),"0/0")</f>
        <v>0/0</v>
      </c>
    </row>
    <row r="77" spans="1:13" x14ac:dyDescent="0.2">
      <c r="A77" s="2" t="str">
        <f ca="1">IFERROR(__xludf.DUMMYFUNCTION("""COMPUTED_VALUE"""),"D.Hamilton")</f>
        <v>D.Hamilton</v>
      </c>
      <c r="B77" s="2" t="str">
        <f ca="1">IFERROR(__xludf.DUMMYFUNCTION("""COMPUTED_VALUE"""),"DEN")</f>
        <v>DEN</v>
      </c>
      <c r="C77" s="2">
        <f ca="1">IFERROR(__xludf.DUMMYFUNCTION("""COMPUTED_VALUE"""),-28)</f>
        <v>-28</v>
      </c>
      <c r="D77" s="2">
        <f ca="1">IFERROR(__xludf.DUMMYFUNCTION("""COMPUTED_VALUE"""),76)</f>
        <v>76</v>
      </c>
      <c r="E77" s="3">
        <f ca="1">IFERROR(__xludf.DUMMYFUNCTION("""COMPUTED_VALUE"""),-0.913)</f>
        <v>-0.91300000000000003</v>
      </c>
      <c r="F77" s="2">
        <f ca="1">IFERROR(__xludf.DUMMYFUNCTION("""COMPUTED_VALUE"""),77)</f>
        <v>77</v>
      </c>
      <c r="G77" s="2">
        <f ca="1">IFERROR(__xludf.DUMMYFUNCTION("""COMPUTED_VALUE"""),4)</f>
        <v>4</v>
      </c>
      <c r="H77" s="2">
        <f ca="1">IFERROR(__xludf.DUMMYFUNCTION("""COMPUTED_VALUE"""),5)</f>
        <v>5</v>
      </c>
      <c r="I77" s="2">
        <f ca="1">IFERROR(__xludf.DUMMYFUNCTION("""COMPUTED_VALUE"""),-12)</f>
        <v>-12</v>
      </c>
      <c r="J77" s="2">
        <f ca="1">IFERROR(__xludf.DUMMYFUNCTION("""COMPUTED_VALUE"""),0)</f>
        <v>0</v>
      </c>
      <c r="K77" s="5">
        <f ca="1">IFERROR(__xludf.DUMMYFUNCTION("""COMPUTED_VALUE"""),0.5)</f>
        <v>0.5</v>
      </c>
      <c r="L77" s="2">
        <f ca="1">IFERROR(__xludf.DUMMYFUNCTION("""COMPUTED_VALUE"""),0)</f>
        <v>0</v>
      </c>
      <c r="M77" s="2" t="str">
        <f ca="1">IFERROR(__xludf.DUMMYFUNCTION("""COMPUTED_VALUE"""),"0/0")</f>
        <v>0/0</v>
      </c>
    </row>
    <row r="78" spans="1:13" x14ac:dyDescent="0.2">
      <c r="A78" s="2" t="str">
        <f ca="1">IFERROR(__xludf.DUMMYFUNCTION("""COMPUTED_VALUE"""),"R.Anderson")</f>
        <v>R.Anderson</v>
      </c>
      <c r="B78" s="2" t="str">
        <f ca="1">IFERROR(__xludf.DUMMYFUNCTION("""COMPUTED_VALUE"""),"NYJ")</f>
        <v>NYJ</v>
      </c>
      <c r="C78" s="2">
        <f ca="1">IFERROR(__xludf.DUMMYFUNCTION("""COMPUTED_VALUE"""),-29)</f>
        <v>-29</v>
      </c>
      <c r="D78" s="2">
        <f ca="1">IFERROR(__xludf.DUMMYFUNCTION("""COMPUTED_VALUE"""),77)</f>
        <v>77</v>
      </c>
      <c r="E78" s="3">
        <f ca="1">IFERROR(__xludf.DUMMYFUNCTION("""COMPUTED_VALUE"""),-0.635)</f>
        <v>-0.63500000000000001</v>
      </c>
      <c r="F78" s="2">
        <f ca="1">IFERROR(__xludf.DUMMYFUNCTION("""COMPUTED_VALUE"""),71)</f>
        <v>71</v>
      </c>
      <c r="G78" s="2">
        <f ca="1">IFERROR(__xludf.DUMMYFUNCTION("""COMPUTED_VALUE"""),7)</f>
        <v>7</v>
      </c>
      <c r="H78" s="2">
        <f ca="1">IFERROR(__xludf.DUMMYFUNCTION("""COMPUTED_VALUE"""),23)</f>
        <v>23</v>
      </c>
      <c r="I78" s="2">
        <f ca="1">IFERROR(__xludf.DUMMYFUNCTION("""COMPUTED_VALUE"""),4)</f>
        <v>4</v>
      </c>
      <c r="J78" s="2">
        <f ca="1">IFERROR(__xludf.DUMMYFUNCTION("""COMPUTED_VALUE"""),0)</f>
        <v>0</v>
      </c>
      <c r="K78" s="5">
        <f ca="1">IFERROR(__xludf.DUMMYFUNCTION("""COMPUTED_VALUE"""),0.43)</f>
        <v>0.43</v>
      </c>
      <c r="L78" s="2">
        <f ca="1">IFERROR(__xludf.DUMMYFUNCTION("""COMPUTED_VALUE"""),1)</f>
        <v>1</v>
      </c>
      <c r="M78" s="2" t="str">
        <f ca="1">IFERROR(__xludf.DUMMYFUNCTION("""COMPUTED_VALUE"""),"0/0")</f>
        <v>0/0</v>
      </c>
    </row>
    <row r="79" spans="1:13" x14ac:dyDescent="0.2">
      <c r="A79" s="2" t="str">
        <f ca="1">IFERROR(__xludf.DUMMYFUNCTION("""COMPUTED_VALUE"""),"C.Kirk")</f>
        <v>C.Kirk</v>
      </c>
      <c r="B79" s="2" t="str">
        <f ca="1">IFERROR(__xludf.DUMMYFUNCTION("""COMPUTED_VALUE"""),"ARI")</f>
        <v>ARI</v>
      </c>
      <c r="C79" s="2">
        <f ca="1">IFERROR(__xludf.DUMMYFUNCTION("""COMPUTED_VALUE"""),-47)</f>
        <v>-47</v>
      </c>
      <c r="D79" s="2">
        <f ca="1">IFERROR(__xludf.DUMMYFUNCTION("""COMPUTED_VALUE"""),78)</f>
        <v>78</v>
      </c>
      <c r="E79" s="3">
        <f ca="1">IFERROR(__xludf.DUMMYFUNCTION("""COMPUTED_VALUE"""),-0.6)</f>
        <v>-0.6</v>
      </c>
      <c r="F79" s="2">
        <f ca="1">IFERROR(__xludf.DUMMYFUNCTION("""COMPUTED_VALUE"""),70)</f>
        <v>70</v>
      </c>
      <c r="G79" s="2">
        <f ca="1">IFERROR(__xludf.DUMMYFUNCTION("""COMPUTED_VALUE"""),12)</f>
        <v>12</v>
      </c>
      <c r="H79" s="2">
        <f ca="1">IFERROR(__xludf.DUMMYFUNCTION("""COMPUTED_VALUE"""),32)</f>
        <v>32</v>
      </c>
      <c r="I79" s="2">
        <f ca="1">IFERROR(__xludf.DUMMYFUNCTION("""COMPUTED_VALUE"""),12)</f>
        <v>12</v>
      </c>
      <c r="J79" s="2">
        <f ca="1">IFERROR(__xludf.DUMMYFUNCTION("""COMPUTED_VALUE"""),0)</f>
        <v>0</v>
      </c>
      <c r="K79" s="5">
        <f ca="1">IFERROR(__xludf.DUMMYFUNCTION("""COMPUTED_VALUE"""),0.33)</f>
        <v>0.33</v>
      </c>
      <c r="L79" s="2">
        <f ca="1">IFERROR(__xludf.DUMMYFUNCTION("""COMPUTED_VALUE"""),0)</f>
        <v>0</v>
      </c>
      <c r="M79" s="2" t="str">
        <f ca="1">IFERROR(__xludf.DUMMYFUNCTION("""COMPUTED_VALUE"""),"0/0")</f>
        <v>0/0</v>
      </c>
    </row>
    <row r="80" spans="1:13" x14ac:dyDescent="0.2">
      <c r="A80" s="2" t="str">
        <f ca="1">IFERROR(__xludf.DUMMYFUNCTION("""COMPUTED_VALUE"""),"D.Moncrief")</f>
        <v>D.Moncrief</v>
      </c>
      <c r="B80" s="2" t="str">
        <f ca="1">IFERROR(__xludf.DUMMYFUNCTION("""COMPUTED_VALUE"""),"PIT")</f>
        <v>PIT</v>
      </c>
      <c r="C80" s="2">
        <f ca="1">IFERROR(__xludf.DUMMYFUNCTION("""COMPUTED_VALUE"""),-75)</f>
        <v>-75</v>
      </c>
      <c r="D80" s="2">
        <f ca="1">IFERROR(__xludf.DUMMYFUNCTION("""COMPUTED_VALUE"""),79)</f>
        <v>79</v>
      </c>
      <c r="E80" s="3">
        <f ca="1">IFERROR(__xludf.DUMMYFUNCTION("""COMPUTED_VALUE"""),-1.089)</f>
        <v>-1.089</v>
      </c>
      <c r="F80" s="2">
        <f ca="1">IFERROR(__xludf.DUMMYFUNCTION("""COMPUTED_VALUE"""),79)</f>
        <v>79</v>
      </c>
      <c r="G80" s="2">
        <f ca="1">IFERROR(__xludf.DUMMYFUNCTION("""COMPUTED_VALUE"""),10)</f>
        <v>10</v>
      </c>
      <c r="H80" s="2">
        <f ca="1">IFERROR(__xludf.DUMMYFUNCTION("""COMPUTED_VALUE"""),7)</f>
        <v>7</v>
      </c>
      <c r="I80" s="2">
        <f ca="1">IFERROR(__xludf.DUMMYFUNCTION("""COMPUTED_VALUE"""),-47)</f>
        <v>-47</v>
      </c>
      <c r="J80" s="2">
        <f ca="1">IFERROR(__xludf.DUMMYFUNCTION("""COMPUTED_VALUE"""),0)</f>
        <v>0</v>
      </c>
      <c r="K80" s="5">
        <f ca="1">IFERROR(__xludf.DUMMYFUNCTION("""COMPUTED_VALUE"""),0.3)</f>
        <v>0.3</v>
      </c>
      <c r="L80" s="2">
        <f ca="1">IFERROR(__xludf.DUMMYFUNCTION("""COMPUTED_VALUE"""),0)</f>
        <v>0</v>
      </c>
      <c r="M80" s="2" t="str">
        <f ca="1">IFERROR(__xludf.DUMMYFUNCTION("""COMPUTED_VALUE"""),"0/0")</f>
        <v>0/0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M33"/>
  <sheetViews>
    <sheetView workbookViewId="0"/>
  </sheetViews>
  <sheetFormatPr defaultColWidth="14.42578125" defaultRowHeight="15.75" customHeight="1" x14ac:dyDescent="0.2"/>
  <sheetData>
    <row r="1" spans="1:13" x14ac:dyDescent="0.2">
      <c r="A1" s="2" t="s">
        <v>0</v>
      </c>
      <c r="B1" s="2" t="str">
        <f ca="1">IFERROR(__xludf.DUMMYFUNCTION("""COMPUTED_VALUE"""),"*Team*")</f>
        <v>*Team*</v>
      </c>
      <c r="C1" s="2" t="str">
        <f ca="1">IFERROR(__xludf.DUMMYFUNCTION("""COMPUTED_VALUE"""),"*DYAR*")</f>
        <v>*DYAR*</v>
      </c>
      <c r="D1" s="2" t="str">
        <f ca="1">IFERROR(__xludf.DUMMYFUNCTION("""COMPUTED_VALUE"""),"*Rk*")</f>
        <v>*Rk*</v>
      </c>
      <c r="E1" s="2" t="str">
        <f ca="1">IFERROR(__xludf.DUMMYFUNCTION("""COMPUTED_VALUE"""),"*DVOA*")</f>
        <v>*DVOA*</v>
      </c>
      <c r="F1" s="2" t="str">
        <f ca="1">IFERROR(__xludf.DUMMYFUNCTION("""COMPUTED_VALUE"""),"*Rk*")</f>
        <v>*Rk*</v>
      </c>
      <c r="G1" s="2" t="str">
        <f ca="1">IFERROR(__xludf.DUMMYFUNCTION("""COMPUTED_VALUE"""),"*Passes*")</f>
        <v>*Passes*</v>
      </c>
      <c r="H1" s="2" t="str">
        <f ca="1">IFERROR(__xludf.DUMMYFUNCTION("""COMPUTED_VALUE"""),"*Yards*")</f>
        <v>*Yards*</v>
      </c>
      <c r="I1" s="2" t="str">
        <f ca="1">IFERROR(__xludf.DUMMYFUNCTION("""COMPUTED_VALUE"""),"*EYds*")</f>
        <v>*EYds*</v>
      </c>
      <c r="J1" s="2" t="str">
        <f ca="1">IFERROR(__xludf.DUMMYFUNCTION("""COMPUTED_VALUE"""),"*TD*")</f>
        <v>*TD*</v>
      </c>
      <c r="K1" s="2" t="str">
        <f ca="1">IFERROR(__xludf.DUMMYFUNCTION("""COMPUTED_VALUE"""),"*Catch Rate*")</f>
        <v>*Catch Rate*</v>
      </c>
      <c r="L1" s="2" t="str">
        <f ca="1">IFERROR(__xludf.DUMMYFUNCTION("""COMPUTED_VALUE"""),"*FUM*")</f>
        <v>*FUM*</v>
      </c>
      <c r="M1" s="2" t="str">
        <f ca="1">IFERROR(__xludf.DUMMYFUNCTION("""COMPUTED_VALUE"""),"*DPI*")</f>
        <v>*DPI*</v>
      </c>
    </row>
    <row r="2" spans="1:13" x14ac:dyDescent="0.2">
      <c r="A2" s="2" t="str">
        <f ca="1">IFERROR(__xludf.DUMMYFUNCTION("""COMPUTED_VALUE"""),"M.Andrews")</f>
        <v>M.Andrews</v>
      </c>
      <c r="B2" s="2" t="str">
        <f ca="1">IFERROR(__xludf.DUMMYFUNCTION("""COMPUTED_VALUE"""),"BAL")</f>
        <v>BAL</v>
      </c>
      <c r="C2" s="2">
        <f ca="1">IFERROR(__xludf.DUMMYFUNCTION("""COMPUTED_VALUE"""),48)</f>
        <v>48</v>
      </c>
      <c r="D2" s="2">
        <f ca="1">IFERROR(__xludf.DUMMYFUNCTION("""COMPUTED_VALUE"""),1)</f>
        <v>1</v>
      </c>
      <c r="E2" s="3">
        <f ca="1">IFERROR(__xludf.DUMMYFUNCTION("""COMPUTED_VALUE"""),0.894)</f>
        <v>0.89400000000000002</v>
      </c>
      <c r="F2" s="2">
        <f ca="1">IFERROR(__xludf.DUMMYFUNCTION("""COMPUTED_VALUE"""),2)</f>
        <v>2</v>
      </c>
      <c r="G2" s="2">
        <f ca="1">IFERROR(__xludf.DUMMYFUNCTION("""COMPUTED_VALUE"""),8)</f>
        <v>8</v>
      </c>
      <c r="H2" s="2">
        <f ca="1">IFERROR(__xludf.DUMMYFUNCTION("""COMPUTED_VALUE"""),108)</f>
        <v>108</v>
      </c>
      <c r="I2" s="2">
        <f ca="1">IFERROR(__xludf.DUMMYFUNCTION("""COMPUTED_VALUE"""),147)</f>
        <v>147</v>
      </c>
      <c r="J2" s="2">
        <f ca="1">IFERROR(__xludf.DUMMYFUNCTION("""COMPUTED_VALUE"""),1)</f>
        <v>1</v>
      </c>
      <c r="K2" s="5">
        <f ca="1">IFERROR(__xludf.DUMMYFUNCTION("""COMPUTED_VALUE"""),1)</f>
        <v>1</v>
      </c>
      <c r="L2" s="2">
        <f ca="1">IFERROR(__xludf.DUMMYFUNCTION("""COMPUTED_VALUE"""),0)</f>
        <v>0</v>
      </c>
      <c r="M2" s="2" t="str">
        <f ca="1">IFERROR(__xludf.DUMMYFUNCTION("""COMPUTED_VALUE"""),"0/0")</f>
        <v>0/0</v>
      </c>
    </row>
    <row r="3" spans="1:13" x14ac:dyDescent="0.2">
      <c r="A3" s="2" t="str">
        <f ca="1">IFERROR(__xludf.DUMMYFUNCTION("""COMPUTED_VALUE"""),"T.Hockenson")</f>
        <v>T.Hockenson</v>
      </c>
      <c r="B3" s="2" t="str">
        <f ca="1">IFERROR(__xludf.DUMMYFUNCTION("""COMPUTED_VALUE"""),"DET")</f>
        <v>DET</v>
      </c>
      <c r="C3" s="2">
        <f ca="1">IFERROR(__xludf.DUMMYFUNCTION("""COMPUTED_VALUE"""),38)</f>
        <v>38</v>
      </c>
      <c r="D3" s="2">
        <f ca="1">IFERROR(__xludf.DUMMYFUNCTION("""COMPUTED_VALUE"""),2)</f>
        <v>2</v>
      </c>
      <c r="E3" s="3">
        <f ca="1">IFERROR(__xludf.DUMMYFUNCTION("""COMPUTED_VALUE"""),0.566)</f>
        <v>0.56599999999999995</v>
      </c>
      <c r="F3" s="2">
        <f ca="1">IFERROR(__xludf.DUMMYFUNCTION("""COMPUTED_VALUE"""),4)</f>
        <v>4</v>
      </c>
      <c r="G3" s="2">
        <f ca="1">IFERROR(__xludf.DUMMYFUNCTION("""COMPUTED_VALUE"""),9)</f>
        <v>9</v>
      </c>
      <c r="H3" s="2">
        <f ca="1">IFERROR(__xludf.DUMMYFUNCTION("""COMPUTED_VALUE"""),131)</f>
        <v>131</v>
      </c>
      <c r="I3" s="2">
        <f ca="1">IFERROR(__xludf.DUMMYFUNCTION("""COMPUTED_VALUE"""),133)</f>
        <v>133</v>
      </c>
      <c r="J3" s="2">
        <f ca="1">IFERROR(__xludf.DUMMYFUNCTION("""COMPUTED_VALUE"""),1)</f>
        <v>1</v>
      </c>
      <c r="K3" s="5">
        <f ca="1">IFERROR(__xludf.DUMMYFUNCTION("""COMPUTED_VALUE"""),0.67)</f>
        <v>0.67</v>
      </c>
      <c r="L3" s="2">
        <f ca="1">IFERROR(__xludf.DUMMYFUNCTION("""COMPUTED_VALUE"""),0)</f>
        <v>0</v>
      </c>
      <c r="M3" s="2" t="str">
        <f ca="1">IFERROR(__xludf.DUMMYFUNCTION("""COMPUTED_VALUE"""),"0/0")</f>
        <v>0/0</v>
      </c>
    </row>
    <row r="4" spans="1:13" x14ac:dyDescent="0.2">
      <c r="A4" s="2" t="str">
        <f ca="1">IFERROR(__xludf.DUMMYFUNCTION("""COMPUTED_VALUE"""),"D.Walker")</f>
        <v>D.Walker</v>
      </c>
      <c r="B4" s="2" t="str">
        <f ca="1">IFERROR(__xludf.DUMMYFUNCTION("""COMPUTED_VALUE"""),"TEN")</f>
        <v>TEN</v>
      </c>
      <c r="C4" s="2">
        <f ca="1">IFERROR(__xludf.DUMMYFUNCTION("""COMPUTED_VALUE"""),37)</f>
        <v>37</v>
      </c>
      <c r="D4" s="2">
        <f ca="1">IFERROR(__xludf.DUMMYFUNCTION("""COMPUTED_VALUE"""),3)</f>
        <v>3</v>
      </c>
      <c r="E4" s="3">
        <f ca="1">IFERROR(__xludf.DUMMYFUNCTION("""COMPUTED_VALUE"""),0.829)</f>
        <v>0.82899999999999996</v>
      </c>
      <c r="F4" s="2">
        <f ca="1">IFERROR(__xludf.DUMMYFUNCTION("""COMPUTED_VALUE"""),3)</f>
        <v>3</v>
      </c>
      <c r="G4" s="2">
        <f ca="1">IFERROR(__xludf.DUMMYFUNCTION("""COMPUTED_VALUE"""),6)</f>
        <v>6</v>
      </c>
      <c r="H4" s="2">
        <f ca="1">IFERROR(__xludf.DUMMYFUNCTION("""COMPUTED_VALUE"""),55)</f>
        <v>55</v>
      </c>
      <c r="I4" s="2">
        <f ca="1">IFERROR(__xludf.DUMMYFUNCTION("""COMPUTED_VALUE"""),115)</f>
        <v>115</v>
      </c>
      <c r="J4" s="2">
        <f ca="1">IFERROR(__xludf.DUMMYFUNCTION("""COMPUTED_VALUE"""),2)</f>
        <v>2</v>
      </c>
      <c r="K4" s="5">
        <f ca="1">IFERROR(__xludf.DUMMYFUNCTION("""COMPUTED_VALUE"""),0.83)</f>
        <v>0.83</v>
      </c>
      <c r="L4" s="2">
        <f ca="1">IFERROR(__xludf.DUMMYFUNCTION("""COMPUTED_VALUE"""),0)</f>
        <v>0</v>
      </c>
      <c r="M4" s="2" t="str">
        <f ca="1">IFERROR(__xludf.DUMMYFUNCTION("""COMPUTED_VALUE"""),"0/0")</f>
        <v>0/0</v>
      </c>
    </row>
    <row r="5" spans="1:13" x14ac:dyDescent="0.2">
      <c r="A5" s="2" t="str">
        <f ca="1">IFERROR(__xludf.DUMMYFUNCTION("""COMPUTED_VALUE"""),"E.Engram")</f>
        <v>E.Engram</v>
      </c>
      <c r="B5" s="2" t="str">
        <f ca="1">IFERROR(__xludf.DUMMYFUNCTION("""COMPUTED_VALUE"""),"NYG")</f>
        <v>NYG</v>
      </c>
      <c r="C5" s="2">
        <f ca="1">IFERROR(__xludf.DUMMYFUNCTION("""COMPUTED_VALUE"""),23)</f>
        <v>23</v>
      </c>
      <c r="D5" s="2">
        <f ca="1">IFERROR(__xludf.DUMMYFUNCTION("""COMPUTED_VALUE"""),4)</f>
        <v>4</v>
      </c>
      <c r="E5" s="3">
        <f ca="1">IFERROR(__xludf.DUMMYFUNCTION("""COMPUTED_VALUE"""),0.18)</f>
        <v>0.18</v>
      </c>
      <c r="F5" s="2">
        <f ca="1">IFERROR(__xludf.DUMMYFUNCTION("""COMPUTED_VALUE"""),13)</f>
        <v>13</v>
      </c>
      <c r="G5" s="2">
        <f ca="1">IFERROR(__xludf.DUMMYFUNCTION("""COMPUTED_VALUE"""),14)</f>
        <v>14</v>
      </c>
      <c r="H5" s="2">
        <f ca="1">IFERROR(__xludf.DUMMYFUNCTION("""COMPUTED_VALUE"""),116)</f>
        <v>116</v>
      </c>
      <c r="I5" s="2">
        <f ca="1">IFERROR(__xludf.DUMMYFUNCTION("""COMPUTED_VALUE"""),126)</f>
        <v>126</v>
      </c>
      <c r="J5" s="2">
        <f ca="1">IFERROR(__xludf.DUMMYFUNCTION("""COMPUTED_VALUE"""),1)</f>
        <v>1</v>
      </c>
      <c r="K5" s="5">
        <f ca="1">IFERROR(__xludf.DUMMYFUNCTION("""COMPUTED_VALUE"""),0.79)</f>
        <v>0.79</v>
      </c>
      <c r="L5" s="2">
        <f ca="1">IFERROR(__xludf.DUMMYFUNCTION("""COMPUTED_VALUE"""),0)</f>
        <v>0</v>
      </c>
      <c r="M5" s="2" t="str">
        <f ca="1">IFERROR(__xludf.DUMMYFUNCTION("""COMPUTED_VALUE"""),"0/0")</f>
        <v>0/0</v>
      </c>
    </row>
    <row r="6" spans="1:13" x14ac:dyDescent="0.2">
      <c r="A6" s="2" t="str">
        <f ca="1">IFERROR(__xludf.DUMMYFUNCTION("""COMPUTED_VALUE"""),"C.J.Uzomah")</f>
        <v>C.J.Uzomah</v>
      </c>
      <c r="B6" s="2" t="str">
        <f ca="1">IFERROR(__xludf.DUMMYFUNCTION("""COMPUTED_VALUE"""),"CIN")</f>
        <v>CIN</v>
      </c>
      <c r="C6" s="2">
        <f ca="1">IFERROR(__xludf.DUMMYFUNCTION("""COMPUTED_VALUE"""),22)</f>
        <v>22</v>
      </c>
      <c r="D6" s="2">
        <f ca="1">IFERROR(__xludf.DUMMYFUNCTION("""COMPUTED_VALUE"""),5)</f>
        <v>5</v>
      </c>
      <c r="E6" s="3">
        <f ca="1">IFERROR(__xludf.DUMMYFUNCTION("""COMPUTED_VALUE"""),0.56)</f>
        <v>0.56000000000000005</v>
      </c>
      <c r="F6" s="2">
        <f ca="1">IFERROR(__xludf.DUMMYFUNCTION("""COMPUTED_VALUE"""),5)</f>
        <v>5</v>
      </c>
      <c r="G6" s="2">
        <f ca="1">IFERROR(__xludf.DUMMYFUNCTION("""COMPUTED_VALUE"""),5)</f>
        <v>5</v>
      </c>
      <c r="H6" s="2">
        <f ca="1">IFERROR(__xludf.DUMMYFUNCTION("""COMPUTED_VALUE"""),66)</f>
        <v>66</v>
      </c>
      <c r="I6" s="2">
        <f ca="1">IFERROR(__xludf.DUMMYFUNCTION("""COMPUTED_VALUE"""),78)</f>
        <v>78</v>
      </c>
      <c r="J6" s="2">
        <f ca="1">IFERROR(__xludf.DUMMYFUNCTION("""COMPUTED_VALUE"""),0)</f>
        <v>0</v>
      </c>
      <c r="K6" s="5">
        <f ca="1">IFERROR(__xludf.DUMMYFUNCTION("""COMPUTED_VALUE"""),0.8)</f>
        <v>0.8</v>
      </c>
      <c r="L6" s="2">
        <f ca="1">IFERROR(__xludf.DUMMYFUNCTION("""COMPUTED_VALUE"""),0)</f>
        <v>0</v>
      </c>
      <c r="M6" s="2" t="str">
        <f ca="1">IFERROR(__xludf.DUMMYFUNCTION("""COMPUTED_VALUE"""),"0/0")</f>
        <v>0/0</v>
      </c>
    </row>
    <row r="7" spans="1:13" x14ac:dyDescent="0.2">
      <c r="A7" s="2" t="str">
        <f ca="1">IFERROR(__xludf.DUMMYFUNCTION("""COMPUTED_VALUE"""),"A.Hooper")</f>
        <v>A.Hooper</v>
      </c>
      <c r="B7" s="2" t="str">
        <f ca="1">IFERROR(__xludf.DUMMYFUNCTION("""COMPUTED_VALUE"""),"ATL")</f>
        <v>ATL</v>
      </c>
      <c r="C7" s="2">
        <f ca="1">IFERROR(__xludf.DUMMYFUNCTION("""COMPUTED_VALUE"""),19)</f>
        <v>19</v>
      </c>
      <c r="D7" s="2">
        <f ca="1">IFERROR(__xludf.DUMMYFUNCTION("""COMPUTED_VALUE"""),6)</f>
        <v>6</v>
      </c>
      <c r="E7" s="3">
        <f ca="1">IFERROR(__xludf.DUMMYFUNCTION("""COMPUTED_VALUE"""),0.208)</f>
        <v>0.20799999999999999</v>
      </c>
      <c r="F7" s="2">
        <f ca="1">IFERROR(__xludf.DUMMYFUNCTION("""COMPUTED_VALUE"""),11)</f>
        <v>11</v>
      </c>
      <c r="G7" s="2">
        <f ca="1">IFERROR(__xludf.DUMMYFUNCTION("""COMPUTED_VALUE"""),9)</f>
        <v>9</v>
      </c>
      <c r="H7" s="2">
        <f ca="1">IFERROR(__xludf.DUMMYFUNCTION("""COMPUTED_VALUE"""),77)</f>
        <v>77</v>
      </c>
      <c r="I7" s="2">
        <f ca="1">IFERROR(__xludf.DUMMYFUNCTION("""COMPUTED_VALUE"""),96)</f>
        <v>96</v>
      </c>
      <c r="J7" s="2">
        <f ca="1">IFERROR(__xludf.DUMMYFUNCTION("""COMPUTED_VALUE"""),0)</f>
        <v>0</v>
      </c>
      <c r="K7" s="5">
        <f ca="1">IFERROR(__xludf.DUMMYFUNCTION("""COMPUTED_VALUE"""),1)</f>
        <v>1</v>
      </c>
      <c r="L7" s="2">
        <f ca="1">IFERROR(__xludf.DUMMYFUNCTION("""COMPUTED_VALUE"""),0)</f>
        <v>0</v>
      </c>
      <c r="M7" s="4">
        <f ca="1">IFERROR(__xludf.DUMMYFUNCTION("""COMPUTED_VALUE"""),43474)</f>
        <v>43474</v>
      </c>
    </row>
    <row r="8" spans="1:13" x14ac:dyDescent="0.2">
      <c r="A8" s="2" t="str">
        <f ca="1">IFERROR(__xludf.DUMMYFUNCTION("""COMPUTED_VALUE"""),"J.Graham")</f>
        <v>J.Graham</v>
      </c>
      <c r="B8" s="2" t="str">
        <f ca="1">IFERROR(__xludf.DUMMYFUNCTION("""COMPUTED_VALUE"""),"GB")</f>
        <v>GB</v>
      </c>
      <c r="C8" s="2">
        <f ca="1">IFERROR(__xludf.DUMMYFUNCTION("""COMPUTED_VALUE"""),19)</f>
        <v>19</v>
      </c>
      <c r="D8" s="2">
        <f ca="1">IFERROR(__xludf.DUMMYFUNCTION("""COMPUTED_VALUE"""),7)</f>
        <v>7</v>
      </c>
      <c r="E8" s="3">
        <f ca="1">IFERROR(__xludf.DUMMYFUNCTION("""COMPUTED_VALUE"""),0.382)</f>
        <v>0.38200000000000001</v>
      </c>
      <c r="F8" s="2">
        <f ca="1">IFERROR(__xludf.DUMMYFUNCTION("""COMPUTED_VALUE"""),7)</f>
        <v>7</v>
      </c>
      <c r="G8" s="2">
        <f ca="1">IFERROR(__xludf.DUMMYFUNCTION("""COMPUTED_VALUE"""),6)</f>
        <v>6</v>
      </c>
      <c r="H8" s="2">
        <f ca="1">IFERROR(__xludf.DUMMYFUNCTION("""COMPUTED_VALUE"""),30)</f>
        <v>30</v>
      </c>
      <c r="I8" s="2">
        <f ca="1">IFERROR(__xludf.DUMMYFUNCTION("""COMPUTED_VALUE"""),75)</f>
        <v>75</v>
      </c>
      <c r="J8" s="2">
        <f ca="1">IFERROR(__xludf.DUMMYFUNCTION("""COMPUTED_VALUE"""),1)</f>
        <v>1</v>
      </c>
      <c r="K8" s="5">
        <f ca="1">IFERROR(__xludf.DUMMYFUNCTION("""COMPUTED_VALUE"""),0.5)</f>
        <v>0.5</v>
      </c>
      <c r="L8" s="2">
        <f ca="1">IFERROR(__xludf.DUMMYFUNCTION("""COMPUTED_VALUE"""),0)</f>
        <v>0</v>
      </c>
      <c r="M8" s="2" t="str">
        <f ca="1">IFERROR(__xludf.DUMMYFUNCTION("""COMPUTED_VALUE"""),"1/38")</f>
        <v>1/38</v>
      </c>
    </row>
    <row r="9" spans="1:13" x14ac:dyDescent="0.2">
      <c r="A9" s="2" t="str">
        <f ca="1">IFERROR(__xludf.DUMMYFUNCTION("""COMPUTED_VALUE"""),"H.Henry")</f>
        <v>H.Henry</v>
      </c>
      <c r="B9" s="2" t="str">
        <f ca="1">IFERROR(__xludf.DUMMYFUNCTION("""COMPUTED_VALUE"""),"LAC")</f>
        <v>LAC</v>
      </c>
      <c r="C9" s="2">
        <f ca="1">IFERROR(__xludf.DUMMYFUNCTION("""COMPUTED_VALUE"""),18)</f>
        <v>18</v>
      </c>
      <c r="D9" s="2">
        <f ca="1">IFERROR(__xludf.DUMMYFUNCTION("""COMPUTED_VALUE"""),8)</f>
        <v>8</v>
      </c>
      <c r="E9" s="3">
        <f ca="1">IFERROR(__xludf.DUMMYFUNCTION("""COMPUTED_VALUE"""),0.446)</f>
        <v>0.44600000000000001</v>
      </c>
      <c r="F9" s="2">
        <f ca="1">IFERROR(__xludf.DUMMYFUNCTION("""COMPUTED_VALUE"""),6)</f>
        <v>6</v>
      </c>
      <c r="G9" s="2">
        <f ca="1">IFERROR(__xludf.DUMMYFUNCTION("""COMPUTED_VALUE"""),5)</f>
        <v>5</v>
      </c>
      <c r="H9" s="2">
        <f ca="1">IFERROR(__xludf.DUMMYFUNCTION("""COMPUTED_VALUE"""),60)</f>
        <v>60</v>
      </c>
      <c r="I9" s="2">
        <f ca="1">IFERROR(__xludf.DUMMYFUNCTION("""COMPUTED_VALUE"""),69)</f>
        <v>69</v>
      </c>
      <c r="J9" s="2">
        <f ca="1">IFERROR(__xludf.DUMMYFUNCTION("""COMPUTED_VALUE"""),0)</f>
        <v>0</v>
      </c>
      <c r="K9" s="5">
        <f ca="1">IFERROR(__xludf.DUMMYFUNCTION("""COMPUTED_VALUE"""),0.8)</f>
        <v>0.8</v>
      </c>
      <c r="L9" s="2">
        <f ca="1">IFERROR(__xludf.DUMMYFUNCTION("""COMPUTED_VALUE"""),0)</f>
        <v>0</v>
      </c>
      <c r="M9" s="2" t="str">
        <f ca="1">IFERROR(__xludf.DUMMYFUNCTION("""COMPUTED_VALUE"""),"0/0")</f>
        <v>0/0</v>
      </c>
    </row>
    <row r="10" spans="1:13" x14ac:dyDescent="0.2">
      <c r="A10" s="2" t="str">
        <f ca="1">IFERROR(__xludf.DUMMYFUNCTION("""COMPUTED_VALUE"""),"B.Jarwin")</f>
        <v>B.Jarwin</v>
      </c>
      <c r="B10" s="2" t="str">
        <f ca="1">IFERROR(__xludf.DUMMYFUNCTION("""COMPUTED_VALUE"""),"DAL")</f>
        <v>DAL</v>
      </c>
      <c r="C10" s="2">
        <f ca="1">IFERROR(__xludf.DUMMYFUNCTION("""COMPUTED_VALUE"""),18)</f>
        <v>18</v>
      </c>
      <c r="D10" s="2">
        <f ca="1">IFERROR(__xludf.DUMMYFUNCTION("""COMPUTED_VALUE"""),9)</f>
        <v>9</v>
      </c>
      <c r="E10" s="3">
        <f ca="1">IFERROR(__xludf.DUMMYFUNCTION("""COMPUTED_VALUE"""),1.09)</f>
        <v>1.0900000000000001</v>
      </c>
      <c r="F10" s="2">
        <f ca="1">IFERROR(__xludf.DUMMYFUNCTION("""COMPUTED_VALUE"""),1)</f>
        <v>1</v>
      </c>
      <c r="G10" s="2">
        <f ca="1">IFERROR(__xludf.DUMMYFUNCTION("""COMPUTED_VALUE"""),3)</f>
        <v>3</v>
      </c>
      <c r="H10" s="2">
        <f ca="1">IFERROR(__xludf.DUMMYFUNCTION("""COMPUTED_VALUE"""),39)</f>
        <v>39</v>
      </c>
      <c r="I10" s="2">
        <f ca="1">IFERROR(__xludf.DUMMYFUNCTION("""COMPUTED_VALUE"""),52)</f>
        <v>52</v>
      </c>
      <c r="J10" s="2">
        <f ca="1">IFERROR(__xludf.DUMMYFUNCTION("""COMPUTED_VALUE"""),1)</f>
        <v>1</v>
      </c>
      <c r="K10" s="5">
        <f ca="1">IFERROR(__xludf.DUMMYFUNCTION("""COMPUTED_VALUE"""),1)</f>
        <v>1</v>
      </c>
      <c r="L10" s="2">
        <f ca="1">IFERROR(__xludf.DUMMYFUNCTION("""COMPUTED_VALUE"""),0)</f>
        <v>0</v>
      </c>
      <c r="M10" s="2" t="str">
        <f ca="1">IFERROR(__xludf.DUMMYFUNCTION("""COMPUTED_VALUE"""),"0/0")</f>
        <v>0/0</v>
      </c>
    </row>
    <row r="11" spans="1:13" x14ac:dyDescent="0.2">
      <c r="A11" s="2" t="str">
        <f ca="1">IFERROR(__xludf.DUMMYFUNCTION("""COMPUTED_VALUE"""),"D.Waller")</f>
        <v>D.Waller</v>
      </c>
      <c r="B11" s="2" t="str">
        <f ca="1">IFERROR(__xludf.DUMMYFUNCTION("""COMPUTED_VALUE"""),"OAK")</f>
        <v>OAK</v>
      </c>
      <c r="C11" s="2">
        <f ca="1">IFERROR(__xludf.DUMMYFUNCTION("""COMPUTED_VALUE"""),17)</f>
        <v>17</v>
      </c>
      <c r="D11" s="2">
        <f ca="1">IFERROR(__xludf.DUMMYFUNCTION("""COMPUTED_VALUE"""),10)</f>
        <v>10</v>
      </c>
      <c r="E11" s="3">
        <f ca="1">IFERROR(__xludf.DUMMYFUNCTION("""COMPUTED_VALUE"""),0.278)</f>
        <v>0.27800000000000002</v>
      </c>
      <c r="F11" s="2">
        <f ca="1">IFERROR(__xludf.DUMMYFUNCTION("""COMPUTED_VALUE"""),10)</f>
        <v>10</v>
      </c>
      <c r="G11" s="2">
        <f ca="1">IFERROR(__xludf.DUMMYFUNCTION("""COMPUTED_VALUE"""),8)</f>
        <v>8</v>
      </c>
      <c r="H11" s="2">
        <f ca="1">IFERROR(__xludf.DUMMYFUNCTION("""COMPUTED_VALUE"""),70)</f>
        <v>70</v>
      </c>
      <c r="I11" s="2">
        <f ca="1">IFERROR(__xludf.DUMMYFUNCTION("""COMPUTED_VALUE"""),79)</f>
        <v>79</v>
      </c>
      <c r="J11" s="2">
        <f ca="1">IFERROR(__xludf.DUMMYFUNCTION("""COMPUTED_VALUE"""),0)</f>
        <v>0</v>
      </c>
      <c r="K11" s="5">
        <f ca="1">IFERROR(__xludf.DUMMYFUNCTION("""COMPUTED_VALUE"""),0.88)</f>
        <v>0.88</v>
      </c>
      <c r="L11" s="2">
        <f ca="1">IFERROR(__xludf.DUMMYFUNCTION("""COMPUTED_VALUE"""),0)</f>
        <v>0</v>
      </c>
      <c r="M11" s="2" t="str">
        <f ca="1">IFERROR(__xludf.DUMMYFUNCTION("""COMPUTED_VALUE"""),"0/0")</f>
        <v>0/0</v>
      </c>
    </row>
    <row r="12" spans="1:13" x14ac:dyDescent="0.2">
      <c r="A12" s="2" t="str">
        <f ca="1">IFERROR(__xludf.DUMMYFUNCTION("""COMPUTED_VALUE"""),"D.Njoku")</f>
        <v>D.Njoku</v>
      </c>
      <c r="B12" s="2" t="str">
        <f ca="1">IFERROR(__xludf.DUMMYFUNCTION("""COMPUTED_VALUE"""),"CLE")</f>
        <v>CLE</v>
      </c>
      <c r="C12" s="2">
        <f ca="1">IFERROR(__xludf.DUMMYFUNCTION("""COMPUTED_VALUE"""),12)</f>
        <v>12</v>
      </c>
      <c r="D12" s="2">
        <f ca="1">IFERROR(__xludf.DUMMYFUNCTION("""COMPUTED_VALUE"""),11)</f>
        <v>11</v>
      </c>
      <c r="E12" s="3">
        <f ca="1">IFERROR(__xludf.DUMMYFUNCTION("""COMPUTED_VALUE"""),0.298)</f>
        <v>0.29799999999999999</v>
      </c>
      <c r="F12" s="2">
        <f ca="1">IFERROR(__xludf.DUMMYFUNCTION("""COMPUTED_VALUE"""),8)</f>
        <v>8</v>
      </c>
      <c r="G12" s="2">
        <f ca="1">IFERROR(__xludf.DUMMYFUNCTION("""COMPUTED_VALUE"""),6)</f>
        <v>6</v>
      </c>
      <c r="H12" s="2">
        <f ca="1">IFERROR(__xludf.DUMMYFUNCTION("""COMPUTED_VALUE"""),37)</f>
        <v>37</v>
      </c>
      <c r="I12" s="2">
        <f ca="1">IFERROR(__xludf.DUMMYFUNCTION("""COMPUTED_VALUE"""),55)</f>
        <v>55</v>
      </c>
      <c r="J12" s="2">
        <f ca="1">IFERROR(__xludf.DUMMYFUNCTION("""COMPUTED_VALUE"""),1)</f>
        <v>1</v>
      </c>
      <c r="K12" s="5">
        <f ca="1">IFERROR(__xludf.DUMMYFUNCTION("""COMPUTED_VALUE"""),0.67)</f>
        <v>0.67</v>
      </c>
      <c r="L12" s="2">
        <f ca="1">IFERROR(__xludf.DUMMYFUNCTION("""COMPUTED_VALUE"""),0)</f>
        <v>0</v>
      </c>
      <c r="M12" s="2" t="str">
        <f ca="1">IFERROR(__xludf.DUMMYFUNCTION("""COMPUTED_VALUE"""),"0/0")</f>
        <v>0/0</v>
      </c>
    </row>
    <row r="13" spans="1:13" x14ac:dyDescent="0.2">
      <c r="A13" s="2" t="str">
        <f ca="1">IFERROR(__xludf.DUMMYFUNCTION("""COMPUTED_VALUE"""),"T.Higbee")</f>
        <v>T.Higbee</v>
      </c>
      <c r="B13" s="2" t="str">
        <f ca="1">IFERROR(__xludf.DUMMYFUNCTION("""COMPUTED_VALUE"""),"LAR")</f>
        <v>LAR</v>
      </c>
      <c r="C13" s="2">
        <f ca="1">IFERROR(__xludf.DUMMYFUNCTION("""COMPUTED_VALUE"""),9)</f>
        <v>9</v>
      </c>
      <c r="D13" s="2">
        <f ca="1">IFERROR(__xludf.DUMMYFUNCTION("""COMPUTED_VALUE"""),12)</f>
        <v>12</v>
      </c>
      <c r="E13" s="3">
        <f ca="1">IFERROR(__xludf.DUMMYFUNCTION("""COMPUTED_VALUE"""),0.157)</f>
        <v>0.157</v>
      </c>
      <c r="F13" s="2">
        <f ca="1">IFERROR(__xludf.DUMMYFUNCTION("""COMPUTED_VALUE"""),14)</f>
        <v>14</v>
      </c>
      <c r="G13" s="2">
        <f ca="1">IFERROR(__xludf.DUMMYFUNCTION("""COMPUTED_VALUE"""),5)</f>
        <v>5</v>
      </c>
      <c r="H13" s="2">
        <f ca="1">IFERROR(__xludf.DUMMYFUNCTION("""COMPUTED_VALUE"""),20)</f>
        <v>20</v>
      </c>
      <c r="I13" s="2">
        <f ca="1">IFERROR(__xludf.DUMMYFUNCTION("""COMPUTED_VALUE"""),51)</f>
        <v>51</v>
      </c>
      <c r="J13" s="2">
        <f ca="1">IFERROR(__xludf.DUMMYFUNCTION("""COMPUTED_VALUE"""),1)</f>
        <v>1</v>
      </c>
      <c r="K13" s="5">
        <f ca="1">IFERROR(__xludf.DUMMYFUNCTION("""COMPUTED_VALUE"""),0.8)</f>
        <v>0.8</v>
      </c>
      <c r="L13" s="2">
        <f ca="1">IFERROR(__xludf.DUMMYFUNCTION("""COMPUTED_VALUE"""),0)</f>
        <v>0</v>
      </c>
      <c r="M13" s="2" t="str">
        <f ca="1">IFERROR(__xludf.DUMMYFUNCTION("""COMPUTED_VALUE"""),"0/0")</f>
        <v>0/0</v>
      </c>
    </row>
    <row r="14" spans="1:13" x14ac:dyDescent="0.2">
      <c r="A14" s="2" t="str">
        <f ca="1">IFERROR(__xludf.DUMMYFUNCTION("""COMPUTED_VALUE"""),"Z.Ertz")</f>
        <v>Z.Ertz</v>
      </c>
      <c r="B14" s="2" t="str">
        <f ca="1">IFERROR(__xludf.DUMMYFUNCTION("""COMPUTED_VALUE"""),"PHI")</f>
        <v>PHI</v>
      </c>
      <c r="C14" s="2">
        <f ca="1">IFERROR(__xludf.DUMMYFUNCTION("""COMPUTED_VALUE"""),9)</f>
        <v>9</v>
      </c>
      <c r="D14" s="2">
        <f ca="1">IFERROR(__xludf.DUMMYFUNCTION("""COMPUTED_VALUE"""),13)</f>
        <v>13</v>
      </c>
      <c r="E14" s="3">
        <f ca="1">IFERROR(__xludf.DUMMYFUNCTION("""COMPUTED_VALUE"""),0.114)</f>
        <v>0.114</v>
      </c>
      <c r="F14" s="2">
        <f ca="1">IFERROR(__xludf.DUMMYFUNCTION("""COMPUTED_VALUE"""),16)</f>
        <v>16</v>
      </c>
      <c r="G14" s="2">
        <f ca="1">IFERROR(__xludf.DUMMYFUNCTION("""COMPUTED_VALUE"""),7)</f>
        <v>7</v>
      </c>
      <c r="H14" s="2">
        <f ca="1">IFERROR(__xludf.DUMMYFUNCTION("""COMPUTED_VALUE"""),54)</f>
        <v>54</v>
      </c>
      <c r="I14" s="2">
        <f ca="1">IFERROR(__xludf.DUMMYFUNCTION("""COMPUTED_VALUE"""),58)</f>
        <v>58</v>
      </c>
      <c r="J14" s="2">
        <f ca="1">IFERROR(__xludf.DUMMYFUNCTION("""COMPUTED_VALUE"""),0)</f>
        <v>0</v>
      </c>
      <c r="K14" s="5">
        <f ca="1">IFERROR(__xludf.DUMMYFUNCTION("""COMPUTED_VALUE"""),0.71)</f>
        <v>0.71</v>
      </c>
      <c r="L14" s="2">
        <f ca="1">IFERROR(__xludf.DUMMYFUNCTION("""COMPUTED_VALUE"""),0)</f>
        <v>0</v>
      </c>
      <c r="M14" s="2" t="str">
        <f ca="1">IFERROR(__xludf.DUMMYFUNCTION("""COMPUTED_VALUE"""),"0/0")</f>
        <v>0/0</v>
      </c>
    </row>
    <row r="15" spans="1:13" x14ac:dyDescent="0.2">
      <c r="A15" s="2" t="str">
        <f ca="1">IFERROR(__xludf.DUMMYFUNCTION("""COMPUTED_VALUE"""),"N.Boyle")</f>
        <v>N.Boyle</v>
      </c>
      <c r="B15" s="2" t="str">
        <f ca="1">IFERROR(__xludf.DUMMYFUNCTION("""COMPUTED_VALUE"""),"BAL")</f>
        <v>BAL</v>
      </c>
      <c r="C15" s="2">
        <f ca="1">IFERROR(__xludf.DUMMYFUNCTION("""COMPUTED_VALUE"""),7)</f>
        <v>7</v>
      </c>
      <c r="D15" s="2">
        <f ca="1">IFERROR(__xludf.DUMMYFUNCTION("""COMPUTED_VALUE"""),14)</f>
        <v>14</v>
      </c>
      <c r="E15" s="3">
        <f ca="1">IFERROR(__xludf.DUMMYFUNCTION("""COMPUTED_VALUE"""),0.296)</f>
        <v>0.29599999999999999</v>
      </c>
      <c r="F15" s="2">
        <f ca="1">IFERROR(__xludf.DUMMYFUNCTION("""COMPUTED_VALUE"""),9)</f>
        <v>9</v>
      </c>
      <c r="G15" s="2">
        <f ca="1">IFERROR(__xludf.DUMMYFUNCTION("""COMPUTED_VALUE"""),3)</f>
        <v>3</v>
      </c>
      <c r="H15" s="2">
        <f ca="1">IFERROR(__xludf.DUMMYFUNCTION("""COMPUTED_VALUE"""),26)</f>
        <v>26</v>
      </c>
      <c r="I15" s="2">
        <f ca="1">IFERROR(__xludf.DUMMYFUNCTION("""COMPUTED_VALUE"""),33)</f>
        <v>33</v>
      </c>
      <c r="J15" s="2">
        <f ca="1">IFERROR(__xludf.DUMMYFUNCTION("""COMPUTED_VALUE"""),0)</f>
        <v>0</v>
      </c>
      <c r="K15" s="5">
        <f ca="1">IFERROR(__xludf.DUMMYFUNCTION("""COMPUTED_VALUE"""),1)</f>
        <v>1</v>
      </c>
      <c r="L15" s="2">
        <f ca="1">IFERROR(__xludf.DUMMYFUNCTION("""COMPUTED_VALUE"""),0)</f>
        <v>0</v>
      </c>
      <c r="M15" s="2" t="str">
        <f ca="1">IFERROR(__xludf.DUMMYFUNCTION("""COMPUTED_VALUE"""),"0/0")</f>
        <v>0/0</v>
      </c>
    </row>
    <row r="16" spans="1:13" x14ac:dyDescent="0.2">
      <c r="A16" s="2" t="str">
        <f ca="1">IFERROR(__xludf.DUMMYFUNCTION("""COMPUTED_VALUE"""),"J.Cook")</f>
        <v>J.Cook</v>
      </c>
      <c r="B16" s="2" t="str">
        <f ca="1">IFERROR(__xludf.DUMMYFUNCTION("""COMPUTED_VALUE"""),"NO")</f>
        <v>NO</v>
      </c>
      <c r="C16" s="2">
        <f ca="1">IFERROR(__xludf.DUMMYFUNCTION("""COMPUTED_VALUE"""),6)</f>
        <v>6</v>
      </c>
      <c r="D16" s="2">
        <f ca="1">IFERROR(__xludf.DUMMYFUNCTION("""COMPUTED_VALUE"""),15)</f>
        <v>15</v>
      </c>
      <c r="E16" s="3">
        <f ca="1">IFERROR(__xludf.DUMMYFUNCTION("""COMPUTED_VALUE"""),0.204)</f>
        <v>0.20399999999999999</v>
      </c>
      <c r="F16" s="2">
        <f ca="1">IFERROR(__xludf.DUMMYFUNCTION("""COMPUTED_VALUE"""),12)</f>
        <v>12</v>
      </c>
      <c r="G16" s="2">
        <f ca="1">IFERROR(__xludf.DUMMYFUNCTION("""COMPUTED_VALUE"""),3)</f>
        <v>3</v>
      </c>
      <c r="H16" s="2">
        <f ca="1">IFERROR(__xludf.DUMMYFUNCTION("""COMPUTED_VALUE"""),37)</f>
        <v>37</v>
      </c>
      <c r="I16" s="2">
        <f ca="1">IFERROR(__xludf.DUMMYFUNCTION("""COMPUTED_VALUE"""),33)</f>
        <v>33</v>
      </c>
      <c r="J16" s="2">
        <f ca="1">IFERROR(__xludf.DUMMYFUNCTION("""COMPUTED_VALUE"""),0)</f>
        <v>0</v>
      </c>
      <c r="K16" s="5">
        <f ca="1">IFERROR(__xludf.DUMMYFUNCTION("""COMPUTED_VALUE"""),0.67)</f>
        <v>0.67</v>
      </c>
      <c r="L16" s="2">
        <f ca="1">IFERROR(__xludf.DUMMYFUNCTION("""COMPUTED_VALUE"""),0)</f>
        <v>0</v>
      </c>
      <c r="M16" s="2" t="str">
        <f ca="1">IFERROR(__xludf.DUMMYFUNCTION("""COMPUTED_VALUE"""),"0/0")</f>
        <v>0/0</v>
      </c>
    </row>
    <row r="17" spans="1:13" x14ac:dyDescent="0.2">
      <c r="A17" s="2" t="str">
        <f ca="1">IFERROR(__xludf.DUMMYFUNCTION("""COMPUTED_VALUE"""),"V.McDonald")</f>
        <v>V.McDonald</v>
      </c>
      <c r="B17" s="2" t="str">
        <f ca="1">IFERROR(__xludf.DUMMYFUNCTION("""COMPUTED_VALUE"""),"PIT")</f>
        <v>PIT</v>
      </c>
      <c r="C17" s="2">
        <f ca="1">IFERROR(__xludf.DUMMYFUNCTION("""COMPUTED_VALUE"""),5)</f>
        <v>5</v>
      </c>
      <c r="D17" s="2">
        <f ca="1">IFERROR(__xludf.DUMMYFUNCTION("""COMPUTED_VALUE"""),16)</f>
        <v>16</v>
      </c>
      <c r="E17" s="3">
        <f ca="1">IFERROR(__xludf.DUMMYFUNCTION("""COMPUTED_VALUE"""),0.144)</f>
        <v>0.14399999999999999</v>
      </c>
      <c r="F17" s="2">
        <f ca="1">IFERROR(__xludf.DUMMYFUNCTION("""COMPUTED_VALUE"""),15)</f>
        <v>15</v>
      </c>
      <c r="G17" s="2">
        <f ca="1">IFERROR(__xludf.DUMMYFUNCTION("""COMPUTED_VALUE"""),4)</f>
        <v>4</v>
      </c>
      <c r="H17" s="2">
        <f ca="1">IFERROR(__xludf.DUMMYFUNCTION("""COMPUTED_VALUE"""),40)</f>
        <v>40</v>
      </c>
      <c r="I17" s="2">
        <f ca="1">IFERROR(__xludf.DUMMYFUNCTION("""COMPUTED_VALUE"""),30)</f>
        <v>30</v>
      </c>
      <c r="J17" s="2">
        <f ca="1">IFERROR(__xludf.DUMMYFUNCTION("""COMPUTED_VALUE"""),0)</f>
        <v>0</v>
      </c>
      <c r="K17" s="5">
        <f ca="1">IFERROR(__xludf.DUMMYFUNCTION("""COMPUTED_VALUE"""),0.5)</f>
        <v>0.5</v>
      </c>
      <c r="L17" s="2">
        <f ca="1">IFERROR(__xludf.DUMMYFUNCTION("""COMPUTED_VALUE"""),0)</f>
        <v>0</v>
      </c>
      <c r="M17" s="2" t="str">
        <f ca="1">IFERROR(__xludf.DUMMYFUNCTION("""COMPUTED_VALUE"""),"0/0")</f>
        <v>0/0</v>
      </c>
    </row>
    <row r="18" spans="1:13" x14ac:dyDescent="0.2">
      <c r="A18" s="2" t="str">
        <f ca="1">IFERROR(__xludf.DUMMYFUNCTION("""COMPUTED_VALUE"""),"H.Hurst")</f>
        <v>H.Hurst</v>
      </c>
      <c r="B18" s="2" t="str">
        <f ca="1">IFERROR(__xludf.DUMMYFUNCTION("""COMPUTED_VALUE"""),"BAL")</f>
        <v>BAL</v>
      </c>
      <c r="C18" s="2">
        <f ca="1">IFERROR(__xludf.DUMMYFUNCTION("""COMPUTED_VALUE"""),1)</f>
        <v>1</v>
      </c>
      <c r="D18" s="2">
        <f ca="1">IFERROR(__xludf.DUMMYFUNCTION("""COMPUTED_VALUE"""),17)</f>
        <v>17</v>
      </c>
      <c r="E18" s="3">
        <f ca="1">IFERROR(__xludf.DUMMYFUNCTION("""COMPUTED_VALUE"""),-0.054)</f>
        <v>-5.3999999999999999E-2</v>
      </c>
      <c r="F18" s="2">
        <f ca="1">IFERROR(__xludf.DUMMYFUNCTION("""COMPUTED_VALUE"""),17)</f>
        <v>17</v>
      </c>
      <c r="G18" s="2">
        <f ca="1">IFERROR(__xludf.DUMMYFUNCTION("""COMPUTED_VALUE"""),4)</f>
        <v>4</v>
      </c>
      <c r="H18" s="2">
        <f ca="1">IFERROR(__xludf.DUMMYFUNCTION("""COMPUTED_VALUE"""),41)</f>
        <v>41</v>
      </c>
      <c r="I18" s="2">
        <f ca="1">IFERROR(__xludf.DUMMYFUNCTION("""COMPUTED_VALUE"""),28)</f>
        <v>28</v>
      </c>
      <c r="J18" s="2">
        <f ca="1">IFERROR(__xludf.DUMMYFUNCTION("""COMPUTED_VALUE"""),0)</f>
        <v>0</v>
      </c>
      <c r="K18" s="5">
        <f ca="1">IFERROR(__xludf.DUMMYFUNCTION("""COMPUTED_VALUE"""),0.75)</f>
        <v>0.75</v>
      </c>
      <c r="L18" s="2">
        <f ca="1">IFERROR(__xludf.DUMMYFUNCTION("""COMPUTED_VALUE"""),0)</f>
        <v>0</v>
      </c>
      <c r="M18" s="2" t="str">
        <f ca="1">IFERROR(__xludf.DUMMYFUNCTION("""COMPUTED_VALUE"""),"0/0")</f>
        <v>0/0</v>
      </c>
    </row>
    <row r="19" spans="1:13" x14ac:dyDescent="0.2">
      <c r="A19" s="2" t="str">
        <f ca="1">IFERROR(__xludf.DUMMYFUNCTION("""COMPUTED_VALUE"""),"J.O'Shaughnessy")</f>
        <v>J.O'Shaughnessy</v>
      </c>
      <c r="B19" s="2" t="str">
        <f ca="1">IFERROR(__xludf.DUMMYFUNCTION("""COMPUTED_VALUE"""),"JAX")</f>
        <v>JAX</v>
      </c>
      <c r="C19" s="2">
        <f ca="1">IFERROR(__xludf.DUMMYFUNCTION("""COMPUTED_VALUE"""),-1)</f>
        <v>-1</v>
      </c>
      <c r="D19" s="2">
        <f ca="1">IFERROR(__xludf.DUMMYFUNCTION("""COMPUTED_VALUE"""),18)</f>
        <v>18</v>
      </c>
      <c r="E19" s="3">
        <f ca="1">IFERROR(__xludf.DUMMYFUNCTION("""COMPUTED_VALUE"""),-0.096)</f>
        <v>-9.6000000000000002E-2</v>
      </c>
      <c r="F19" s="2">
        <f ca="1">IFERROR(__xludf.DUMMYFUNCTION("""COMPUTED_VALUE"""),18)</f>
        <v>18</v>
      </c>
      <c r="G19" s="2">
        <f ca="1">IFERROR(__xludf.DUMMYFUNCTION("""COMPUTED_VALUE"""),5)</f>
        <v>5</v>
      </c>
      <c r="H19" s="2">
        <f ca="1">IFERROR(__xludf.DUMMYFUNCTION("""COMPUTED_VALUE"""),32)</f>
        <v>32</v>
      </c>
      <c r="I19" s="2">
        <f ca="1">IFERROR(__xludf.DUMMYFUNCTION("""COMPUTED_VALUE"""),28)</f>
        <v>28</v>
      </c>
      <c r="J19" s="2">
        <f ca="1">IFERROR(__xludf.DUMMYFUNCTION("""COMPUTED_VALUE"""),0)</f>
        <v>0</v>
      </c>
      <c r="K19" s="5">
        <f ca="1">IFERROR(__xludf.DUMMYFUNCTION("""COMPUTED_VALUE"""),0.8)</f>
        <v>0.8</v>
      </c>
      <c r="L19" s="2">
        <f ca="1">IFERROR(__xludf.DUMMYFUNCTION("""COMPUTED_VALUE"""),0)</f>
        <v>0</v>
      </c>
      <c r="M19" s="2" t="str">
        <f ca="1">IFERROR(__xludf.DUMMYFUNCTION("""COMPUTED_VALUE"""),"0/0")</f>
        <v>0/0</v>
      </c>
    </row>
    <row r="20" spans="1:13" x14ac:dyDescent="0.2">
      <c r="A20" s="2" t="str">
        <f ca="1">IFERROR(__xludf.DUMMYFUNCTION("""COMPUTED_VALUE"""),"D.Goedert")</f>
        <v>D.Goedert</v>
      </c>
      <c r="B20" s="2" t="str">
        <f ca="1">IFERROR(__xludf.DUMMYFUNCTION("""COMPUTED_VALUE"""),"PHI")</f>
        <v>PHI</v>
      </c>
      <c r="C20" s="2">
        <f ca="1">IFERROR(__xludf.DUMMYFUNCTION("""COMPUTED_VALUE"""),-1)</f>
        <v>-1</v>
      </c>
      <c r="D20" s="2">
        <f ca="1">IFERROR(__xludf.DUMMYFUNCTION("""COMPUTED_VALUE"""),19)</f>
        <v>19</v>
      </c>
      <c r="E20" s="3">
        <f ca="1">IFERROR(__xludf.DUMMYFUNCTION("""COMPUTED_VALUE"""),-0.146)</f>
        <v>-0.14599999999999999</v>
      </c>
      <c r="F20" s="2">
        <f ca="1">IFERROR(__xludf.DUMMYFUNCTION("""COMPUTED_VALUE"""),20)</f>
        <v>20</v>
      </c>
      <c r="G20" s="2">
        <f ca="1">IFERROR(__xludf.DUMMYFUNCTION("""COMPUTED_VALUE"""),3)</f>
        <v>3</v>
      </c>
      <c r="H20" s="2">
        <f ca="1">IFERROR(__xludf.DUMMYFUNCTION("""COMPUTED_VALUE"""),16)</f>
        <v>16</v>
      </c>
      <c r="I20" s="2">
        <f ca="1">IFERROR(__xludf.DUMMYFUNCTION("""COMPUTED_VALUE"""),11)</f>
        <v>11</v>
      </c>
      <c r="J20" s="2">
        <f ca="1">IFERROR(__xludf.DUMMYFUNCTION("""COMPUTED_VALUE"""),0)</f>
        <v>0</v>
      </c>
      <c r="K20" s="5">
        <f ca="1">IFERROR(__xludf.DUMMYFUNCTION("""COMPUTED_VALUE"""),0.67)</f>
        <v>0.67</v>
      </c>
      <c r="L20" s="2">
        <f ca="1">IFERROR(__xludf.DUMMYFUNCTION("""COMPUTED_VALUE"""),0)</f>
        <v>0</v>
      </c>
      <c r="M20" s="2" t="str">
        <f ca="1">IFERROR(__xludf.DUMMYFUNCTION("""COMPUTED_VALUE"""),"0/0")</f>
        <v>0/0</v>
      </c>
    </row>
    <row r="21" spans="1:13" x14ac:dyDescent="0.2">
      <c r="A21" s="2" t="str">
        <f ca="1">IFERROR(__xludf.DUMMYFUNCTION("""COMPUTED_VALUE"""),"J.Witten")</f>
        <v>J.Witten</v>
      </c>
      <c r="B21" s="2" t="str">
        <f ca="1">IFERROR(__xludf.DUMMYFUNCTION("""COMPUTED_VALUE"""),"DAL")</f>
        <v>DAL</v>
      </c>
      <c r="C21" s="2">
        <f ca="1">IFERROR(__xludf.DUMMYFUNCTION("""COMPUTED_VALUE"""),-3)</f>
        <v>-3</v>
      </c>
      <c r="D21" s="2">
        <f ca="1">IFERROR(__xludf.DUMMYFUNCTION("""COMPUTED_VALUE"""),20)</f>
        <v>20</v>
      </c>
      <c r="E21" s="3">
        <f ca="1">IFERROR(__xludf.DUMMYFUNCTION("""COMPUTED_VALUE"""),-0.173)</f>
        <v>-0.17299999999999999</v>
      </c>
      <c r="F21" s="2">
        <f ca="1">IFERROR(__xludf.DUMMYFUNCTION("""COMPUTED_VALUE"""),22)</f>
        <v>22</v>
      </c>
      <c r="G21" s="2">
        <f ca="1">IFERROR(__xludf.DUMMYFUNCTION("""COMPUTED_VALUE"""),4)</f>
        <v>4</v>
      </c>
      <c r="H21" s="2">
        <f ca="1">IFERROR(__xludf.DUMMYFUNCTION("""COMPUTED_VALUE"""),15)</f>
        <v>15</v>
      </c>
      <c r="I21" s="2">
        <f ca="1">IFERROR(__xludf.DUMMYFUNCTION("""COMPUTED_VALUE"""),20)</f>
        <v>20</v>
      </c>
      <c r="J21" s="2">
        <f ca="1">IFERROR(__xludf.DUMMYFUNCTION("""COMPUTED_VALUE"""),1)</f>
        <v>1</v>
      </c>
      <c r="K21" s="5">
        <f ca="1">IFERROR(__xludf.DUMMYFUNCTION("""COMPUTED_VALUE"""),0.75)</f>
        <v>0.75</v>
      </c>
      <c r="L21" s="2">
        <f ca="1">IFERROR(__xludf.DUMMYFUNCTION("""COMPUTED_VALUE"""),0)</f>
        <v>0</v>
      </c>
      <c r="M21" s="2" t="str">
        <f ca="1">IFERROR(__xludf.DUMMYFUNCTION("""COMPUTED_VALUE"""),"0/0")</f>
        <v>0/0</v>
      </c>
    </row>
    <row r="22" spans="1:13" x14ac:dyDescent="0.2">
      <c r="A22" s="2" t="str">
        <f ca="1">IFERROR(__xludf.DUMMYFUNCTION("""COMPUTED_VALUE"""),"T.Kelce")</f>
        <v>T.Kelce</v>
      </c>
      <c r="B22" s="2" t="str">
        <f ca="1">IFERROR(__xludf.DUMMYFUNCTION("""COMPUTED_VALUE"""),"KC")</f>
        <v>KC</v>
      </c>
      <c r="C22" s="2">
        <f ca="1">IFERROR(__xludf.DUMMYFUNCTION("""COMPUTED_VALUE"""),-4)</f>
        <v>-4</v>
      </c>
      <c r="D22" s="2">
        <f ca="1">IFERROR(__xludf.DUMMYFUNCTION("""COMPUTED_VALUE"""),21)</f>
        <v>21</v>
      </c>
      <c r="E22" s="3">
        <f ca="1">IFERROR(__xludf.DUMMYFUNCTION("""COMPUTED_VALUE"""),-0.135)</f>
        <v>-0.13500000000000001</v>
      </c>
      <c r="F22" s="2">
        <f ca="1">IFERROR(__xludf.DUMMYFUNCTION("""COMPUTED_VALUE"""),19)</f>
        <v>19</v>
      </c>
      <c r="G22" s="2">
        <f ca="1">IFERROR(__xludf.DUMMYFUNCTION("""COMPUTED_VALUE"""),8)</f>
        <v>8</v>
      </c>
      <c r="H22" s="2">
        <f ca="1">IFERROR(__xludf.DUMMYFUNCTION("""COMPUTED_VALUE"""),88)</f>
        <v>88</v>
      </c>
      <c r="I22" s="2">
        <f ca="1">IFERROR(__xludf.DUMMYFUNCTION("""COMPUTED_VALUE"""),41)</f>
        <v>41</v>
      </c>
      <c r="J22" s="2">
        <f ca="1">IFERROR(__xludf.DUMMYFUNCTION("""COMPUTED_VALUE"""),0)</f>
        <v>0</v>
      </c>
      <c r="K22" s="5">
        <f ca="1">IFERROR(__xludf.DUMMYFUNCTION("""COMPUTED_VALUE"""),0.38)</f>
        <v>0.38</v>
      </c>
      <c r="L22" s="2">
        <f ca="1">IFERROR(__xludf.DUMMYFUNCTION("""COMPUTED_VALUE"""),0)</f>
        <v>0</v>
      </c>
      <c r="M22" s="2" t="str">
        <f ca="1">IFERROR(__xludf.DUMMYFUNCTION("""COMPUTED_VALUE"""),"0/0")</f>
        <v>0/0</v>
      </c>
    </row>
    <row r="23" spans="1:13" x14ac:dyDescent="0.2">
      <c r="A23" s="2" t="str">
        <f ca="1">IFERROR(__xludf.DUMMYFUNCTION("""COMPUTED_VALUE"""),"V.Davis")</f>
        <v>V.Davis</v>
      </c>
      <c r="B23" s="2" t="str">
        <f ca="1">IFERROR(__xludf.DUMMYFUNCTION("""COMPUTED_VALUE"""),"WAS")</f>
        <v>WAS</v>
      </c>
      <c r="C23" s="2">
        <f ca="1">IFERROR(__xludf.DUMMYFUNCTION("""COMPUTED_VALUE"""),-5)</f>
        <v>-5</v>
      </c>
      <c r="D23" s="2">
        <f ca="1">IFERROR(__xludf.DUMMYFUNCTION("""COMPUTED_VALUE"""),22)</f>
        <v>22</v>
      </c>
      <c r="E23" s="3">
        <f ca="1">IFERROR(__xludf.DUMMYFUNCTION("""COMPUTED_VALUE"""),-0.213)</f>
        <v>-0.21299999999999999</v>
      </c>
      <c r="F23" s="2">
        <f ca="1">IFERROR(__xludf.DUMMYFUNCTION("""COMPUTED_VALUE"""),23)</f>
        <v>23</v>
      </c>
      <c r="G23" s="2">
        <f ca="1">IFERROR(__xludf.DUMMYFUNCTION("""COMPUTED_VALUE"""),7)</f>
        <v>7</v>
      </c>
      <c r="H23" s="2">
        <f ca="1">IFERROR(__xludf.DUMMYFUNCTION("""COMPUTED_VALUE"""),59)</f>
        <v>59</v>
      </c>
      <c r="I23" s="2">
        <f ca="1">IFERROR(__xludf.DUMMYFUNCTION("""COMPUTED_VALUE"""),21)</f>
        <v>21</v>
      </c>
      <c r="J23" s="2">
        <f ca="1">IFERROR(__xludf.DUMMYFUNCTION("""COMPUTED_VALUE"""),1)</f>
        <v>1</v>
      </c>
      <c r="K23" s="5">
        <f ca="1">IFERROR(__xludf.DUMMYFUNCTION("""COMPUTED_VALUE"""),0.57)</f>
        <v>0.56999999999999995</v>
      </c>
      <c r="L23" s="2">
        <f ca="1">IFERROR(__xludf.DUMMYFUNCTION("""COMPUTED_VALUE"""),0)</f>
        <v>0</v>
      </c>
      <c r="M23" s="2" t="str">
        <f ca="1">IFERROR(__xludf.DUMMYFUNCTION("""COMPUTED_VALUE"""),"0/0")</f>
        <v>0/0</v>
      </c>
    </row>
    <row r="24" spans="1:13" x14ac:dyDescent="0.2">
      <c r="A24" s="2" t="str">
        <f ca="1">IFERROR(__xludf.DUMMYFUNCTION("""COMPUTED_VALUE"""),"G.Kittle")</f>
        <v>G.Kittle</v>
      </c>
      <c r="B24" s="2" t="str">
        <f ca="1">IFERROR(__xludf.DUMMYFUNCTION("""COMPUTED_VALUE"""),"SF")</f>
        <v>SF</v>
      </c>
      <c r="C24" s="2">
        <f ca="1">IFERROR(__xludf.DUMMYFUNCTION("""COMPUTED_VALUE"""),-6)</f>
        <v>-6</v>
      </c>
      <c r="D24" s="2">
        <f ca="1">IFERROR(__xludf.DUMMYFUNCTION("""COMPUTED_VALUE"""),23)</f>
        <v>23</v>
      </c>
      <c r="E24" s="3">
        <f ca="1">IFERROR(__xludf.DUMMYFUNCTION("""COMPUTED_VALUE"""),-0.166)</f>
        <v>-0.16600000000000001</v>
      </c>
      <c r="F24" s="2">
        <f ca="1">IFERROR(__xludf.DUMMYFUNCTION("""COMPUTED_VALUE"""),21)</f>
        <v>21</v>
      </c>
      <c r="G24" s="2">
        <f ca="1">IFERROR(__xludf.DUMMYFUNCTION("""COMPUTED_VALUE"""),10)</f>
        <v>10</v>
      </c>
      <c r="H24" s="2">
        <f ca="1">IFERROR(__xludf.DUMMYFUNCTION("""COMPUTED_VALUE"""),54)</f>
        <v>54</v>
      </c>
      <c r="I24" s="2">
        <f ca="1">IFERROR(__xludf.DUMMYFUNCTION("""COMPUTED_VALUE"""),41)</f>
        <v>41</v>
      </c>
      <c r="J24" s="2">
        <f ca="1">IFERROR(__xludf.DUMMYFUNCTION("""COMPUTED_VALUE"""),0)</f>
        <v>0</v>
      </c>
      <c r="K24" s="5">
        <f ca="1">IFERROR(__xludf.DUMMYFUNCTION("""COMPUTED_VALUE"""),0.8)</f>
        <v>0.8</v>
      </c>
      <c r="L24" s="2">
        <f ca="1">IFERROR(__xludf.DUMMYFUNCTION("""COMPUTED_VALUE"""),0)</f>
        <v>0</v>
      </c>
      <c r="M24" s="2" t="str">
        <f ca="1">IFERROR(__xludf.DUMMYFUNCTION("""COMPUTED_VALUE"""),"0/0")</f>
        <v>0/0</v>
      </c>
    </row>
    <row r="25" spans="1:13" x14ac:dyDescent="0.2">
      <c r="A25" s="2" t="str">
        <f ca="1">IFERROR(__xludf.DUMMYFUNCTION("""COMPUTED_VALUE"""),"M.Lewis")</f>
        <v>M.Lewis</v>
      </c>
      <c r="B25" s="2" t="str">
        <f ca="1">IFERROR(__xludf.DUMMYFUNCTION("""COMPUTED_VALUE"""),"GB")</f>
        <v>GB</v>
      </c>
      <c r="C25" s="2">
        <f ca="1">IFERROR(__xludf.DUMMYFUNCTION("""COMPUTED_VALUE"""),-7)</f>
        <v>-7</v>
      </c>
      <c r="D25" s="2">
        <f ca="1">IFERROR(__xludf.DUMMYFUNCTION("""COMPUTED_VALUE"""),24)</f>
        <v>24</v>
      </c>
      <c r="E25" s="3">
        <f ca="1">IFERROR(__xludf.DUMMYFUNCTION("""COMPUTED_VALUE"""),-0.435)</f>
        <v>-0.435</v>
      </c>
      <c r="F25" s="2">
        <f ca="1">IFERROR(__xludf.DUMMYFUNCTION("""COMPUTED_VALUE"""),25)</f>
        <v>25</v>
      </c>
      <c r="G25" s="2">
        <f ca="1">IFERROR(__xludf.DUMMYFUNCTION("""COMPUTED_VALUE"""),3)</f>
        <v>3</v>
      </c>
      <c r="H25" s="2">
        <f ca="1">IFERROR(__xludf.DUMMYFUNCTION("""COMPUTED_VALUE"""),14)</f>
        <v>14</v>
      </c>
      <c r="I25" s="2">
        <f ca="1">IFERROR(__xludf.DUMMYFUNCTION("""COMPUTED_VALUE"""),1)</f>
        <v>1</v>
      </c>
      <c r="J25" s="2">
        <f ca="1">IFERROR(__xludf.DUMMYFUNCTION("""COMPUTED_VALUE"""),0)</f>
        <v>0</v>
      </c>
      <c r="K25" s="5">
        <f ca="1">IFERROR(__xludf.DUMMYFUNCTION("""COMPUTED_VALUE"""),0.67)</f>
        <v>0.67</v>
      </c>
      <c r="L25" s="2">
        <f ca="1">IFERROR(__xludf.DUMMYFUNCTION("""COMPUTED_VALUE"""),0)</f>
        <v>0</v>
      </c>
      <c r="M25" s="2" t="str">
        <f ca="1">IFERROR(__xludf.DUMMYFUNCTION("""COMPUTED_VALUE"""),"0/0")</f>
        <v>0/0</v>
      </c>
    </row>
    <row r="26" spans="1:13" x14ac:dyDescent="0.2">
      <c r="A26" s="2" t="str">
        <f ca="1">IFERROR(__xludf.DUMMYFUNCTION("""COMPUTED_VALUE"""),"G.Swaim")</f>
        <v>G.Swaim</v>
      </c>
      <c r="B26" s="2" t="str">
        <f ca="1">IFERROR(__xludf.DUMMYFUNCTION("""COMPUTED_VALUE"""),"JAX")</f>
        <v>JAX</v>
      </c>
      <c r="C26" s="2">
        <f ca="1">IFERROR(__xludf.DUMMYFUNCTION("""COMPUTED_VALUE"""),-8)</f>
        <v>-8</v>
      </c>
      <c r="D26" s="2">
        <f ca="1">IFERROR(__xludf.DUMMYFUNCTION("""COMPUTED_VALUE"""),25)</f>
        <v>25</v>
      </c>
      <c r="E26" s="3">
        <f ca="1">IFERROR(__xludf.DUMMYFUNCTION("""COMPUTED_VALUE"""),-0.491)</f>
        <v>-0.49099999999999999</v>
      </c>
      <c r="F26" s="2">
        <f ca="1">IFERROR(__xludf.DUMMYFUNCTION("""COMPUTED_VALUE"""),28)</f>
        <v>28</v>
      </c>
      <c r="G26" s="2">
        <f ca="1">IFERROR(__xludf.DUMMYFUNCTION("""COMPUTED_VALUE"""),4)</f>
        <v>4</v>
      </c>
      <c r="H26" s="2">
        <f ca="1">IFERROR(__xludf.DUMMYFUNCTION("""COMPUTED_VALUE"""),17)</f>
        <v>17</v>
      </c>
      <c r="I26" s="2">
        <f ca="1">IFERROR(__xludf.DUMMYFUNCTION("""COMPUTED_VALUE"""),-1)</f>
        <v>-1</v>
      </c>
      <c r="J26" s="2">
        <f ca="1">IFERROR(__xludf.DUMMYFUNCTION("""COMPUTED_VALUE"""),0)</f>
        <v>0</v>
      </c>
      <c r="K26" s="5">
        <f ca="1">IFERROR(__xludf.DUMMYFUNCTION("""COMPUTED_VALUE"""),1)</f>
        <v>1</v>
      </c>
      <c r="L26" s="2">
        <f ca="1">IFERROR(__xludf.DUMMYFUNCTION("""COMPUTED_VALUE"""),0)</f>
        <v>0</v>
      </c>
      <c r="M26" s="2" t="str">
        <f ca="1">IFERROR(__xludf.DUMMYFUNCTION("""COMPUTED_VALUE"""),"0/0")</f>
        <v>0/0</v>
      </c>
    </row>
    <row r="27" spans="1:13" x14ac:dyDescent="0.2">
      <c r="A27" s="2" t="str">
        <f ca="1">IFERROR(__xludf.DUMMYFUNCTION("""COMPUTED_VALUE"""),"T.Eifert")</f>
        <v>T.Eifert</v>
      </c>
      <c r="B27" s="2" t="str">
        <f ca="1">IFERROR(__xludf.DUMMYFUNCTION("""COMPUTED_VALUE"""),"CIN")</f>
        <v>CIN</v>
      </c>
      <c r="C27" s="2">
        <f ca="1">IFERROR(__xludf.DUMMYFUNCTION("""COMPUTED_VALUE"""),-9)</f>
        <v>-9</v>
      </c>
      <c r="D27" s="2">
        <f ca="1">IFERROR(__xludf.DUMMYFUNCTION("""COMPUTED_VALUE"""),26)</f>
        <v>26</v>
      </c>
      <c r="E27" s="3">
        <f ca="1">IFERROR(__xludf.DUMMYFUNCTION("""COMPUTED_VALUE"""),-0.3)</f>
        <v>-0.3</v>
      </c>
      <c r="F27" s="2">
        <f ca="1">IFERROR(__xludf.DUMMYFUNCTION("""COMPUTED_VALUE"""),24)</f>
        <v>24</v>
      </c>
      <c r="G27" s="2">
        <f ca="1">IFERROR(__xludf.DUMMYFUNCTION("""COMPUTED_VALUE"""),6)</f>
        <v>6</v>
      </c>
      <c r="H27" s="2">
        <f ca="1">IFERROR(__xludf.DUMMYFUNCTION("""COMPUTED_VALUE"""),27)</f>
        <v>27</v>
      </c>
      <c r="I27" s="2">
        <f ca="1">IFERROR(__xludf.DUMMYFUNCTION("""COMPUTED_VALUE"""),14)</f>
        <v>14</v>
      </c>
      <c r="J27" s="2">
        <f ca="1">IFERROR(__xludf.DUMMYFUNCTION("""COMPUTED_VALUE"""),0)</f>
        <v>0</v>
      </c>
      <c r="K27" s="5">
        <f ca="1">IFERROR(__xludf.DUMMYFUNCTION("""COMPUTED_VALUE"""),0.83)</f>
        <v>0.83</v>
      </c>
      <c r="L27" s="2">
        <f ca="1">IFERROR(__xludf.DUMMYFUNCTION("""COMPUTED_VALUE"""),0)</f>
        <v>0</v>
      </c>
      <c r="M27" s="2" t="str">
        <f ca="1">IFERROR(__xludf.DUMMYFUNCTION("""COMPUTED_VALUE"""),"0/0")</f>
        <v>0/0</v>
      </c>
    </row>
    <row r="28" spans="1:13" x14ac:dyDescent="0.2">
      <c r="A28" s="2" t="str">
        <f ca="1">IFERROR(__xludf.DUMMYFUNCTION("""COMPUTED_VALUE"""),"E.Ebron")</f>
        <v>E.Ebron</v>
      </c>
      <c r="B28" s="2" t="str">
        <f ca="1">IFERROR(__xludf.DUMMYFUNCTION("""COMPUTED_VALUE"""),"IND")</f>
        <v>IND</v>
      </c>
      <c r="C28" s="2">
        <f ca="1">IFERROR(__xludf.DUMMYFUNCTION("""COMPUTED_VALUE"""),-9)</f>
        <v>-9</v>
      </c>
      <c r="D28" s="2">
        <f ca="1">IFERROR(__xludf.DUMMYFUNCTION("""COMPUTED_VALUE"""),27)</f>
        <v>27</v>
      </c>
      <c r="E28" s="3">
        <f ca="1">IFERROR(__xludf.DUMMYFUNCTION("""COMPUTED_VALUE"""),-0.567)</f>
        <v>-0.56699999999999995</v>
      </c>
      <c r="F28" s="2">
        <f ca="1">IFERROR(__xludf.DUMMYFUNCTION("""COMPUTED_VALUE"""),30)</f>
        <v>30</v>
      </c>
      <c r="G28" s="2">
        <f ca="1">IFERROR(__xludf.DUMMYFUNCTION("""COMPUTED_VALUE"""),3)</f>
        <v>3</v>
      </c>
      <c r="H28" s="2">
        <f ca="1">IFERROR(__xludf.DUMMYFUNCTION("""COMPUTED_VALUE"""),8)</f>
        <v>8</v>
      </c>
      <c r="I28" s="2">
        <f ca="1">IFERROR(__xludf.DUMMYFUNCTION("""COMPUTED_VALUE"""),-4)</f>
        <v>-4</v>
      </c>
      <c r="J28" s="2">
        <f ca="1">IFERROR(__xludf.DUMMYFUNCTION("""COMPUTED_VALUE"""),0)</f>
        <v>0</v>
      </c>
      <c r="K28" s="5">
        <f ca="1">IFERROR(__xludf.DUMMYFUNCTION("""COMPUTED_VALUE"""),0.33)</f>
        <v>0.33</v>
      </c>
      <c r="L28" s="2">
        <f ca="1">IFERROR(__xludf.DUMMYFUNCTION("""COMPUTED_VALUE"""),0)</f>
        <v>0</v>
      </c>
      <c r="M28" s="2" t="str">
        <f ca="1">IFERROR(__xludf.DUMMYFUNCTION("""COMPUTED_VALUE"""),"0/0")</f>
        <v>0/0</v>
      </c>
    </row>
    <row r="29" spans="1:13" x14ac:dyDescent="0.2">
      <c r="A29" s="2" t="str">
        <f ca="1">IFERROR(__xludf.DUMMYFUNCTION("""COMPUTED_VALUE"""),"M.Gesicki")</f>
        <v>M.Gesicki</v>
      </c>
      <c r="B29" s="2" t="str">
        <f ca="1">IFERROR(__xludf.DUMMYFUNCTION("""COMPUTED_VALUE"""),"MIA")</f>
        <v>MIA</v>
      </c>
      <c r="C29" s="2">
        <f ca="1">IFERROR(__xludf.DUMMYFUNCTION("""COMPUTED_VALUE"""),-14)</f>
        <v>-14</v>
      </c>
      <c r="D29" s="2">
        <f ca="1">IFERROR(__xludf.DUMMYFUNCTION("""COMPUTED_VALUE"""),28)</f>
        <v>28</v>
      </c>
      <c r="E29" s="3">
        <f ca="1">IFERROR(__xludf.DUMMYFUNCTION("""COMPUTED_VALUE"""),-0.468)</f>
        <v>-0.46800000000000003</v>
      </c>
      <c r="F29" s="2">
        <f ca="1">IFERROR(__xludf.DUMMYFUNCTION("""COMPUTED_VALUE"""),26)</f>
        <v>26</v>
      </c>
      <c r="G29" s="2">
        <f ca="1">IFERROR(__xludf.DUMMYFUNCTION("""COMPUTED_VALUE"""),6)</f>
        <v>6</v>
      </c>
      <c r="H29" s="2">
        <f ca="1">IFERROR(__xludf.DUMMYFUNCTION("""COMPUTED_VALUE"""),31)</f>
        <v>31</v>
      </c>
      <c r="I29" s="2">
        <f ca="1">IFERROR(__xludf.DUMMYFUNCTION("""COMPUTED_VALUE"""),-1)</f>
        <v>-1</v>
      </c>
      <c r="J29" s="2">
        <f ca="1">IFERROR(__xludf.DUMMYFUNCTION("""COMPUTED_VALUE"""),0)</f>
        <v>0</v>
      </c>
      <c r="K29" s="5">
        <f ca="1">IFERROR(__xludf.DUMMYFUNCTION("""COMPUTED_VALUE"""),0.33)</f>
        <v>0.33</v>
      </c>
      <c r="L29" s="2">
        <f ca="1">IFERROR(__xludf.DUMMYFUNCTION("""COMPUTED_VALUE"""),0)</f>
        <v>0</v>
      </c>
      <c r="M29" s="2" t="str">
        <f ca="1">IFERROR(__xludf.DUMMYFUNCTION("""COMPUTED_VALUE"""),"0/0")</f>
        <v>0/0</v>
      </c>
    </row>
    <row r="30" spans="1:13" x14ac:dyDescent="0.2">
      <c r="A30" s="2" t="str">
        <f ca="1">IFERROR(__xludf.DUMMYFUNCTION("""COMPUTED_VALUE"""),"R.Griffin")</f>
        <v>R.Griffin</v>
      </c>
      <c r="B30" s="2" t="str">
        <f ca="1">IFERROR(__xludf.DUMMYFUNCTION("""COMPUTED_VALUE"""),"NYJ")</f>
        <v>NYJ</v>
      </c>
      <c r="C30" s="2">
        <f ca="1">IFERROR(__xludf.DUMMYFUNCTION("""COMPUTED_VALUE"""),-16)</f>
        <v>-16</v>
      </c>
      <c r="D30" s="2">
        <f ca="1">IFERROR(__xludf.DUMMYFUNCTION("""COMPUTED_VALUE"""),29)</f>
        <v>29</v>
      </c>
      <c r="E30" s="3">
        <f ca="1">IFERROR(__xludf.DUMMYFUNCTION("""COMPUTED_VALUE"""),-0.701)</f>
        <v>-0.70099999999999996</v>
      </c>
      <c r="F30" s="2">
        <f ca="1">IFERROR(__xludf.DUMMYFUNCTION("""COMPUTED_VALUE"""),31)</f>
        <v>31</v>
      </c>
      <c r="G30" s="2">
        <f ca="1">IFERROR(__xludf.DUMMYFUNCTION("""COMPUTED_VALUE"""),4)</f>
        <v>4</v>
      </c>
      <c r="H30" s="2">
        <f ca="1">IFERROR(__xludf.DUMMYFUNCTION("""COMPUTED_VALUE"""),10)</f>
        <v>10</v>
      </c>
      <c r="I30" s="2">
        <f ca="1">IFERROR(__xludf.DUMMYFUNCTION("""COMPUTED_VALUE"""),-13)</f>
        <v>-13</v>
      </c>
      <c r="J30" s="2">
        <f ca="1">IFERROR(__xludf.DUMMYFUNCTION("""COMPUTED_VALUE"""),0)</f>
        <v>0</v>
      </c>
      <c r="K30" s="5">
        <f ca="1">IFERROR(__xludf.DUMMYFUNCTION("""COMPUTED_VALUE"""),0.75)</f>
        <v>0.75</v>
      </c>
      <c r="L30" s="2">
        <f ca="1">IFERROR(__xludf.DUMMYFUNCTION("""COMPUTED_VALUE"""),0)</f>
        <v>0</v>
      </c>
      <c r="M30" s="2" t="str">
        <f ca="1">IFERROR(__xludf.DUMMYFUNCTION("""COMPUTED_VALUE"""),"0/0")</f>
        <v>0/0</v>
      </c>
    </row>
    <row r="31" spans="1:13" x14ac:dyDescent="0.2">
      <c r="A31" s="2" t="str">
        <f ca="1">IFERROR(__xludf.DUMMYFUNCTION("""COMPUTED_VALUE"""),"N.Fant")</f>
        <v>N.Fant</v>
      </c>
      <c r="B31" s="2" t="str">
        <f ca="1">IFERROR(__xludf.DUMMYFUNCTION("""COMPUTED_VALUE"""),"DEN")</f>
        <v>DEN</v>
      </c>
      <c r="C31" s="2">
        <f ca="1">IFERROR(__xludf.DUMMYFUNCTION("""COMPUTED_VALUE"""),-16)</f>
        <v>-16</v>
      </c>
      <c r="D31" s="2">
        <f ca="1">IFERROR(__xludf.DUMMYFUNCTION("""COMPUTED_VALUE"""),30)</f>
        <v>30</v>
      </c>
      <c r="E31" s="3">
        <f ca="1">IFERROR(__xludf.DUMMYFUNCTION("""COMPUTED_VALUE"""),-0.479)</f>
        <v>-0.47899999999999998</v>
      </c>
      <c r="F31" s="2">
        <f ca="1">IFERROR(__xludf.DUMMYFUNCTION("""COMPUTED_VALUE"""),27)</f>
        <v>27</v>
      </c>
      <c r="G31" s="2">
        <f ca="1">IFERROR(__xludf.DUMMYFUNCTION("""COMPUTED_VALUE"""),5)</f>
        <v>5</v>
      </c>
      <c r="H31" s="2">
        <f ca="1">IFERROR(__xludf.DUMMYFUNCTION("""COMPUTED_VALUE"""),29)</f>
        <v>29</v>
      </c>
      <c r="I31" s="2">
        <f ca="1">IFERROR(__xludf.DUMMYFUNCTION("""COMPUTED_VALUE"""),-2)</f>
        <v>-2</v>
      </c>
      <c r="J31" s="2">
        <f ca="1">IFERROR(__xludf.DUMMYFUNCTION("""COMPUTED_VALUE"""),0)</f>
        <v>0</v>
      </c>
      <c r="K31" s="5">
        <f ca="1">IFERROR(__xludf.DUMMYFUNCTION("""COMPUTED_VALUE"""),0.4)</f>
        <v>0.4</v>
      </c>
      <c r="L31" s="2">
        <f ca="1">IFERROR(__xludf.DUMMYFUNCTION("""COMPUTED_VALUE"""),0)</f>
        <v>0</v>
      </c>
      <c r="M31" s="2" t="str">
        <f ca="1">IFERROR(__xludf.DUMMYFUNCTION("""COMPUTED_VALUE"""),"0/0")</f>
        <v>0/0</v>
      </c>
    </row>
    <row r="32" spans="1:13" x14ac:dyDescent="0.2">
      <c r="A32" s="2" t="str">
        <f ca="1">IFERROR(__xludf.DUMMYFUNCTION("""COMPUTED_VALUE"""),"O.J.Howard")</f>
        <v>O.J.Howard</v>
      </c>
      <c r="B32" s="2" t="str">
        <f ca="1">IFERROR(__xludf.DUMMYFUNCTION("""COMPUTED_VALUE"""),"TB")</f>
        <v>TB</v>
      </c>
      <c r="C32" s="2">
        <f ca="1">IFERROR(__xludf.DUMMYFUNCTION("""COMPUTED_VALUE"""),-24)</f>
        <v>-24</v>
      </c>
      <c r="D32" s="2">
        <f ca="1">IFERROR(__xludf.DUMMYFUNCTION("""COMPUTED_VALUE"""),31)</f>
        <v>31</v>
      </c>
      <c r="E32" s="3">
        <f ca="1">IFERROR(__xludf.DUMMYFUNCTION("""COMPUTED_VALUE"""),-0.747)</f>
        <v>-0.747</v>
      </c>
      <c r="F32" s="2">
        <f ca="1">IFERROR(__xludf.DUMMYFUNCTION("""COMPUTED_VALUE"""),32)</f>
        <v>32</v>
      </c>
      <c r="G32" s="2">
        <f ca="1">IFERROR(__xludf.DUMMYFUNCTION("""COMPUTED_VALUE"""),5)</f>
        <v>5</v>
      </c>
      <c r="H32" s="2">
        <f ca="1">IFERROR(__xludf.DUMMYFUNCTION("""COMPUTED_VALUE"""),32)</f>
        <v>32</v>
      </c>
      <c r="I32" s="2">
        <f ca="1">IFERROR(__xludf.DUMMYFUNCTION("""COMPUTED_VALUE"""),-22)</f>
        <v>-22</v>
      </c>
      <c r="J32" s="2">
        <f ca="1">IFERROR(__xludf.DUMMYFUNCTION("""COMPUTED_VALUE"""),0)</f>
        <v>0</v>
      </c>
      <c r="K32" s="5">
        <f ca="1">IFERROR(__xludf.DUMMYFUNCTION("""COMPUTED_VALUE"""),0.8)</f>
        <v>0.8</v>
      </c>
      <c r="L32" s="2">
        <f ca="1">IFERROR(__xludf.DUMMYFUNCTION("""COMPUTED_VALUE"""),1)</f>
        <v>1</v>
      </c>
      <c r="M32" s="2" t="str">
        <f ca="1">IFERROR(__xludf.DUMMYFUNCTION("""COMPUTED_VALUE"""),"0/0")</f>
        <v>0/0</v>
      </c>
    </row>
    <row r="33" spans="1:13" x14ac:dyDescent="0.2">
      <c r="A33" s="2" t="str">
        <f ca="1">IFERROR(__xludf.DUMMYFUNCTION("""COMPUTED_VALUE"""),"G.Olsen")</f>
        <v>G.Olsen</v>
      </c>
      <c r="B33" s="2" t="str">
        <f ca="1">IFERROR(__xludf.DUMMYFUNCTION("""COMPUTED_VALUE"""),"CAR")</f>
        <v>CAR</v>
      </c>
      <c r="C33" s="2">
        <f ca="1">IFERROR(__xludf.DUMMYFUNCTION("""COMPUTED_VALUE"""),-28)</f>
        <v>-28</v>
      </c>
      <c r="D33" s="2">
        <f ca="1">IFERROR(__xludf.DUMMYFUNCTION("""COMPUTED_VALUE"""),32)</f>
        <v>32</v>
      </c>
      <c r="E33" s="3">
        <f ca="1">IFERROR(__xludf.DUMMYFUNCTION("""COMPUTED_VALUE"""),-0.54)</f>
        <v>-0.54</v>
      </c>
      <c r="F33" s="2">
        <f ca="1">IFERROR(__xludf.DUMMYFUNCTION("""COMPUTED_VALUE"""),29)</f>
        <v>29</v>
      </c>
      <c r="G33" s="2">
        <f ca="1">IFERROR(__xludf.DUMMYFUNCTION("""COMPUTED_VALUE"""),9)</f>
        <v>9</v>
      </c>
      <c r="H33" s="2">
        <f ca="1">IFERROR(__xludf.DUMMYFUNCTION("""COMPUTED_VALUE"""),36)</f>
        <v>36</v>
      </c>
      <c r="I33" s="2">
        <f ca="1">IFERROR(__xludf.DUMMYFUNCTION("""COMPUTED_VALUE"""),-11)</f>
        <v>-11</v>
      </c>
      <c r="J33" s="2">
        <f ca="1">IFERROR(__xludf.DUMMYFUNCTION("""COMPUTED_VALUE"""),0)</f>
        <v>0</v>
      </c>
      <c r="K33" s="5">
        <f ca="1">IFERROR(__xludf.DUMMYFUNCTION("""COMPUTED_VALUE"""),0.44)</f>
        <v>0.44</v>
      </c>
      <c r="L33" s="2">
        <f ca="1">IFERROR(__xludf.DUMMYFUNCTION("""COMPUTED_VALUE"""),0)</f>
        <v>0</v>
      </c>
      <c r="M33" s="2" t="str">
        <f ca="1">IFERROR(__xludf.DUMMYFUNCTION("""COMPUTED_VALUE"""),"0/0")</f>
        <v>0/0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Right="0"/>
  </sheetPr>
  <dimension ref="A1:T1000"/>
  <sheetViews>
    <sheetView tabSelected="1" workbookViewId="0">
      <selection activeCell="H19" sqref="H19"/>
    </sheetView>
  </sheetViews>
  <sheetFormatPr defaultColWidth="14.42578125" defaultRowHeight="15.75" customHeight="1" outlineLevelRow="1" x14ac:dyDescent="0.2"/>
  <sheetData>
    <row r="1" spans="1:20" outlineLevel="1" x14ac:dyDescent="0.2">
      <c r="A1" s="2" t="str">
        <f ca="1">IFERROR(__xludf.DUMMYFUNCTION("IMPORTHTML(""https://www.footballoutsiders.com/stats/drivestatsoff/2019"", ""table"", 1)"),"*Team*")</f>
        <v>*Team*</v>
      </c>
      <c r="B1" s="2" t="str">
        <f ca="1">IFERROR(__xludf.DUMMYFUNCTION("""COMPUTED_VALUE"""),"*Drives*")</f>
        <v>*Drives*</v>
      </c>
      <c r="C1" s="2" t="str">
        <f ca="1">IFERROR(__xludf.DUMMYFUNCTION("""COMPUTED_VALUE"""),"*Yds/Dr*")</f>
        <v>*Yds/Dr*</v>
      </c>
      <c r="D1" s="2" t="str">
        <f ca="1">IFERROR(__xludf.DUMMYFUNCTION("""COMPUTED_VALUE"""),"*RK*")</f>
        <v>*RK*</v>
      </c>
      <c r="E1" s="2" t="str">
        <f ca="1">IFERROR(__xludf.DUMMYFUNCTION("""COMPUTED_VALUE"""),"*Pts/Dr*")</f>
        <v>*Pts/Dr*</v>
      </c>
      <c r="F1" s="2" t="str">
        <f ca="1">IFERROR(__xludf.DUMMYFUNCTION("""COMPUTED_VALUE"""),"*RK*")</f>
        <v>*RK*</v>
      </c>
      <c r="G1" s="2" t="str">
        <f ca="1">IFERROR(__xludf.DUMMYFUNCTION("""COMPUTED_VALUE"""),"*TO/Dr*")</f>
        <v>*TO/Dr*</v>
      </c>
      <c r="H1" s="6" t="str">
        <f ca="1">IFERROR(__xludf.DUMMYFUNCTION("""COMPUTED_VALUE"""),"*RK*")</f>
        <v>*RK*</v>
      </c>
      <c r="I1" s="2" t="str">
        <f ca="1">IFERROR(__xludf.DUMMYFUNCTION("""COMPUTED_VALUE"""),"*INT/Dr*")</f>
        <v>*INT/Dr*</v>
      </c>
      <c r="J1" s="2" t="str">
        <f ca="1">IFERROR(__xludf.DUMMYFUNCTION("""COMPUTED_VALUE"""),"*RK*")</f>
        <v>*RK*</v>
      </c>
      <c r="K1" s="2" t="str">
        <f ca="1">IFERROR(__xludf.DUMMYFUNCTION("""COMPUTED_VALUE"""),"*FUM/Dr*")</f>
        <v>*FUM/Dr*</v>
      </c>
      <c r="L1" s="2" t="str">
        <f ca="1">IFERROR(__xludf.DUMMYFUNCTION("""COMPUTED_VALUE"""),"*RK*")</f>
        <v>*RK*</v>
      </c>
      <c r="M1" s="2" t="str">
        <f ca="1">IFERROR(__xludf.DUMMYFUNCTION("""COMPUTED_VALUE"""),"*LOS/Dr*")</f>
        <v>*LOS/Dr*</v>
      </c>
      <c r="N1" s="2" t="str">
        <f ca="1">IFERROR(__xludf.DUMMYFUNCTION("""COMPUTED_VALUE"""),"*RK*")</f>
        <v>*RK*</v>
      </c>
      <c r="O1" s="2" t="str">
        <f ca="1">IFERROR(__xludf.DUMMYFUNCTION("""COMPUTED_VALUE"""),"*Plays/Dr*")</f>
        <v>*Plays/Dr*</v>
      </c>
      <c r="P1" s="2" t="str">
        <f ca="1">IFERROR(__xludf.DUMMYFUNCTION("""COMPUTED_VALUE"""),"*RK*")</f>
        <v>*RK*</v>
      </c>
      <c r="Q1" s="2" t="str">
        <f ca="1">IFERROR(__xludf.DUMMYFUNCTION("""COMPUTED_VALUE"""),"*TOP/Dr*")</f>
        <v>*TOP/Dr*</v>
      </c>
      <c r="R1" s="2" t="str">
        <f ca="1">IFERROR(__xludf.DUMMYFUNCTION("""COMPUTED_VALUE"""),"*RK*")</f>
        <v>*RK*</v>
      </c>
      <c r="S1" s="2" t="str">
        <f ca="1">IFERROR(__xludf.DUMMYFUNCTION("""COMPUTED_VALUE"""),"*DSR*")</f>
        <v>*DSR*</v>
      </c>
      <c r="T1" s="2" t="str">
        <f ca="1">IFERROR(__xludf.DUMMYFUNCTION("""COMPUTED_VALUE"""),"*RK*")</f>
        <v>*RK*</v>
      </c>
    </row>
    <row r="2" spans="1:20" x14ac:dyDescent="0.2">
      <c r="A2" s="2" t="str">
        <f ca="1">IFERROR(__xludf.DUMMYFUNCTION("""COMPUTED_VALUE"""),"BAL")</f>
        <v>BAL</v>
      </c>
      <c r="B2" s="2">
        <f ca="1">IFERROR(__xludf.DUMMYFUNCTION("""COMPUTED_VALUE"""),11)</f>
        <v>11</v>
      </c>
      <c r="C2" s="2" t="str">
        <f ca="1">IFERROR(__xludf.DUMMYFUNCTION("""COMPUTED_VALUE"""),"*59.82*")</f>
        <v>*59.82*</v>
      </c>
      <c r="D2" s="2">
        <f ca="1">IFERROR(__xludf.DUMMYFUNCTION("""COMPUTED_VALUE"""),1)</f>
        <v>1</v>
      </c>
      <c r="E2" s="2" t="str">
        <f ca="1">IFERROR(__xludf.DUMMYFUNCTION("""COMPUTED_VALUE"""),"*5.36*")</f>
        <v>*5.36*</v>
      </c>
      <c r="F2" s="2">
        <f ca="1">IFERROR(__xludf.DUMMYFUNCTION("""COMPUTED_VALUE"""),1)</f>
        <v>1</v>
      </c>
      <c r="G2" s="2" t="str">
        <f ca="1">IFERROR(__xludf.DUMMYFUNCTION("""COMPUTED_VALUE"""),"*.000*")</f>
        <v>*.000*</v>
      </c>
      <c r="H2" s="6">
        <f ca="1">IFERROR(__xludf.DUMMYFUNCTION("""COMPUTED_VALUE"""),1)</f>
        <v>1</v>
      </c>
      <c r="I2" s="2" t="str">
        <f ca="1">IFERROR(__xludf.DUMMYFUNCTION("""COMPUTED_VALUE"""),"*.000*")</f>
        <v>*.000*</v>
      </c>
      <c r="J2" s="2">
        <f ca="1">IFERROR(__xludf.DUMMYFUNCTION("""COMPUTED_VALUE"""),1)</f>
        <v>1</v>
      </c>
      <c r="K2" s="2">
        <f ca="1">IFERROR(__xludf.DUMMYFUNCTION("""COMPUTED_VALUE"""),0)</f>
        <v>0</v>
      </c>
      <c r="L2" s="2">
        <f ca="1">IFERROR(__xludf.DUMMYFUNCTION("""COMPUTED_VALUE"""),2)</f>
        <v>2</v>
      </c>
      <c r="M2" s="2">
        <f ca="1">IFERROR(__xludf.DUMMYFUNCTION("""COMPUTED_VALUE"""),32.18)</f>
        <v>32.18</v>
      </c>
      <c r="N2" s="2">
        <f ca="1">IFERROR(__xludf.DUMMYFUNCTION("""COMPUTED_VALUE"""),4)</f>
        <v>4</v>
      </c>
      <c r="O2" s="2">
        <f ca="1">IFERROR(__xludf.DUMMYFUNCTION("""COMPUTED_VALUE"""),6.64)</f>
        <v>6.64</v>
      </c>
      <c r="P2" s="2">
        <f ca="1">IFERROR(__xludf.DUMMYFUNCTION("""COMPUTED_VALUE"""),12)</f>
        <v>12</v>
      </c>
      <c r="Q2" s="7">
        <f ca="1">IFERROR(__xludf.DUMMYFUNCTION("""COMPUTED_VALUE"""),0.151388888888888)</f>
        <v>0.15138888888888799</v>
      </c>
      <c r="R2" s="2">
        <f ca="1">IFERROR(__xludf.DUMMYFUNCTION("""COMPUTED_VALUE"""),4)</f>
        <v>4</v>
      </c>
      <c r="S2" s="2" t="str">
        <f ca="1">IFERROR(__xludf.DUMMYFUNCTION("""COMPUTED_VALUE"""),"*.912*")</f>
        <v>*.912*</v>
      </c>
      <c r="T2" s="2">
        <f ca="1">IFERROR(__xludf.DUMMYFUNCTION("""COMPUTED_VALUE"""),1)</f>
        <v>1</v>
      </c>
    </row>
    <row r="3" spans="1:20" x14ac:dyDescent="0.2">
      <c r="A3" s="2" t="str">
        <f ca="1">IFERROR(__xludf.DUMMYFUNCTION("""COMPUTED_VALUE"""),"DAL")</f>
        <v>DAL</v>
      </c>
      <c r="B3" s="2">
        <f ca="1">IFERROR(__xludf.DUMMYFUNCTION("""COMPUTED_VALUE"""),9)</f>
        <v>9</v>
      </c>
      <c r="C3" s="2">
        <f ca="1">IFERROR(__xludf.DUMMYFUNCTION("""COMPUTED_VALUE"""),51.22)</f>
        <v>51.22</v>
      </c>
      <c r="D3" s="2">
        <f ca="1">IFERROR(__xludf.DUMMYFUNCTION("""COMPUTED_VALUE"""),2)</f>
        <v>2</v>
      </c>
      <c r="E3" s="2">
        <f ca="1">IFERROR(__xludf.DUMMYFUNCTION("""COMPUTED_VALUE"""),3.89)</f>
        <v>3.89</v>
      </c>
      <c r="F3" s="2">
        <f ca="1">IFERROR(__xludf.DUMMYFUNCTION("""COMPUTED_VALUE"""),3)</f>
        <v>3</v>
      </c>
      <c r="G3" s="2">
        <f ca="1">IFERROR(__xludf.DUMMYFUNCTION("""COMPUTED_VALUE"""),0)</f>
        <v>0</v>
      </c>
      <c r="H3" s="6">
        <f ca="1">IFERROR(__xludf.DUMMYFUNCTION("""COMPUTED_VALUE"""),2)</f>
        <v>2</v>
      </c>
      <c r="I3" s="2">
        <f ca="1">IFERROR(__xludf.DUMMYFUNCTION("""COMPUTED_VALUE"""),0)</f>
        <v>0</v>
      </c>
      <c r="J3" s="2">
        <f ca="1">IFERROR(__xludf.DUMMYFUNCTION("""COMPUTED_VALUE"""),3)</f>
        <v>3</v>
      </c>
      <c r="K3" s="2">
        <f ca="1">IFERROR(__xludf.DUMMYFUNCTION("""COMPUTED_VALUE"""),0)</f>
        <v>0</v>
      </c>
      <c r="L3" s="2">
        <f ca="1">IFERROR(__xludf.DUMMYFUNCTION("""COMPUTED_VALUE"""),5)</f>
        <v>5</v>
      </c>
      <c r="M3" s="2">
        <f ca="1">IFERROR(__xludf.DUMMYFUNCTION("""COMPUTED_VALUE"""),22)</f>
        <v>22</v>
      </c>
      <c r="N3" s="2">
        <f ca="1">IFERROR(__xludf.DUMMYFUNCTION("""COMPUTED_VALUE"""),28)</f>
        <v>28</v>
      </c>
      <c r="O3" s="2">
        <f ca="1">IFERROR(__xludf.DUMMYFUNCTION("""COMPUTED_VALUE"""),6.67)</f>
        <v>6.67</v>
      </c>
      <c r="P3" s="2">
        <f ca="1">IFERROR(__xludf.DUMMYFUNCTION("""COMPUTED_VALUE"""),10)</f>
        <v>10</v>
      </c>
      <c r="Q3" s="7">
        <f ca="1">IFERROR(__xludf.DUMMYFUNCTION("""COMPUTED_VALUE"""),0.14375)</f>
        <v>0.14374999999999999</v>
      </c>
      <c r="R3" s="2">
        <f ca="1">IFERROR(__xludf.DUMMYFUNCTION("""COMPUTED_VALUE"""),6)</f>
        <v>6</v>
      </c>
      <c r="S3" s="2">
        <f ca="1">IFERROR(__xludf.DUMMYFUNCTION("""COMPUTED_VALUE"""),0.852)</f>
        <v>0.85199999999999998</v>
      </c>
      <c r="T3" s="2">
        <f ca="1">IFERROR(__xludf.DUMMYFUNCTION("""COMPUTED_VALUE"""),2)</f>
        <v>2</v>
      </c>
    </row>
    <row r="4" spans="1:20" x14ac:dyDescent="0.2">
      <c r="A4" s="2" t="str">
        <f ca="1">IFERROR(__xludf.DUMMYFUNCTION("""COMPUTED_VALUE"""),"NO")</f>
        <v>NO</v>
      </c>
      <c r="B4" s="2">
        <f ca="1">IFERROR(__xludf.DUMMYFUNCTION("""COMPUTED_VALUE"""),10)</f>
        <v>10</v>
      </c>
      <c r="C4" s="2">
        <f ca="1">IFERROR(__xludf.DUMMYFUNCTION("""COMPUTED_VALUE"""),50.2)</f>
        <v>50.2</v>
      </c>
      <c r="D4" s="2">
        <f ca="1">IFERROR(__xludf.DUMMYFUNCTION("""COMPUTED_VALUE"""),3)</f>
        <v>3</v>
      </c>
      <c r="E4" s="2">
        <f ca="1">IFERROR(__xludf.DUMMYFUNCTION("""COMPUTED_VALUE"""),3)</f>
        <v>3</v>
      </c>
      <c r="F4" s="2">
        <f ca="1">IFERROR(__xludf.DUMMYFUNCTION("""COMPUTED_VALUE"""),9)</f>
        <v>9</v>
      </c>
      <c r="G4" s="2">
        <f ca="1">IFERROR(__xludf.DUMMYFUNCTION("""COMPUTED_VALUE"""),0.1)</f>
        <v>0.1</v>
      </c>
      <c r="H4" s="6">
        <f ca="1">IFERROR(__xludf.DUMMYFUNCTION("""COMPUTED_VALUE"""),20)</f>
        <v>20</v>
      </c>
      <c r="I4" s="2">
        <f ca="1">IFERROR(__xludf.DUMMYFUNCTION("""COMPUTED_VALUE"""),0.1)</f>
        <v>0.1</v>
      </c>
      <c r="J4" s="2">
        <f ca="1">IFERROR(__xludf.DUMMYFUNCTION("""COMPUTED_VALUE"""),24)</f>
        <v>24</v>
      </c>
      <c r="K4" s="2">
        <f ca="1">IFERROR(__xludf.DUMMYFUNCTION("""COMPUTED_VALUE"""),0)</f>
        <v>0</v>
      </c>
      <c r="L4" s="2">
        <f ca="1">IFERROR(__xludf.DUMMYFUNCTION("""COMPUTED_VALUE"""),16)</f>
        <v>16</v>
      </c>
      <c r="M4" s="2">
        <f ca="1">IFERROR(__xludf.DUMMYFUNCTION("""COMPUTED_VALUE"""),26.4)</f>
        <v>26.4</v>
      </c>
      <c r="N4" s="2">
        <f ca="1">IFERROR(__xludf.DUMMYFUNCTION("""COMPUTED_VALUE"""),20)</f>
        <v>20</v>
      </c>
      <c r="O4" s="2">
        <f ca="1">IFERROR(__xludf.DUMMYFUNCTION("""COMPUTED_VALUE"""),6.9)</f>
        <v>6.9</v>
      </c>
      <c r="P4" s="2">
        <f ca="1">IFERROR(__xludf.DUMMYFUNCTION("""COMPUTED_VALUE"""),5)</f>
        <v>5</v>
      </c>
      <c r="Q4" s="7">
        <f ca="1">IFERROR(__xludf.DUMMYFUNCTION("""COMPUTED_VALUE"""),0.125694444444444)</f>
        <v>0.125694444444444</v>
      </c>
      <c r="R4" s="2">
        <f ca="1">IFERROR(__xludf.DUMMYFUNCTION("""COMPUTED_VALUE"""),14)</f>
        <v>14</v>
      </c>
      <c r="S4" s="2">
        <f ca="1">IFERROR(__xludf.DUMMYFUNCTION("""COMPUTED_VALUE"""),0.781)</f>
        <v>0.78100000000000003</v>
      </c>
      <c r="T4" s="2">
        <f ca="1">IFERROR(__xludf.DUMMYFUNCTION("""COMPUTED_VALUE"""),10)</f>
        <v>10</v>
      </c>
    </row>
    <row r="5" spans="1:20" x14ac:dyDescent="0.2">
      <c r="A5" s="2" t="str">
        <f ca="1">IFERROR(__xludf.DUMMYFUNCTION("""COMPUTED_VALUE"""),"KC")</f>
        <v>KC</v>
      </c>
      <c r="B5" s="2">
        <f ca="1">IFERROR(__xludf.DUMMYFUNCTION("""COMPUTED_VALUE"""),10)</f>
        <v>10</v>
      </c>
      <c r="C5" s="2">
        <f ca="1">IFERROR(__xludf.DUMMYFUNCTION("""COMPUTED_VALUE"""),48.7)</f>
        <v>48.7</v>
      </c>
      <c r="D5" s="2">
        <f ca="1">IFERROR(__xludf.DUMMYFUNCTION("""COMPUTED_VALUE"""),4)</f>
        <v>4</v>
      </c>
      <c r="E5" s="2">
        <f ca="1">IFERROR(__xludf.DUMMYFUNCTION("""COMPUTED_VALUE"""),4)</f>
        <v>4</v>
      </c>
      <c r="F5" s="2">
        <f ca="1">IFERROR(__xludf.DUMMYFUNCTION("""COMPUTED_VALUE"""),2)</f>
        <v>2</v>
      </c>
      <c r="G5" s="2">
        <f ca="1">IFERROR(__xludf.DUMMYFUNCTION("""COMPUTED_VALUE"""),0)</f>
        <v>0</v>
      </c>
      <c r="H5" s="6">
        <f ca="1">IFERROR(__xludf.DUMMYFUNCTION("""COMPUTED_VALUE"""),6)</f>
        <v>6</v>
      </c>
      <c r="I5" s="2">
        <f ca="1">IFERROR(__xludf.DUMMYFUNCTION("""COMPUTED_VALUE"""),0)</f>
        <v>0</v>
      </c>
      <c r="J5" s="2">
        <f ca="1">IFERROR(__xludf.DUMMYFUNCTION("""COMPUTED_VALUE"""),8)</f>
        <v>8</v>
      </c>
      <c r="K5" s="2">
        <f ca="1">IFERROR(__xludf.DUMMYFUNCTION("""COMPUTED_VALUE"""),0)</f>
        <v>0</v>
      </c>
      <c r="L5" s="2">
        <f ca="1">IFERROR(__xludf.DUMMYFUNCTION("""COMPUTED_VALUE"""),10)</f>
        <v>10</v>
      </c>
      <c r="M5" s="2" t="str">
        <f ca="1">IFERROR(__xludf.DUMMYFUNCTION("""COMPUTED_VALUE"""),"*38.40*")</f>
        <v>*38.40*</v>
      </c>
      <c r="N5" s="2">
        <f ca="1">IFERROR(__xludf.DUMMYFUNCTION("""COMPUTED_VALUE"""),1)</f>
        <v>1</v>
      </c>
      <c r="O5" s="2">
        <f ca="1">IFERROR(__xludf.DUMMYFUNCTION("""COMPUTED_VALUE"""),6.4)</f>
        <v>6.4</v>
      </c>
      <c r="P5" s="2">
        <f ca="1">IFERROR(__xludf.DUMMYFUNCTION("""COMPUTED_VALUE"""),15)</f>
        <v>15</v>
      </c>
      <c r="Q5" s="7">
        <f ca="1">IFERROR(__xludf.DUMMYFUNCTION("""COMPUTED_VALUE"""),0.130555555555555)</f>
        <v>0.13055555555555501</v>
      </c>
      <c r="R5" s="2">
        <f ca="1">IFERROR(__xludf.DUMMYFUNCTION("""COMPUTED_VALUE"""),12)</f>
        <v>12</v>
      </c>
      <c r="S5" s="2">
        <f ca="1">IFERROR(__xludf.DUMMYFUNCTION("""COMPUTED_VALUE"""),0.8)</f>
        <v>0.8</v>
      </c>
      <c r="T5" s="2">
        <f ca="1">IFERROR(__xludf.DUMMYFUNCTION("""COMPUTED_VALUE"""),6)</f>
        <v>6</v>
      </c>
    </row>
    <row r="6" spans="1:20" x14ac:dyDescent="0.2">
      <c r="A6" s="2" t="str">
        <f ca="1">IFERROR(__xludf.DUMMYFUNCTION("""COMPUTED_VALUE"""),"LAC")</f>
        <v>LAC</v>
      </c>
      <c r="B6" s="2">
        <f ca="1">IFERROR(__xludf.DUMMYFUNCTION("""COMPUTED_VALUE"""),9)</f>
        <v>9</v>
      </c>
      <c r="C6" s="2">
        <f ca="1">IFERROR(__xludf.DUMMYFUNCTION("""COMPUTED_VALUE"""),47.67)</f>
        <v>47.67</v>
      </c>
      <c r="D6" s="2">
        <f ca="1">IFERROR(__xludf.DUMMYFUNCTION("""COMPUTED_VALUE"""),5)</f>
        <v>5</v>
      </c>
      <c r="E6" s="2">
        <f ca="1">IFERROR(__xludf.DUMMYFUNCTION("""COMPUTED_VALUE"""),3.33)</f>
        <v>3.33</v>
      </c>
      <c r="F6" s="2">
        <f ca="1">IFERROR(__xludf.DUMMYFUNCTION("""COMPUTED_VALUE"""),5)</f>
        <v>5</v>
      </c>
      <c r="G6" s="2">
        <f ca="1">IFERROR(__xludf.DUMMYFUNCTION("""COMPUTED_VALUE"""),0.111)</f>
        <v>0.111</v>
      </c>
      <c r="H6" s="6">
        <f ca="1">IFERROR(__xludf.DUMMYFUNCTION("""COMPUTED_VALUE"""),22)</f>
        <v>22</v>
      </c>
      <c r="I6" s="2">
        <f ca="1">IFERROR(__xludf.DUMMYFUNCTION("""COMPUTED_VALUE"""),0.111)</f>
        <v>0.111</v>
      </c>
      <c r="J6" s="2">
        <f ca="1">IFERROR(__xludf.DUMMYFUNCTION("""COMPUTED_VALUE"""),26)</f>
        <v>26</v>
      </c>
      <c r="K6" s="2">
        <f ca="1">IFERROR(__xludf.DUMMYFUNCTION("""COMPUTED_VALUE"""),0)</f>
        <v>0</v>
      </c>
      <c r="L6" s="2">
        <f ca="1">IFERROR(__xludf.DUMMYFUNCTION("""COMPUTED_VALUE"""),11)</f>
        <v>11</v>
      </c>
      <c r="M6" s="2">
        <f ca="1">IFERROR(__xludf.DUMMYFUNCTION("""COMPUTED_VALUE"""),30)</f>
        <v>30</v>
      </c>
      <c r="N6" s="2">
        <f ca="1">IFERROR(__xludf.DUMMYFUNCTION("""COMPUTED_VALUE"""),7)</f>
        <v>7</v>
      </c>
      <c r="O6" s="2">
        <f ca="1">IFERROR(__xludf.DUMMYFUNCTION("""COMPUTED_VALUE"""),6.67)</f>
        <v>6.67</v>
      </c>
      <c r="P6" s="2">
        <f ca="1">IFERROR(__xludf.DUMMYFUNCTION("""COMPUTED_VALUE"""),11)</f>
        <v>11</v>
      </c>
      <c r="Q6" s="7">
        <f ca="1">IFERROR(__xludf.DUMMYFUNCTION("""COMPUTED_VALUE"""),0.152083333333333)</f>
        <v>0.15208333333333299</v>
      </c>
      <c r="R6" s="2">
        <f ca="1">IFERROR(__xludf.DUMMYFUNCTION("""COMPUTED_VALUE"""),3)</f>
        <v>3</v>
      </c>
      <c r="S6" s="2">
        <f ca="1">IFERROR(__xludf.DUMMYFUNCTION("""COMPUTED_VALUE"""),0.833)</f>
        <v>0.83299999999999996</v>
      </c>
      <c r="T6" s="2">
        <f ca="1">IFERROR(__xludf.DUMMYFUNCTION("""COMPUTED_VALUE"""),3)</f>
        <v>3</v>
      </c>
    </row>
    <row r="7" spans="1:20" x14ac:dyDescent="0.2">
      <c r="A7" s="2" t="str">
        <f ca="1">IFERROR(__xludf.DUMMYFUNCTION("""COMPUTED_VALUE"""),"NE")</f>
        <v>NE</v>
      </c>
      <c r="B7" s="2">
        <f ca="1">IFERROR(__xludf.DUMMYFUNCTION("""COMPUTED_VALUE"""),10)</f>
        <v>10</v>
      </c>
      <c r="C7" s="2">
        <f ca="1">IFERROR(__xludf.DUMMYFUNCTION("""COMPUTED_VALUE"""),44.4)</f>
        <v>44.4</v>
      </c>
      <c r="D7" s="2">
        <f ca="1">IFERROR(__xludf.DUMMYFUNCTION("""COMPUTED_VALUE"""),6)</f>
        <v>6</v>
      </c>
      <c r="E7" s="2">
        <f ca="1">IFERROR(__xludf.DUMMYFUNCTION("""COMPUTED_VALUE"""),3.3)</f>
        <v>3.3</v>
      </c>
      <c r="F7" s="2">
        <f ca="1">IFERROR(__xludf.DUMMYFUNCTION("""COMPUTED_VALUE"""),6)</f>
        <v>6</v>
      </c>
      <c r="G7" s="2">
        <f ca="1">IFERROR(__xludf.DUMMYFUNCTION("""COMPUTED_VALUE"""),0)</f>
        <v>0</v>
      </c>
      <c r="H7" s="6">
        <f ca="1">IFERROR(__xludf.DUMMYFUNCTION("""COMPUTED_VALUE"""),8)</f>
        <v>8</v>
      </c>
      <c r="I7" s="2">
        <f ca="1">IFERROR(__xludf.DUMMYFUNCTION("""COMPUTED_VALUE"""),0)</f>
        <v>0</v>
      </c>
      <c r="J7" s="2">
        <f ca="1">IFERROR(__xludf.DUMMYFUNCTION("""COMPUTED_VALUE"""),10)</f>
        <v>10</v>
      </c>
      <c r="K7" s="2">
        <f ca="1">IFERROR(__xludf.DUMMYFUNCTION("""COMPUTED_VALUE"""),0)</f>
        <v>0</v>
      </c>
      <c r="L7" s="2">
        <f ca="1">IFERROR(__xludf.DUMMYFUNCTION("""COMPUTED_VALUE"""),15)</f>
        <v>15</v>
      </c>
      <c r="M7" s="2">
        <f ca="1">IFERROR(__xludf.DUMMYFUNCTION("""COMPUTED_VALUE"""),27.8)</f>
        <v>27.8</v>
      </c>
      <c r="N7" s="2">
        <f ca="1">IFERROR(__xludf.DUMMYFUNCTION("""COMPUTED_VALUE"""),15)</f>
        <v>15</v>
      </c>
      <c r="O7" s="2">
        <f ca="1">IFERROR(__xludf.DUMMYFUNCTION("""COMPUTED_VALUE"""),7.1)</f>
        <v>7.1</v>
      </c>
      <c r="P7" s="2">
        <f ca="1">IFERROR(__xludf.DUMMYFUNCTION("""COMPUTED_VALUE"""),4)</f>
        <v>4</v>
      </c>
      <c r="Q7" s="7">
        <f ca="1">IFERROR(__xludf.DUMMYFUNCTION("""COMPUTED_VALUE"""),0.135416666666666)</f>
        <v>0.13541666666666599</v>
      </c>
      <c r="R7" s="2">
        <f ca="1">IFERROR(__xludf.DUMMYFUNCTION("""COMPUTED_VALUE"""),9)</f>
        <v>9</v>
      </c>
      <c r="S7" s="2">
        <f ca="1">IFERROR(__xludf.DUMMYFUNCTION("""COMPUTED_VALUE"""),0.774)</f>
        <v>0.77400000000000002</v>
      </c>
      <c r="T7" s="2">
        <f ca="1">IFERROR(__xludf.DUMMYFUNCTION("""COMPUTED_VALUE"""),11)</f>
        <v>11</v>
      </c>
    </row>
    <row r="8" spans="1:20" x14ac:dyDescent="0.2">
      <c r="A8" s="2" t="str">
        <f ca="1">IFERROR(__xludf.DUMMYFUNCTION("""COMPUTED_VALUE"""),"PHI")</f>
        <v>PHI</v>
      </c>
      <c r="B8" s="2">
        <f ca="1">IFERROR(__xludf.DUMMYFUNCTION("""COMPUTED_VALUE"""),9)</f>
        <v>9</v>
      </c>
      <c r="C8" s="2">
        <f ca="1">IFERROR(__xludf.DUMMYFUNCTION("""COMPUTED_VALUE"""),44.11)</f>
        <v>44.11</v>
      </c>
      <c r="D8" s="2">
        <f ca="1">IFERROR(__xludf.DUMMYFUNCTION("""COMPUTED_VALUE"""),7)</f>
        <v>7</v>
      </c>
      <c r="E8" s="2">
        <f ca="1">IFERROR(__xludf.DUMMYFUNCTION("""COMPUTED_VALUE"""),3.56)</f>
        <v>3.56</v>
      </c>
      <c r="F8" s="2">
        <f ca="1">IFERROR(__xludf.DUMMYFUNCTION("""COMPUTED_VALUE"""),4)</f>
        <v>4</v>
      </c>
      <c r="G8" s="2">
        <f ca="1">IFERROR(__xludf.DUMMYFUNCTION("""COMPUTED_VALUE"""),0)</f>
        <v>0</v>
      </c>
      <c r="H8" s="6">
        <f ca="1">IFERROR(__xludf.DUMMYFUNCTION("""COMPUTED_VALUE"""),10)</f>
        <v>10</v>
      </c>
      <c r="I8" s="2">
        <f ca="1">IFERROR(__xludf.DUMMYFUNCTION("""COMPUTED_VALUE"""),0)</f>
        <v>0</v>
      </c>
      <c r="J8" s="2">
        <f ca="1">IFERROR(__xludf.DUMMYFUNCTION("""COMPUTED_VALUE"""),14)</f>
        <v>14</v>
      </c>
      <c r="K8" s="2">
        <f ca="1">IFERROR(__xludf.DUMMYFUNCTION("""COMPUTED_VALUE"""),0)</f>
        <v>0</v>
      </c>
      <c r="L8" s="2">
        <f ca="1">IFERROR(__xludf.DUMMYFUNCTION("""COMPUTED_VALUE"""),18)</f>
        <v>18</v>
      </c>
      <c r="M8" s="2">
        <f ca="1">IFERROR(__xludf.DUMMYFUNCTION("""COMPUTED_VALUE"""),28.22)</f>
        <v>28.22</v>
      </c>
      <c r="N8" s="2">
        <f ca="1">IFERROR(__xludf.DUMMYFUNCTION("""COMPUTED_VALUE"""),14)</f>
        <v>14</v>
      </c>
      <c r="O8" s="2" t="str">
        <f ca="1">IFERROR(__xludf.DUMMYFUNCTION("""COMPUTED_VALUE"""),"*7.89*")</f>
        <v>*7.89*</v>
      </c>
      <c r="P8" s="2">
        <f ca="1">IFERROR(__xludf.DUMMYFUNCTION("""COMPUTED_VALUE"""),1)</f>
        <v>1</v>
      </c>
      <c r="Q8" s="7">
        <f ca="1">IFERROR(__xludf.DUMMYFUNCTION("""COMPUTED_VALUE"""),0.159027777777777)</f>
        <v>0.15902777777777699</v>
      </c>
      <c r="R8" s="2">
        <f ca="1">IFERROR(__xludf.DUMMYFUNCTION("""COMPUTED_VALUE"""),2)</f>
        <v>2</v>
      </c>
      <c r="S8" s="2">
        <f ca="1">IFERROR(__xludf.DUMMYFUNCTION("""COMPUTED_VALUE"""),0.815)</f>
        <v>0.81499999999999995</v>
      </c>
      <c r="T8" s="2">
        <f ca="1">IFERROR(__xludf.DUMMYFUNCTION("""COMPUTED_VALUE"""),5)</f>
        <v>5</v>
      </c>
    </row>
    <row r="9" spans="1:20" x14ac:dyDescent="0.2">
      <c r="A9" s="2" t="str">
        <f ca="1">IFERROR(__xludf.DUMMYFUNCTION("""COMPUTED_VALUE"""),"NYG")</f>
        <v>NYG</v>
      </c>
      <c r="B9" s="2">
        <f ca="1">IFERROR(__xludf.DUMMYFUNCTION("""COMPUTED_VALUE"""),10)</f>
        <v>10</v>
      </c>
      <c r="C9" s="2">
        <f ca="1">IFERROR(__xludf.DUMMYFUNCTION("""COMPUTED_VALUE"""),43.8)</f>
        <v>43.8</v>
      </c>
      <c r="D9" s="2">
        <f ca="1">IFERROR(__xludf.DUMMYFUNCTION("""COMPUTED_VALUE"""),8)</f>
        <v>8</v>
      </c>
      <c r="E9" s="2">
        <f ca="1">IFERROR(__xludf.DUMMYFUNCTION("""COMPUTED_VALUE"""),1.7)</f>
        <v>1.7</v>
      </c>
      <c r="F9" s="2">
        <f ca="1">IFERROR(__xludf.DUMMYFUNCTION("""COMPUTED_VALUE"""),21)</f>
        <v>21</v>
      </c>
      <c r="G9" s="2">
        <f ca="1">IFERROR(__xludf.DUMMYFUNCTION("""COMPUTED_VALUE"""),0.2)</f>
        <v>0.2</v>
      </c>
      <c r="H9" s="6">
        <f ca="1">IFERROR(__xludf.DUMMYFUNCTION("""COMPUTED_VALUE"""),26)</f>
        <v>26</v>
      </c>
      <c r="I9" s="2">
        <f ca="1">IFERROR(__xludf.DUMMYFUNCTION("""COMPUTED_VALUE"""),0)</f>
        <v>0</v>
      </c>
      <c r="J9" s="2">
        <f ca="1">IFERROR(__xludf.DUMMYFUNCTION("""COMPUTED_VALUE"""),11)</f>
        <v>11</v>
      </c>
      <c r="K9" s="2">
        <f ca="1">IFERROR(__xludf.DUMMYFUNCTION("""COMPUTED_VALUE"""),0.2)</f>
        <v>0.2</v>
      </c>
      <c r="L9" s="2">
        <f ca="1">IFERROR(__xludf.DUMMYFUNCTION("""COMPUTED_VALUE"""),32)</f>
        <v>32</v>
      </c>
      <c r="M9" s="2">
        <f ca="1">IFERROR(__xludf.DUMMYFUNCTION("""COMPUTED_VALUE"""),21.1)</f>
        <v>21.1</v>
      </c>
      <c r="N9" s="2">
        <f ca="1">IFERROR(__xludf.DUMMYFUNCTION("""COMPUTED_VALUE"""),31)</f>
        <v>31</v>
      </c>
      <c r="O9" s="2">
        <f ca="1">IFERROR(__xludf.DUMMYFUNCTION("""COMPUTED_VALUE"""),6.7)</f>
        <v>6.7</v>
      </c>
      <c r="P9" s="2">
        <f ca="1">IFERROR(__xludf.DUMMYFUNCTION("""COMPUTED_VALUE"""),9)</f>
        <v>9</v>
      </c>
      <c r="Q9" s="7">
        <f ca="1">IFERROR(__xludf.DUMMYFUNCTION("""COMPUTED_VALUE"""),0.115277777777777)</f>
        <v>0.11527777777777699</v>
      </c>
      <c r="R9" s="2">
        <f ca="1">IFERROR(__xludf.DUMMYFUNCTION("""COMPUTED_VALUE"""),19)</f>
        <v>19</v>
      </c>
      <c r="S9" s="2">
        <f ca="1">IFERROR(__xludf.DUMMYFUNCTION("""COMPUTED_VALUE"""),0.758)</f>
        <v>0.75800000000000001</v>
      </c>
      <c r="T9" s="2">
        <f ca="1">IFERROR(__xludf.DUMMYFUNCTION("""COMPUTED_VALUE"""),13)</f>
        <v>13</v>
      </c>
    </row>
    <row r="10" spans="1:20" x14ac:dyDescent="0.2">
      <c r="A10" s="2" t="str">
        <f ca="1">IFERROR(__xludf.DUMMYFUNCTION("""COMPUTED_VALUE"""),"HOU")</f>
        <v>HOU</v>
      </c>
      <c r="B10" s="2">
        <f ca="1">IFERROR(__xludf.DUMMYFUNCTION("""COMPUTED_VALUE"""),9)</f>
        <v>9</v>
      </c>
      <c r="C10" s="2">
        <f ca="1">IFERROR(__xludf.DUMMYFUNCTION("""COMPUTED_VALUE"""),43.33)</f>
        <v>43.33</v>
      </c>
      <c r="D10" s="2">
        <f ca="1">IFERROR(__xludf.DUMMYFUNCTION("""COMPUTED_VALUE"""),9)</f>
        <v>9</v>
      </c>
      <c r="E10" s="2">
        <f ca="1">IFERROR(__xludf.DUMMYFUNCTION("""COMPUTED_VALUE"""),3.11)</f>
        <v>3.11</v>
      </c>
      <c r="F10" s="2">
        <f ca="1">IFERROR(__xludf.DUMMYFUNCTION("""COMPUTED_VALUE"""),7)</f>
        <v>7</v>
      </c>
      <c r="G10" s="2">
        <f ca="1">IFERROR(__xludf.DUMMYFUNCTION("""COMPUTED_VALUE"""),0.111)</f>
        <v>0.111</v>
      </c>
      <c r="H10" s="6">
        <f ca="1">IFERROR(__xludf.DUMMYFUNCTION("""COMPUTED_VALUE"""),21)</f>
        <v>21</v>
      </c>
      <c r="I10" s="2">
        <f ca="1">IFERROR(__xludf.DUMMYFUNCTION("""COMPUTED_VALUE"""),0.111)</f>
        <v>0.111</v>
      </c>
      <c r="J10" s="2">
        <f ca="1">IFERROR(__xludf.DUMMYFUNCTION("""COMPUTED_VALUE"""),25)</f>
        <v>25</v>
      </c>
      <c r="K10" s="2">
        <f ca="1">IFERROR(__xludf.DUMMYFUNCTION("""COMPUTED_VALUE"""),0)</f>
        <v>0</v>
      </c>
      <c r="L10" s="2">
        <f ca="1">IFERROR(__xludf.DUMMYFUNCTION("""COMPUTED_VALUE"""),8)</f>
        <v>8</v>
      </c>
      <c r="M10" s="2">
        <f ca="1">IFERROR(__xludf.DUMMYFUNCTION("""COMPUTED_VALUE"""),17.89)</f>
        <v>17.89</v>
      </c>
      <c r="N10" s="2">
        <f ca="1">IFERROR(__xludf.DUMMYFUNCTION("""COMPUTED_VALUE"""),32)</f>
        <v>32</v>
      </c>
      <c r="O10" s="2">
        <f ca="1">IFERROR(__xludf.DUMMYFUNCTION("""COMPUTED_VALUE"""),6.56)</f>
        <v>6.56</v>
      </c>
      <c r="P10" s="2">
        <f ca="1">IFERROR(__xludf.DUMMYFUNCTION("""COMPUTED_VALUE"""),13)</f>
        <v>13</v>
      </c>
      <c r="Q10" s="7">
        <f ca="1">IFERROR(__xludf.DUMMYFUNCTION("""COMPUTED_VALUE"""),0.138194444444444)</f>
        <v>0.13819444444444401</v>
      </c>
      <c r="R10" s="2">
        <f ca="1">IFERROR(__xludf.DUMMYFUNCTION("""COMPUTED_VALUE"""),8)</f>
        <v>8</v>
      </c>
      <c r="S10" s="2">
        <f ca="1">IFERROR(__xludf.DUMMYFUNCTION("""COMPUTED_VALUE"""),0.815)</f>
        <v>0.81499999999999995</v>
      </c>
      <c r="T10" s="2">
        <f ca="1">IFERROR(__xludf.DUMMYFUNCTION("""COMPUTED_VALUE"""),4)</f>
        <v>4</v>
      </c>
    </row>
    <row r="11" spans="1:20" x14ac:dyDescent="0.2">
      <c r="A11" s="2" t="str">
        <f ca="1">IFERROR(__xludf.DUMMYFUNCTION("""COMPUTED_VALUE"""),"DEN")</f>
        <v>DEN</v>
      </c>
      <c r="B11" s="2">
        <f ca="1">IFERROR(__xludf.DUMMYFUNCTION("""COMPUTED_VALUE"""),8)</f>
        <v>8</v>
      </c>
      <c r="C11" s="2">
        <f ca="1">IFERROR(__xludf.DUMMYFUNCTION("""COMPUTED_VALUE"""),42.88)</f>
        <v>42.88</v>
      </c>
      <c r="D11" s="2">
        <f ca="1">IFERROR(__xludf.DUMMYFUNCTION("""COMPUTED_VALUE"""),10)</f>
        <v>10</v>
      </c>
      <c r="E11" s="2">
        <f ca="1">IFERROR(__xludf.DUMMYFUNCTION("""COMPUTED_VALUE"""),2)</f>
        <v>2</v>
      </c>
      <c r="F11" s="2">
        <f ca="1">IFERROR(__xludf.DUMMYFUNCTION("""COMPUTED_VALUE"""),17)</f>
        <v>17</v>
      </c>
      <c r="G11" s="2">
        <f ca="1">IFERROR(__xludf.DUMMYFUNCTION("""COMPUTED_VALUE"""),0)</f>
        <v>0</v>
      </c>
      <c r="H11" s="6">
        <f ca="1">IFERROR(__xludf.DUMMYFUNCTION("""COMPUTED_VALUE"""),3)</f>
        <v>3</v>
      </c>
      <c r="I11" s="2">
        <f ca="1">IFERROR(__xludf.DUMMYFUNCTION("""COMPUTED_VALUE"""),0)</f>
        <v>0</v>
      </c>
      <c r="J11" s="2">
        <f ca="1">IFERROR(__xludf.DUMMYFUNCTION("""COMPUTED_VALUE"""),4)</f>
        <v>4</v>
      </c>
      <c r="K11" s="2">
        <f ca="1">IFERROR(__xludf.DUMMYFUNCTION("""COMPUTED_VALUE"""),0)</f>
        <v>0</v>
      </c>
      <c r="L11" s="2">
        <f ca="1">IFERROR(__xludf.DUMMYFUNCTION("""COMPUTED_VALUE"""),6)</f>
        <v>6</v>
      </c>
      <c r="M11" s="2">
        <f ca="1">IFERROR(__xludf.DUMMYFUNCTION("""COMPUTED_VALUE"""),21.75)</f>
        <v>21.75</v>
      </c>
      <c r="N11" s="2">
        <f ca="1">IFERROR(__xludf.DUMMYFUNCTION("""COMPUTED_VALUE"""),30)</f>
        <v>30</v>
      </c>
      <c r="O11" s="2">
        <f ca="1">IFERROR(__xludf.DUMMYFUNCTION("""COMPUTED_VALUE"""),7.62)</f>
        <v>7.62</v>
      </c>
      <c r="P11" s="2">
        <f ca="1">IFERROR(__xludf.DUMMYFUNCTION("""COMPUTED_VALUE"""),2)</f>
        <v>2</v>
      </c>
      <c r="Q11" s="7">
        <f ca="1">IFERROR(__xludf.DUMMYFUNCTION("""COMPUTED_VALUE"""),0.141666666666666)</f>
        <v>0.141666666666666</v>
      </c>
      <c r="R11" s="2">
        <f ca="1">IFERROR(__xludf.DUMMYFUNCTION("""COMPUTED_VALUE"""),7)</f>
        <v>7</v>
      </c>
      <c r="S11" s="2">
        <f ca="1">IFERROR(__xludf.DUMMYFUNCTION("""COMPUTED_VALUE"""),0.72)</f>
        <v>0.72</v>
      </c>
      <c r="T11" s="2">
        <f ca="1">IFERROR(__xludf.DUMMYFUNCTION("""COMPUTED_VALUE"""),15)</f>
        <v>15</v>
      </c>
    </row>
    <row r="12" spans="1:20" x14ac:dyDescent="0.2">
      <c r="A12" s="2" t="str">
        <f ca="1">IFERROR(__xludf.DUMMYFUNCTION("""COMPUTED_VALUE"""),"OAK")</f>
        <v>OAK</v>
      </c>
      <c r="B12" s="2">
        <f ca="1">IFERROR(__xludf.DUMMYFUNCTION("""COMPUTED_VALUE"""),8)</f>
        <v>8</v>
      </c>
      <c r="C12" s="2">
        <f ca="1">IFERROR(__xludf.DUMMYFUNCTION("""COMPUTED_VALUE"""),42.38)</f>
        <v>42.38</v>
      </c>
      <c r="D12" s="2">
        <f ca="1">IFERROR(__xludf.DUMMYFUNCTION("""COMPUTED_VALUE"""),11)</f>
        <v>11</v>
      </c>
      <c r="E12" s="2">
        <f ca="1">IFERROR(__xludf.DUMMYFUNCTION("""COMPUTED_VALUE"""),3)</f>
        <v>3</v>
      </c>
      <c r="F12" s="2">
        <f ca="1">IFERROR(__xludf.DUMMYFUNCTION("""COMPUTED_VALUE"""),10)</f>
        <v>10</v>
      </c>
      <c r="G12" s="2">
        <f ca="1">IFERROR(__xludf.DUMMYFUNCTION("""COMPUTED_VALUE"""),0)</f>
        <v>0</v>
      </c>
      <c r="H12" s="6">
        <f ca="1">IFERROR(__xludf.DUMMYFUNCTION("""COMPUTED_VALUE"""),9)</f>
        <v>9</v>
      </c>
      <c r="I12" s="2">
        <f ca="1">IFERROR(__xludf.DUMMYFUNCTION("""COMPUTED_VALUE"""),0)</f>
        <v>0</v>
      </c>
      <c r="J12" s="2">
        <f ca="1">IFERROR(__xludf.DUMMYFUNCTION("""COMPUTED_VALUE"""),13)</f>
        <v>13</v>
      </c>
      <c r="K12" s="2">
        <f ca="1">IFERROR(__xludf.DUMMYFUNCTION("""COMPUTED_VALUE"""),0)</f>
        <v>0</v>
      </c>
      <c r="L12" s="2">
        <f ca="1">IFERROR(__xludf.DUMMYFUNCTION("""COMPUTED_VALUE"""),17)</f>
        <v>17</v>
      </c>
      <c r="M12" s="2">
        <f ca="1">IFERROR(__xludf.DUMMYFUNCTION("""COMPUTED_VALUE"""),29)</f>
        <v>29</v>
      </c>
      <c r="N12" s="2">
        <f ca="1">IFERROR(__xludf.DUMMYFUNCTION("""COMPUTED_VALUE"""),9)</f>
        <v>9</v>
      </c>
      <c r="O12" s="2">
        <f ca="1">IFERROR(__xludf.DUMMYFUNCTION("""COMPUTED_VALUE"""),6.88)</f>
        <v>6.88</v>
      </c>
      <c r="P12" s="2">
        <f ca="1">IFERROR(__xludf.DUMMYFUNCTION("""COMPUTED_VALUE"""),7)</f>
        <v>7</v>
      </c>
      <c r="Q12" s="2" t="str">
        <f ca="1">IFERROR(__xludf.DUMMYFUNCTION("""COMPUTED_VALUE"""),"*4:06*")</f>
        <v>*4:06*</v>
      </c>
      <c r="R12" s="2">
        <f ca="1">IFERROR(__xludf.DUMMYFUNCTION("""COMPUTED_VALUE"""),1)</f>
        <v>1</v>
      </c>
      <c r="S12" s="2">
        <f ca="1">IFERROR(__xludf.DUMMYFUNCTION("""COMPUTED_VALUE"""),0.792)</f>
        <v>0.79200000000000004</v>
      </c>
      <c r="T12" s="2">
        <f ca="1">IFERROR(__xludf.DUMMYFUNCTION("""COMPUTED_VALUE"""),7)</f>
        <v>7</v>
      </c>
    </row>
    <row r="13" spans="1:20" x14ac:dyDescent="0.2">
      <c r="A13" s="2" t="str">
        <f ca="1">IFERROR(__xludf.DUMMYFUNCTION("""COMPUTED_VALUE"""),"IND")</f>
        <v>IND</v>
      </c>
      <c r="B13" s="2">
        <f ca="1">IFERROR(__xludf.DUMMYFUNCTION("""COMPUTED_VALUE"""),9)</f>
        <v>9</v>
      </c>
      <c r="C13" s="2">
        <f ca="1">IFERROR(__xludf.DUMMYFUNCTION("""COMPUTED_VALUE"""),41.67)</f>
        <v>41.67</v>
      </c>
      <c r="D13" s="2">
        <f ca="1">IFERROR(__xludf.DUMMYFUNCTION("""COMPUTED_VALUE"""),12)</f>
        <v>12</v>
      </c>
      <c r="E13" s="2">
        <f ca="1">IFERROR(__xludf.DUMMYFUNCTION("""COMPUTED_VALUE"""),2.67)</f>
        <v>2.67</v>
      </c>
      <c r="F13" s="2">
        <f ca="1">IFERROR(__xludf.DUMMYFUNCTION("""COMPUTED_VALUE"""),13)</f>
        <v>13</v>
      </c>
      <c r="G13" s="2">
        <f ca="1">IFERROR(__xludf.DUMMYFUNCTION("""COMPUTED_VALUE"""),0)</f>
        <v>0</v>
      </c>
      <c r="H13" s="6">
        <f ca="1">IFERROR(__xludf.DUMMYFUNCTION("""COMPUTED_VALUE"""),5)</f>
        <v>5</v>
      </c>
      <c r="I13" s="2">
        <f ca="1">IFERROR(__xludf.DUMMYFUNCTION("""COMPUTED_VALUE"""),0)</f>
        <v>0</v>
      </c>
      <c r="J13" s="2">
        <f ca="1">IFERROR(__xludf.DUMMYFUNCTION("""COMPUTED_VALUE"""),7)</f>
        <v>7</v>
      </c>
      <c r="K13" s="2">
        <f ca="1">IFERROR(__xludf.DUMMYFUNCTION("""COMPUTED_VALUE"""),0)</f>
        <v>0</v>
      </c>
      <c r="L13" s="2">
        <f ca="1">IFERROR(__xludf.DUMMYFUNCTION("""COMPUTED_VALUE"""),9)</f>
        <v>9</v>
      </c>
      <c r="M13" s="2">
        <f ca="1">IFERROR(__xludf.DUMMYFUNCTION("""COMPUTED_VALUE"""),26.44)</f>
        <v>26.44</v>
      </c>
      <c r="N13" s="2">
        <f ca="1">IFERROR(__xludf.DUMMYFUNCTION("""COMPUTED_VALUE"""),19)</f>
        <v>19</v>
      </c>
      <c r="O13" s="2">
        <f ca="1">IFERROR(__xludf.DUMMYFUNCTION("""COMPUTED_VALUE"""),7.22)</f>
        <v>7.22</v>
      </c>
      <c r="P13" s="2">
        <f ca="1">IFERROR(__xludf.DUMMYFUNCTION("""COMPUTED_VALUE"""),3)</f>
        <v>3</v>
      </c>
      <c r="Q13" s="7">
        <f ca="1">IFERROR(__xludf.DUMMYFUNCTION("""COMPUTED_VALUE"""),0.148611111111111)</f>
        <v>0.148611111111111</v>
      </c>
      <c r="R13" s="2">
        <f ca="1">IFERROR(__xludf.DUMMYFUNCTION("""COMPUTED_VALUE"""),5)</f>
        <v>5</v>
      </c>
      <c r="S13" s="2">
        <f ca="1">IFERROR(__xludf.DUMMYFUNCTION("""COMPUTED_VALUE"""),0.786)</f>
        <v>0.78600000000000003</v>
      </c>
      <c r="T13" s="2">
        <f ca="1">IFERROR(__xludf.DUMMYFUNCTION("""COMPUTED_VALUE"""),8)</f>
        <v>8</v>
      </c>
    </row>
    <row r="14" spans="1:20" x14ac:dyDescent="0.2">
      <c r="A14" s="2" t="str">
        <f ca="1">IFERROR(__xludf.DUMMYFUNCTION("""COMPUTED_VALUE"""),"JAX")</f>
        <v>JAX</v>
      </c>
      <c r="B14" s="2">
        <f ca="1">IFERROR(__xludf.DUMMYFUNCTION("""COMPUTED_VALUE"""),10)</f>
        <v>10</v>
      </c>
      <c r="C14" s="2">
        <f ca="1">IFERROR(__xludf.DUMMYFUNCTION("""COMPUTED_VALUE"""),40.8)</f>
        <v>40.799999999999997</v>
      </c>
      <c r="D14" s="2">
        <f ca="1">IFERROR(__xludf.DUMMYFUNCTION("""COMPUTED_VALUE"""),13)</f>
        <v>13</v>
      </c>
      <c r="E14" s="2">
        <f ca="1">IFERROR(__xludf.DUMMYFUNCTION("""COMPUTED_VALUE"""),2.6)</f>
        <v>2.6</v>
      </c>
      <c r="F14" s="2">
        <f ca="1">IFERROR(__xludf.DUMMYFUNCTION("""COMPUTED_VALUE"""),14)</f>
        <v>14</v>
      </c>
      <c r="G14" s="2">
        <f ca="1">IFERROR(__xludf.DUMMYFUNCTION("""COMPUTED_VALUE"""),0.2)</f>
        <v>0.2</v>
      </c>
      <c r="H14" s="6">
        <f ca="1">IFERROR(__xludf.DUMMYFUNCTION("""COMPUTED_VALUE"""),24)</f>
        <v>24</v>
      </c>
      <c r="I14" s="2">
        <f ca="1">IFERROR(__xludf.DUMMYFUNCTION("""COMPUTED_VALUE"""),0.1)</f>
        <v>0.1</v>
      </c>
      <c r="J14" s="2">
        <f ca="1">IFERROR(__xludf.DUMMYFUNCTION("""COMPUTED_VALUE"""),23)</f>
        <v>23</v>
      </c>
      <c r="K14" s="2">
        <f ca="1">IFERROR(__xludf.DUMMYFUNCTION("""COMPUTED_VALUE"""),0.1)</f>
        <v>0.1</v>
      </c>
      <c r="L14" s="2">
        <f ca="1">IFERROR(__xludf.DUMMYFUNCTION("""COMPUTED_VALUE"""),26)</f>
        <v>26</v>
      </c>
      <c r="M14" s="2">
        <f ca="1">IFERROR(__xludf.DUMMYFUNCTION("""COMPUTED_VALUE"""),23.8)</f>
        <v>23.8</v>
      </c>
      <c r="N14" s="2">
        <f ca="1">IFERROR(__xludf.DUMMYFUNCTION("""COMPUTED_VALUE"""),23)</f>
        <v>23</v>
      </c>
      <c r="O14" s="2">
        <f ca="1">IFERROR(__xludf.DUMMYFUNCTION("""COMPUTED_VALUE"""),5.2)</f>
        <v>5.2</v>
      </c>
      <c r="P14" s="2">
        <f ca="1">IFERROR(__xludf.DUMMYFUNCTION("""COMPUTED_VALUE"""),26)</f>
        <v>26</v>
      </c>
      <c r="Q14" s="7">
        <f ca="1">IFERROR(__xludf.DUMMYFUNCTION("""COMPUTED_VALUE"""),0.120138888888888)</f>
        <v>0.120138888888888</v>
      </c>
      <c r="R14" s="2">
        <f ca="1">IFERROR(__xludf.DUMMYFUNCTION("""COMPUTED_VALUE"""),18)</f>
        <v>18</v>
      </c>
      <c r="S14" s="2">
        <f ca="1">IFERROR(__xludf.DUMMYFUNCTION("""COMPUTED_VALUE"""),0.72)</f>
        <v>0.72</v>
      </c>
      <c r="T14" s="2">
        <f ca="1">IFERROR(__xludf.DUMMYFUNCTION("""COMPUTED_VALUE"""),16)</f>
        <v>16</v>
      </c>
    </row>
    <row r="15" spans="1:20" x14ac:dyDescent="0.2">
      <c r="A15" s="2" t="str">
        <f ca="1">IFERROR(__xludf.DUMMYFUNCTION("""COMPUTED_VALUE"""),"ATL")</f>
        <v>ATL</v>
      </c>
      <c r="B15" s="2">
        <f ca="1">IFERROR(__xludf.DUMMYFUNCTION("""COMPUTED_VALUE"""),10)</f>
        <v>10</v>
      </c>
      <c r="C15" s="2">
        <f ca="1">IFERROR(__xludf.DUMMYFUNCTION("""COMPUTED_VALUE"""),38)</f>
        <v>38</v>
      </c>
      <c r="D15" s="2">
        <f ca="1">IFERROR(__xludf.DUMMYFUNCTION("""COMPUTED_VALUE"""),14)</f>
        <v>14</v>
      </c>
      <c r="E15" s="2">
        <f ca="1">IFERROR(__xludf.DUMMYFUNCTION("""COMPUTED_VALUE"""),1.2)</f>
        <v>1.2</v>
      </c>
      <c r="F15" s="2">
        <f ca="1">IFERROR(__xludf.DUMMYFUNCTION("""COMPUTED_VALUE"""),25)</f>
        <v>25</v>
      </c>
      <c r="G15" s="2">
        <f ca="1">IFERROR(__xludf.DUMMYFUNCTION("""COMPUTED_VALUE"""),0.3)</f>
        <v>0.3</v>
      </c>
      <c r="H15" s="6">
        <f ca="1">IFERROR(__xludf.DUMMYFUNCTION("""COMPUTED_VALUE"""),30)</f>
        <v>30</v>
      </c>
      <c r="I15" s="2">
        <f ca="1">IFERROR(__xludf.DUMMYFUNCTION("""COMPUTED_VALUE"""),0.2)</f>
        <v>0.2</v>
      </c>
      <c r="J15" s="2">
        <f ca="1">IFERROR(__xludf.DUMMYFUNCTION("""COMPUTED_VALUE"""),29)</f>
        <v>29</v>
      </c>
      <c r="K15" s="2">
        <f ca="1">IFERROR(__xludf.DUMMYFUNCTION("""COMPUTED_VALUE"""),0.1)</f>
        <v>0.1</v>
      </c>
      <c r="L15" s="2">
        <f ca="1">IFERROR(__xludf.DUMMYFUNCTION("""COMPUTED_VALUE"""),25)</f>
        <v>25</v>
      </c>
      <c r="M15" s="2">
        <f ca="1">IFERROR(__xludf.DUMMYFUNCTION("""COMPUTED_VALUE"""),26.5)</f>
        <v>26.5</v>
      </c>
      <c r="N15" s="2">
        <f ca="1">IFERROR(__xludf.DUMMYFUNCTION("""COMPUTED_VALUE"""),17)</f>
        <v>17</v>
      </c>
      <c r="O15" s="2">
        <f ca="1">IFERROR(__xludf.DUMMYFUNCTION("""COMPUTED_VALUE"""),6.7)</f>
        <v>6.7</v>
      </c>
      <c r="P15" s="2">
        <f ca="1">IFERROR(__xludf.DUMMYFUNCTION("""COMPUTED_VALUE"""),8)</f>
        <v>8</v>
      </c>
      <c r="Q15" s="7">
        <f ca="1">IFERROR(__xludf.DUMMYFUNCTION("""COMPUTED_VALUE"""),0.125694444444444)</f>
        <v>0.125694444444444</v>
      </c>
      <c r="R15" s="2">
        <f ca="1">IFERROR(__xludf.DUMMYFUNCTION("""COMPUTED_VALUE"""),13)</f>
        <v>13</v>
      </c>
      <c r="S15" s="2">
        <f ca="1">IFERROR(__xludf.DUMMYFUNCTION("""COMPUTED_VALUE"""),0.771)</f>
        <v>0.77100000000000002</v>
      </c>
      <c r="T15" s="2">
        <f ca="1">IFERROR(__xludf.DUMMYFUNCTION("""COMPUTED_VALUE"""),12)</f>
        <v>12</v>
      </c>
    </row>
    <row r="16" spans="1:20" x14ac:dyDescent="0.2">
      <c r="A16" s="2" t="str">
        <f ca="1">IFERROR(__xludf.DUMMYFUNCTION("""COMPUTED_VALUE"""),"CIN")</f>
        <v>CIN</v>
      </c>
      <c r="B16" s="2">
        <f ca="1">IFERROR(__xludf.DUMMYFUNCTION("""COMPUTED_VALUE"""),12)</f>
        <v>12</v>
      </c>
      <c r="C16" s="2">
        <f ca="1">IFERROR(__xludf.DUMMYFUNCTION("""COMPUTED_VALUE"""),35.75)</f>
        <v>35.75</v>
      </c>
      <c r="D16" s="2">
        <f ca="1">IFERROR(__xludf.DUMMYFUNCTION("""COMPUTED_VALUE"""),15)</f>
        <v>15</v>
      </c>
      <c r="E16" s="2">
        <f ca="1">IFERROR(__xludf.DUMMYFUNCTION("""COMPUTED_VALUE"""),1.67)</f>
        <v>1.67</v>
      </c>
      <c r="F16" s="2">
        <f ca="1">IFERROR(__xludf.DUMMYFUNCTION("""COMPUTED_VALUE"""),23)</f>
        <v>23</v>
      </c>
      <c r="G16" s="2">
        <f ca="1">IFERROR(__xludf.DUMMYFUNCTION("""COMPUTED_VALUE"""),0.167)</f>
        <v>0.16700000000000001</v>
      </c>
      <c r="H16" s="6">
        <f ca="1">IFERROR(__xludf.DUMMYFUNCTION("""COMPUTED_VALUE"""),23)</f>
        <v>23</v>
      </c>
      <c r="I16" s="2">
        <f ca="1">IFERROR(__xludf.DUMMYFUNCTION("""COMPUTED_VALUE"""),0)</f>
        <v>0</v>
      </c>
      <c r="J16" s="2">
        <f ca="1">IFERROR(__xludf.DUMMYFUNCTION("""COMPUTED_VALUE"""),2)</f>
        <v>2</v>
      </c>
      <c r="K16" s="2">
        <f ca="1">IFERROR(__xludf.DUMMYFUNCTION("""COMPUTED_VALUE"""),0.167)</f>
        <v>0.16700000000000001</v>
      </c>
      <c r="L16" s="2">
        <f ca="1">IFERROR(__xludf.DUMMYFUNCTION("""COMPUTED_VALUE"""),30)</f>
        <v>30</v>
      </c>
      <c r="M16" s="2">
        <f ca="1">IFERROR(__xludf.DUMMYFUNCTION("""COMPUTED_VALUE"""),27.75)</f>
        <v>27.75</v>
      </c>
      <c r="N16" s="2">
        <f ca="1">IFERROR(__xludf.DUMMYFUNCTION("""COMPUTED_VALUE"""),16)</f>
        <v>16</v>
      </c>
      <c r="O16" s="2">
        <f ca="1">IFERROR(__xludf.DUMMYFUNCTION("""COMPUTED_VALUE"""),6.08)</f>
        <v>6.08</v>
      </c>
      <c r="P16" s="2">
        <f ca="1">IFERROR(__xludf.DUMMYFUNCTION("""COMPUTED_VALUE"""),17)</f>
        <v>17</v>
      </c>
      <c r="Q16" s="7">
        <f ca="1">IFERROR(__xludf.DUMMYFUNCTION("""COMPUTED_VALUE"""),0.124305555555555)</f>
        <v>0.124305555555555</v>
      </c>
      <c r="R16" s="2">
        <f ca="1">IFERROR(__xludf.DUMMYFUNCTION("""COMPUTED_VALUE"""),15)</f>
        <v>15</v>
      </c>
      <c r="S16" s="2">
        <f ca="1">IFERROR(__xludf.DUMMYFUNCTION("""COMPUTED_VALUE"""),0.688)</f>
        <v>0.68799999999999994</v>
      </c>
      <c r="T16" s="2">
        <f ca="1">IFERROR(__xludf.DUMMYFUNCTION("""COMPUTED_VALUE"""),19)</f>
        <v>19</v>
      </c>
    </row>
    <row r="17" spans="1:20" x14ac:dyDescent="0.2">
      <c r="A17" s="2" t="str">
        <f ca="1">IFERROR(__xludf.DUMMYFUNCTION("""COMPUTED_VALUE"""),"BUF")</f>
        <v>BUF</v>
      </c>
      <c r="B17" s="2">
        <f ca="1">IFERROR(__xludf.DUMMYFUNCTION("""COMPUTED_VALUE"""),11)</f>
        <v>11</v>
      </c>
      <c r="C17" s="2">
        <f ca="1">IFERROR(__xludf.DUMMYFUNCTION("""COMPUTED_VALUE"""),35)</f>
        <v>35</v>
      </c>
      <c r="D17" s="2">
        <f ca="1">IFERROR(__xludf.DUMMYFUNCTION("""COMPUTED_VALUE"""),16)</f>
        <v>16</v>
      </c>
      <c r="E17" s="2">
        <f ca="1">IFERROR(__xludf.DUMMYFUNCTION("""COMPUTED_VALUE"""),1.55)</f>
        <v>1.55</v>
      </c>
      <c r="F17" s="2">
        <f ca="1">IFERROR(__xludf.DUMMYFUNCTION("""COMPUTED_VALUE"""),24)</f>
        <v>24</v>
      </c>
      <c r="G17" s="2">
        <f ca="1">IFERROR(__xludf.DUMMYFUNCTION("""COMPUTED_VALUE"""),0.364)</f>
        <v>0.36399999999999999</v>
      </c>
      <c r="H17" s="6">
        <f ca="1">IFERROR(__xludf.DUMMYFUNCTION("""COMPUTED_VALUE"""),31)</f>
        <v>31</v>
      </c>
      <c r="I17" s="2">
        <f ca="1">IFERROR(__xludf.DUMMYFUNCTION("""COMPUTED_VALUE"""),0.182)</f>
        <v>0.182</v>
      </c>
      <c r="J17" s="2">
        <f ca="1">IFERROR(__xludf.DUMMYFUNCTION("""COMPUTED_VALUE"""),28)</f>
        <v>28</v>
      </c>
      <c r="K17" s="2">
        <f ca="1">IFERROR(__xludf.DUMMYFUNCTION("""COMPUTED_VALUE"""),0.182)</f>
        <v>0.182</v>
      </c>
      <c r="L17" s="2">
        <f ca="1">IFERROR(__xludf.DUMMYFUNCTION("""COMPUTED_VALUE"""),31)</f>
        <v>31</v>
      </c>
      <c r="M17" s="2">
        <f ca="1">IFERROR(__xludf.DUMMYFUNCTION("""COMPUTED_VALUE"""),21.82)</f>
        <v>21.82</v>
      </c>
      <c r="N17" s="2">
        <f ca="1">IFERROR(__xludf.DUMMYFUNCTION("""COMPUTED_VALUE"""),29)</f>
        <v>29</v>
      </c>
      <c r="O17" s="2">
        <f ca="1">IFERROR(__xludf.DUMMYFUNCTION("""COMPUTED_VALUE"""),5.73)</f>
        <v>5.73</v>
      </c>
      <c r="P17" s="2">
        <f ca="1">IFERROR(__xludf.DUMMYFUNCTION("""COMPUTED_VALUE"""),20)</f>
        <v>20</v>
      </c>
      <c r="Q17" s="7">
        <f ca="1">IFERROR(__xludf.DUMMYFUNCTION("""COMPUTED_VALUE"""),0.104166666666666)</f>
        <v>0.10416666666666601</v>
      </c>
      <c r="R17" s="2">
        <f ca="1">IFERROR(__xludf.DUMMYFUNCTION("""COMPUTED_VALUE"""),23)</f>
        <v>23</v>
      </c>
      <c r="S17" s="2">
        <f ca="1">IFERROR(__xludf.DUMMYFUNCTION("""COMPUTED_VALUE"""),0.719)</f>
        <v>0.71899999999999997</v>
      </c>
      <c r="T17" s="2">
        <f ca="1">IFERROR(__xludf.DUMMYFUNCTION("""COMPUTED_VALUE"""),17)</f>
        <v>17</v>
      </c>
    </row>
    <row r="18" spans="1:20" x14ac:dyDescent="0.2">
      <c r="A18" s="2" t="str">
        <f ca="1">IFERROR(__xludf.DUMMYFUNCTION("""COMPUTED_VALUE"""),"WAS")</f>
        <v>WAS</v>
      </c>
      <c r="B18" s="2">
        <f ca="1">IFERROR(__xludf.DUMMYFUNCTION("""COMPUTED_VALUE"""),10)</f>
        <v>10</v>
      </c>
      <c r="C18" s="2">
        <f ca="1">IFERROR(__xludf.DUMMYFUNCTION("""COMPUTED_VALUE"""),33.2)</f>
        <v>33.200000000000003</v>
      </c>
      <c r="D18" s="2">
        <f ca="1">IFERROR(__xludf.DUMMYFUNCTION("""COMPUTED_VALUE"""),17)</f>
        <v>17</v>
      </c>
      <c r="E18" s="2">
        <f ca="1">IFERROR(__xludf.DUMMYFUNCTION("""COMPUTED_VALUE"""),2.7)</f>
        <v>2.7</v>
      </c>
      <c r="F18" s="2">
        <f ca="1">IFERROR(__xludf.DUMMYFUNCTION("""COMPUTED_VALUE"""),12)</f>
        <v>12</v>
      </c>
      <c r="G18" s="2">
        <f ca="1">IFERROR(__xludf.DUMMYFUNCTION("""COMPUTED_VALUE"""),0)</f>
        <v>0</v>
      </c>
      <c r="H18" s="6">
        <f ca="1">IFERROR(__xludf.DUMMYFUNCTION("""COMPUTED_VALUE"""),12)</f>
        <v>12</v>
      </c>
      <c r="I18" s="2">
        <f ca="1">IFERROR(__xludf.DUMMYFUNCTION("""COMPUTED_VALUE"""),0)</f>
        <v>0</v>
      </c>
      <c r="J18" s="2">
        <f ca="1">IFERROR(__xludf.DUMMYFUNCTION("""COMPUTED_VALUE"""),17)</f>
        <v>17</v>
      </c>
      <c r="K18" s="2">
        <f ca="1">IFERROR(__xludf.DUMMYFUNCTION("""COMPUTED_VALUE"""),0)</f>
        <v>0</v>
      </c>
      <c r="L18" s="2">
        <f ca="1">IFERROR(__xludf.DUMMYFUNCTION("""COMPUTED_VALUE"""),21)</f>
        <v>21</v>
      </c>
      <c r="M18" s="2">
        <f ca="1">IFERROR(__xludf.DUMMYFUNCTION("""COMPUTED_VALUE"""),23.5)</f>
        <v>23.5</v>
      </c>
      <c r="N18" s="2">
        <f ca="1">IFERROR(__xludf.DUMMYFUNCTION("""COMPUTED_VALUE"""),24)</f>
        <v>24</v>
      </c>
      <c r="O18" s="2">
        <f ca="1">IFERROR(__xludf.DUMMYFUNCTION("""COMPUTED_VALUE"""),6)</f>
        <v>6</v>
      </c>
      <c r="P18" s="2">
        <f ca="1">IFERROR(__xludf.DUMMYFUNCTION("""COMPUTED_VALUE"""),18)</f>
        <v>18</v>
      </c>
      <c r="Q18" s="7">
        <f ca="1">IFERROR(__xludf.DUMMYFUNCTION("""COMPUTED_VALUE"""),0.10625)</f>
        <v>0.10625</v>
      </c>
      <c r="R18" s="2">
        <f ca="1">IFERROR(__xludf.DUMMYFUNCTION("""COMPUTED_VALUE"""),22)</f>
        <v>22</v>
      </c>
      <c r="S18" s="2">
        <f ca="1">IFERROR(__xludf.DUMMYFUNCTION("""COMPUTED_VALUE"""),0.682)</f>
        <v>0.68200000000000005</v>
      </c>
      <c r="T18" s="2">
        <f ca="1">IFERROR(__xludf.DUMMYFUNCTION("""COMPUTED_VALUE"""),21)</f>
        <v>21</v>
      </c>
    </row>
    <row r="19" spans="1:20" x14ac:dyDescent="0.2">
      <c r="A19" s="2" t="str">
        <f ca="1">IFERROR(__xludf.DUMMYFUNCTION("""COMPUTED_VALUE"""),"MIN")</f>
        <v>MIN</v>
      </c>
      <c r="B19" s="2">
        <f ca="1">IFERROR(__xludf.DUMMYFUNCTION("""COMPUTED_VALUE"""),9)</f>
        <v>9</v>
      </c>
      <c r="C19" s="2">
        <f ca="1">IFERROR(__xludf.DUMMYFUNCTION("""COMPUTED_VALUE"""),31.89)</f>
        <v>31.89</v>
      </c>
      <c r="D19" s="2">
        <f ca="1">IFERROR(__xludf.DUMMYFUNCTION("""COMPUTED_VALUE"""),18)</f>
        <v>18</v>
      </c>
      <c r="E19" s="2">
        <f ca="1">IFERROR(__xludf.DUMMYFUNCTION("""COMPUTED_VALUE"""),3.11)</f>
        <v>3.11</v>
      </c>
      <c r="F19" s="2">
        <f ca="1">IFERROR(__xludf.DUMMYFUNCTION("""COMPUTED_VALUE"""),8)</f>
        <v>8</v>
      </c>
      <c r="G19" s="2">
        <f ca="1">IFERROR(__xludf.DUMMYFUNCTION("""COMPUTED_VALUE"""),0)</f>
        <v>0</v>
      </c>
      <c r="H19" s="6">
        <f ca="1">IFERROR(__xludf.DUMMYFUNCTION("""COMPUTED_VALUE"""),7)</f>
        <v>7</v>
      </c>
      <c r="I19" s="2">
        <f ca="1">IFERROR(__xludf.DUMMYFUNCTION("""COMPUTED_VALUE"""),0)</f>
        <v>0</v>
      </c>
      <c r="J19" s="2">
        <f ca="1">IFERROR(__xludf.DUMMYFUNCTION("""COMPUTED_VALUE"""),9)</f>
        <v>9</v>
      </c>
      <c r="K19" s="2">
        <f ca="1">IFERROR(__xludf.DUMMYFUNCTION("""COMPUTED_VALUE"""),0)</f>
        <v>0</v>
      </c>
      <c r="L19" s="2">
        <f ca="1">IFERROR(__xludf.DUMMYFUNCTION("""COMPUTED_VALUE"""),14)</f>
        <v>14</v>
      </c>
      <c r="M19" s="2">
        <f ca="1">IFERROR(__xludf.DUMMYFUNCTION("""COMPUTED_VALUE"""),30.67)</f>
        <v>30.67</v>
      </c>
      <c r="N19" s="2">
        <f ca="1">IFERROR(__xludf.DUMMYFUNCTION("""COMPUTED_VALUE"""),6)</f>
        <v>6</v>
      </c>
      <c r="O19" s="2">
        <f ca="1">IFERROR(__xludf.DUMMYFUNCTION("""COMPUTED_VALUE"""),5.22)</f>
        <v>5.22</v>
      </c>
      <c r="P19" s="2">
        <f ca="1">IFERROR(__xludf.DUMMYFUNCTION("""COMPUTED_VALUE"""),25)</f>
        <v>25</v>
      </c>
      <c r="Q19" s="7">
        <f ca="1">IFERROR(__xludf.DUMMYFUNCTION("""COMPUTED_VALUE"""),0.132638888888888)</f>
        <v>0.132638888888888</v>
      </c>
      <c r="R19" s="2">
        <f ca="1">IFERROR(__xludf.DUMMYFUNCTION("""COMPUTED_VALUE"""),11)</f>
        <v>11</v>
      </c>
      <c r="S19" s="2">
        <f ca="1">IFERROR(__xludf.DUMMYFUNCTION("""COMPUTED_VALUE"""),0.783)</f>
        <v>0.78300000000000003</v>
      </c>
      <c r="T19" s="2">
        <f ca="1">IFERROR(__xludf.DUMMYFUNCTION("""COMPUTED_VALUE"""),9)</f>
        <v>9</v>
      </c>
    </row>
    <row r="20" spans="1:20" x14ac:dyDescent="0.2">
      <c r="A20" s="2" t="str">
        <f ca="1">IFERROR(__xludf.DUMMYFUNCTION("""COMPUTED_VALUE"""),"TEN")</f>
        <v>TEN</v>
      </c>
      <c r="B20" s="2">
        <f ca="1">IFERROR(__xludf.DUMMYFUNCTION("""COMPUTED_VALUE"""),12)</f>
        <v>12</v>
      </c>
      <c r="C20" s="2">
        <f ca="1">IFERROR(__xludf.DUMMYFUNCTION("""COMPUTED_VALUE"""),31.33)</f>
        <v>31.33</v>
      </c>
      <c r="D20" s="2">
        <f ca="1">IFERROR(__xludf.DUMMYFUNCTION("""COMPUTED_VALUE"""),19)</f>
        <v>19</v>
      </c>
      <c r="E20" s="2">
        <f ca="1">IFERROR(__xludf.DUMMYFUNCTION("""COMPUTED_VALUE"""),2.83)</f>
        <v>2.83</v>
      </c>
      <c r="F20" s="2">
        <f ca="1">IFERROR(__xludf.DUMMYFUNCTION("""COMPUTED_VALUE"""),11)</f>
        <v>11</v>
      </c>
      <c r="G20" s="2">
        <f ca="1">IFERROR(__xludf.DUMMYFUNCTION("""COMPUTED_VALUE"""),0)</f>
        <v>0</v>
      </c>
      <c r="H20" s="6">
        <f ca="1">IFERROR(__xludf.DUMMYFUNCTION("""COMPUTED_VALUE"""),11)</f>
        <v>11</v>
      </c>
      <c r="I20" s="2">
        <f ca="1">IFERROR(__xludf.DUMMYFUNCTION("""COMPUTED_VALUE"""),0)</f>
        <v>0</v>
      </c>
      <c r="J20" s="2">
        <f ca="1">IFERROR(__xludf.DUMMYFUNCTION("""COMPUTED_VALUE"""),16)</f>
        <v>16</v>
      </c>
      <c r="K20" s="2">
        <f ca="1">IFERROR(__xludf.DUMMYFUNCTION("""COMPUTED_VALUE"""),0)</f>
        <v>0</v>
      </c>
      <c r="L20" s="2">
        <f ca="1">IFERROR(__xludf.DUMMYFUNCTION("""COMPUTED_VALUE"""),20)</f>
        <v>20</v>
      </c>
      <c r="M20" s="2">
        <f ca="1">IFERROR(__xludf.DUMMYFUNCTION("""COMPUTED_VALUE"""),31.75)</f>
        <v>31.75</v>
      </c>
      <c r="N20" s="2">
        <f ca="1">IFERROR(__xludf.DUMMYFUNCTION("""COMPUTED_VALUE"""),5)</f>
        <v>5</v>
      </c>
      <c r="O20" s="2">
        <f ca="1">IFERROR(__xludf.DUMMYFUNCTION("""COMPUTED_VALUE"""),4.67)</f>
        <v>4.67</v>
      </c>
      <c r="P20" s="2">
        <f ca="1">IFERROR(__xludf.DUMMYFUNCTION("""COMPUTED_VALUE"""),30)</f>
        <v>30</v>
      </c>
      <c r="Q20" s="7">
        <f ca="1">IFERROR(__xludf.DUMMYFUNCTION("""COMPUTED_VALUE"""),0.0972222222222222)</f>
        <v>9.7222222222222196E-2</v>
      </c>
      <c r="R20" s="2">
        <f ca="1">IFERROR(__xludf.DUMMYFUNCTION("""COMPUTED_VALUE"""),27)</f>
        <v>27</v>
      </c>
      <c r="S20" s="2">
        <f ca="1">IFERROR(__xludf.DUMMYFUNCTION("""COMPUTED_VALUE"""),0.724)</f>
        <v>0.72399999999999998</v>
      </c>
      <c r="T20" s="2">
        <f ca="1">IFERROR(__xludf.DUMMYFUNCTION("""COMPUTED_VALUE"""),14)</f>
        <v>14</v>
      </c>
    </row>
    <row r="21" spans="1:20" x14ac:dyDescent="0.2">
      <c r="A21" s="2" t="str">
        <f ca="1">IFERROR(__xludf.DUMMYFUNCTION("""COMPUTED_VALUE"""),"DET")</f>
        <v>DET</v>
      </c>
      <c r="B21" s="2">
        <f ca="1">IFERROR(__xludf.DUMMYFUNCTION("""COMPUTED_VALUE"""),15)</f>
        <v>15</v>
      </c>
      <c r="C21" s="2">
        <f ca="1">IFERROR(__xludf.DUMMYFUNCTION("""COMPUTED_VALUE"""),30.53)</f>
        <v>30.53</v>
      </c>
      <c r="D21" s="2">
        <f ca="1">IFERROR(__xludf.DUMMYFUNCTION("""COMPUTED_VALUE"""),20)</f>
        <v>20</v>
      </c>
      <c r="E21" s="2">
        <f ca="1">IFERROR(__xludf.DUMMYFUNCTION("""COMPUTED_VALUE"""),1.8)</f>
        <v>1.8</v>
      </c>
      <c r="F21" s="2">
        <f ca="1">IFERROR(__xludf.DUMMYFUNCTION("""COMPUTED_VALUE"""),18)</f>
        <v>18</v>
      </c>
      <c r="G21" s="2">
        <f ca="1">IFERROR(__xludf.DUMMYFUNCTION("""COMPUTED_VALUE"""),0.067)</f>
        <v>6.7000000000000004E-2</v>
      </c>
      <c r="H21" s="6">
        <f ca="1">IFERROR(__xludf.DUMMYFUNCTION("""COMPUTED_VALUE"""),14)</f>
        <v>14</v>
      </c>
      <c r="I21" s="2">
        <f ca="1">IFERROR(__xludf.DUMMYFUNCTION("""COMPUTED_VALUE"""),0)</f>
        <v>0</v>
      </c>
      <c r="J21" s="2">
        <f ca="1">IFERROR(__xludf.DUMMYFUNCTION("""COMPUTED_VALUE"""),5)</f>
        <v>5</v>
      </c>
      <c r="K21" s="2">
        <f ca="1">IFERROR(__xludf.DUMMYFUNCTION("""COMPUTED_VALUE"""),0.067)</f>
        <v>6.7000000000000004E-2</v>
      </c>
      <c r="L21" s="2">
        <f ca="1">IFERROR(__xludf.DUMMYFUNCTION("""COMPUTED_VALUE"""),22)</f>
        <v>22</v>
      </c>
      <c r="M21" s="2">
        <f ca="1">IFERROR(__xludf.DUMMYFUNCTION("""COMPUTED_VALUE"""),26.47)</f>
        <v>26.47</v>
      </c>
      <c r="N21" s="2">
        <f ca="1">IFERROR(__xludf.DUMMYFUNCTION("""COMPUTED_VALUE"""),18)</f>
        <v>18</v>
      </c>
      <c r="O21" s="2">
        <f ca="1">IFERROR(__xludf.DUMMYFUNCTION("""COMPUTED_VALUE"""),5.47)</f>
        <v>5.47</v>
      </c>
      <c r="P21" s="2">
        <f ca="1">IFERROR(__xludf.DUMMYFUNCTION("""COMPUTED_VALUE"""),23)</f>
        <v>23</v>
      </c>
      <c r="Q21" s="7">
        <f ca="1">IFERROR(__xludf.DUMMYFUNCTION("""COMPUTED_VALUE"""),0.109722222222222)</f>
        <v>0.109722222222222</v>
      </c>
      <c r="R21" s="2">
        <f ca="1">IFERROR(__xludf.DUMMYFUNCTION("""COMPUTED_VALUE"""),20)</f>
        <v>20</v>
      </c>
      <c r="S21" s="2">
        <f ca="1">IFERROR(__xludf.DUMMYFUNCTION("""COMPUTED_VALUE"""),0.657)</f>
        <v>0.65700000000000003</v>
      </c>
      <c r="T21" s="2">
        <f ca="1">IFERROR(__xludf.DUMMYFUNCTION("""COMPUTED_VALUE"""),24)</f>
        <v>24</v>
      </c>
    </row>
    <row r="22" spans="1:20" x14ac:dyDescent="0.2">
      <c r="A22" s="2" t="str">
        <f ca="1">IFERROR(__xludf.DUMMYFUNCTION("""COMPUTED_VALUE"""),"TB")</f>
        <v>TB</v>
      </c>
      <c r="B22" s="2">
        <f ca="1">IFERROR(__xludf.DUMMYFUNCTION("""COMPUTED_VALUE"""),10)</f>
        <v>10</v>
      </c>
      <c r="C22" s="2">
        <f ca="1">IFERROR(__xludf.DUMMYFUNCTION("""COMPUTED_VALUE"""),30.3)</f>
        <v>30.3</v>
      </c>
      <c r="D22" s="2">
        <f ca="1">IFERROR(__xludf.DUMMYFUNCTION("""COMPUTED_VALUE"""),21)</f>
        <v>21</v>
      </c>
      <c r="E22" s="2">
        <f ca="1">IFERROR(__xludf.DUMMYFUNCTION("""COMPUTED_VALUE"""),1)</f>
        <v>1</v>
      </c>
      <c r="F22" s="2">
        <f ca="1">IFERROR(__xludf.DUMMYFUNCTION("""COMPUTED_VALUE"""),27)</f>
        <v>27</v>
      </c>
      <c r="G22" s="2">
        <f ca="1">IFERROR(__xludf.DUMMYFUNCTION("""COMPUTED_VALUE"""),0.4)</f>
        <v>0.4</v>
      </c>
      <c r="H22" s="6">
        <f ca="1">IFERROR(__xludf.DUMMYFUNCTION("""COMPUTED_VALUE"""),32)</f>
        <v>32</v>
      </c>
      <c r="I22" s="2">
        <f ca="1">IFERROR(__xludf.DUMMYFUNCTION("""COMPUTED_VALUE"""),0.3)</f>
        <v>0.3</v>
      </c>
      <c r="J22" s="2">
        <f ca="1">IFERROR(__xludf.DUMMYFUNCTION("""COMPUTED_VALUE"""),32)</f>
        <v>32</v>
      </c>
      <c r="K22" s="2">
        <f ca="1">IFERROR(__xludf.DUMMYFUNCTION("""COMPUTED_VALUE"""),0.1)</f>
        <v>0.1</v>
      </c>
      <c r="L22" s="2">
        <f ca="1">IFERROR(__xludf.DUMMYFUNCTION("""COMPUTED_VALUE"""),27)</f>
        <v>27</v>
      </c>
      <c r="M22" s="2">
        <f ca="1">IFERROR(__xludf.DUMMYFUNCTION("""COMPUTED_VALUE"""),28.6)</f>
        <v>28.6</v>
      </c>
      <c r="N22" s="2">
        <f ca="1">IFERROR(__xludf.DUMMYFUNCTION("""COMPUTED_VALUE"""),10)</f>
        <v>10</v>
      </c>
      <c r="O22" s="2">
        <f ca="1">IFERROR(__xludf.DUMMYFUNCTION("""COMPUTED_VALUE"""),6.5)</f>
        <v>6.5</v>
      </c>
      <c r="P22" s="2">
        <f ca="1">IFERROR(__xludf.DUMMYFUNCTION("""COMPUTED_VALUE"""),14)</f>
        <v>14</v>
      </c>
      <c r="Q22" s="7">
        <f ca="1">IFERROR(__xludf.DUMMYFUNCTION("""COMPUTED_VALUE"""),0.124305555555555)</f>
        <v>0.124305555555555</v>
      </c>
      <c r="R22" s="2">
        <f ca="1">IFERROR(__xludf.DUMMYFUNCTION("""COMPUTED_VALUE"""),16)</f>
        <v>16</v>
      </c>
      <c r="S22" s="2">
        <f ca="1">IFERROR(__xludf.DUMMYFUNCTION("""COMPUTED_VALUE"""),0.7)</f>
        <v>0.7</v>
      </c>
      <c r="T22" s="2">
        <f ca="1">IFERROR(__xludf.DUMMYFUNCTION("""COMPUTED_VALUE"""),18)</f>
        <v>18</v>
      </c>
    </row>
    <row r="23" spans="1:20" x14ac:dyDescent="0.2">
      <c r="A23" s="2" t="str">
        <f ca="1">IFERROR(__xludf.DUMMYFUNCTION("""COMPUTED_VALUE"""),"SF")</f>
        <v>SF</v>
      </c>
      <c r="B23" s="2">
        <f ca="1">IFERROR(__xludf.DUMMYFUNCTION("""COMPUTED_VALUE"""),9)</f>
        <v>9</v>
      </c>
      <c r="C23" s="2">
        <f ca="1">IFERROR(__xludf.DUMMYFUNCTION("""COMPUTED_VALUE"""),29.56)</f>
        <v>29.56</v>
      </c>
      <c r="D23" s="2">
        <f ca="1">IFERROR(__xludf.DUMMYFUNCTION("""COMPUTED_VALUE"""),22)</f>
        <v>22</v>
      </c>
      <c r="E23" s="2">
        <f ca="1">IFERROR(__xludf.DUMMYFUNCTION("""COMPUTED_VALUE"""),1.78)</f>
        <v>1.78</v>
      </c>
      <c r="F23" s="2">
        <f ca="1">IFERROR(__xludf.DUMMYFUNCTION("""COMPUTED_VALUE"""),19)</f>
        <v>19</v>
      </c>
      <c r="G23" s="2">
        <f ca="1">IFERROR(__xludf.DUMMYFUNCTION("""COMPUTED_VALUE"""),0.222)</f>
        <v>0.222</v>
      </c>
      <c r="H23" s="6">
        <f ca="1">IFERROR(__xludf.DUMMYFUNCTION("""COMPUTED_VALUE"""),28)</f>
        <v>28</v>
      </c>
      <c r="I23" s="2">
        <f ca="1">IFERROR(__xludf.DUMMYFUNCTION("""COMPUTED_VALUE"""),0.111)</f>
        <v>0.111</v>
      </c>
      <c r="J23" s="2">
        <f ca="1">IFERROR(__xludf.DUMMYFUNCTION("""COMPUTED_VALUE"""),27)</f>
        <v>27</v>
      </c>
      <c r="K23" s="2">
        <f ca="1">IFERROR(__xludf.DUMMYFUNCTION("""COMPUTED_VALUE"""),0.111)</f>
        <v>0.111</v>
      </c>
      <c r="L23" s="2">
        <f ca="1">IFERROR(__xludf.DUMMYFUNCTION("""COMPUTED_VALUE"""),28)</f>
        <v>28</v>
      </c>
      <c r="M23" s="2">
        <f ca="1">IFERROR(__xludf.DUMMYFUNCTION("""COMPUTED_VALUE"""),28.56)</f>
        <v>28.56</v>
      </c>
      <c r="N23" s="2">
        <f ca="1">IFERROR(__xludf.DUMMYFUNCTION("""COMPUTED_VALUE"""),11)</f>
        <v>11</v>
      </c>
      <c r="O23" s="2">
        <f ca="1">IFERROR(__xludf.DUMMYFUNCTION("""COMPUTED_VALUE"""),6.89)</f>
        <v>6.89</v>
      </c>
      <c r="P23" s="2">
        <f ca="1">IFERROR(__xludf.DUMMYFUNCTION("""COMPUTED_VALUE"""),6)</f>
        <v>6</v>
      </c>
      <c r="Q23" s="7">
        <f ca="1">IFERROR(__xludf.DUMMYFUNCTION("""COMPUTED_VALUE"""),0.135416666666666)</f>
        <v>0.13541666666666599</v>
      </c>
      <c r="R23" s="2">
        <f ca="1">IFERROR(__xludf.DUMMYFUNCTION("""COMPUTED_VALUE"""),10)</f>
        <v>10</v>
      </c>
      <c r="S23" s="2">
        <f ca="1">IFERROR(__xludf.DUMMYFUNCTION("""COMPUTED_VALUE"""),0.68)</f>
        <v>0.68</v>
      </c>
      <c r="T23" s="2">
        <f ca="1">IFERROR(__xludf.DUMMYFUNCTION("""COMPUTED_VALUE"""),22)</f>
        <v>22</v>
      </c>
    </row>
    <row r="24" spans="1:20" x14ac:dyDescent="0.2">
      <c r="A24" s="2" t="str">
        <f ca="1">IFERROR(__xludf.DUMMYFUNCTION("""COMPUTED_VALUE"""),"LAR")</f>
        <v>LAR</v>
      </c>
      <c r="B24" s="2">
        <f ca="1">IFERROR(__xludf.DUMMYFUNCTION("""COMPUTED_VALUE"""),13)</f>
        <v>13</v>
      </c>
      <c r="C24" s="2">
        <f ca="1">IFERROR(__xludf.DUMMYFUNCTION("""COMPUTED_VALUE"""),27.08)</f>
        <v>27.08</v>
      </c>
      <c r="D24" s="2">
        <f ca="1">IFERROR(__xludf.DUMMYFUNCTION("""COMPUTED_VALUE"""),23)</f>
        <v>23</v>
      </c>
      <c r="E24" s="2">
        <f ca="1">IFERROR(__xludf.DUMMYFUNCTION("""COMPUTED_VALUE"""),2.31)</f>
        <v>2.31</v>
      </c>
      <c r="F24" s="2">
        <f ca="1">IFERROR(__xludf.DUMMYFUNCTION("""COMPUTED_VALUE"""),15)</f>
        <v>15</v>
      </c>
      <c r="G24" s="2">
        <f ca="1">IFERROR(__xludf.DUMMYFUNCTION("""COMPUTED_VALUE"""),0.077)</f>
        <v>7.6999999999999999E-2</v>
      </c>
      <c r="H24" s="6">
        <f ca="1">IFERROR(__xludf.DUMMYFUNCTION("""COMPUTED_VALUE"""),15)</f>
        <v>15</v>
      </c>
      <c r="I24" s="2">
        <f ca="1">IFERROR(__xludf.DUMMYFUNCTION("""COMPUTED_VALUE"""),0.077)</f>
        <v>7.6999999999999999E-2</v>
      </c>
      <c r="J24" s="2">
        <f ca="1">IFERROR(__xludf.DUMMYFUNCTION("""COMPUTED_VALUE"""),20)</f>
        <v>20</v>
      </c>
      <c r="K24" s="2">
        <f ca="1">IFERROR(__xludf.DUMMYFUNCTION("""COMPUTED_VALUE"""),0)</f>
        <v>0</v>
      </c>
      <c r="L24" s="2">
        <f ca="1">IFERROR(__xludf.DUMMYFUNCTION("""COMPUTED_VALUE"""),12)</f>
        <v>12</v>
      </c>
      <c r="M24" s="2">
        <f ca="1">IFERROR(__xludf.DUMMYFUNCTION("""COMPUTED_VALUE"""),36.85)</f>
        <v>36.85</v>
      </c>
      <c r="N24" s="2">
        <f ca="1">IFERROR(__xludf.DUMMYFUNCTION("""COMPUTED_VALUE"""),2)</f>
        <v>2</v>
      </c>
      <c r="O24" s="2">
        <f ca="1">IFERROR(__xludf.DUMMYFUNCTION("""COMPUTED_VALUE"""),5.85)</f>
        <v>5.85</v>
      </c>
      <c r="P24" s="2">
        <f ca="1">IFERROR(__xludf.DUMMYFUNCTION("""COMPUTED_VALUE"""),19)</f>
        <v>19</v>
      </c>
      <c r="Q24" s="7">
        <f ca="1">IFERROR(__xludf.DUMMYFUNCTION("""COMPUTED_VALUE"""),0.106944444444444)</f>
        <v>0.106944444444444</v>
      </c>
      <c r="R24" s="2">
        <f ca="1">IFERROR(__xludf.DUMMYFUNCTION("""COMPUTED_VALUE"""),21)</f>
        <v>21</v>
      </c>
      <c r="S24" s="2">
        <f ca="1">IFERROR(__xludf.DUMMYFUNCTION("""COMPUTED_VALUE"""),0.688)</f>
        <v>0.68799999999999994</v>
      </c>
      <c r="T24" s="2">
        <f ca="1">IFERROR(__xludf.DUMMYFUNCTION("""COMPUTED_VALUE"""),20)</f>
        <v>20</v>
      </c>
    </row>
    <row r="25" spans="1:20" x14ac:dyDescent="0.2">
      <c r="A25" s="2" t="str">
        <f ca="1">IFERROR(__xludf.DUMMYFUNCTION("""COMPUTED_VALUE"""),"PIT")</f>
        <v>PIT</v>
      </c>
      <c r="B25" s="2">
        <f ca="1">IFERROR(__xludf.DUMMYFUNCTION("""COMPUTED_VALUE"""),11)</f>
        <v>11</v>
      </c>
      <c r="C25" s="2">
        <f ca="1">IFERROR(__xludf.DUMMYFUNCTION("""COMPUTED_VALUE"""),26.36)</f>
        <v>26.36</v>
      </c>
      <c r="D25" s="2">
        <f ca="1">IFERROR(__xludf.DUMMYFUNCTION("""COMPUTED_VALUE"""),24)</f>
        <v>24</v>
      </c>
      <c r="E25" s="2">
        <f ca="1">IFERROR(__xludf.DUMMYFUNCTION("""COMPUTED_VALUE"""),0.27)</f>
        <v>0.27</v>
      </c>
      <c r="F25" s="2">
        <f ca="1">IFERROR(__xludf.DUMMYFUNCTION("""COMPUTED_VALUE"""),31)</f>
        <v>31</v>
      </c>
      <c r="G25" s="2">
        <f ca="1">IFERROR(__xludf.DUMMYFUNCTION("""COMPUTED_VALUE"""),0.091)</f>
        <v>9.0999999999999998E-2</v>
      </c>
      <c r="H25" s="6">
        <f ca="1">IFERROR(__xludf.DUMMYFUNCTION("""COMPUTED_VALUE"""),19)</f>
        <v>19</v>
      </c>
      <c r="I25" s="2">
        <f ca="1">IFERROR(__xludf.DUMMYFUNCTION("""COMPUTED_VALUE"""),0.091)</f>
        <v>9.0999999999999998E-2</v>
      </c>
      <c r="J25" s="2">
        <f ca="1">IFERROR(__xludf.DUMMYFUNCTION("""COMPUTED_VALUE"""),22)</f>
        <v>22</v>
      </c>
      <c r="K25" s="2">
        <f ca="1">IFERROR(__xludf.DUMMYFUNCTION("""COMPUTED_VALUE"""),0)</f>
        <v>0</v>
      </c>
      <c r="L25" s="2">
        <f ca="1">IFERROR(__xludf.DUMMYFUNCTION("""COMPUTED_VALUE"""),19)</f>
        <v>19</v>
      </c>
      <c r="M25" s="2">
        <f ca="1">IFERROR(__xludf.DUMMYFUNCTION("""COMPUTED_VALUE"""),26)</f>
        <v>26</v>
      </c>
      <c r="N25" s="2">
        <f ca="1">IFERROR(__xludf.DUMMYFUNCTION("""COMPUTED_VALUE"""),21)</f>
        <v>21</v>
      </c>
      <c r="O25" s="2">
        <f ca="1">IFERROR(__xludf.DUMMYFUNCTION("""COMPUTED_VALUE"""),5.64)</f>
        <v>5.64</v>
      </c>
      <c r="P25" s="2">
        <f ca="1">IFERROR(__xludf.DUMMYFUNCTION("""COMPUTED_VALUE"""),21)</f>
        <v>21</v>
      </c>
      <c r="Q25" s="7">
        <f ca="1">IFERROR(__xludf.DUMMYFUNCTION("""COMPUTED_VALUE"""),0.104166666666666)</f>
        <v>0.10416666666666601</v>
      </c>
      <c r="R25" s="2">
        <f ca="1">IFERROR(__xludf.DUMMYFUNCTION("""COMPUTED_VALUE"""),25)</f>
        <v>25</v>
      </c>
      <c r="S25" s="2">
        <f ca="1">IFERROR(__xludf.DUMMYFUNCTION("""COMPUTED_VALUE"""),0.577)</f>
        <v>0.57699999999999996</v>
      </c>
      <c r="T25" s="2">
        <f ca="1">IFERROR(__xludf.DUMMYFUNCTION("""COMPUTED_VALUE"""),28)</f>
        <v>28</v>
      </c>
    </row>
    <row r="26" spans="1:20" x14ac:dyDescent="0.2">
      <c r="A26" s="2" t="str">
        <f ca="1">IFERROR(__xludf.DUMMYFUNCTION("""COMPUTED_VALUE"""),"CAR")</f>
        <v>CAR</v>
      </c>
      <c r="B26" s="2">
        <f ca="1">IFERROR(__xludf.DUMMYFUNCTION("""COMPUTED_VALUE"""),13)</f>
        <v>13</v>
      </c>
      <c r="C26" s="2">
        <f ca="1">IFERROR(__xludf.DUMMYFUNCTION("""COMPUTED_VALUE"""),24.85)</f>
        <v>24.85</v>
      </c>
      <c r="D26" s="2">
        <f ca="1">IFERROR(__xludf.DUMMYFUNCTION("""COMPUTED_VALUE"""),25)</f>
        <v>25</v>
      </c>
      <c r="E26" s="2">
        <f ca="1">IFERROR(__xludf.DUMMYFUNCTION("""COMPUTED_VALUE"""),2.08)</f>
        <v>2.08</v>
      </c>
      <c r="F26" s="2">
        <f ca="1">IFERROR(__xludf.DUMMYFUNCTION("""COMPUTED_VALUE"""),16)</f>
        <v>16</v>
      </c>
      <c r="G26" s="2">
        <f ca="1">IFERROR(__xludf.DUMMYFUNCTION("""COMPUTED_VALUE"""),0.231)</f>
        <v>0.23100000000000001</v>
      </c>
      <c r="H26" s="6">
        <f ca="1">IFERROR(__xludf.DUMMYFUNCTION("""COMPUTED_VALUE"""),29)</f>
        <v>29</v>
      </c>
      <c r="I26" s="2">
        <f ca="1">IFERROR(__xludf.DUMMYFUNCTION("""COMPUTED_VALUE"""),0.077)</f>
        <v>7.6999999999999999E-2</v>
      </c>
      <c r="J26" s="2">
        <f ca="1">IFERROR(__xludf.DUMMYFUNCTION("""COMPUTED_VALUE"""),19)</f>
        <v>19</v>
      </c>
      <c r="K26" s="2">
        <f ca="1">IFERROR(__xludf.DUMMYFUNCTION("""COMPUTED_VALUE"""),0.154)</f>
        <v>0.154</v>
      </c>
      <c r="L26" s="2">
        <f ca="1">IFERROR(__xludf.DUMMYFUNCTION("""COMPUTED_VALUE"""),29)</f>
        <v>29</v>
      </c>
      <c r="M26" s="2">
        <f ca="1">IFERROR(__xludf.DUMMYFUNCTION("""COMPUTED_VALUE"""),34.15)</f>
        <v>34.15</v>
      </c>
      <c r="N26" s="2">
        <f ca="1">IFERROR(__xludf.DUMMYFUNCTION("""COMPUTED_VALUE"""),3)</f>
        <v>3</v>
      </c>
      <c r="O26" s="2">
        <f ca="1">IFERROR(__xludf.DUMMYFUNCTION("""COMPUTED_VALUE"""),5.15)</f>
        <v>5.15</v>
      </c>
      <c r="P26" s="2">
        <f ca="1">IFERROR(__xludf.DUMMYFUNCTION("""COMPUTED_VALUE"""),27)</f>
        <v>27</v>
      </c>
      <c r="Q26" s="7">
        <f ca="1">IFERROR(__xludf.DUMMYFUNCTION("""COMPUTED_VALUE"""),0.0854166666666666)</f>
        <v>8.5416666666666599E-2</v>
      </c>
      <c r="R26" s="2">
        <f ca="1">IFERROR(__xludf.DUMMYFUNCTION("""COMPUTED_VALUE"""),29)</f>
        <v>29</v>
      </c>
      <c r="S26" s="2">
        <f ca="1">IFERROR(__xludf.DUMMYFUNCTION("""COMPUTED_VALUE"""),0.677)</f>
        <v>0.67700000000000005</v>
      </c>
      <c r="T26" s="2">
        <f ca="1">IFERROR(__xludf.DUMMYFUNCTION("""COMPUTED_VALUE"""),23)</f>
        <v>23</v>
      </c>
    </row>
    <row r="27" spans="1:20" x14ac:dyDescent="0.2">
      <c r="A27" s="2" t="str">
        <f ca="1">IFERROR(__xludf.DUMMYFUNCTION("""COMPUTED_VALUE"""),"ARI")</f>
        <v>ARI</v>
      </c>
      <c r="B27" s="2">
        <f ca="1">IFERROR(__xludf.DUMMYFUNCTION("""COMPUTED_VALUE"""),16)</f>
        <v>16</v>
      </c>
      <c r="C27" s="2">
        <f ca="1">IFERROR(__xludf.DUMMYFUNCTION("""COMPUTED_VALUE"""),23.56)</f>
        <v>23.56</v>
      </c>
      <c r="D27" s="2">
        <f ca="1">IFERROR(__xludf.DUMMYFUNCTION("""COMPUTED_VALUE"""),26)</f>
        <v>26</v>
      </c>
      <c r="E27" s="2">
        <f ca="1">IFERROR(__xludf.DUMMYFUNCTION("""COMPUTED_VALUE"""),1.69)</f>
        <v>1.69</v>
      </c>
      <c r="F27" s="2">
        <f ca="1">IFERROR(__xludf.DUMMYFUNCTION("""COMPUTED_VALUE"""),22)</f>
        <v>22</v>
      </c>
      <c r="G27" s="2">
        <f ca="1">IFERROR(__xludf.DUMMYFUNCTION("""COMPUTED_VALUE"""),0.062)</f>
        <v>6.2E-2</v>
      </c>
      <c r="H27" s="6">
        <f ca="1">IFERROR(__xludf.DUMMYFUNCTION("""COMPUTED_VALUE"""),13)</f>
        <v>13</v>
      </c>
      <c r="I27" s="2">
        <f ca="1">IFERROR(__xludf.DUMMYFUNCTION("""COMPUTED_VALUE"""),0.062)</f>
        <v>6.2E-2</v>
      </c>
      <c r="J27" s="2">
        <f ca="1">IFERROR(__xludf.DUMMYFUNCTION("""COMPUTED_VALUE"""),18)</f>
        <v>18</v>
      </c>
      <c r="K27" s="2" t="str">
        <f ca="1">IFERROR(__xludf.DUMMYFUNCTION("""COMPUTED_VALUE"""),"*.000*")</f>
        <v>*.000*</v>
      </c>
      <c r="L27" s="2">
        <f ca="1">IFERROR(__xludf.DUMMYFUNCTION("""COMPUTED_VALUE"""),1)</f>
        <v>1</v>
      </c>
      <c r="M27" s="2">
        <f ca="1">IFERROR(__xludf.DUMMYFUNCTION("""COMPUTED_VALUE"""),28.38)</f>
        <v>28.38</v>
      </c>
      <c r="N27" s="2">
        <f ca="1">IFERROR(__xludf.DUMMYFUNCTION("""COMPUTED_VALUE"""),12)</f>
        <v>12</v>
      </c>
      <c r="O27" s="2">
        <f ca="1">IFERROR(__xludf.DUMMYFUNCTION("""COMPUTED_VALUE"""),5.38)</f>
        <v>5.38</v>
      </c>
      <c r="P27" s="2">
        <f ca="1">IFERROR(__xludf.DUMMYFUNCTION("""COMPUTED_VALUE"""),24)</f>
        <v>24</v>
      </c>
      <c r="Q27" s="7">
        <f ca="1">IFERROR(__xludf.DUMMYFUNCTION("""COMPUTED_VALUE"""),0.0798611111111111)</f>
        <v>7.9861111111111105E-2</v>
      </c>
      <c r="R27" s="2">
        <f ca="1">IFERROR(__xludf.DUMMYFUNCTION("""COMPUTED_VALUE"""),32)</f>
        <v>32</v>
      </c>
      <c r="S27" s="2">
        <f ca="1">IFERROR(__xludf.DUMMYFUNCTION("""COMPUTED_VALUE"""),0.6)</f>
        <v>0.6</v>
      </c>
      <c r="T27" s="2">
        <f ca="1">IFERROR(__xludf.DUMMYFUNCTION("""COMPUTED_VALUE"""),27)</f>
        <v>27</v>
      </c>
    </row>
    <row r="28" spans="1:20" x14ac:dyDescent="0.2">
      <c r="A28" s="2" t="str">
        <f ca="1">IFERROR(__xludf.DUMMYFUNCTION("""COMPUTED_VALUE"""),"NYJ")</f>
        <v>NYJ</v>
      </c>
      <c r="B28" s="2">
        <f ca="1">IFERROR(__xludf.DUMMYFUNCTION("""COMPUTED_VALUE"""),11)</f>
        <v>11</v>
      </c>
      <c r="C28" s="2">
        <f ca="1">IFERROR(__xludf.DUMMYFUNCTION("""COMPUTED_VALUE"""),20.27)</f>
        <v>20.27</v>
      </c>
      <c r="D28" s="2">
        <f ca="1">IFERROR(__xludf.DUMMYFUNCTION("""COMPUTED_VALUE"""),27)</f>
        <v>27</v>
      </c>
      <c r="E28" s="2">
        <f ca="1">IFERROR(__xludf.DUMMYFUNCTION("""COMPUTED_VALUE"""),0.73)</f>
        <v>0.73</v>
      </c>
      <c r="F28" s="2">
        <f ca="1">IFERROR(__xludf.DUMMYFUNCTION("""COMPUTED_VALUE"""),30)</f>
        <v>30</v>
      </c>
      <c r="G28" s="2">
        <f ca="1">IFERROR(__xludf.DUMMYFUNCTION("""COMPUTED_VALUE"""),0.091)</f>
        <v>9.0999999999999998E-2</v>
      </c>
      <c r="H28" s="6">
        <f ca="1">IFERROR(__xludf.DUMMYFUNCTION("""COMPUTED_VALUE"""),18)</f>
        <v>18</v>
      </c>
      <c r="I28" s="2">
        <f ca="1">IFERROR(__xludf.DUMMYFUNCTION("""COMPUTED_VALUE"""),0)</f>
        <v>0</v>
      </c>
      <c r="J28" s="2">
        <f ca="1">IFERROR(__xludf.DUMMYFUNCTION("""COMPUTED_VALUE"""),12)</f>
        <v>12</v>
      </c>
      <c r="K28" s="2">
        <f ca="1">IFERROR(__xludf.DUMMYFUNCTION("""COMPUTED_VALUE"""),0.091)</f>
        <v>9.0999999999999998E-2</v>
      </c>
      <c r="L28" s="2">
        <f ca="1">IFERROR(__xludf.DUMMYFUNCTION("""COMPUTED_VALUE"""),24)</f>
        <v>24</v>
      </c>
      <c r="M28" s="2">
        <f ca="1">IFERROR(__xludf.DUMMYFUNCTION("""COMPUTED_VALUE"""),28.36)</f>
        <v>28.36</v>
      </c>
      <c r="N28" s="2">
        <f ca="1">IFERROR(__xludf.DUMMYFUNCTION("""COMPUTED_VALUE"""),13)</f>
        <v>13</v>
      </c>
      <c r="O28" s="2">
        <f ca="1">IFERROR(__xludf.DUMMYFUNCTION("""COMPUTED_VALUE"""),6.09)</f>
        <v>6.09</v>
      </c>
      <c r="P28" s="2">
        <f ca="1">IFERROR(__xludf.DUMMYFUNCTION("""COMPUTED_VALUE"""),16)</f>
        <v>16</v>
      </c>
      <c r="Q28" s="7">
        <f ca="1">IFERROR(__xludf.DUMMYFUNCTION("""COMPUTED_VALUE"""),0.121527777777777)</f>
        <v>0.121527777777777</v>
      </c>
      <c r="R28" s="2">
        <f ca="1">IFERROR(__xludf.DUMMYFUNCTION("""COMPUTED_VALUE"""),17)</f>
        <v>17</v>
      </c>
      <c r="S28" s="2">
        <f ca="1">IFERROR(__xludf.DUMMYFUNCTION("""COMPUTED_VALUE"""),0.63)</f>
        <v>0.63</v>
      </c>
      <c r="T28" s="2">
        <f ca="1">IFERROR(__xludf.DUMMYFUNCTION("""COMPUTED_VALUE"""),25)</f>
        <v>25</v>
      </c>
    </row>
    <row r="29" spans="1:20" x14ac:dyDescent="0.2">
      <c r="A29" s="2" t="str">
        <f ca="1">IFERROR(__xludf.DUMMYFUNCTION("""COMPUTED_VALUE"""),"CLE")</f>
        <v>CLE</v>
      </c>
      <c r="B29" s="2">
        <f ca="1">IFERROR(__xludf.DUMMYFUNCTION("""COMPUTED_VALUE"""),14)</f>
        <v>14</v>
      </c>
      <c r="C29" s="2">
        <f ca="1">IFERROR(__xludf.DUMMYFUNCTION("""COMPUTED_VALUE"""),20.07)</f>
        <v>20.07</v>
      </c>
      <c r="D29" s="2">
        <f ca="1">IFERROR(__xludf.DUMMYFUNCTION("""COMPUTED_VALUE"""),28)</f>
        <v>28</v>
      </c>
      <c r="E29" s="2">
        <f ca="1">IFERROR(__xludf.DUMMYFUNCTION("""COMPUTED_VALUE"""),0.93)</f>
        <v>0.93</v>
      </c>
      <c r="F29" s="2">
        <f ca="1">IFERROR(__xludf.DUMMYFUNCTION("""COMPUTED_VALUE"""),28)</f>
        <v>28</v>
      </c>
      <c r="G29" s="2">
        <f ca="1">IFERROR(__xludf.DUMMYFUNCTION("""COMPUTED_VALUE"""),0.214)</f>
        <v>0.214</v>
      </c>
      <c r="H29" s="6">
        <f ca="1">IFERROR(__xludf.DUMMYFUNCTION("""COMPUTED_VALUE"""),27)</f>
        <v>27</v>
      </c>
      <c r="I29" s="2">
        <f ca="1">IFERROR(__xludf.DUMMYFUNCTION("""COMPUTED_VALUE"""),0.214)</f>
        <v>0.214</v>
      </c>
      <c r="J29" s="2">
        <f ca="1">IFERROR(__xludf.DUMMYFUNCTION("""COMPUTED_VALUE"""),31)</f>
        <v>31</v>
      </c>
      <c r="K29" s="2">
        <f ca="1">IFERROR(__xludf.DUMMYFUNCTION("""COMPUTED_VALUE"""),0)</f>
        <v>0</v>
      </c>
      <c r="L29" s="2">
        <f ca="1">IFERROR(__xludf.DUMMYFUNCTION("""COMPUTED_VALUE"""),4)</f>
        <v>4</v>
      </c>
      <c r="M29" s="2">
        <f ca="1">IFERROR(__xludf.DUMMYFUNCTION("""COMPUTED_VALUE"""),22.57)</f>
        <v>22.57</v>
      </c>
      <c r="N29" s="2">
        <f ca="1">IFERROR(__xludf.DUMMYFUNCTION("""COMPUTED_VALUE"""),27)</f>
        <v>27</v>
      </c>
      <c r="O29" s="2">
        <f ca="1">IFERROR(__xludf.DUMMYFUNCTION("""COMPUTED_VALUE"""),4.5)</f>
        <v>4.5</v>
      </c>
      <c r="P29" s="2">
        <f ca="1">IFERROR(__xludf.DUMMYFUNCTION("""COMPUTED_VALUE"""),31)</f>
        <v>31</v>
      </c>
      <c r="Q29" s="7">
        <f ca="1">IFERROR(__xludf.DUMMYFUNCTION("""COMPUTED_VALUE"""),0.0916666666666666)</f>
        <v>9.1666666666666605E-2</v>
      </c>
      <c r="R29" s="2">
        <f ca="1">IFERROR(__xludf.DUMMYFUNCTION("""COMPUTED_VALUE"""),28)</f>
        <v>28</v>
      </c>
      <c r="S29" s="2">
        <f ca="1">IFERROR(__xludf.DUMMYFUNCTION("""COMPUTED_VALUE"""),0.613)</f>
        <v>0.61299999999999999</v>
      </c>
      <c r="T29" s="2">
        <f ca="1">IFERROR(__xludf.DUMMYFUNCTION("""COMPUTED_VALUE"""),26)</f>
        <v>26</v>
      </c>
    </row>
    <row r="30" spans="1:20" x14ac:dyDescent="0.2">
      <c r="A30" s="2" t="str">
        <f ca="1">IFERROR(__xludf.DUMMYFUNCTION("""COMPUTED_VALUE"""),"MIA")</f>
        <v>MIA</v>
      </c>
      <c r="B30" s="2">
        <f ca="1">IFERROR(__xludf.DUMMYFUNCTION("""COMPUTED_VALUE"""),10)</f>
        <v>10</v>
      </c>
      <c r="C30" s="2">
        <f ca="1">IFERROR(__xludf.DUMMYFUNCTION("""COMPUTED_VALUE"""),19.5)</f>
        <v>19.5</v>
      </c>
      <c r="D30" s="2">
        <f ca="1">IFERROR(__xludf.DUMMYFUNCTION("""COMPUTED_VALUE"""),29)</f>
        <v>29</v>
      </c>
      <c r="E30" s="2">
        <f ca="1">IFERROR(__xludf.DUMMYFUNCTION("""COMPUTED_VALUE"""),1)</f>
        <v>1</v>
      </c>
      <c r="F30" s="2">
        <f ca="1">IFERROR(__xludf.DUMMYFUNCTION("""COMPUTED_VALUE"""),26)</f>
        <v>26</v>
      </c>
      <c r="G30" s="2">
        <f ca="1">IFERROR(__xludf.DUMMYFUNCTION("""COMPUTED_VALUE"""),0.2)</f>
        <v>0.2</v>
      </c>
      <c r="H30" s="6">
        <f ca="1">IFERROR(__xludf.DUMMYFUNCTION("""COMPUTED_VALUE"""),25)</f>
        <v>25</v>
      </c>
      <c r="I30" s="2">
        <f ca="1">IFERROR(__xludf.DUMMYFUNCTION("""COMPUTED_VALUE"""),0.2)</f>
        <v>0.2</v>
      </c>
      <c r="J30" s="2">
        <f ca="1">IFERROR(__xludf.DUMMYFUNCTION("""COMPUTED_VALUE"""),30)</f>
        <v>30</v>
      </c>
      <c r="K30" s="2">
        <f ca="1">IFERROR(__xludf.DUMMYFUNCTION("""COMPUTED_VALUE"""),0)</f>
        <v>0</v>
      </c>
      <c r="L30" s="2">
        <f ca="1">IFERROR(__xludf.DUMMYFUNCTION("""COMPUTED_VALUE"""),13)</f>
        <v>13</v>
      </c>
      <c r="M30" s="2">
        <f ca="1">IFERROR(__xludf.DUMMYFUNCTION("""COMPUTED_VALUE"""),22.6)</f>
        <v>22.6</v>
      </c>
      <c r="N30" s="2">
        <f ca="1">IFERROR(__xludf.DUMMYFUNCTION("""COMPUTED_VALUE"""),26)</f>
        <v>26</v>
      </c>
      <c r="O30" s="2">
        <f ca="1">IFERROR(__xludf.DUMMYFUNCTION("""COMPUTED_VALUE"""),4.8)</f>
        <v>4.8</v>
      </c>
      <c r="P30" s="2">
        <f ca="1">IFERROR(__xludf.DUMMYFUNCTION("""COMPUTED_VALUE"""),28)</f>
        <v>28</v>
      </c>
      <c r="Q30" s="7">
        <f ca="1">IFERROR(__xludf.DUMMYFUNCTION("""COMPUTED_VALUE"""),0.0826388888888888)</f>
        <v>8.2638888888888803E-2</v>
      </c>
      <c r="R30" s="2">
        <f ca="1">IFERROR(__xludf.DUMMYFUNCTION("""COMPUTED_VALUE"""),31)</f>
        <v>31</v>
      </c>
      <c r="S30" s="2">
        <f ca="1">IFERROR(__xludf.DUMMYFUNCTION("""COMPUTED_VALUE"""),0.571)</f>
        <v>0.57099999999999995</v>
      </c>
      <c r="T30" s="2">
        <f ca="1">IFERROR(__xludf.DUMMYFUNCTION("""COMPUTED_VALUE"""),30)</f>
        <v>30</v>
      </c>
    </row>
    <row r="31" spans="1:20" x14ac:dyDescent="0.2">
      <c r="A31" s="2" t="str">
        <f ca="1">IFERROR(__xludf.DUMMYFUNCTION("""COMPUTED_VALUE"""),"CHI")</f>
        <v>CHI</v>
      </c>
      <c r="B31" s="2">
        <f ca="1">IFERROR(__xludf.DUMMYFUNCTION("""COMPUTED_VALUE"""),12)</f>
        <v>12</v>
      </c>
      <c r="C31" s="2">
        <f ca="1">IFERROR(__xludf.DUMMYFUNCTION("""COMPUTED_VALUE"""),19.17)</f>
        <v>19.170000000000002</v>
      </c>
      <c r="D31" s="2">
        <f ca="1">IFERROR(__xludf.DUMMYFUNCTION("""COMPUTED_VALUE"""),30)</f>
        <v>30</v>
      </c>
      <c r="E31" s="2">
        <f ca="1">IFERROR(__xludf.DUMMYFUNCTION("""COMPUTED_VALUE"""),0.25)</f>
        <v>0.25</v>
      </c>
      <c r="F31" s="2">
        <f ca="1">IFERROR(__xludf.DUMMYFUNCTION("""COMPUTED_VALUE"""),32)</f>
        <v>32</v>
      </c>
      <c r="G31" s="2">
        <f ca="1">IFERROR(__xludf.DUMMYFUNCTION("""COMPUTED_VALUE"""),0.083)</f>
        <v>8.3000000000000004E-2</v>
      </c>
      <c r="H31" s="6">
        <f ca="1">IFERROR(__xludf.DUMMYFUNCTION("""COMPUTED_VALUE"""),16)</f>
        <v>16</v>
      </c>
      <c r="I31" s="2">
        <f ca="1">IFERROR(__xludf.DUMMYFUNCTION("""COMPUTED_VALUE"""),0.083)</f>
        <v>8.3000000000000004E-2</v>
      </c>
      <c r="J31" s="2">
        <f ca="1">IFERROR(__xludf.DUMMYFUNCTION("""COMPUTED_VALUE"""),21)</f>
        <v>21</v>
      </c>
      <c r="K31" s="2">
        <f ca="1">IFERROR(__xludf.DUMMYFUNCTION("""COMPUTED_VALUE"""),0)</f>
        <v>0</v>
      </c>
      <c r="L31" s="2">
        <f ca="1">IFERROR(__xludf.DUMMYFUNCTION("""COMPUTED_VALUE"""),3)</f>
        <v>3</v>
      </c>
      <c r="M31" s="2">
        <f ca="1">IFERROR(__xludf.DUMMYFUNCTION("""COMPUTED_VALUE"""),22.67)</f>
        <v>22.67</v>
      </c>
      <c r="N31" s="2">
        <f ca="1">IFERROR(__xludf.DUMMYFUNCTION("""COMPUTED_VALUE"""),25)</f>
        <v>25</v>
      </c>
      <c r="O31" s="2">
        <f ca="1">IFERROR(__xludf.DUMMYFUNCTION("""COMPUTED_VALUE"""),5.5)</f>
        <v>5.5</v>
      </c>
      <c r="P31" s="2">
        <f ca="1">IFERROR(__xludf.DUMMYFUNCTION("""COMPUTED_VALUE"""),22)</f>
        <v>22</v>
      </c>
      <c r="Q31" s="7">
        <f ca="1">IFERROR(__xludf.DUMMYFUNCTION("""COMPUTED_VALUE"""),0.100694444444444)</f>
        <v>0.100694444444444</v>
      </c>
      <c r="R31" s="2">
        <f ca="1">IFERROR(__xludf.DUMMYFUNCTION("""COMPUTED_VALUE"""),26)</f>
        <v>26</v>
      </c>
      <c r="S31" s="2">
        <f ca="1">IFERROR(__xludf.DUMMYFUNCTION("""COMPUTED_VALUE"""),0.571)</f>
        <v>0.57099999999999995</v>
      </c>
      <c r="T31" s="2">
        <f ca="1">IFERROR(__xludf.DUMMYFUNCTION("""COMPUTED_VALUE"""),29)</f>
        <v>29</v>
      </c>
    </row>
    <row r="32" spans="1:20" x14ac:dyDescent="0.2">
      <c r="A32" s="2" t="str">
        <f ca="1">IFERROR(__xludf.DUMMYFUNCTION("""COMPUTED_VALUE"""),"SEA")</f>
        <v>SEA</v>
      </c>
      <c r="B32" s="2">
        <f ca="1">IFERROR(__xludf.DUMMYFUNCTION("""COMPUTED_VALUE"""),12)</f>
        <v>12</v>
      </c>
      <c r="C32" s="2">
        <f ca="1">IFERROR(__xludf.DUMMYFUNCTION("""COMPUTED_VALUE"""),19.08)</f>
        <v>19.079999999999998</v>
      </c>
      <c r="D32" s="2">
        <f ca="1">IFERROR(__xludf.DUMMYFUNCTION("""COMPUTED_VALUE"""),31)</f>
        <v>31</v>
      </c>
      <c r="E32" s="2">
        <f ca="1">IFERROR(__xludf.DUMMYFUNCTION("""COMPUTED_VALUE"""),1.75)</f>
        <v>1.75</v>
      </c>
      <c r="F32" s="2">
        <f ca="1">IFERROR(__xludf.DUMMYFUNCTION("""COMPUTED_VALUE"""),20)</f>
        <v>20</v>
      </c>
      <c r="G32" s="2">
        <f ca="1">IFERROR(__xludf.DUMMYFUNCTION("""COMPUTED_VALUE"""),0.083)</f>
        <v>8.3000000000000004E-2</v>
      </c>
      <c r="H32" s="6">
        <f ca="1">IFERROR(__xludf.DUMMYFUNCTION("""COMPUTED_VALUE"""),17)</f>
        <v>17</v>
      </c>
      <c r="I32" s="2">
        <f ca="1">IFERROR(__xludf.DUMMYFUNCTION("""COMPUTED_VALUE"""),0)</f>
        <v>0</v>
      </c>
      <c r="J32" s="2">
        <f ca="1">IFERROR(__xludf.DUMMYFUNCTION("""COMPUTED_VALUE"""),15)</f>
        <v>15</v>
      </c>
      <c r="K32" s="2">
        <f ca="1">IFERROR(__xludf.DUMMYFUNCTION("""COMPUTED_VALUE"""),0.083)</f>
        <v>8.3000000000000004E-2</v>
      </c>
      <c r="L32" s="2">
        <f ca="1">IFERROR(__xludf.DUMMYFUNCTION("""COMPUTED_VALUE"""),23)</f>
        <v>23</v>
      </c>
      <c r="M32" s="2">
        <f ca="1">IFERROR(__xludf.DUMMYFUNCTION("""COMPUTED_VALUE"""),29.42)</f>
        <v>29.42</v>
      </c>
      <c r="N32" s="2">
        <f ca="1">IFERROR(__xludf.DUMMYFUNCTION("""COMPUTED_VALUE"""),8)</f>
        <v>8</v>
      </c>
      <c r="O32" s="2">
        <f ca="1">IFERROR(__xludf.DUMMYFUNCTION("""COMPUTED_VALUE"""),3.92)</f>
        <v>3.92</v>
      </c>
      <c r="P32" s="2">
        <f ca="1">IFERROR(__xludf.DUMMYFUNCTION("""COMPUTED_VALUE"""),32)</f>
        <v>32</v>
      </c>
      <c r="Q32" s="7">
        <f ca="1">IFERROR(__xludf.DUMMYFUNCTION("""COMPUTED_VALUE"""),0.0833333333333333)</f>
        <v>8.3333333333333301E-2</v>
      </c>
      <c r="R32" s="2">
        <f ca="1">IFERROR(__xludf.DUMMYFUNCTION("""COMPUTED_VALUE"""),30)</f>
        <v>30</v>
      </c>
      <c r="S32" s="2">
        <f ca="1">IFERROR(__xludf.DUMMYFUNCTION("""COMPUTED_VALUE"""),0.571)</f>
        <v>0.57099999999999995</v>
      </c>
      <c r="T32" s="2">
        <f ca="1">IFERROR(__xludf.DUMMYFUNCTION("""COMPUTED_VALUE"""),31)</f>
        <v>31</v>
      </c>
    </row>
    <row r="33" spans="1:20" x14ac:dyDescent="0.2">
      <c r="A33" s="2" t="str">
        <f ca="1">IFERROR(__xludf.DUMMYFUNCTION("""COMPUTED_VALUE"""),"GB")</f>
        <v>GB</v>
      </c>
      <c r="B33" s="2">
        <f ca="1">IFERROR(__xludf.DUMMYFUNCTION("""COMPUTED_VALUE"""),12)</f>
        <v>12</v>
      </c>
      <c r="C33" s="2">
        <f ca="1">IFERROR(__xludf.DUMMYFUNCTION("""COMPUTED_VALUE"""),18.58)</f>
        <v>18.579999999999998</v>
      </c>
      <c r="D33" s="2">
        <f ca="1">IFERROR(__xludf.DUMMYFUNCTION("""COMPUTED_VALUE"""),32)</f>
        <v>32</v>
      </c>
      <c r="E33" s="2">
        <f ca="1">IFERROR(__xludf.DUMMYFUNCTION("""COMPUTED_VALUE"""),0.83)</f>
        <v>0.83</v>
      </c>
      <c r="F33" s="2">
        <f ca="1">IFERROR(__xludf.DUMMYFUNCTION("""COMPUTED_VALUE"""),29)</f>
        <v>29</v>
      </c>
      <c r="G33" s="2">
        <f ca="1">IFERROR(__xludf.DUMMYFUNCTION("""COMPUTED_VALUE"""),0)</f>
        <v>0</v>
      </c>
      <c r="H33" s="6">
        <f ca="1">IFERROR(__xludf.DUMMYFUNCTION("""COMPUTED_VALUE"""),4)</f>
        <v>4</v>
      </c>
      <c r="I33" s="2">
        <f ca="1">IFERROR(__xludf.DUMMYFUNCTION("""COMPUTED_VALUE"""),0)</f>
        <v>0</v>
      </c>
      <c r="J33" s="2">
        <f ca="1">IFERROR(__xludf.DUMMYFUNCTION("""COMPUTED_VALUE"""),6)</f>
        <v>6</v>
      </c>
      <c r="K33" s="2">
        <f ca="1">IFERROR(__xludf.DUMMYFUNCTION("""COMPUTED_VALUE"""),0)</f>
        <v>0</v>
      </c>
      <c r="L33" s="2">
        <f ca="1">IFERROR(__xludf.DUMMYFUNCTION("""COMPUTED_VALUE"""),7)</f>
        <v>7</v>
      </c>
      <c r="M33" s="2">
        <f ca="1">IFERROR(__xludf.DUMMYFUNCTION("""COMPUTED_VALUE"""),25.58)</f>
        <v>25.58</v>
      </c>
      <c r="N33" s="2">
        <f ca="1">IFERROR(__xludf.DUMMYFUNCTION("""COMPUTED_VALUE"""),22)</f>
        <v>22</v>
      </c>
      <c r="O33" s="2">
        <f ca="1">IFERROR(__xludf.DUMMYFUNCTION("""COMPUTED_VALUE"""),4.67)</f>
        <v>4.67</v>
      </c>
      <c r="P33" s="2">
        <f ca="1">IFERROR(__xludf.DUMMYFUNCTION("""COMPUTED_VALUE"""),29)</f>
        <v>29</v>
      </c>
      <c r="Q33" s="7">
        <f ca="1">IFERROR(__xludf.DUMMYFUNCTION("""COMPUTED_VALUE"""),0.104166666666666)</f>
        <v>0.10416666666666601</v>
      </c>
      <c r="R33" s="2">
        <f ca="1">IFERROR(__xludf.DUMMYFUNCTION("""COMPUTED_VALUE"""),24)</f>
        <v>24</v>
      </c>
      <c r="S33" s="2">
        <f ca="1">IFERROR(__xludf.DUMMYFUNCTION("""COMPUTED_VALUE"""),0.542)</f>
        <v>0.54200000000000004</v>
      </c>
      <c r="T33" s="2">
        <f ca="1">IFERROR(__xludf.DUMMYFUNCTION("""COMPUTED_VALUE"""),32)</f>
        <v>32</v>
      </c>
    </row>
    <row r="34" spans="1:20" x14ac:dyDescent="0.2">
      <c r="A34" s="2" t="str">
        <f ca="1">IFERROR(__xludf.DUMMYFUNCTION("""COMPUTED_VALUE"""),"*Avg*")</f>
        <v>*Avg*</v>
      </c>
      <c r="B34" s="2" t="str">
        <f ca="1">IFERROR(__xludf.DUMMYFUNCTION("""COMPUTED_VALUE"""),"*11*")</f>
        <v>*11*</v>
      </c>
      <c r="C34" s="2" t="str">
        <f ca="1">IFERROR(__xludf.DUMMYFUNCTION("""COMPUTED_VALUE"""),"*33.75*")</f>
        <v>*33.75*</v>
      </c>
      <c r="D34" s="2" t="str">
        <f ca="1">IFERROR(__xludf.DUMMYFUNCTION("""COMPUTED_VALUE"""),"")</f>
        <v/>
      </c>
      <c r="E34" s="2" t="str">
        <f ca="1">IFERROR(__xludf.DUMMYFUNCTION("""COMPUTED_VALUE"""),"*2.14*")</f>
        <v>*2.14*</v>
      </c>
      <c r="F34" s="2" t="str">
        <f ca="1">IFERROR(__xludf.DUMMYFUNCTION("""COMPUTED_VALUE"""),"")</f>
        <v/>
      </c>
      <c r="G34" s="2" t="str">
        <f ca="1">IFERROR(__xludf.DUMMYFUNCTION("""COMPUTED_VALUE"""),"*.108*")</f>
        <v>*.108*</v>
      </c>
      <c r="H34" s="6" t="str">
        <f ca="1">IFERROR(__xludf.DUMMYFUNCTION("""COMPUTED_VALUE"""),"")</f>
        <v/>
      </c>
      <c r="I34" s="2" t="str">
        <f ca="1">IFERROR(__xludf.DUMMYFUNCTION("""COMPUTED_VALUE"""),"*.064*")</f>
        <v>*.064*</v>
      </c>
      <c r="J34" s="2" t="str">
        <f ca="1">IFERROR(__xludf.DUMMYFUNCTION("""COMPUTED_VALUE"""),"")</f>
        <v/>
      </c>
      <c r="K34" s="2" t="str">
        <f ca="1">IFERROR(__xludf.DUMMYFUNCTION("""COMPUTED_VALUE"""),"*.044*")</f>
        <v>*.044*</v>
      </c>
      <c r="L34" s="2" t="str">
        <f ca="1">IFERROR(__xludf.DUMMYFUNCTION("""COMPUTED_VALUE"""),"")</f>
        <v/>
      </c>
      <c r="M34" s="2" t="str">
        <f ca="1">IFERROR(__xludf.DUMMYFUNCTION("""COMPUTED_VALUE"""),"*27.25*")</f>
        <v>*27.25*</v>
      </c>
      <c r="N34" s="2" t="str">
        <f ca="1">IFERROR(__xludf.DUMMYFUNCTION("""COMPUTED_VALUE"""),"")</f>
        <v/>
      </c>
      <c r="O34" s="2" t="str">
        <f ca="1">IFERROR(__xludf.DUMMYFUNCTION("""COMPUTED_VALUE"""),"*5.93*")</f>
        <v>*5.93*</v>
      </c>
      <c r="P34" s="2" t="str">
        <f ca="1">IFERROR(__xludf.DUMMYFUNCTION("""COMPUTED_VALUE"""),"")</f>
        <v/>
      </c>
      <c r="Q34" s="2" t="str">
        <f ca="1">IFERROR(__xludf.DUMMYFUNCTION("""COMPUTED_VALUE"""),"*2:49*")</f>
        <v>*2:49*</v>
      </c>
      <c r="R34" s="2" t="str">
        <f ca="1">IFERROR(__xludf.DUMMYFUNCTION("""COMPUTED_VALUE"""),"")</f>
        <v/>
      </c>
      <c r="S34" s="2" t="str">
        <f ca="1">IFERROR(__xludf.DUMMYFUNCTION("""COMPUTED_VALUE"""),"*.716*")</f>
        <v>*.716*</v>
      </c>
      <c r="T34" s="2" t="str">
        <f ca="1">IFERROR(__xludf.DUMMYFUNCTION("""COMPUTED_VALUE"""),"")</f>
        <v/>
      </c>
    </row>
    <row r="35" spans="1:20" x14ac:dyDescent="0.2">
      <c r="H35" s="6"/>
    </row>
    <row r="36" spans="1:20" x14ac:dyDescent="0.2">
      <c r="H36" s="6"/>
    </row>
    <row r="37" spans="1:20" x14ac:dyDescent="0.2">
      <c r="H37" s="6"/>
    </row>
    <row r="38" spans="1:20" x14ac:dyDescent="0.2">
      <c r="H38" s="6"/>
    </row>
    <row r="39" spans="1:20" x14ac:dyDescent="0.2">
      <c r="H39" s="6"/>
    </row>
    <row r="40" spans="1:20" x14ac:dyDescent="0.2">
      <c r="H40" s="6"/>
    </row>
    <row r="41" spans="1:20" x14ac:dyDescent="0.2">
      <c r="H41" s="6"/>
    </row>
    <row r="42" spans="1:20" x14ac:dyDescent="0.2">
      <c r="H42" s="6"/>
    </row>
    <row r="43" spans="1:20" x14ac:dyDescent="0.2">
      <c r="H43" s="6"/>
    </row>
    <row r="44" spans="1:20" x14ac:dyDescent="0.2">
      <c r="H44" s="6"/>
    </row>
    <row r="45" spans="1:20" x14ac:dyDescent="0.2">
      <c r="H45" s="6"/>
    </row>
    <row r="46" spans="1:20" x14ac:dyDescent="0.2">
      <c r="H46" s="6"/>
    </row>
    <row r="47" spans="1:20" x14ac:dyDescent="0.2">
      <c r="H47" s="6"/>
    </row>
    <row r="48" spans="1:20" x14ac:dyDescent="0.2">
      <c r="H48" s="6"/>
    </row>
    <row r="49" spans="8:8" x14ac:dyDescent="0.2">
      <c r="H49" s="6"/>
    </row>
    <row r="50" spans="8:8" x14ac:dyDescent="0.2">
      <c r="H50" s="6"/>
    </row>
    <row r="51" spans="8:8" x14ac:dyDescent="0.2">
      <c r="H51" s="6"/>
    </row>
    <row r="52" spans="8:8" x14ac:dyDescent="0.2">
      <c r="H52" s="6"/>
    </row>
    <row r="53" spans="8:8" x14ac:dyDescent="0.2">
      <c r="H53" s="6"/>
    </row>
    <row r="54" spans="8:8" x14ac:dyDescent="0.2">
      <c r="H54" s="6"/>
    </row>
    <row r="55" spans="8:8" x14ac:dyDescent="0.2">
      <c r="H55" s="6"/>
    </row>
    <row r="56" spans="8:8" x14ac:dyDescent="0.2">
      <c r="H56" s="6"/>
    </row>
    <row r="57" spans="8:8" x14ac:dyDescent="0.2">
      <c r="H57" s="6"/>
    </row>
    <row r="58" spans="8:8" x14ac:dyDescent="0.2">
      <c r="H58" s="6"/>
    </row>
    <row r="59" spans="8:8" x14ac:dyDescent="0.2">
      <c r="H59" s="6"/>
    </row>
    <row r="60" spans="8:8" x14ac:dyDescent="0.2">
      <c r="H60" s="6"/>
    </row>
    <row r="61" spans="8:8" x14ac:dyDescent="0.2">
      <c r="H61" s="6"/>
    </row>
    <row r="62" spans="8:8" x14ac:dyDescent="0.2">
      <c r="H62" s="6"/>
    </row>
    <row r="63" spans="8:8" x14ac:dyDescent="0.2">
      <c r="H63" s="6"/>
    </row>
    <row r="64" spans="8:8" x14ac:dyDescent="0.2">
      <c r="H64" s="6"/>
    </row>
    <row r="65" spans="8:8" x14ac:dyDescent="0.2">
      <c r="H65" s="6"/>
    </row>
    <row r="66" spans="8:8" x14ac:dyDescent="0.2">
      <c r="H66" s="6"/>
    </row>
    <row r="67" spans="8:8" x14ac:dyDescent="0.2">
      <c r="H67" s="6"/>
    </row>
    <row r="68" spans="8:8" x14ac:dyDescent="0.2">
      <c r="H68" s="6"/>
    </row>
    <row r="69" spans="8:8" x14ac:dyDescent="0.2">
      <c r="H69" s="6"/>
    </row>
    <row r="70" spans="8:8" x14ac:dyDescent="0.2">
      <c r="H70" s="6"/>
    </row>
    <row r="71" spans="8:8" x14ac:dyDescent="0.2">
      <c r="H71" s="6"/>
    </row>
    <row r="72" spans="8:8" x14ac:dyDescent="0.2">
      <c r="H72" s="6"/>
    </row>
    <row r="73" spans="8:8" x14ac:dyDescent="0.2">
      <c r="H73" s="6"/>
    </row>
    <row r="74" spans="8:8" x14ac:dyDescent="0.2">
      <c r="H74" s="6"/>
    </row>
    <row r="75" spans="8:8" x14ac:dyDescent="0.2">
      <c r="H75" s="6"/>
    </row>
    <row r="76" spans="8:8" x14ac:dyDescent="0.2">
      <c r="H76" s="6"/>
    </row>
    <row r="77" spans="8:8" x14ac:dyDescent="0.2">
      <c r="H77" s="6"/>
    </row>
    <row r="78" spans="8:8" x14ac:dyDescent="0.2">
      <c r="H78" s="6"/>
    </row>
    <row r="79" spans="8:8" x14ac:dyDescent="0.2">
      <c r="H79" s="6"/>
    </row>
    <row r="80" spans="8:8" x14ac:dyDescent="0.2">
      <c r="H80" s="6"/>
    </row>
    <row r="81" spans="8:8" x14ac:dyDescent="0.2">
      <c r="H81" s="6"/>
    </row>
    <row r="82" spans="8:8" x14ac:dyDescent="0.2">
      <c r="H82" s="6"/>
    </row>
    <row r="83" spans="8:8" x14ac:dyDescent="0.2">
      <c r="H83" s="6"/>
    </row>
    <row r="84" spans="8:8" x14ac:dyDescent="0.2">
      <c r="H84" s="6"/>
    </row>
    <row r="85" spans="8:8" x14ac:dyDescent="0.2">
      <c r="H85" s="6"/>
    </row>
    <row r="86" spans="8:8" x14ac:dyDescent="0.2">
      <c r="H86" s="6"/>
    </row>
    <row r="87" spans="8:8" x14ac:dyDescent="0.2">
      <c r="H87" s="6"/>
    </row>
    <row r="88" spans="8:8" x14ac:dyDescent="0.2">
      <c r="H88" s="6"/>
    </row>
    <row r="89" spans="8:8" x14ac:dyDescent="0.2">
      <c r="H89" s="6"/>
    </row>
    <row r="90" spans="8:8" x14ac:dyDescent="0.2">
      <c r="H90" s="6"/>
    </row>
    <row r="91" spans="8:8" x14ac:dyDescent="0.2">
      <c r="H91" s="6"/>
    </row>
    <row r="92" spans="8:8" x14ac:dyDescent="0.2">
      <c r="H92" s="6"/>
    </row>
    <row r="93" spans="8:8" x14ac:dyDescent="0.2">
      <c r="H93" s="6"/>
    </row>
    <row r="94" spans="8:8" x14ac:dyDescent="0.2">
      <c r="H94" s="6"/>
    </row>
    <row r="95" spans="8:8" x14ac:dyDescent="0.2">
      <c r="H95" s="6"/>
    </row>
    <row r="96" spans="8:8" x14ac:dyDescent="0.2">
      <c r="H96" s="6"/>
    </row>
    <row r="97" spans="8:8" x14ac:dyDescent="0.2">
      <c r="H97" s="6"/>
    </row>
    <row r="98" spans="8:8" x14ac:dyDescent="0.2">
      <c r="H98" s="6"/>
    </row>
    <row r="99" spans="8:8" x14ac:dyDescent="0.2">
      <c r="H99" s="6"/>
    </row>
    <row r="100" spans="8:8" x14ac:dyDescent="0.2">
      <c r="H100" s="6"/>
    </row>
    <row r="101" spans="8:8" x14ac:dyDescent="0.2">
      <c r="H101" s="6"/>
    </row>
    <row r="102" spans="8:8" x14ac:dyDescent="0.2">
      <c r="H102" s="6"/>
    </row>
    <row r="103" spans="8:8" x14ac:dyDescent="0.2">
      <c r="H103" s="6"/>
    </row>
    <row r="104" spans="8:8" x14ac:dyDescent="0.2">
      <c r="H104" s="6"/>
    </row>
    <row r="105" spans="8:8" x14ac:dyDescent="0.2">
      <c r="H105" s="6"/>
    </row>
    <row r="106" spans="8:8" x14ac:dyDescent="0.2">
      <c r="H106" s="6"/>
    </row>
    <row r="107" spans="8:8" x14ac:dyDescent="0.2">
      <c r="H107" s="6"/>
    </row>
    <row r="108" spans="8:8" x14ac:dyDescent="0.2">
      <c r="H108" s="6"/>
    </row>
    <row r="109" spans="8:8" x14ac:dyDescent="0.2">
      <c r="H109" s="6"/>
    </row>
    <row r="110" spans="8:8" x14ac:dyDescent="0.2">
      <c r="H110" s="6"/>
    </row>
    <row r="111" spans="8:8" x14ac:dyDescent="0.2">
      <c r="H111" s="6"/>
    </row>
    <row r="112" spans="8:8" x14ac:dyDescent="0.2">
      <c r="H112" s="6"/>
    </row>
    <row r="113" spans="8:8" x14ac:dyDescent="0.2">
      <c r="H113" s="6"/>
    </row>
    <row r="114" spans="8:8" x14ac:dyDescent="0.2">
      <c r="H114" s="6"/>
    </row>
    <row r="115" spans="8:8" x14ac:dyDescent="0.2">
      <c r="H115" s="6"/>
    </row>
    <row r="116" spans="8:8" x14ac:dyDescent="0.2">
      <c r="H116" s="6"/>
    </row>
    <row r="117" spans="8:8" x14ac:dyDescent="0.2">
      <c r="H117" s="6"/>
    </row>
    <row r="118" spans="8:8" x14ac:dyDescent="0.2">
      <c r="H118" s="6"/>
    </row>
    <row r="119" spans="8:8" x14ac:dyDescent="0.2">
      <c r="H119" s="6"/>
    </row>
    <row r="120" spans="8:8" x14ac:dyDescent="0.2">
      <c r="H120" s="6"/>
    </row>
    <row r="121" spans="8:8" x14ac:dyDescent="0.2">
      <c r="H121" s="6"/>
    </row>
    <row r="122" spans="8:8" x14ac:dyDescent="0.2">
      <c r="H122" s="6"/>
    </row>
    <row r="123" spans="8:8" x14ac:dyDescent="0.2">
      <c r="H123" s="6"/>
    </row>
    <row r="124" spans="8:8" x14ac:dyDescent="0.2">
      <c r="H124" s="6"/>
    </row>
    <row r="125" spans="8:8" x14ac:dyDescent="0.2">
      <c r="H125" s="6"/>
    </row>
    <row r="126" spans="8:8" x14ac:dyDescent="0.2">
      <c r="H126" s="6"/>
    </row>
    <row r="127" spans="8:8" x14ac:dyDescent="0.2">
      <c r="H127" s="6"/>
    </row>
    <row r="128" spans="8:8" x14ac:dyDescent="0.2">
      <c r="H128" s="6"/>
    </row>
    <row r="129" spans="8:8" x14ac:dyDescent="0.2">
      <c r="H129" s="6"/>
    </row>
    <row r="130" spans="8:8" x14ac:dyDescent="0.2">
      <c r="H130" s="6"/>
    </row>
    <row r="131" spans="8:8" x14ac:dyDescent="0.2">
      <c r="H131" s="6"/>
    </row>
    <row r="132" spans="8:8" x14ac:dyDescent="0.2">
      <c r="H132" s="6"/>
    </row>
    <row r="133" spans="8:8" x14ac:dyDescent="0.2">
      <c r="H133" s="6"/>
    </row>
    <row r="134" spans="8:8" x14ac:dyDescent="0.2">
      <c r="H134" s="6"/>
    </row>
    <row r="135" spans="8:8" x14ac:dyDescent="0.2">
      <c r="H135" s="6"/>
    </row>
    <row r="136" spans="8:8" x14ac:dyDescent="0.2">
      <c r="H136" s="6"/>
    </row>
    <row r="137" spans="8:8" x14ac:dyDescent="0.2">
      <c r="H137" s="6"/>
    </row>
    <row r="138" spans="8:8" x14ac:dyDescent="0.2">
      <c r="H138" s="6"/>
    </row>
    <row r="139" spans="8:8" x14ac:dyDescent="0.2">
      <c r="H139" s="6"/>
    </row>
    <row r="140" spans="8:8" x14ac:dyDescent="0.2">
      <c r="H140" s="6"/>
    </row>
    <row r="141" spans="8:8" x14ac:dyDescent="0.2">
      <c r="H141" s="6"/>
    </row>
    <row r="142" spans="8:8" x14ac:dyDescent="0.2">
      <c r="H142" s="6"/>
    </row>
    <row r="143" spans="8:8" x14ac:dyDescent="0.2">
      <c r="H143" s="6"/>
    </row>
    <row r="144" spans="8:8" x14ac:dyDescent="0.2">
      <c r="H144" s="6"/>
    </row>
    <row r="145" spans="8:8" x14ac:dyDescent="0.2">
      <c r="H145" s="6"/>
    </row>
    <row r="146" spans="8:8" x14ac:dyDescent="0.2">
      <c r="H146" s="6"/>
    </row>
    <row r="147" spans="8:8" x14ac:dyDescent="0.2">
      <c r="H147" s="6"/>
    </row>
    <row r="148" spans="8:8" x14ac:dyDescent="0.2">
      <c r="H148" s="6"/>
    </row>
    <row r="149" spans="8:8" x14ac:dyDescent="0.2">
      <c r="H149" s="6"/>
    </row>
    <row r="150" spans="8:8" x14ac:dyDescent="0.2">
      <c r="H150" s="6"/>
    </row>
    <row r="151" spans="8:8" x14ac:dyDescent="0.2">
      <c r="H151" s="6"/>
    </row>
    <row r="152" spans="8:8" x14ac:dyDescent="0.2">
      <c r="H152" s="6"/>
    </row>
    <row r="153" spans="8:8" x14ac:dyDescent="0.2">
      <c r="H153" s="6"/>
    </row>
    <row r="154" spans="8:8" x14ac:dyDescent="0.2">
      <c r="H154" s="6"/>
    </row>
    <row r="155" spans="8:8" x14ac:dyDescent="0.2">
      <c r="H155" s="6"/>
    </row>
    <row r="156" spans="8:8" x14ac:dyDescent="0.2">
      <c r="H156" s="6"/>
    </row>
    <row r="157" spans="8:8" x14ac:dyDescent="0.2">
      <c r="H157" s="6"/>
    </row>
    <row r="158" spans="8:8" x14ac:dyDescent="0.2">
      <c r="H158" s="6"/>
    </row>
    <row r="159" spans="8:8" x14ac:dyDescent="0.2">
      <c r="H159" s="6"/>
    </row>
    <row r="160" spans="8:8" x14ac:dyDescent="0.2">
      <c r="H160" s="6"/>
    </row>
    <row r="161" spans="8:8" x14ac:dyDescent="0.2">
      <c r="H161" s="6"/>
    </row>
    <row r="162" spans="8:8" x14ac:dyDescent="0.2">
      <c r="H162" s="6"/>
    </row>
    <row r="163" spans="8:8" x14ac:dyDescent="0.2">
      <c r="H163" s="6"/>
    </row>
    <row r="164" spans="8:8" x14ac:dyDescent="0.2">
      <c r="H164" s="6"/>
    </row>
    <row r="165" spans="8:8" x14ac:dyDescent="0.2">
      <c r="H165" s="6"/>
    </row>
    <row r="166" spans="8:8" x14ac:dyDescent="0.2">
      <c r="H166" s="6"/>
    </row>
    <row r="167" spans="8:8" x14ac:dyDescent="0.2">
      <c r="H167" s="6"/>
    </row>
    <row r="168" spans="8:8" x14ac:dyDescent="0.2">
      <c r="H168" s="6"/>
    </row>
    <row r="169" spans="8:8" x14ac:dyDescent="0.2">
      <c r="H169" s="6"/>
    </row>
    <row r="170" spans="8:8" x14ac:dyDescent="0.2">
      <c r="H170" s="6"/>
    </row>
    <row r="171" spans="8:8" x14ac:dyDescent="0.2">
      <c r="H171" s="6"/>
    </row>
    <row r="172" spans="8:8" x14ac:dyDescent="0.2">
      <c r="H172" s="6"/>
    </row>
    <row r="173" spans="8:8" x14ac:dyDescent="0.2">
      <c r="H173" s="6"/>
    </row>
    <row r="174" spans="8:8" x14ac:dyDescent="0.2">
      <c r="H174" s="6"/>
    </row>
    <row r="175" spans="8:8" x14ac:dyDescent="0.2">
      <c r="H175" s="6"/>
    </row>
    <row r="176" spans="8:8" x14ac:dyDescent="0.2">
      <c r="H176" s="6"/>
    </row>
    <row r="177" spans="8:8" x14ac:dyDescent="0.2">
      <c r="H177" s="6"/>
    </row>
    <row r="178" spans="8:8" x14ac:dyDescent="0.2">
      <c r="H178" s="6"/>
    </row>
    <row r="179" spans="8:8" x14ac:dyDescent="0.2">
      <c r="H179" s="6"/>
    </row>
    <row r="180" spans="8:8" x14ac:dyDescent="0.2">
      <c r="H180" s="6"/>
    </row>
    <row r="181" spans="8:8" x14ac:dyDescent="0.2">
      <c r="H181" s="6"/>
    </row>
    <row r="182" spans="8:8" x14ac:dyDescent="0.2">
      <c r="H182" s="6"/>
    </row>
    <row r="183" spans="8:8" x14ac:dyDescent="0.2">
      <c r="H183" s="6"/>
    </row>
    <row r="184" spans="8:8" x14ac:dyDescent="0.2">
      <c r="H184" s="6"/>
    </row>
    <row r="185" spans="8:8" x14ac:dyDescent="0.2">
      <c r="H185" s="6"/>
    </row>
    <row r="186" spans="8:8" x14ac:dyDescent="0.2">
      <c r="H186" s="6"/>
    </row>
    <row r="187" spans="8:8" x14ac:dyDescent="0.2">
      <c r="H187" s="6"/>
    </row>
    <row r="188" spans="8:8" x14ac:dyDescent="0.2">
      <c r="H188" s="6"/>
    </row>
    <row r="189" spans="8:8" x14ac:dyDescent="0.2">
      <c r="H189" s="6"/>
    </row>
    <row r="190" spans="8:8" x14ac:dyDescent="0.2">
      <c r="H190" s="6"/>
    </row>
    <row r="191" spans="8:8" x14ac:dyDescent="0.2">
      <c r="H191" s="6"/>
    </row>
    <row r="192" spans="8:8" x14ac:dyDescent="0.2">
      <c r="H192" s="6"/>
    </row>
    <row r="193" spans="8:8" x14ac:dyDescent="0.2">
      <c r="H193" s="6"/>
    </row>
    <row r="194" spans="8:8" x14ac:dyDescent="0.2">
      <c r="H194" s="6"/>
    </row>
    <row r="195" spans="8:8" x14ac:dyDescent="0.2">
      <c r="H195" s="6"/>
    </row>
    <row r="196" spans="8:8" x14ac:dyDescent="0.2">
      <c r="H196" s="6"/>
    </row>
    <row r="197" spans="8:8" x14ac:dyDescent="0.2">
      <c r="H197" s="6"/>
    </row>
    <row r="198" spans="8:8" x14ac:dyDescent="0.2">
      <c r="H198" s="6"/>
    </row>
    <row r="199" spans="8:8" x14ac:dyDescent="0.2">
      <c r="H199" s="6"/>
    </row>
    <row r="200" spans="8:8" x14ac:dyDescent="0.2">
      <c r="H200" s="6"/>
    </row>
    <row r="201" spans="8:8" x14ac:dyDescent="0.2">
      <c r="H201" s="6"/>
    </row>
    <row r="202" spans="8:8" x14ac:dyDescent="0.2">
      <c r="H202" s="6"/>
    </row>
    <row r="203" spans="8:8" x14ac:dyDescent="0.2">
      <c r="H203" s="6"/>
    </row>
    <row r="204" spans="8:8" x14ac:dyDescent="0.2">
      <c r="H204" s="6"/>
    </row>
    <row r="205" spans="8:8" x14ac:dyDescent="0.2">
      <c r="H205" s="6"/>
    </row>
    <row r="206" spans="8:8" x14ac:dyDescent="0.2">
      <c r="H206" s="6"/>
    </row>
    <row r="207" spans="8:8" x14ac:dyDescent="0.2">
      <c r="H207" s="6"/>
    </row>
    <row r="208" spans="8:8" x14ac:dyDescent="0.2">
      <c r="H208" s="6"/>
    </row>
    <row r="209" spans="8:8" x14ac:dyDescent="0.2">
      <c r="H209" s="6"/>
    </row>
    <row r="210" spans="8:8" x14ac:dyDescent="0.2">
      <c r="H210" s="6"/>
    </row>
    <row r="211" spans="8:8" x14ac:dyDescent="0.2">
      <c r="H211" s="6"/>
    </row>
    <row r="212" spans="8:8" x14ac:dyDescent="0.2">
      <c r="H212" s="6"/>
    </row>
    <row r="213" spans="8:8" x14ac:dyDescent="0.2">
      <c r="H213" s="6"/>
    </row>
    <row r="214" spans="8:8" x14ac:dyDescent="0.2">
      <c r="H214" s="6"/>
    </row>
    <row r="215" spans="8:8" x14ac:dyDescent="0.2">
      <c r="H215" s="6"/>
    </row>
    <row r="216" spans="8:8" x14ac:dyDescent="0.2">
      <c r="H216" s="6"/>
    </row>
    <row r="217" spans="8:8" x14ac:dyDescent="0.2">
      <c r="H217" s="6"/>
    </row>
    <row r="218" spans="8:8" x14ac:dyDescent="0.2">
      <c r="H218" s="6"/>
    </row>
    <row r="219" spans="8:8" x14ac:dyDescent="0.2">
      <c r="H219" s="6"/>
    </row>
    <row r="220" spans="8:8" x14ac:dyDescent="0.2">
      <c r="H220" s="6"/>
    </row>
    <row r="221" spans="8:8" x14ac:dyDescent="0.2">
      <c r="H221" s="6"/>
    </row>
    <row r="222" spans="8:8" x14ac:dyDescent="0.2">
      <c r="H222" s="6"/>
    </row>
    <row r="223" spans="8:8" x14ac:dyDescent="0.2">
      <c r="H223" s="6"/>
    </row>
    <row r="224" spans="8:8" x14ac:dyDescent="0.2">
      <c r="H224" s="6"/>
    </row>
    <row r="225" spans="8:8" x14ac:dyDescent="0.2">
      <c r="H225" s="6"/>
    </row>
    <row r="226" spans="8:8" x14ac:dyDescent="0.2">
      <c r="H226" s="6"/>
    </row>
    <row r="227" spans="8:8" x14ac:dyDescent="0.2">
      <c r="H227" s="6"/>
    </row>
    <row r="228" spans="8:8" x14ac:dyDescent="0.2">
      <c r="H228" s="6"/>
    </row>
    <row r="229" spans="8:8" x14ac:dyDescent="0.2">
      <c r="H229" s="6"/>
    </row>
    <row r="230" spans="8:8" x14ac:dyDescent="0.2">
      <c r="H230" s="6"/>
    </row>
    <row r="231" spans="8:8" x14ac:dyDescent="0.2">
      <c r="H231" s="6"/>
    </row>
    <row r="232" spans="8:8" x14ac:dyDescent="0.2">
      <c r="H232" s="6"/>
    </row>
    <row r="233" spans="8:8" x14ac:dyDescent="0.2">
      <c r="H233" s="6"/>
    </row>
    <row r="234" spans="8:8" x14ac:dyDescent="0.2">
      <c r="H234" s="6"/>
    </row>
    <row r="235" spans="8:8" x14ac:dyDescent="0.2">
      <c r="H235" s="6"/>
    </row>
    <row r="236" spans="8:8" x14ac:dyDescent="0.2">
      <c r="H236" s="6"/>
    </row>
    <row r="237" spans="8:8" x14ac:dyDescent="0.2">
      <c r="H237" s="6"/>
    </row>
    <row r="238" spans="8:8" x14ac:dyDescent="0.2">
      <c r="H238" s="6"/>
    </row>
    <row r="239" spans="8:8" x14ac:dyDescent="0.2">
      <c r="H239" s="6"/>
    </row>
    <row r="240" spans="8:8" x14ac:dyDescent="0.2">
      <c r="H240" s="6"/>
    </row>
    <row r="241" spans="8:8" x14ac:dyDescent="0.2">
      <c r="H241" s="6"/>
    </row>
    <row r="242" spans="8:8" x14ac:dyDescent="0.2">
      <c r="H242" s="6"/>
    </row>
    <row r="243" spans="8:8" x14ac:dyDescent="0.2">
      <c r="H243" s="6"/>
    </row>
    <row r="244" spans="8:8" x14ac:dyDescent="0.2">
      <c r="H244" s="6"/>
    </row>
    <row r="245" spans="8:8" x14ac:dyDescent="0.2">
      <c r="H245" s="6"/>
    </row>
    <row r="246" spans="8:8" x14ac:dyDescent="0.2">
      <c r="H246" s="6"/>
    </row>
    <row r="247" spans="8:8" x14ac:dyDescent="0.2">
      <c r="H247" s="6"/>
    </row>
    <row r="248" spans="8:8" x14ac:dyDescent="0.2">
      <c r="H248" s="6"/>
    </row>
    <row r="249" spans="8:8" x14ac:dyDescent="0.2">
      <c r="H249" s="6"/>
    </row>
    <row r="250" spans="8:8" x14ac:dyDescent="0.2">
      <c r="H250" s="6"/>
    </row>
    <row r="251" spans="8:8" x14ac:dyDescent="0.2">
      <c r="H251" s="6"/>
    </row>
    <row r="252" spans="8:8" x14ac:dyDescent="0.2">
      <c r="H252" s="6"/>
    </row>
    <row r="253" spans="8:8" x14ac:dyDescent="0.2">
      <c r="H253" s="6"/>
    </row>
    <row r="254" spans="8:8" x14ac:dyDescent="0.2">
      <c r="H254" s="6"/>
    </row>
    <row r="255" spans="8:8" x14ac:dyDescent="0.2">
      <c r="H255" s="6"/>
    </row>
    <row r="256" spans="8:8" x14ac:dyDescent="0.2">
      <c r="H256" s="6"/>
    </row>
    <row r="257" spans="8:8" x14ac:dyDescent="0.2">
      <c r="H257" s="6"/>
    </row>
    <row r="258" spans="8:8" x14ac:dyDescent="0.2">
      <c r="H258" s="6"/>
    </row>
    <row r="259" spans="8:8" x14ac:dyDescent="0.2">
      <c r="H259" s="6"/>
    </row>
    <row r="260" spans="8:8" x14ac:dyDescent="0.2">
      <c r="H260" s="6"/>
    </row>
    <row r="261" spans="8:8" x14ac:dyDescent="0.2">
      <c r="H261" s="6"/>
    </row>
    <row r="262" spans="8:8" x14ac:dyDescent="0.2">
      <c r="H262" s="6"/>
    </row>
    <row r="263" spans="8:8" x14ac:dyDescent="0.2">
      <c r="H263" s="6"/>
    </row>
    <row r="264" spans="8:8" x14ac:dyDescent="0.2">
      <c r="H264" s="6"/>
    </row>
    <row r="265" spans="8:8" x14ac:dyDescent="0.2">
      <c r="H265" s="6"/>
    </row>
    <row r="266" spans="8:8" x14ac:dyDescent="0.2">
      <c r="H266" s="6"/>
    </row>
    <row r="267" spans="8:8" x14ac:dyDescent="0.2">
      <c r="H267" s="6"/>
    </row>
    <row r="268" spans="8:8" x14ac:dyDescent="0.2">
      <c r="H268" s="6"/>
    </row>
    <row r="269" spans="8:8" x14ac:dyDescent="0.2">
      <c r="H269" s="6"/>
    </row>
    <row r="270" spans="8:8" x14ac:dyDescent="0.2">
      <c r="H270" s="6"/>
    </row>
    <row r="271" spans="8:8" x14ac:dyDescent="0.2">
      <c r="H271" s="6"/>
    </row>
    <row r="272" spans="8:8" x14ac:dyDescent="0.2">
      <c r="H272" s="6"/>
    </row>
    <row r="273" spans="8:8" x14ac:dyDescent="0.2">
      <c r="H273" s="6"/>
    </row>
    <row r="274" spans="8:8" x14ac:dyDescent="0.2">
      <c r="H274" s="6"/>
    </row>
    <row r="275" spans="8:8" x14ac:dyDescent="0.2">
      <c r="H275" s="6"/>
    </row>
    <row r="276" spans="8:8" x14ac:dyDescent="0.2">
      <c r="H276" s="6"/>
    </row>
    <row r="277" spans="8:8" x14ac:dyDescent="0.2">
      <c r="H277" s="6"/>
    </row>
    <row r="278" spans="8:8" x14ac:dyDescent="0.2">
      <c r="H278" s="6"/>
    </row>
    <row r="279" spans="8:8" x14ac:dyDescent="0.2">
      <c r="H279" s="6"/>
    </row>
    <row r="280" spans="8:8" x14ac:dyDescent="0.2">
      <c r="H280" s="6"/>
    </row>
    <row r="281" spans="8:8" x14ac:dyDescent="0.2">
      <c r="H281" s="6"/>
    </row>
    <row r="282" spans="8:8" x14ac:dyDescent="0.2">
      <c r="H282" s="6"/>
    </row>
    <row r="283" spans="8:8" x14ac:dyDescent="0.2">
      <c r="H283" s="6"/>
    </row>
    <row r="284" spans="8:8" x14ac:dyDescent="0.2">
      <c r="H284" s="6"/>
    </row>
    <row r="285" spans="8:8" x14ac:dyDescent="0.2">
      <c r="H285" s="6"/>
    </row>
    <row r="286" spans="8:8" x14ac:dyDescent="0.2">
      <c r="H286" s="6"/>
    </row>
    <row r="287" spans="8:8" x14ac:dyDescent="0.2">
      <c r="H287" s="6"/>
    </row>
    <row r="288" spans="8:8" x14ac:dyDescent="0.2">
      <c r="H288" s="6"/>
    </row>
    <row r="289" spans="8:8" x14ac:dyDescent="0.2">
      <c r="H289" s="6"/>
    </row>
    <row r="290" spans="8:8" x14ac:dyDescent="0.2">
      <c r="H290" s="6"/>
    </row>
    <row r="291" spans="8:8" x14ac:dyDescent="0.2">
      <c r="H291" s="6"/>
    </row>
    <row r="292" spans="8:8" x14ac:dyDescent="0.2">
      <c r="H292" s="6"/>
    </row>
    <row r="293" spans="8:8" x14ac:dyDescent="0.2">
      <c r="H293" s="6"/>
    </row>
    <row r="294" spans="8:8" x14ac:dyDescent="0.2">
      <c r="H294" s="6"/>
    </row>
    <row r="295" spans="8:8" x14ac:dyDescent="0.2">
      <c r="H295" s="6"/>
    </row>
    <row r="296" spans="8:8" x14ac:dyDescent="0.2">
      <c r="H296" s="6"/>
    </row>
    <row r="297" spans="8:8" x14ac:dyDescent="0.2">
      <c r="H297" s="6"/>
    </row>
    <row r="298" spans="8:8" x14ac:dyDescent="0.2">
      <c r="H298" s="6"/>
    </row>
    <row r="299" spans="8:8" x14ac:dyDescent="0.2">
      <c r="H299" s="6"/>
    </row>
    <row r="300" spans="8:8" x14ac:dyDescent="0.2">
      <c r="H300" s="6"/>
    </row>
    <row r="301" spans="8:8" x14ac:dyDescent="0.2">
      <c r="H301" s="6"/>
    </row>
    <row r="302" spans="8:8" x14ac:dyDescent="0.2">
      <c r="H302" s="6"/>
    </row>
    <row r="303" spans="8:8" x14ac:dyDescent="0.2">
      <c r="H303" s="6"/>
    </row>
    <row r="304" spans="8:8" x14ac:dyDescent="0.2">
      <c r="H304" s="6"/>
    </row>
    <row r="305" spans="8:8" x14ac:dyDescent="0.2">
      <c r="H305" s="6"/>
    </row>
    <row r="306" spans="8:8" x14ac:dyDescent="0.2">
      <c r="H306" s="6"/>
    </row>
    <row r="307" spans="8:8" x14ac:dyDescent="0.2">
      <c r="H307" s="6"/>
    </row>
    <row r="308" spans="8:8" x14ac:dyDescent="0.2">
      <c r="H308" s="6"/>
    </row>
    <row r="309" spans="8:8" x14ac:dyDescent="0.2">
      <c r="H309" s="6"/>
    </row>
    <row r="310" spans="8:8" x14ac:dyDescent="0.2">
      <c r="H310" s="6"/>
    </row>
    <row r="311" spans="8:8" x14ac:dyDescent="0.2">
      <c r="H311" s="6"/>
    </row>
    <row r="312" spans="8:8" x14ac:dyDescent="0.2">
      <c r="H312" s="6"/>
    </row>
    <row r="313" spans="8:8" x14ac:dyDescent="0.2">
      <c r="H313" s="6"/>
    </row>
    <row r="314" spans="8:8" x14ac:dyDescent="0.2">
      <c r="H314" s="6"/>
    </row>
    <row r="315" spans="8:8" x14ac:dyDescent="0.2">
      <c r="H315" s="6"/>
    </row>
    <row r="316" spans="8:8" x14ac:dyDescent="0.2">
      <c r="H316" s="6"/>
    </row>
    <row r="317" spans="8:8" x14ac:dyDescent="0.2">
      <c r="H317" s="6"/>
    </row>
    <row r="318" spans="8:8" x14ac:dyDescent="0.2">
      <c r="H318" s="6"/>
    </row>
    <row r="319" spans="8:8" x14ac:dyDescent="0.2">
      <c r="H319" s="6"/>
    </row>
    <row r="320" spans="8:8" x14ac:dyDescent="0.2">
      <c r="H320" s="6"/>
    </row>
    <row r="321" spans="8:8" x14ac:dyDescent="0.2">
      <c r="H321" s="6"/>
    </row>
    <row r="322" spans="8:8" x14ac:dyDescent="0.2">
      <c r="H322" s="6"/>
    </row>
    <row r="323" spans="8:8" x14ac:dyDescent="0.2">
      <c r="H323" s="6"/>
    </row>
    <row r="324" spans="8:8" x14ac:dyDescent="0.2">
      <c r="H324" s="6"/>
    </row>
    <row r="325" spans="8:8" x14ac:dyDescent="0.2">
      <c r="H325" s="6"/>
    </row>
    <row r="326" spans="8:8" x14ac:dyDescent="0.2">
      <c r="H326" s="6"/>
    </row>
    <row r="327" spans="8:8" x14ac:dyDescent="0.2">
      <c r="H327" s="6"/>
    </row>
    <row r="328" spans="8:8" x14ac:dyDescent="0.2">
      <c r="H328" s="6"/>
    </row>
    <row r="329" spans="8:8" x14ac:dyDescent="0.2">
      <c r="H329" s="6"/>
    </row>
    <row r="330" spans="8:8" x14ac:dyDescent="0.2">
      <c r="H330" s="6"/>
    </row>
    <row r="331" spans="8:8" x14ac:dyDescent="0.2">
      <c r="H331" s="6"/>
    </row>
    <row r="332" spans="8:8" x14ac:dyDescent="0.2">
      <c r="H332" s="6"/>
    </row>
    <row r="333" spans="8:8" x14ac:dyDescent="0.2">
      <c r="H333" s="6"/>
    </row>
    <row r="334" spans="8:8" x14ac:dyDescent="0.2">
      <c r="H334" s="6"/>
    </row>
    <row r="335" spans="8:8" x14ac:dyDescent="0.2">
      <c r="H335" s="6"/>
    </row>
    <row r="336" spans="8:8" x14ac:dyDescent="0.2">
      <c r="H336" s="6"/>
    </row>
    <row r="337" spans="8:8" x14ac:dyDescent="0.2">
      <c r="H337" s="6"/>
    </row>
    <row r="338" spans="8:8" x14ac:dyDescent="0.2">
      <c r="H338" s="6"/>
    </row>
    <row r="339" spans="8:8" x14ac:dyDescent="0.2">
      <c r="H339" s="6"/>
    </row>
    <row r="340" spans="8:8" x14ac:dyDescent="0.2">
      <c r="H340" s="6"/>
    </row>
    <row r="341" spans="8:8" x14ac:dyDescent="0.2">
      <c r="H341" s="6"/>
    </row>
    <row r="342" spans="8:8" x14ac:dyDescent="0.2">
      <c r="H342" s="6"/>
    </row>
    <row r="343" spans="8:8" x14ac:dyDescent="0.2">
      <c r="H343" s="6"/>
    </row>
    <row r="344" spans="8:8" x14ac:dyDescent="0.2">
      <c r="H344" s="6"/>
    </row>
    <row r="345" spans="8:8" x14ac:dyDescent="0.2">
      <c r="H345" s="6"/>
    </row>
    <row r="346" spans="8:8" x14ac:dyDescent="0.2">
      <c r="H346" s="6"/>
    </row>
    <row r="347" spans="8:8" x14ac:dyDescent="0.2">
      <c r="H347" s="6"/>
    </row>
    <row r="348" spans="8:8" x14ac:dyDescent="0.2">
      <c r="H348" s="6"/>
    </row>
    <row r="349" spans="8:8" x14ac:dyDescent="0.2">
      <c r="H349" s="6"/>
    </row>
    <row r="350" spans="8:8" x14ac:dyDescent="0.2">
      <c r="H350" s="6"/>
    </row>
    <row r="351" spans="8:8" x14ac:dyDescent="0.2">
      <c r="H351" s="6"/>
    </row>
    <row r="352" spans="8:8" x14ac:dyDescent="0.2">
      <c r="H352" s="6"/>
    </row>
    <row r="353" spans="8:8" x14ac:dyDescent="0.2">
      <c r="H353" s="6"/>
    </row>
    <row r="354" spans="8:8" x14ac:dyDescent="0.2">
      <c r="H354" s="6"/>
    </row>
    <row r="355" spans="8:8" x14ac:dyDescent="0.2">
      <c r="H355" s="6"/>
    </row>
    <row r="356" spans="8:8" x14ac:dyDescent="0.2">
      <c r="H356" s="6"/>
    </row>
    <row r="357" spans="8:8" x14ac:dyDescent="0.2">
      <c r="H357" s="6"/>
    </row>
    <row r="358" spans="8:8" x14ac:dyDescent="0.2">
      <c r="H358" s="6"/>
    </row>
    <row r="359" spans="8:8" x14ac:dyDescent="0.2">
      <c r="H359" s="6"/>
    </row>
    <row r="360" spans="8:8" x14ac:dyDescent="0.2">
      <c r="H360" s="6"/>
    </row>
    <row r="361" spans="8:8" x14ac:dyDescent="0.2">
      <c r="H361" s="6"/>
    </row>
    <row r="362" spans="8:8" x14ac:dyDescent="0.2">
      <c r="H362" s="6"/>
    </row>
    <row r="363" spans="8:8" x14ac:dyDescent="0.2">
      <c r="H363" s="6"/>
    </row>
    <row r="364" spans="8:8" x14ac:dyDescent="0.2">
      <c r="H364" s="6"/>
    </row>
    <row r="365" spans="8:8" x14ac:dyDescent="0.2">
      <c r="H365" s="6"/>
    </row>
    <row r="366" spans="8:8" x14ac:dyDescent="0.2">
      <c r="H366" s="6"/>
    </row>
    <row r="367" spans="8:8" x14ac:dyDescent="0.2">
      <c r="H367" s="6"/>
    </row>
    <row r="368" spans="8:8" x14ac:dyDescent="0.2">
      <c r="H368" s="6"/>
    </row>
    <row r="369" spans="8:8" x14ac:dyDescent="0.2">
      <c r="H369" s="6"/>
    </row>
    <row r="370" spans="8:8" x14ac:dyDescent="0.2">
      <c r="H370" s="6"/>
    </row>
    <row r="371" spans="8:8" x14ac:dyDescent="0.2">
      <c r="H371" s="6"/>
    </row>
    <row r="372" spans="8:8" x14ac:dyDescent="0.2">
      <c r="H372" s="6"/>
    </row>
    <row r="373" spans="8:8" x14ac:dyDescent="0.2">
      <c r="H373" s="6"/>
    </row>
    <row r="374" spans="8:8" x14ac:dyDescent="0.2">
      <c r="H374" s="6"/>
    </row>
    <row r="375" spans="8:8" x14ac:dyDescent="0.2">
      <c r="H375" s="6"/>
    </row>
    <row r="376" spans="8:8" x14ac:dyDescent="0.2">
      <c r="H376" s="6"/>
    </row>
    <row r="377" spans="8:8" x14ac:dyDescent="0.2">
      <c r="H377" s="6"/>
    </row>
    <row r="378" spans="8:8" x14ac:dyDescent="0.2">
      <c r="H378" s="6"/>
    </row>
    <row r="379" spans="8:8" x14ac:dyDescent="0.2">
      <c r="H379" s="6"/>
    </row>
    <row r="380" spans="8:8" x14ac:dyDescent="0.2">
      <c r="H380" s="6"/>
    </row>
    <row r="381" spans="8:8" x14ac:dyDescent="0.2">
      <c r="H381" s="6"/>
    </row>
    <row r="382" spans="8:8" x14ac:dyDescent="0.2">
      <c r="H382" s="6"/>
    </row>
    <row r="383" spans="8:8" x14ac:dyDescent="0.2">
      <c r="H383" s="6"/>
    </row>
    <row r="384" spans="8:8" x14ac:dyDescent="0.2">
      <c r="H384" s="6"/>
    </row>
    <row r="385" spans="8:8" x14ac:dyDescent="0.2">
      <c r="H385" s="6"/>
    </row>
    <row r="386" spans="8:8" x14ac:dyDescent="0.2">
      <c r="H386" s="6"/>
    </row>
    <row r="387" spans="8:8" x14ac:dyDescent="0.2">
      <c r="H387" s="6"/>
    </row>
    <row r="388" spans="8:8" x14ac:dyDescent="0.2">
      <c r="H388" s="6"/>
    </row>
    <row r="389" spans="8:8" x14ac:dyDescent="0.2">
      <c r="H389" s="6"/>
    </row>
    <row r="390" spans="8:8" x14ac:dyDescent="0.2">
      <c r="H390" s="6"/>
    </row>
    <row r="391" spans="8:8" x14ac:dyDescent="0.2">
      <c r="H391" s="6"/>
    </row>
    <row r="392" spans="8:8" x14ac:dyDescent="0.2">
      <c r="H392" s="6"/>
    </row>
    <row r="393" spans="8:8" x14ac:dyDescent="0.2">
      <c r="H393" s="6"/>
    </row>
    <row r="394" spans="8:8" x14ac:dyDescent="0.2">
      <c r="H394" s="6"/>
    </row>
    <row r="395" spans="8:8" x14ac:dyDescent="0.2">
      <c r="H395" s="6"/>
    </row>
    <row r="396" spans="8:8" x14ac:dyDescent="0.2">
      <c r="H396" s="6"/>
    </row>
    <row r="397" spans="8:8" x14ac:dyDescent="0.2">
      <c r="H397" s="6"/>
    </row>
    <row r="398" spans="8:8" x14ac:dyDescent="0.2">
      <c r="H398" s="6"/>
    </row>
    <row r="399" spans="8:8" x14ac:dyDescent="0.2">
      <c r="H399" s="6"/>
    </row>
    <row r="400" spans="8:8" x14ac:dyDescent="0.2">
      <c r="H400" s="6"/>
    </row>
    <row r="401" spans="8:8" x14ac:dyDescent="0.2">
      <c r="H401" s="6"/>
    </row>
    <row r="402" spans="8:8" x14ac:dyDescent="0.2">
      <c r="H402" s="6"/>
    </row>
    <row r="403" spans="8:8" x14ac:dyDescent="0.2">
      <c r="H403" s="6"/>
    </row>
    <row r="404" spans="8:8" x14ac:dyDescent="0.2">
      <c r="H404" s="6"/>
    </row>
    <row r="405" spans="8:8" x14ac:dyDescent="0.2">
      <c r="H405" s="6"/>
    </row>
    <row r="406" spans="8:8" x14ac:dyDescent="0.2">
      <c r="H406" s="6"/>
    </row>
    <row r="407" spans="8:8" x14ac:dyDescent="0.2">
      <c r="H407" s="6"/>
    </row>
    <row r="408" spans="8:8" x14ac:dyDescent="0.2">
      <c r="H408" s="6"/>
    </row>
    <row r="409" spans="8:8" x14ac:dyDescent="0.2">
      <c r="H409" s="6"/>
    </row>
    <row r="410" spans="8:8" x14ac:dyDescent="0.2">
      <c r="H410" s="6"/>
    </row>
    <row r="411" spans="8:8" x14ac:dyDescent="0.2">
      <c r="H411" s="6"/>
    </row>
    <row r="412" spans="8:8" x14ac:dyDescent="0.2">
      <c r="H412" s="6"/>
    </row>
    <row r="413" spans="8:8" x14ac:dyDescent="0.2">
      <c r="H413" s="6"/>
    </row>
    <row r="414" spans="8:8" x14ac:dyDescent="0.2">
      <c r="H414" s="6"/>
    </row>
    <row r="415" spans="8:8" x14ac:dyDescent="0.2">
      <c r="H415" s="6"/>
    </row>
    <row r="416" spans="8:8" x14ac:dyDescent="0.2">
      <c r="H416" s="6"/>
    </row>
    <row r="417" spans="8:8" x14ac:dyDescent="0.2">
      <c r="H417" s="6"/>
    </row>
    <row r="418" spans="8:8" x14ac:dyDescent="0.2">
      <c r="H418" s="6"/>
    </row>
    <row r="419" spans="8:8" x14ac:dyDescent="0.2">
      <c r="H419" s="6"/>
    </row>
    <row r="420" spans="8:8" x14ac:dyDescent="0.2">
      <c r="H420" s="6"/>
    </row>
    <row r="421" spans="8:8" x14ac:dyDescent="0.2">
      <c r="H421" s="6"/>
    </row>
    <row r="422" spans="8:8" x14ac:dyDescent="0.2">
      <c r="H422" s="6"/>
    </row>
    <row r="423" spans="8:8" x14ac:dyDescent="0.2">
      <c r="H423" s="6"/>
    </row>
    <row r="424" spans="8:8" x14ac:dyDescent="0.2">
      <c r="H424" s="6"/>
    </row>
    <row r="425" spans="8:8" x14ac:dyDescent="0.2">
      <c r="H425" s="6"/>
    </row>
    <row r="426" spans="8:8" x14ac:dyDescent="0.2">
      <c r="H426" s="6"/>
    </row>
    <row r="427" spans="8:8" x14ac:dyDescent="0.2">
      <c r="H427" s="6"/>
    </row>
    <row r="428" spans="8:8" x14ac:dyDescent="0.2">
      <c r="H428" s="6"/>
    </row>
    <row r="429" spans="8:8" x14ac:dyDescent="0.2">
      <c r="H429" s="6"/>
    </row>
    <row r="430" spans="8:8" x14ac:dyDescent="0.2">
      <c r="H430" s="6"/>
    </row>
    <row r="431" spans="8:8" x14ac:dyDescent="0.2">
      <c r="H431" s="6"/>
    </row>
    <row r="432" spans="8:8" x14ac:dyDescent="0.2">
      <c r="H432" s="6"/>
    </row>
    <row r="433" spans="8:8" x14ac:dyDescent="0.2">
      <c r="H433" s="6"/>
    </row>
    <row r="434" spans="8:8" x14ac:dyDescent="0.2">
      <c r="H434" s="6"/>
    </row>
    <row r="435" spans="8:8" x14ac:dyDescent="0.2">
      <c r="H435" s="6"/>
    </row>
    <row r="436" spans="8:8" x14ac:dyDescent="0.2">
      <c r="H436" s="6"/>
    </row>
    <row r="437" spans="8:8" x14ac:dyDescent="0.2">
      <c r="H437" s="6"/>
    </row>
    <row r="438" spans="8:8" x14ac:dyDescent="0.2">
      <c r="H438" s="6"/>
    </row>
    <row r="439" spans="8:8" x14ac:dyDescent="0.2">
      <c r="H439" s="6"/>
    </row>
    <row r="440" spans="8:8" x14ac:dyDescent="0.2">
      <c r="H440" s="6"/>
    </row>
    <row r="441" spans="8:8" x14ac:dyDescent="0.2">
      <c r="H441" s="6"/>
    </row>
    <row r="442" spans="8:8" x14ac:dyDescent="0.2">
      <c r="H442" s="6"/>
    </row>
    <row r="443" spans="8:8" x14ac:dyDescent="0.2">
      <c r="H443" s="6"/>
    </row>
    <row r="444" spans="8:8" x14ac:dyDescent="0.2">
      <c r="H444" s="6"/>
    </row>
    <row r="445" spans="8:8" x14ac:dyDescent="0.2">
      <c r="H445" s="6"/>
    </row>
    <row r="446" spans="8:8" x14ac:dyDescent="0.2">
      <c r="H446" s="6"/>
    </row>
    <row r="447" spans="8:8" x14ac:dyDescent="0.2">
      <c r="H447" s="6"/>
    </row>
    <row r="448" spans="8:8" x14ac:dyDescent="0.2">
      <c r="H448" s="6"/>
    </row>
    <row r="449" spans="8:8" x14ac:dyDescent="0.2">
      <c r="H449" s="6"/>
    </row>
    <row r="450" spans="8:8" x14ac:dyDescent="0.2">
      <c r="H450" s="6"/>
    </row>
    <row r="451" spans="8:8" x14ac:dyDescent="0.2">
      <c r="H451" s="6"/>
    </row>
    <row r="452" spans="8:8" x14ac:dyDescent="0.2">
      <c r="H452" s="6"/>
    </row>
    <row r="453" spans="8:8" x14ac:dyDescent="0.2">
      <c r="H453" s="6"/>
    </row>
    <row r="454" spans="8:8" x14ac:dyDescent="0.2">
      <c r="H454" s="6"/>
    </row>
    <row r="455" spans="8:8" x14ac:dyDescent="0.2">
      <c r="H455" s="6"/>
    </row>
    <row r="456" spans="8:8" x14ac:dyDescent="0.2">
      <c r="H456" s="6"/>
    </row>
    <row r="457" spans="8:8" x14ac:dyDescent="0.2">
      <c r="H457" s="6"/>
    </row>
    <row r="458" spans="8:8" x14ac:dyDescent="0.2">
      <c r="H458" s="6"/>
    </row>
    <row r="459" spans="8:8" x14ac:dyDescent="0.2">
      <c r="H459" s="6"/>
    </row>
    <row r="460" spans="8:8" x14ac:dyDescent="0.2">
      <c r="H460" s="6"/>
    </row>
    <row r="461" spans="8:8" x14ac:dyDescent="0.2">
      <c r="H461" s="6"/>
    </row>
    <row r="462" spans="8:8" x14ac:dyDescent="0.2">
      <c r="H462" s="6"/>
    </row>
    <row r="463" spans="8:8" x14ac:dyDescent="0.2">
      <c r="H463" s="6"/>
    </row>
    <row r="464" spans="8:8" x14ac:dyDescent="0.2">
      <c r="H464" s="6"/>
    </row>
    <row r="465" spans="8:8" x14ac:dyDescent="0.2">
      <c r="H465" s="6"/>
    </row>
    <row r="466" spans="8:8" x14ac:dyDescent="0.2">
      <c r="H466" s="6"/>
    </row>
    <row r="467" spans="8:8" x14ac:dyDescent="0.2">
      <c r="H467" s="6"/>
    </row>
    <row r="468" spans="8:8" x14ac:dyDescent="0.2">
      <c r="H468" s="6"/>
    </row>
    <row r="469" spans="8:8" x14ac:dyDescent="0.2">
      <c r="H469" s="6"/>
    </row>
    <row r="470" spans="8:8" x14ac:dyDescent="0.2">
      <c r="H470" s="6"/>
    </row>
    <row r="471" spans="8:8" x14ac:dyDescent="0.2">
      <c r="H471" s="6"/>
    </row>
    <row r="472" spans="8:8" x14ac:dyDescent="0.2">
      <c r="H472" s="6"/>
    </row>
    <row r="473" spans="8:8" x14ac:dyDescent="0.2">
      <c r="H473" s="6"/>
    </row>
    <row r="474" spans="8:8" x14ac:dyDescent="0.2">
      <c r="H474" s="6"/>
    </row>
    <row r="475" spans="8:8" x14ac:dyDescent="0.2">
      <c r="H475" s="6"/>
    </row>
    <row r="476" spans="8:8" x14ac:dyDescent="0.2">
      <c r="H476" s="6"/>
    </row>
    <row r="477" spans="8:8" x14ac:dyDescent="0.2">
      <c r="H477" s="6"/>
    </row>
    <row r="478" spans="8:8" x14ac:dyDescent="0.2">
      <c r="H478" s="6"/>
    </row>
    <row r="479" spans="8:8" x14ac:dyDescent="0.2">
      <c r="H479" s="6"/>
    </row>
    <row r="480" spans="8:8" x14ac:dyDescent="0.2">
      <c r="H480" s="6"/>
    </row>
    <row r="481" spans="8:8" x14ac:dyDescent="0.2">
      <c r="H481" s="6"/>
    </row>
    <row r="482" spans="8:8" x14ac:dyDescent="0.2">
      <c r="H482" s="6"/>
    </row>
    <row r="483" spans="8:8" x14ac:dyDescent="0.2">
      <c r="H483" s="6"/>
    </row>
    <row r="484" spans="8:8" x14ac:dyDescent="0.2">
      <c r="H484" s="6"/>
    </row>
    <row r="485" spans="8:8" x14ac:dyDescent="0.2">
      <c r="H485" s="6"/>
    </row>
    <row r="486" spans="8:8" x14ac:dyDescent="0.2">
      <c r="H486" s="6"/>
    </row>
    <row r="487" spans="8:8" x14ac:dyDescent="0.2">
      <c r="H487" s="6"/>
    </row>
    <row r="488" spans="8:8" x14ac:dyDescent="0.2">
      <c r="H488" s="6"/>
    </row>
    <row r="489" spans="8:8" x14ac:dyDescent="0.2">
      <c r="H489" s="6"/>
    </row>
    <row r="490" spans="8:8" x14ac:dyDescent="0.2">
      <c r="H490" s="6"/>
    </row>
    <row r="491" spans="8:8" x14ac:dyDescent="0.2">
      <c r="H491" s="6"/>
    </row>
    <row r="492" spans="8:8" x14ac:dyDescent="0.2">
      <c r="H492" s="6"/>
    </row>
    <row r="493" spans="8:8" x14ac:dyDescent="0.2">
      <c r="H493" s="6"/>
    </row>
    <row r="494" spans="8:8" x14ac:dyDescent="0.2">
      <c r="H494" s="6"/>
    </row>
    <row r="495" spans="8:8" x14ac:dyDescent="0.2">
      <c r="H495" s="6"/>
    </row>
    <row r="496" spans="8:8" x14ac:dyDescent="0.2">
      <c r="H496" s="6"/>
    </row>
    <row r="497" spans="8:8" x14ac:dyDescent="0.2">
      <c r="H497" s="6"/>
    </row>
    <row r="498" spans="8:8" x14ac:dyDescent="0.2">
      <c r="H498" s="6"/>
    </row>
    <row r="499" spans="8:8" x14ac:dyDescent="0.2">
      <c r="H499" s="6"/>
    </row>
    <row r="500" spans="8:8" x14ac:dyDescent="0.2">
      <c r="H500" s="6"/>
    </row>
    <row r="501" spans="8:8" x14ac:dyDescent="0.2">
      <c r="H501" s="6"/>
    </row>
    <row r="502" spans="8:8" x14ac:dyDescent="0.2">
      <c r="H502" s="6"/>
    </row>
    <row r="503" spans="8:8" x14ac:dyDescent="0.2">
      <c r="H503" s="6"/>
    </row>
    <row r="504" spans="8:8" x14ac:dyDescent="0.2">
      <c r="H504" s="6"/>
    </row>
    <row r="505" spans="8:8" x14ac:dyDescent="0.2">
      <c r="H505" s="6"/>
    </row>
    <row r="506" spans="8:8" x14ac:dyDescent="0.2">
      <c r="H506" s="6"/>
    </row>
    <row r="507" spans="8:8" x14ac:dyDescent="0.2">
      <c r="H507" s="6"/>
    </row>
    <row r="508" spans="8:8" x14ac:dyDescent="0.2">
      <c r="H508" s="6"/>
    </row>
    <row r="509" spans="8:8" x14ac:dyDescent="0.2">
      <c r="H509" s="6"/>
    </row>
    <row r="510" spans="8:8" x14ac:dyDescent="0.2">
      <c r="H510" s="6"/>
    </row>
    <row r="511" spans="8:8" x14ac:dyDescent="0.2">
      <c r="H511" s="6"/>
    </row>
    <row r="512" spans="8:8" x14ac:dyDescent="0.2">
      <c r="H512" s="6"/>
    </row>
    <row r="513" spans="8:8" x14ac:dyDescent="0.2">
      <c r="H513" s="6"/>
    </row>
    <row r="514" spans="8:8" x14ac:dyDescent="0.2">
      <c r="H514" s="6"/>
    </row>
    <row r="515" spans="8:8" x14ac:dyDescent="0.2">
      <c r="H515" s="6"/>
    </row>
    <row r="516" spans="8:8" x14ac:dyDescent="0.2">
      <c r="H516" s="6"/>
    </row>
    <row r="517" spans="8:8" x14ac:dyDescent="0.2">
      <c r="H517" s="6"/>
    </row>
    <row r="518" spans="8:8" x14ac:dyDescent="0.2">
      <c r="H518" s="6"/>
    </row>
    <row r="519" spans="8:8" x14ac:dyDescent="0.2">
      <c r="H519" s="6"/>
    </row>
    <row r="520" spans="8:8" x14ac:dyDescent="0.2">
      <c r="H520" s="6"/>
    </row>
    <row r="521" spans="8:8" x14ac:dyDescent="0.2">
      <c r="H521" s="6"/>
    </row>
    <row r="522" spans="8:8" x14ac:dyDescent="0.2">
      <c r="H522" s="6"/>
    </row>
    <row r="523" spans="8:8" x14ac:dyDescent="0.2">
      <c r="H523" s="6"/>
    </row>
    <row r="524" spans="8:8" x14ac:dyDescent="0.2">
      <c r="H524" s="6"/>
    </row>
    <row r="525" spans="8:8" x14ac:dyDescent="0.2">
      <c r="H525" s="6"/>
    </row>
    <row r="526" spans="8:8" x14ac:dyDescent="0.2">
      <c r="H526" s="6"/>
    </row>
    <row r="527" spans="8:8" x14ac:dyDescent="0.2">
      <c r="H527" s="6"/>
    </row>
    <row r="528" spans="8:8" x14ac:dyDescent="0.2">
      <c r="H528" s="6"/>
    </row>
    <row r="529" spans="8:8" x14ac:dyDescent="0.2">
      <c r="H529" s="6"/>
    </row>
    <row r="530" spans="8:8" x14ac:dyDescent="0.2">
      <c r="H530" s="6"/>
    </row>
    <row r="531" spans="8:8" x14ac:dyDescent="0.2">
      <c r="H531" s="6"/>
    </row>
    <row r="532" spans="8:8" x14ac:dyDescent="0.2">
      <c r="H532" s="6"/>
    </row>
    <row r="533" spans="8:8" x14ac:dyDescent="0.2">
      <c r="H533" s="6"/>
    </row>
    <row r="534" spans="8:8" x14ac:dyDescent="0.2">
      <c r="H534" s="6"/>
    </row>
    <row r="535" spans="8:8" x14ac:dyDescent="0.2">
      <c r="H535" s="6"/>
    </row>
    <row r="536" spans="8:8" x14ac:dyDescent="0.2">
      <c r="H536" s="6"/>
    </row>
    <row r="537" spans="8:8" x14ac:dyDescent="0.2">
      <c r="H537" s="6"/>
    </row>
    <row r="538" spans="8:8" x14ac:dyDescent="0.2">
      <c r="H538" s="6"/>
    </row>
    <row r="539" spans="8:8" x14ac:dyDescent="0.2">
      <c r="H539" s="6"/>
    </row>
    <row r="540" spans="8:8" x14ac:dyDescent="0.2">
      <c r="H540" s="6"/>
    </row>
    <row r="541" spans="8:8" x14ac:dyDescent="0.2">
      <c r="H541" s="6"/>
    </row>
    <row r="542" spans="8:8" x14ac:dyDescent="0.2">
      <c r="H542" s="6"/>
    </row>
    <row r="543" spans="8:8" x14ac:dyDescent="0.2">
      <c r="H543" s="6"/>
    </row>
    <row r="544" spans="8:8" x14ac:dyDescent="0.2">
      <c r="H544" s="6"/>
    </row>
    <row r="545" spans="8:8" x14ac:dyDescent="0.2">
      <c r="H545" s="6"/>
    </row>
    <row r="546" spans="8:8" x14ac:dyDescent="0.2">
      <c r="H546" s="6"/>
    </row>
    <row r="547" spans="8:8" x14ac:dyDescent="0.2">
      <c r="H547" s="6"/>
    </row>
    <row r="548" spans="8:8" x14ac:dyDescent="0.2">
      <c r="H548" s="6"/>
    </row>
    <row r="549" spans="8:8" x14ac:dyDescent="0.2">
      <c r="H549" s="6"/>
    </row>
    <row r="550" spans="8:8" x14ac:dyDescent="0.2">
      <c r="H550" s="6"/>
    </row>
    <row r="551" spans="8:8" x14ac:dyDescent="0.2">
      <c r="H551" s="6"/>
    </row>
    <row r="552" spans="8:8" x14ac:dyDescent="0.2">
      <c r="H552" s="6"/>
    </row>
    <row r="553" spans="8:8" x14ac:dyDescent="0.2">
      <c r="H553" s="6"/>
    </row>
    <row r="554" spans="8:8" x14ac:dyDescent="0.2">
      <c r="H554" s="6"/>
    </row>
    <row r="555" spans="8:8" x14ac:dyDescent="0.2">
      <c r="H555" s="6"/>
    </row>
    <row r="556" spans="8:8" x14ac:dyDescent="0.2">
      <c r="H556" s="6"/>
    </row>
    <row r="557" spans="8:8" x14ac:dyDescent="0.2">
      <c r="H557" s="6"/>
    </row>
    <row r="558" spans="8:8" x14ac:dyDescent="0.2">
      <c r="H558" s="6"/>
    </row>
    <row r="559" spans="8:8" x14ac:dyDescent="0.2">
      <c r="H559" s="6"/>
    </row>
    <row r="560" spans="8:8" x14ac:dyDescent="0.2">
      <c r="H560" s="6"/>
    </row>
    <row r="561" spans="8:8" x14ac:dyDescent="0.2">
      <c r="H561" s="6"/>
    </row>
    <row r="562" spans="8:8" x14ac:dyDescent="0.2">
      <c r="H562" s="6"/>
    </row>
    <row r="563" spans="8:8" x14ac:dyDescent="0.2">
      <c r="H563" s="6"/>
    </row>
    <row r="564" spans="8:8" x14ac:dyDescent="0.2">
      <c r="H564" s="6"/>
    </row>
    <row r="565" spans="8:8" x14ac:dyDescent="0.2">
      <c r="H565" s="6"/>
    </row>
    <row r="566" spans="8:8" x14ac:dyDescent="0.2">
      <c r="H566" s="6"/>
    </row>
    <row r="567" spans="8:8" x14ac:dyDescent="0.2">
      <c r="H567" s="6"/>
    </row>
    <row r="568" spans="8:8" x14ac:dyDescent="0.2">
      <c r="H568" s="6"/>
    </row>
    <row r="569" spans="8:8" x14ac:dyDescent="0.2">
      <c r="H569" s="6"/>
    </row>
    <row r="570" spans="8:8" x14ac:dyDescent="0.2">
      <c r="H570" s="6"/>
    </row>
    <row r="571" spans="8:8" x14ac:dyDescent="0.2">
      <c r="H571" s="6"/>
    </row>
    <row r="572" spans="8:8" x14ac:dyDescent="0.2">
      <c r="H572" s="6"/>
    </row>
    <row r="573" spans="8:8" x14ac:dyDescent="0.2">
      <c r="H573" s="6"/>
    </row>
    <row r="574" spans="8:8" x14ac:dyDescent="0.2">
      <c r="H574" s="6"/>
    </row>
    <row r="575" spans="8:8" x14ac:dyDescent="0.2">
      <c r="H575" s="6"/>
    </row>
    <row r="576" spans="8:8" x14ac:dyDescent="0.2">
      <c r="H576" s="6"/>
    </row>
    <row r="577" spans="8:8" x14ac:dyDescent="0.2">
      <c r="H577" s="6"/>
    </row>
    <row r="578" spans="8:8" x14ac:dyDescent="0.2">
      <c r="H578" s="6"/>
    </row>
    <row r="579" spans="8:8" x14ac:dyDescent="0.2">
      <c r="H579" s="6"/>
    </row>
    <row r="580" spans="8:8" x14ac:dyDescent="0.2">
      <c r="H580" s="6"/>
    </row>
    <row r="581" spans="8:8" x14ac:dyDescent="0.2">
      <c r="H581" s="6"/>
    </row>
    <row r="582" spans="8:8" x14ac:dyDescent="0.2">
      <c r="H582" s="6"/>
    </row>
    <row r="583" spans="8:8" x14ac:dyDescent="0.2">
      <c r="H583" s="6"/>
    </row>
    <row r="584" spans="8:8" x14ac:dyDescent="0.2">
      <c r="H584" s="6"/>
    </row>
    <row r="585" spans="8:8" x14ac:dyDescent="0.2">
      <c r="H585" s="6"/>
    </row>
    <row r="586" spans="8:8" x14ac:dyDescent="0.2">
      <c r="H586" s="6"/>
    </row>
    <row r="587" spans="8:8" x14ac:dyDescent="0.2">
      <c r="H587" s="6"/>
    </row>
    <row r="588" spans="8:8" x14ac:dyDescent="0.2">
      <c r="H588" s="6"/>
    </row>
    <row r="589" spans="8:8" x14ac:dyDescent="0.2">
      <c r="H589" s="6"/>
    </row>
    <row r="590" spans="8:8" x14ac:dyDescent="0.2">
      <c r="H590" s="6"/>
    </row>
    <row r="591" spans="8:8" x14ac:dyDescent="0.2">
      <c r="H591" s="6"/>
    </row>
    <row r="592" spans="8:8" x14ac:dyDescent="0.2">
      <c r="H592" s="6"/>
    </row>
    <row r="593" spans="8:8" x14ac:dyDescent="0.2">
      <c r="H593" s="6"/>
    </row>
    <row r="594" spans="8:8" x14ac:dyDescent="0.2">
      <c r="H594" s="6"/>
    </row>
    <row r="595" spans="8:8" x14ac:dyDescent="0.2">
      <c r="H595" s="6"/>
    </row>
    <row r="596" spans="8:8" x14ac:dyDescent="0.2">
      <c r="H596" s="6"/>
    </row>
    <row r="597" spans="8:8" x14ac:dyDescent="0.2">
      <c r="H597" s="6"/>
    </row>
    <row r="598" spans="8:8" x14ac:dyDescent="0.2">
      <c r="H598" s="6"/>
    </row>
    <row r="599" spans="8:8" x14ac:dyDescent="0.2">
      <c r="H599" s="6"/>
    </row>
    <row r="600" spans="8:8" x14ac:dyDescent="0.2">
      <c r="H600" s="6"/>
    </row>
    <row r="601" spans="8:8" x14ac:dyDescent="0.2">
      <c r="H601" s="6"/>
    </row>
    <row r="602" spans="8:8" x14ac:dyDescent="0.2">
      <c r="H602" s="6"/>
    </row>
    <row r="603" spans="8:8" x14ac:dyDescent="0.2">
      <c r="H603" s="6"/>
    </row>
    <row r="604" spans="8:8" x14ac:dyDescent="0.2">
      <c r="H604" s="6"/>
    </row>
    <row r="605" spans="8:8" x14ac:dyDescent="0.2">
      <c r="H605" s="6"/>
    </row>
    <row r="606" spans="8:8" x14ac:dyDescent="0.2">
      <c r="H606" s="6"/>
    </row>
    <row r="607" spans="8:8" x14ac:dyDescent="0.2">
      <c r="H607" s="6"/>
    </row>
    <row r="608" spans="8:8" x14ac:dyDescent="0.2">
      <c r="H608" s="6"/>
    </row>
    <row r="609" spans="8:8" x14ac:dyDescent="0.2">
      <c r="H609" s="6"/>
    </row>
    <row r="610" spans="8:8" x14ac:dyDescent="0.2">
      <c r="H610" s="6"/>
    </row>
    <row r="611" spans="8:8" x14ac:dyDescent="0.2">
      <c r="H611" s="6"/>
    </row>
    <row r="612" spans="8:8" x14ac:dyDescent="0.2">
      <c r="H612" s="6"/>
    </row>
    <row r="613" spans="8:8" x14ac:dyDescent="0.2">
      <c r="H613" s="6"/>
    </row>
    <row r="614" spans="8:8" x14ac:dyDescent="0.2">
      <c r="H614" s="6"/>
    </row>
    <row r="615" spans="8:8" x14ac:dyDescent="0.2">
      <c r="H615" s="6"/>
    </row>
    <row r="616" spans="8:8" x14ac:dyDescent="0.2">
      <c r="H616" s="6"/>
    </row>
    <row r="617" spans="8:8" x14ac:dyDescent="0.2">
      <c r="H617" s="6"/>
    </row>
    <row r="618" spans="8:8" x14ac:dyDescent="0.2">
      <c r="H618" s="6"/>
    </row>
    <row r="619" spans="8:8" x14ac:dyDescent="0.2">
      <c r="H619" s="6"/>
    </row>
    <row r="620" spans="8:8" x14ac:dyDescent="0.2">
      <c r="H620" s="6"/>
    </row>
    <row r="621" spans="8:8" x14ac:dyDescent="0.2">
      <c r="H621" s="6"/>
    </row>
    <row r="622" spans="8:8" x14ac:dyDescent="0.2">
      <c r="H622" s="6"/>
    </row>
    <row r="623" spans="8:8" x14ac:dyDescent="0.2">
      <c r="H623" s="6"/>
    </row>
    <row r="624" spans="8:8" x14ac:dyDescent="0.2">
      <c r="H624" s="6"/>
    </row>
    <row r="625" spans="8:8" x14ac:dyDescent="0.2">
      <c r="H625" s="6"/>
    </row>
    <row r="626" spans="8:8" x14ac:dyDescent="0.2">
      <c r="H626" s="6"/>
    </row>
    <row r="627" spans="8:8" x14ac:dyDescent="0.2">
      <c r="H627" s="6"/>
    </row>
    <row r="628" spans="8:8" x14ac:dyDescent="0.2">
      <c r="H628" s="6"/>
    </row>
    <row r="629" spans="8:8" x14ac:dyDescent="0.2">
      <c r="H629" s="6"/>
    </row>
    <row r="630" spans="8:8" x14ac:dyDescent="0.2">
      <c r="H630" s="6"/>
    </row>
    <row r="631" spans="8:8" x14ac:dyDescent="0.2">
      <c r="H631" s="6"/>
    </row>
    <row r="632" spans="8:8" x14ac:dyDescent="0.2">
      <c r="H632" s="6"/>
    </row>
    <row r="633" spans="8:8" x14ac:dyDescent="0.2">
      <c r="H633" s="6"/>
    </row>
    <row r="634" spans="8:8" x14ac:dyDescent="0.2">
      <c r="H634" s="6"/>
    </row>
    <row r="635" spans="8:8" x14ac:dyDescent="0.2">
      <c r="H635" s="6"/>
    </row>
    <row r="636" spans="8:8" x14ac:dyDescent="0.2">
      <c r="H636" s="6"/>
    </row>
    <row r="637" spans="8:8" x14ac:dyDescent="0.2">
      <c r="H637" s="6"/>
    </row>
    <row r="638" spans="8:8" x14ac:dyDescent="0.2">
      <c r="H638" s="6"/>
    </row>
    <row r="639" spans="8:8" x14ac:dyDescent="0.2">
      <c r="H639" s="6"/>
    </row>
    <row r="640" spans="8:8" x14ac:dyDescent="0.2">
      <c r="H640" s="6"/>
    </row>
    <row r="641" spans="8:8" x14ac:dyDescent="0.2">
      <c r="H641" s="6"/>
    </row>
    <row r="642" spans="8:8" x14ac:dyDescent="0.2">
      <c r="H642" s="6"/>
    </row>
    <row r="643" spans="8:8" x14ac:dyDescent="0.2">
      <c r="H643" s="6"/>
    </row>
    <row r="644" spans="8:8" x14ac:dyDescent="0.2">
      <c r="H644" s="6"/>
    </row>
    <row r="645" spans="8:8" x14ac:dyDescent="0.2">
      <c r="H645" s="6"/>
    </row>
    <row r="646" spans="8:8" x14ac:dyDescent="0.2">
      <c r="H646" s="6"/>
    </row>
    <row r="647" spans="8:8" x14ac:dyDescent="0.2">
      <c r="H647" s="6"/>
    </row>
    <row r="648" spans="8:8" x14ac:dyDescent="0.2">
      <c r="H648" s="6"/>
    </row>
    <row r="649" spans="8:8" x14ac:dyDescent="0.2">
      <c r="H649" s="6"/>
    </row>
    <row r="650" spans="8:8" x14ac:dyDescent="0.2">
      <c r="H650" s="6"/>
    </row>
    <row r="651" spans="8:8" x14ac:dyDescent="0.2">
      <c r="H651" s="6"/>
    </row>
    <row r="652" spans="8:8" x14ac:dyDescent="0.2">
      <c r="H652" s="6"/>
    </row>
    <row r="653" spans="8:8" x14ac:dyDescent="0.2">
      <c r="H653" s="6"/>
    </row>
    <row r="654" spans="8:8" x14ac:dyDescent="0.2">
      <c r="H654" s="6"/>
    </row>
    <row r="655" spans="8:8" x14ac:dyDescent="0.2">
      <c r="H655" s="6"/>
    </row>
    <row r="656" spans="8:8" x14ac:dyDescent="0.2">
      <c r="H656" s="6"/>
    </row>
    <row r="657" spans="8:8" x14ac:dyDescent="0.2">
      <c r="H657" s="6"/>
    </row>
    <row r="658" spans="8:8" x14ac:dyDescent="0.2">
      <c r="H658" s="6"/>
    </row>
    <row r="659" spans="8:8" x14ac:dyDescent="0.2">
      <c r="H659" s="6"/>
    </row>
    <row r="660" spans="8:8" x14ac:dyDescent="0.2">
      <c r="H660" s="6"/>
    </row>
    <row r="661" spans="8:8" x14ac:dyDescent="0.2">
      <c r="H661" s="6"/>
    </row>
    <row r="662" spans="8:8" x14ac:dyDescent="0.2">
      <c r="H662" s="6"/>
    </row>
    <row r="663" spans="8:8" x14ac:dyDescent="0.2">
      <c r="H663" s="6"/>
    </row>
    <row r="664" spans="8:8" x14ac:dyDescent="0.2">
      <c r="H664" s="6"/>
    </row>
    <row r="665" spans="8:8" x14ac:dyDescent="0.2">
      <c r="H665" s="6"/>
    </row>
    <row r="666" spans="8:8" x14ac:dyDescent="0.2">
      <c r="H666" s="6"/>
    </row>
    <row r="667" spans="8:8" x14ac:dyDescent="0.2">
      <c r="H667" s="6"/>
    </row>
    <row r="668" spans="8:8" x14ac:dyDescent="0.2">
      <c r="H668" s="6"/>
    </row>
    <row r="669" spans="8:8" x14ac:dyDescent="0.2">
      <c r="H669" s="6"/>
    </row>
    <row r="670" spans="8:8" x14ac:dyDescent="0.2">
      <c r="H670" s="6"/>
    </row>
    <row r="671" spans="8:8" x14ac:dyDescent="0.2">
      <c r="H671" s="6"/>
    </row>
    <row r="672" spans="8:8" x14ac:dyDescent="0.2">
      <c r="H672" s="6"/>
    </row>
    <row r="673" spans="8:8" x14ac:dyDescent="0.2">
      <c r="H673" s="6"/>
    </row>
    <row r="674" spans="8:8" x14ac:dyDescent="0.2">
      <c r="H674" s="6"/>
    </row>
    <row r="675" spans="8:8" x14ac:dyDescent="0.2">
      <c r="H675" s="6"/>
    </row>
    <row r="676" spans="8:8" x14ac:dyDescent="0.2">
      <c r="H676" s="6"/>
    </row>
    <row r="677" spans="8:8" x14ac:dyDescent="0.2">
      <c r="H677" s="6"/>
    </row>
    <row r="678" spans="8:8" x14ac:dyDescent="0.2">
      <c r="H678" s="6"/>
    </row>
    <row r="679" spans="8:8" x14ac:dyDescent="0.2">
      <c r="H679" s="6"/>
    </row>
    <row r="680" spans="8:8" x14ac:dyDescent="0.2">
      <c r="H680" s="6"/>
    </row>
    <row r="681" spans="8:8" x14ac:dyDescent="0.2">
      <c r="H681" s="6"/>
    </row>
    <row r="682" spans="8:8" x14ac:dyDescent="0.2">
      <c r="H682" s="6"/>
    </row>
    <row r="683" spans="8:8" x14ac:dyDescent="0.2">
      <c r="H683" s="6"/>
    </row>
    <row r="684" spans="8:8" x14ac:dyDescent="0.2">
      <c r="H684" s="6"/>
    </row>
    <row r="685" spans="8:8" x14ac:dyDescent="0.2">
      <c r="H685" s="6"/>
    </row>
    <row r="686" spans="8:8" x14ac:dyDescent="0.2">
      <c r="H686" s="6"/>
    </row>
    <row r="687" spans="8:8" x14ac:dyDescent="0.2">
      <c r="H687" s="6"/>
    </row>
    <row r="688" spans="8:8" x14ac:dyDescent="0.2">
      <c r="H688" s="6"/>
    </row>
    <row r="689" spans="8:8" x14ac:dyDescent="0.2">
      <c r="H689" s="6"/>
    </row>
    <row r="690" spans="8:8" x14ac:dyDescent="0.2">
      <c r="H690" s="6"/>
    </row>
    <row r="691" spans="8:8" x14ac:dyDescent="0.2">
      <c r="H691" s="6"/>
    </row>
    <row r="692" spans="8:8" x14ac:dyDescent="0.2">
      <c r="H692" s="6"/>
    </row>
    <row r="693" spans="8:8" x14ac:dyDescent="0.2">
      <c r="H693" s="6"/>
    </row>
    <row r="694" spans="8:8" x14ac:dyDescent="0.2">
      <c r="H694" s="6"/>
    </row>
    <row r="695" spans="8:8" x14ac:dyDescent="0.2">
      <c r="H695" s="6"/>
    </row>
    <row r="696" spans="8:8" x14ac:dyDescent="0.2">
      <c r="H696" s="6"/>
    </row>
    <row r="697" spans="8:8" x14ac:dyDescent="0.2">
      <c r="H697" s="6"/>
    </row>
    <row r="698" spans="8:8" x14ac:dyDescent="0.2">
      <c r="H698" s="6"/>
    </row>
    <row r="699" spans="8:8" x14ac:dyDescent="0.2">
      <c r="H699" s="6"/>
    </row>
    <row r="700" spans="8:8" x14ac:dyDescent="0.2">
      <c r="H700" s="6"/>
    </row>
    <row r="701" spans="8:8" x14ac:dyDescent="0.2">
      <c r="H701" s="6"/>
    </row>
    <row r="702" spans="8:8" x14ac:dyDescent="0.2">
      <c r="H702" s="6"/>
    </row>
    <row r="703" spans="8:8" x14ac:dyDescent="0.2">
      <c r="H703" s="6"/>
    </row>
    <row r="704" spans="8:8" x14ac:dyDescent="0.2">
      <c r="H704" s="6"/>
    </row>
    <row r="705" spans="8:8" x14ac:dyDescent="0.2">
      <c r="H705" s="6"/>
    </row>
    <row r="706" spans="8:8" x14ac:dyDescent="0.2">
      <c r="H706" s="6"/>
    </row>
    <row r="707" spans="8:8" x14ac:dyDescent="0.2">
      <c r="H707" s="6"/>
    </row>
    <row r="708" spans="8:8" x14ac:dyDescent="0.2">
      <c r="H708" s="6"/>
    </row>
    <row r="709" spans="8:8" x14ac:dyDescent="0.2">
      <c r="H709" s="6"/>
    </row>
    <row r="710" spans="8:8" x14ac:dyDescent="0.2">
      <c r="H710" s="6"/>
    </row>
    <row r="711" spans="8:8" x14ac:dyDescent="0.2">
      <c r="H711" s="6"/>
    </row>
    <row r="712" spans="8:8" x14ac:dyDescent="0.2">
      <c r="H712" s="6"/>
    </row>
    <row r="713" spans="8:8" x14ac:dyDescent="0.2">
      <c r="H713" s="6"/>
    </row>
    <row r="714" spans="8:8" x14ac:dyDescent="0.2">
      <c r="H714" s="6"/>
    </row>
    <row r="715" spans="8:8" x14ac:dyDescent="0.2">
      <c r="H715" s="6"/>
    </row>
    <row r="716" spans="8:8" x14ac:dyDescent="0.2">
      <c r="H716" s="6"/>
    </row>
    <row r="717" spans="8:8" x14ac:dyDescent="0.2">
      <c r="H717" s="6"/>
    </row>
    <row r="718" spans="8:8" x14ac:dyDescent="0.2">
      <c r="H718" s="6"/>
    </row>
    <row r="719" spans="8:8" x14ac:dyDescent="0.2">
      <c r="H719" s="6"/>
    </row>
    <row r="720" spans="8:8" x14ac:dyDescent="0.2">
      <c r="H720" s="6"/>
    </row>
    <row r="721" spans="8:8" x14ac:dyDescent="0.2">
      <c r="H721" s="6"/>
    </row>
    <row r="722" spans="8:8" x14ac:dyDescent="0.2">
      <c r="H722" s="6"/>
    </row>
    <row r="723" spans="8:8" x14ac:dyDescent="0.2">
      <c r="H723" s="6"/>
    </row>
    <row r="724" spans="8:8" x14ac:dyDescent="0.2">
      <c r="H724" s="6"/>
    </row>
    <row r="725" spans="8:8" x14ac:dyDescent="0.2">
      <c r="H725" s="6"/>
    </row>
    <row r="726" spans="8:8" x14ac:dyDescent="0.2">
      <c r="H726" s="6"/>
    </row>
    <row r="727" spans="8:8" x14ac:dyDescent="0.2">
      <c r="H727" s="6"/>
    </row>
    <row r="728" spans="8:8" x14ac:dyDescent="0.2">
      <c r="H728" s="6"/>
    </row>
    <row r="729" spans="8:8" x14ac:dyDescent="0.2">
      <c r="H729" s="6"/>
    </row>
    <row r="730" spans="8:8" x14ac:dyDescent="0.2">
      <c r="H730" s="6"/>
    </row>
    <row r="731" spans="8:8" x14ac:dyDescent="0.2">
      <c r="H731" s="6"/>
    </row>
    <row r="732" spans="8:8" x14ac:dyDescent="0.2">
      <c r="H732" s="6"/>
    </row>
    <row r="733" spans="8:8" x14ac:dyDescent="0.2">
      <c r="H733" s="6"/>
    </row>
    <row r="734" spans="8:8" x14ac:dyDescent="0.2">
      <c r="H734" s="6"/>
    </row>
    <row r="735" spans="8:8" x14ac:dyDescent="0.2">
      <c r="H735" s="6"/>
    </row>
    <row r="736" spans="8:8" x14ac:dyDescent="0.2">
      <c r="H736" s="6"/>
    </row>
    <row r="737" spans="8:8" x14ac:dyDescent="0.2">
      <c r="H737" s="6"/>
    </row>
    <row r="738" spans="8:8" x14ac:dyDescent="0.2">
      <c r="H738" s="6"/>
    </row>
    <row r="739" spans="8:8" x14ac:dyDescent="0.2">
      <c r="H739" s="6"/>
    </row>
    <row r="740" spans="8:8" x14ac:dyDescent="0.2">
      <c r="H740" s="6"/>
    </row>
    <row r="741" spans="8:8" x14ac:dyDescent="0.2">
      <c r="H741" s="6"/>
    </row>
    <row r="742" spans="8:8" x14ac:dyDescent="0.2">
      <c r="H742" s="6"/>
    </row>
    <row r="743" spans="8:8" x14ac:dyDescent="0.2">
      <c r="H743" s="6"/>
    </row>
    <row r="744" spans="8:8" x14ac:dyDescent="0.2">
      <c r="H744" s="6"/>
    </row>
    <row r="745" spans="8:8" x14ac:dyDescent="0.2">
      <c r="H745" s="6"/>
    </row>
    <row r="746" spans="8:8" x14ac:dyDescent="0.2">
      <c r="H746" s="6"/>
    </row>
    <row r="747" spans="8:8" x14ac:dyDescent="0.2">
      <c r="H747" s="6"/>
    </row>
    <row r="748" spans="8:8" x14ac:dyDescent="0.2">
      <c r="H748" s="6"/>
    </row>
    <row r="749" spans="8:8" x14ac:dyDescent="0.2">
      <c r="H749" s="6"/>
    </row>
    <row r="750" spans="8:8" x14ac:dyDescent="0.2">
      <c r="H750" s="6"/>
    </row>
    <row r="751" spans="8:8" x14ac:dyDescent="0.2">
      <c r="H751" s="6"/>
    </row>
    <row r="752" spans="8:8" x14ac:dyDescent="0.2">
      <c r="H752" s="6"/>
    </row>
    <row r="753" spans="8:8" x14ac:dyDescent="0.2">
      <c r="H753" s="6"/>
    </row>
    <row r="754" spans="8:8" x14ac:dyDescent="0.2">
      <c r="H754" s="6"/>
    </row>
    <row r="755" spans="8:8" x14ac:dyDescent="0.2">
      <c r="H755" s="6"/>
    </row>
    <row r="756" spans="8:8" x14ac:dyDescent="0.2">
      <c r="H756" s="6"/>
    </row>
    <row r="757" spans="8:8" x14ac:dyDescent="0.2">
      <c r="H757" s="6"/>
    </row>
    <row r="758" spans="8:8" x14ac:dyDescent="0.2">
      <c r="H758" s="6"/>
    </row>
    <row r="759" spans="8:8" x14ac:dyDescent="0.2">
      <c r="H759" s="6"/>
    </row>
    <row r="760" spans="8:8" x14ac:dyDescent="0.2">
      <c r="H760" s="6"/>
    </row>
    <row r="761" spans="8:8" x14ac:dyDescent="0.2">
      <c r="H761" s="6"/>
    </row>
    <row r="762" spans="8:8" x14ac:dyDescent="0.2">
      <c r="H762" s="6"/>
    </row>
    <row r="763" spans="8:8" x14ac:dyDescent="0.2">
      <c r="H763" s="6"/>
    </row>
    <row r="764" spans="8:8" x14ac:dyDescent="0.2">
      <c r="H764" s="6"/>
    </row>
    <row r="765" spans="8:8" x14ac:dyDescent="0.2">
      <c r="H765" s="6"/>
    </row>
    <row r="766" spans="8:8" x14ac:dyDescent="0.2">
      <c r="H766" s="6"/>
    </row>
    <row r="767" spans="8:8" x14ac:dyDescent="0.2">
      <c r="H767" s="6"/>
    </row>
    <row r="768" spans="8:8" x14ac:dyDescent="0.2">
      <c r="H768" s="6"/>
    </row>
    <row r="769" spans="8:8" x14ac:dyDescent="0.2">
      <c r="H769" s="6"/>
    </row>
    <row r="770" spans="8:8" x14ac:dyDescent="0.2">
      <c r="H770" s="6"/>
    </row>
    <row r="771" spans="8:8" x14ac:dyDescent="0.2">
      <c r="H771" s="6"/>
    </row>
    <row r="772" spans="8:8" x14ac:dyDescent="0.2">
      <c r="H772" s="6"/>
    </row>
    <row r="773" spans="8:8" x14ac:dyDescent="0.2">
      <c r="H773" s="6"/>
    </row>
    <row r="774" spans="8:8" x14ac:dyDescent="0.2">
      <c r="H774" s="6"/>
    </row>
    <row r="775" spans="8:8" x14ac:dyDescent="0.2">
      <c r="H775" s="6"/>
    </row>
    <row r="776" spans="8:8" x14ac:dyDescent="0.2">
      <c r="H776" s="6"/>
    </row>
    <row r="777" spans="8:8" x14ac:dyDescent="0.2">
      <c r="H777" s="6"/>
    </row>
    <row r="778" spans="8:8" x14ac:dyDescent="0.2">
      <c r="H778" s="6"/>
    </row>
    <row r="779" spans="8:8" x14ac:dyDescent="0.2">
      <c r="H779" s="6"/>
    </row>
    <row r="780" spans="8:8" x14ac:dyDescent="0.2">
      <c r="H780" s="6"/>
    </row>
    <row r="781" spans="8:8" x14ac:dyDescent="0.2">
      <c r="H781" s="6"/>
    </row>
    <row r="782" spans="8:8" x14ac:dyDescent="0.2">
      <c r="H782" s="6"/>
    </row>
    <row r="783" spans="8:8" x14ac:dyDescent="0.2">
      <c r="H783" s="6"/>
    </row>
    <row r="784" spans="8:8" x14ac:dyDescent="0.2">
      <c r="H784" s="6"/>
    </row>
    <row r="785" spans="8:8" x14ac:dyDescent="0.2">
      <c r="H785" s="6"/>
    </row>
    <row r="786" spans="8:8" x14ac:dyDescent="0.2">
      <c r="H786" s="6"/>
    </row>
    <row r="787" spans="8:8" x14ac:dyDescent="0.2">
      <c r="H787" s="6"/>
    </row>
    <row r="788" spans="8:8" x14ac:dyDescent="0.2">
      <c r="H788" s="6"/>
    </row>
    <row r="789" spans="8:8" x14ac:dyDescent="0.2">
      <c r="H789" s="6"/>
    </row>
    <row r="790" spans="8:8" x14ac:dyDescent="0.2">
      <c r="H790" s="6"/>
    </row>
    <row r="791" spans="8:8" x14ac:dyDescent="0.2">
      <c r="H791" s="6"/>
    </row>
    <row r="792" spans="8:8" x14ac:dyDescent="0.2">
      <c r="H792" s="6"/>
    </row>
    <row r="793" spans="8:8" x14ac:dyDescent="0.2">
      <c r="H793" s="6"/>
    </row>
    <row r="794" spans="8:8" x14ac:dyDescent="0.2">
      <c r="H794" s="6"/>
    </row>
    <row r="795" spans="8:8" x14ac:dyDescent="0.2">
      <c r="H795" s="6"/>
    </row>
    <row r="796" spans="8:8" x14ac:dyDescent="0.2">
      <c r="H796" s="6"/>
    </row>
    <row r="797" spans="8:8" x14ac:dyDescent="0.2">
      <c r="H797" s="6"/>
    </row>
    <row r="798" spans="8:8" x14ac:dyDescent="0.2">
      <c r="H798" s="6"/>
    </row>
    <row r="799" spans="8:8" x14ac:dyDescent="0.2">
      <c r="H799" s="6"/>
    </row>
    <row r="800" spans="8:8" x14ac:dyDescent="0.2">
      <c r="H800" s="6"/>
    </row>
    <row r="801" spans="8:8" x14ac:dyDescent="0.2">
      <c r="H801" s="6"/>
    </row>
    <row r="802" spans="8:8" x14ac:dyDescent="0.2">
      <c r="H802" s="6"/>
    </row>
    <row r="803" spans="8:8" x14ac:dyDescent="0.2">
      <c r="H803" s="6"/>
    </row>
    <row r="804" spans="8:8" x14ac:dyDescent="0.2">
      <c r="H804" s="6"/>
    </row>
    <row r="805" spans="8:8" x14ac:dyDescent="0.2">
      <c r="H805" s="6"/>
    </row>
    <row r="806" spans="8:8" x14ac:dyDescent="0.2">
      <c r="H806" s="6"/>
    </row>
    <row r="807" spans="8:8" x14ac:dyDescent="0.2">
      <c r="H807" s="6"/>
    </row>
    <row r="808" spans="8:8" x14ac:dyDescent="0.2">
      <c r="H808" s="6"/>
    </row>
    <row r="809" spans="8:8" x14ac:dyDescent="0.2">
      <c r="H809" s="6"/>
    </row>
    <row r="810" spans="8:8" x14ac:dyDescent="0.2">
      <c r="H810" s="6"/>
    </row>
    <row r="811" spans="8:8" x14ac:dyDescent="0.2">
      <c r="H811" s="6"/>
    </row>
    <row r="812" spans="8:8" x14ac:dyDescent="0.2">
      <c r="H812" s="6"/>
    </row>
    <row r="813" spans="8:8" x14ac:dyDescent="0.2">
      <c r="H813" s="6"/>
    </row>
    <row r="814" spans="8:8" x14ac:dyDescent="0.2">
      <c r="H814" s="6"/>
    </row>
    <row r="815" spans="8:8" x14ac:dyDescent="0.2">
      <c r="H815" s="6"/>
    </row>
    <row r="816" spans="8:8" x14ac:dyDescent="0.2">
      <c r="H816" s="6"/>
    </row>
    <row r="817" spans="8:8" x14ac:dyDescent="0.2">
      <c r="H817" s="6"/>
    </row>
    <row r="818" spans="8:8" x14ac:dyDescent="0.2">
      <c r="H818" s="6"/>
    </row>
    <row r="819" spans="8:8" x14ac:dyDescent="0.2">
      <c r="H819" s="6"/>
    </row>
    <row r="820" spans="8:8" x14ac:dyDescent="0.2">
      <c r="H820" s="6"/>
    </row>
    <row r="821" spans="8:8" x14ac:dyDescent="0.2">
      <c r="H821" s="6"/>
    </row>
    <row r="822" spans="8:8" x14ac:dyDescent="0.2">
      <c r="H822" s="6"/>
    </row>
    <row r="823" spans="8:8" x14ac:dyDescent="0.2">
      <c r="H823" s="6"/>
    </row>
    <row r="824" spans="8:8" x14ac:dyDescent="0.2">
      <c r="H824" s="6"/>
    </row>
    <row r="825" spans="8:8" x14ac:dyDescent="0.2">
      <c r="H825" s="6"/>
    </row>
    <row r="826" spans="8:8" x14ac:dyDescent="0.2">
      <c r="H826" s="6"/>
    </row>
    <row r="827" spans="8:8" x14ac:dyDescent="0.2">
      <c r="H827" s="6"/>
    </row>
    <row r="828" spans="8:8" x14ac:dyDescent="0.2">
      <c r="H828" s="6"/>
    </row>
    <row r="829" spans="8:8" x14ac:dyDescent="0.2">
      <c r="H829" s="6"/>
    </row>
    <row r="830" spans="8:8" x14ac:dyDescent="0.2">
      <c r="H830" s="6"/>
    </row>
    <row r="831" spans="8:8" x14ac:dyDescent="0.2">
      <c r="H831" s="6"/>
    </row>
    <row r="832" spans="8:8" x14ac:dyDescent="0.2">
      <c r="H832" s="6"/>
    </row>
    <row r="833" spans="8:8" x14ac:dyDescent="0.2">
      <c r="H833" s="6"/>
    </row>
    <row r="834" spans="8:8" x14ac:dyDescent="0.2">
      <c r="H834" s="6"/>
    </row>
    <row r="835" spans="8:8" x14ac:dyDescent="0.2">
      <c r="H835" s="6"/>
    </row>
    <row r="836" spans="8:8" x14ac:dyDescent="0.2">
      <c r="H836" s="6"/>
    </row>
    <row r="837" spans="8:8" x14ac:dyDescent="0.2">
      <c r="H837" s="6"/>
    </row>
    <row r="838" spans="8:8" x14ac:dyDescent="0.2">
      <c r="H838" s="6"/>
    </row>
    <row r="839" spans="8:8" x14ac:dyDescent="0.2">
      <c r="H839" s="6"/>
    </row>
    <row r="840" spans="8:8" x14ac:dyDescent="0.2">
      <c r="H840" s="6"/>
    </row>
    <row r="841" spans="8:8" x14ac:dyDescent="0.2">
      <c r="H841" s="6"/>
    </row>
    <row r="842" spans="8:8" x14ac:dyDescent="0.2">
      <c r="H842" s="6"/>
    </row>
    <row r="843" spans="8:8" x14ac:dyDescent="0.2">
      <c r="H843" s="6"/>
    </row>
    <row r="844" spans="8:8" x14ac:dyDescent="0.2">
      <c r="H844" s="6"/>
    </row>
    <row r="845" spans="8:8" x14ac:dyDescent="0.2">
      <c r="H845" s="6"/>
    </row>
    <row r="846" spans="8:8" x14ac:dyDescent="0.2">
      <c r="H846" s="6"/>
    </row>
    <row r="847" spans="8:8" x14ac:dyDescent="0.2">
      <c r="H847" s="6"/>
    </row>
    <row r="848" spans="8:8" x14ac:dyDescent="0.2">
      <c r="H848" s="6"/>
    </row>
    <row r="849" spans="8:8" x14ac:dyDescent="0.2">
      <c r="H849" s="6"/>
    </row>
    <row r="850" spans="8:8" x14ac:dyDescent="0.2">
      <c r="H850" s="6"/>
    </row>
    <row r="851" spans="8:8" x14ac:dyDescent="0.2">
      <c r="H851" s="6"/>
    </row>
    <row r="852" spans="8:8" x14ac:dyDescent="0.2">
      <c r="H852" s="6"/>
    </row>
    <row r="853" spans="8:8" x14ac:dyDescent="0.2">
      <c r="H853" s="6"/>
    </row>
    <row r="854" spans="8:8" x14ac:dyDescent="0.2">
      <c r="H854" s="6"/>
    </row>
    <row r="855" spans="8:8" x14ac:dyDescent="0.2">
      <c r="H855" s="6"/>
    </row>
    <row r="856" spans="8:8" x14ac:dyDescent="0.2">
      <c r="H856" s="6"/>
    </row>
    <row r="857" spans="8:8" x14ac:dyDescent="0.2">
      <c r="H857" s="6"/>
    </row>
    <row r="858" spans="8:8" x14ac:dyDescent="0.2">
      <c r="H858" s="6"/>
    </row>
    <row r="859" spans="8:8" x14ac:dyDescent="0.2">
      <c r="H859" s="6"/>
    </row>
    <row r="860" spans="8:8" x14ac:dyDescent="0.2">
      <c r="H860" s="6"/>
    </row>
    <row r="861" spans="8:8" x14ac:dyDescent="0.2">
      <c r="H861" s="6"/>
    </row>
    <row r="862" spans="8:8" x14ac:dyDescent="0.2">
      <c r="H862" s="6"/>
    </row>
    <row r="863" spans="8:8" x14ac:dyDescent="0.2">
      <c r="H863" s="6"/>
    </row>
    <row r="864" spans="8:8" x14ac:dyDescent="0.2">
      <c r="H864" s="6"/>
    </row>
    <row r="865" spans="8:8" x14ac:dyDescent="0.2">
      <c r="H865" s="6"/>
    </row>
    <row r="866" spans="8:8" x14ac:dyDescent="0.2">
      <c r="H866" s="6"/>
    </row>
    <row r="867" spans="8:8" x14ac:dyDescent="0.2">
      <c r="H867" s="6"/>
    </row>
    <row r="868" spans="8:8" x14ac:dyDescent="0.2">
      <c r="H868" s="6"/>
    </row>
    <row r="869" spans="8:8" x14ac:dyDescent="0.2">
      <c r="H869" s="6"/>
    </row>
    <row r="870" spans="8:8" x14ac:dyDescent="0.2">
      <c r="H870" s="6"/>
    </row>
    <row r="871" spans="8:8" x14ac:dyDescent="0.2">
      <c r="H871" s="6"/>
    </row>
    <row r="872" spans="8:8" x14ac:dyDescent="0.2">
      <c r="H872" s="6"/>
    </row>
    <row r="873" spans="8:8" x14ac:dyDescent="0.2">
      <c r="H873" s="6"/>
    </row>
    <row r="874" spans="8:8" x14ac:dyDescent="0.2">
      <c r="H874" s="6"/>
    </row>
    <row r="875" spans="8:8" x14ac:dyDescent="0.2">
      <c r="H875" s="6"/>
    </row>
    <row r="876" spans="8:8" x14ac:dyDescent="0.2">
      <c r="H876" s="6"/>
    </row>
    <row r="877" spans="8:8" x14ac:dyDescent="0.2">
      <c r="H877" s="6"/>
    </row>
    <row r="878" spans="8:8" x14ac:dyDescent="0.2">
      <c r="H878" s="6"/>
    </row>
    <row r="879" spans="8:8" x14ac:dyDescent="0.2">
      <c r="H879" s="6"/>
    </row>
    <row r="880" spans="8:8" x14ac:dyDescent="0.2">
      <c r="H880" s="6"/>
    </row>
    <row r="881" spans="8:8" x14ac:dyDescent="0.2">
      <c r="H881" s="6"/>
    </row>
    <row r="882" spans="8:8" x14ac:dyDescent="0.2">
      <c r="H882" s="6"/>
    </row>
    <row r="883" spans="8:8" x14ac:dyDescent="0.2">
      <c r="H883" s="6"/>
    </row>
    <row r="884" spans="8:8" x14ac:dyDescent="0.2">
      <c r="H884" s="6"/>
    </row>
    <row r="885" spans="8:8" x14ac:dyDescent="0.2">
      <c r="H885" s="6"/>
    </row>
    <row r="886" spans="8:8" x14ac:dyDescent="0.2">
      <c r="H886" s="6"/>
    </row>
    <row r="887" spans="8:8" x14ac:dyDescent="0.2">
      <c r="H887" s="6"/>
    </row>
    <row r="888" spans="8:8" x14ac:dyDescent="0.2">
      <c r="H888" s="6"/>
    </row>
    <row r="889" spans="8:8" x14ac:dyDescent="0.2">
      <c r="H889" s="6"/>
    </row>
    <row r="890" spans="8:8" x14ac:dyDescent="0.2">
      <c r="H890" s="6"/>
    </row>
    <row r="891" spans="8:8" x14ac:dyDescent="0.2">
      <c r="H891" s="6"/>
    </row>
    <row r="892" spans="8:8" x14ac:dyDescent="0.2">
      <c r="H892" s="6"/>
    </row>
    <row r="893" spans="8:8" x14ac:dyDescent="0.2">
      <c r="H893" s="6"/>
    </row>
    <row r="894" spans="8:8" x14ac:dyDescent="0.2">
      <c r="H894" s="6"/>
    </row>
    <row r="895" spans="8:8" x14ac:dyDescent="0.2">
      <c r="H895" s="6"/>
    </row>
    <row r="896" spans="8:8" x14ac:dyDescent="0.2">
      <c r="H896" s="6"/>
    </row>
    <row r="897" spans="8:8" x14ac:dyDescent="0.2">
      <c r="H897" s="6"/>
    </row>
    <row r="898" spans="8:8" x14ac:dyDescent="0.2">
      <c r="H898" s="6"/>
    </row>
    <row r="899" spans="8:8" x14ac:dyDescent="0.2">
      <c r="H899" s="6"/>
    </row>
    <row r="900" spans="8:8" x14ac:dyDescent="0.2">
      <c r="H900" s="6"/>
    </row>
    <row r="901" spans="8:8" x14ac:dyDescent="0.2">
      <c r="H901" s="6"/>
    </row>
    <row r="902" spans="8:8" x14ac:dyDescent="0.2">
      <c r="H902" s="6"/>
    </row>
    <row r="903" spans="8:8" x14ac:dyDescent="0.2">
      <c r="H903" s="6"/>
    </row>
    <row r="904" spans="8:8" x14ac:dyDescent="0.2">
      <c r="H904" s="6"/>
    </row>
    <row r="905" spans="8:8" x14ac:dyDescent="0.2">
      <c r="H905" s="6"/>
    </row>
    <row r="906" spans="8:8" x14ac:dyDescent="0.2">
      <c r="H906" s="6"/>
    </row>
    <row r="907" spans="8:8" x14ac:dyDescent="0.2">
      <c r="H907" s="6"/>
    </row>
    <row r="908" spans="8:8" x14ac:dyDescent="0.2">
      <c r="H908" s="6"/>
    </row>
    <row r="909" spans="8:8" x14ac:dyDescent="0.2">
      <c r="H909" s="6"/>
    </row>
    <row r="910" spans="8:8" x14ac:dyDescent="0.2">
      <c r="H910" s="6"/>
    </row>
    <row r="911" spans="8:8" x14ac:dyDescent="0.2">
      <c r="H911" s="6"/>
    </row>
    <row r="912" spans="8:8" x14ac:dyDescent="0.2">
      <c r="H912" s="6"/>
    </row>
    <row r="913" spans="8:8" x14ac:dyDescent="0.2">
      <c r="H913" s="6"/>
    </row>
    <row r="914" spans="8:8" x14ac:dyDescent="0.2">
      <c r="H914" s="6"/>
    </row>
    <row r="915" spans="8:8" x14ac:dyDescent="0.2">
      <c r="H915" s="6"/>
    </row>
    <row r="916" spans="8:8" x14ac:dyDescent="0.2">
      <c r="H916" s="6"/>
    </row>
    <row r="917" spans="8:8" x14ac:dyDescent="0.2">
      <c r="H917" s="6"/>
    </row>
    <row r="918" spans="8:8" x14ac:dyDescent="0.2">
      <c r="H918" s="6"/>
    </row>
    <row r="919" spans="8:8" x14ac:dyDescent="0.2">
      <c r="H919" s="6"/>
    </row>
    <row r="920" spans="8:8" x14ac:dyDescent="0.2">
      <c r="H920" s="6"/>
    </row>
    <row r="921" spans="8:8" x14ac:dyDescent="0.2">
      <c r="H921" s="6"/>
    </row>
    <row r="922" spans="8:8" x14ac:dyDescent="0.2">
      <c r="H922" s="6"/>
    </row>
    <row r="923" spans="8:8" x14ac:dyDescent="0.2">
      <c r="H923" s="6"/>
    </row>
    <row r="924" spans="8:8" x14ac:dyDescent="0.2">
      <c r="H924" s="6"/>
    </row>
    <row r="925" spans="8:8" x14ac:dyDescent="0.2">
      <c r="H925" s="6"/>
    </row>
    <row r="926" spans="8:8" x14ac:dyDescent="0.2">
      <c r="H926" s="6"/>
    </row>
    <row r="927" spans="8:8" x14ac:dyDescent="0.2">
      <c r="H927" s="6"/>
    </row>
    <row r="928" spans="8:8" x14ac:dyDescent="0.2">
      <c r="H928" s="6"/>
    </row>
    <row r="929" spans="8:8" x14ac:dyDescent="0.2">
      <c r="H929" s="6"/>
    </row>
    <row r="930" spans="8:8" x14ac:dyDescent="0.2">
      <c r="H930" s="6"/>
    </row>
    <row r="931" spans="8:8" x14ac:dyDescent="0.2">
      <c r="H931" s="6"/>
    </row>
    <row r="932" spans="8:8" x14ac:dyDescent="0.2">
      <c r="H932" s="6"/>
    </row>
    <row r="933" spans="8:8" x14ac:dyDescent="0.2">
      <c r="H933" s="6"/>
    </row>
    <row r="934" spans="8:8" x14ac:dyDescent="0.2">
      <c r="H934" s="6"/>
    </row>
    <row r="935" spans="8:8" x14ac:dyDescent="0.2">
      <c r="H935" s="6"/>
    </row>
    <row r="936" spans="8:8" x14ac:dyDescent="0.2">
      <c r="H936" s="6"/>
    </row>
    <row r="937" spans="8:8" x14ac:dyDescent="0.2">
      <c r="H937" s="6"/>
    </row>
    <row r="938" spans="8:8" x14ac:dyDescent="0.2">
      <c r="H938" s="6"/>
    </row>
    <row r="939" spans="8:8" x14ac:dyDescent="0.2">
      <c r="H939" s="6"/>
    </row>
    <row r="940" spans="8:8" x14ac:dyDescent="0.2">
      <c r="H940" s="6"/>
    </row>
    <row r="941" spans="8:8" x14ac:dyDescent="0.2">
      <c r="H941" s="6"/>
    </row>
    <row r="942" spans="8:8" x14ac:dyDescent="0.2">
      <c r="H942" s="6"/>
    </row>
    <row r="943" spans="8:8" x14ac:dyDescent="0.2">
      <c r="H943" s="6"/>
    </row>
    <row r="944" spans="8:8" x14ac:dyDescent="0.2">
      <c r="H944" s="6"/>
    </row>
    <row r="945" spans="8:8" x14ac:dyDescent="0.2">
      <c r="H945" s="6"/>
    </row>
    <row r="946" spans="8:8" x14ac:dyDescent="0.2">
      <c r="H946" s="6"/>
    </row>
    <row r="947" spans="8:8" x14ac:dyDescent="0.2">
      <c r="H947" s="6"/>
    </row>
    <row r="948" spans="8:8" x14ac:dyDescent="0.2">
      <c r="H948" s="6"/>
    </row>
    <row r="949" spans="8:8" x14ac:dyDescent="0.2">
      <c r="H949" s="6"/>
    </row>
    <row r="950" spans="8:8" x14ac:dyDescent="0.2">
      <c r="H950" s="6"/>
    </row>
    <row r="951" spans="8:8" x14ac:dyDescent="0.2">
      <c r="H951" s="6"/>
    </row>
    <row r="952" spans="8:8" x14ac:dyDescent="0.2">
      <c r="H952" s="6"/>
    </row>
    <row r="953" spans="8:8" x14ac:dyDescent="0.2">
      <c r="H953" s="6"/>
    </row>
    <row r="954" spans="8:8" x14ac:dyDescent="0.2">
      <c r="H954" s="6"/>
    </row>
    <row r="955" spans="8:8" x14ac:dyDescent="0.2">
      <c r="H955" s="6"/>
    </row>
    <row r="956" spans="8:8" x14ac:dyDescent="0.2">
      <c r="H956" s="6"/>
    </row>
    <row r="957" spans="8:8" x14ac:dyDescent="0.2">
      <c r="H957" s="6"/>
    </row>
    <row r="958" spans="8:8" x14ac:dyDescent="0.2">
      <c r="H958" s="6"/>
    </row>
    <row r="959" spans="8:8" x14ac:dyDescent="0.2">
      <c r="H959" s="6"/>
    </row>
    <row r="960" spans="8:8" x14ac:dyDescent="0.2">
      <c r="H960" s="6"/>
    </row>
    <row r="961" spans="8:8" x14ac:dyDescent="0.2">
      <c r="H961" s="6"/>
    </row>
    <row r="962" spans="8:8" x14ac:dyDescent="0.2">
      <c r="H962" s="6"/>
    </row>
    <row r="963" spans="8:8" x14ac:dyDescent="0.2">
      <c r="H963" s="6"/>
    </row>
    <row r="964" spans="8:8" x14ac:dyDescent="0.2">
      <c r="H964" s="6"/>
    </row>
    <row r="965" spans="8:8" x14ac:dyDescent="0.2">
      <c r="H965" s="6"/>
    </row>
    <row r="966" spans="8:8" x14ac:dyDescent="0.2">
      <c r="H966" s="6"/>
    </row>
    <row r="967" spans="8:8" x14ac:dyDescent="0.2">
      <c r="H967" s="6"/>
    </row>
    <row r="968" spans="8:8" x14ac:dyDescent="0.2">
      <c r="H968" s="6"/>
    </row>
    <row r="969" spans="8:8" x14ac:dyDescent="0.2">
      <c r="H969" s="6"/>
    </row>
    <row r="970" spans="8:8" x14ac:dyDescent="0.2">
      <c r="H970" s="6"/>
    </row>
    <row r="971" spans="8:8" x14ac:dyDescent="0.2">
      <c r="H971" s="6"/>
    </row>
    <row r="972" spans="8:8" x14ac:dyDescent="0.2">
      <c r="H972" s="6"/>
    </row>
    <row r="973" spans="8:8" x14ac:dyDescent="0.2">
      <c r="H973" s="6"/>
    </row>
    <row r="974" spans="8:8" x14ac:dyDescent="0.2">
      <c r="H974" s="6"/>
    </row>
    <row r="975" spans="8:8" x14ac:dyDescent="0.2">
      <c r="H975" s="6"/>
    </row>
    <row r="976" spans="8:8" x14ac:dyDescent="0.2">
      <c r="H976" s="6"/>
    </row>
    <row r="977" spans="8:8" x14ac:dyDescent="0.2">
      <c r="H977" s="6"/>
    </row>
    <row r="978" spans="8:8" x14ac:dyDescent="0.2">
      <c r="H978" s="6"/>
    </row>
    <row r="979" spans="8:8" x14ac:dyDescent="0.2">
      <c r="H979" s="6"/>
    </row>
    <row r="980" spans="8:8" x14ac:dyDescent="0.2">
      <c r="H980" s="6"/>
    </row>
    <row r="981" spans="8:8" x14ac:dyDescent="0.2">
      <c r="H981" s="6"/>
    </row>
    <row r="982" spans="8:8" x14ac:dyDescent="0.2">
      <c r="H982" s="6"/>
    </row>
    <row r="983" spans="8:8" x14ac:dyDescent="0.2">
      <c r="H983" s="6"/>
    </row>
    <row r="984" spans="8:8" x14ac:dyDescent="0.2">
      <c r="H984" s="6"/>
    </row>
    <row r="985" spans="8:8" x14ac:dyDescent="0.2">
      <c r="H985" s="6"/>
    </row>
    <row r="986" spans="8:8" x14ac:dyDescent="0.2">
      <c r="H986" s="6"/>
    </row>
    <row r="987" spans="8:8" x14ac:dyDescent="0.2">
      <c r="H987" s="6"/>
    </row>
    <row r="988" spans="8:8" x14ac:dyDescent="0.2">
      <c r="H988" s="6"/>
    </row>
    <row r="989" spans="8:8" x14ac:dyDescent="0.2">
      <c r="H989" s="6"/>
    </row>
    <row r="990" spans="8:8" x14ac:dyDescent="0.2">
      <c r="H990" s="6"/>
    </row>
    <row r="991" spans="8:8" x14ac:dyDescent="0.2">
      <c r="H991" s="6"/>
    </row>
    <row r="992" spans="8:8" x14ac:dyDescent="0.2">
      <c r="H992" s="6"/>
    </row>
    <row r="993" spans="8:8" x14ac:dyDescent="0.2">
      <c r="H993" s="6"/>
    </row>
    <row r="994" spans="8:8" x14ac:dyDescent="0.2">
      <c r="H994" s="6"/>
    </row>
    <row r="995" spans="8:8" x14ac:dyDescent="0.2">
      <c r="H995" s="6"/>
    </row>
    <row r="996" spans="8:8" x14ac:dyDescent="0.2">
      <c r="H996" s="6"/>
    </row>
    <row r="997" spans="8:8" x14ac:dyDescent="0.2">
      <c r="H997" s="6"/>
    </row>
    <row r="998" spans="8:8" x14ac:dyDescent="0.2">
      <c r="H998" s="6"/>
    </row>
    <row r="999" spans="8:8" x14ac:dyDescent="0.2">
      <c r="H999" s="6"/>
    </row>
    <row r="1000" spans="8:8" x14ac:dyDescent="0.2">
      <c r="H1000" s="6"/>
    </row>
  </sheetData>
  <autoFilter ref="A1:Z34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TeamEff</vt:lpstr>
      <vt:lpstr>TeamDef</vt:lpstr>
      <vt:lpstr>QB</vt:lpstr>
      <vt:lpstr>RB</vt:lpstr>
      <vt:lpstr>WR</vt:lpstr>
      <vt:lpstr>TE</vt:lpstr>
      <vt:lpstr>OffDrive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Greg Kenyon</cp:lastModifiedBy>
  <dcterms:modified xsi:type="dcterms:W3CDTF">2019-09-13T20:35:05Z</dcterms:modified>
</cp:coreProperties>
</file>