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Dersler\EE564 Machine Design\Project 1\"/>
    </mc:Choice>
  </mc:AlternateContent>
  <bookViews>
    <workbookView xWindow="120" yWindow="45" windowWidth="20400" windowHeight="7995"/>
  </bookViews>
  <sheets>
    <sheet name="Sayfa1" sheetId="1" r:id="rId1"/>
    <sheet name="Sayfa2" sheetId="2" state="hidden" r:id="rId2"/>
  </sheets>
  <externalReferences>
    <externalReference r:id="rId3"/>
  </externalReferences>
  <definedNames>
    <definedName name="_imp2">Sayfa1!$C$36</definedName>
    <definedName name="_ims2">Sayfa1!$C$28</definedName>
    <definedName name="_ipp1">Sayfa1!$C$108</definedName>
    <definedName name="_ta1">Sayfa1!$C$21</definedName>
    <definedName name="_ta2">Sayfa1!$C$107</definedName>
    <definedName name="_taa1">Sayfa1!$C$22</definedName>
    <definedName name="_va1">Sayfa1!$C$116</definedName>
    <definedName name="C_f1">'[1]Standard R and C Look Up Table'!$K$17</definedName>
    <definedName name="C_f2">'[1]Standard R and C Look Up Table'!$K$24</definedName>
    <definedName name="c_s1">'[1]Standard R and C Look Up Table'!$J$6</definedName>
    <definedName name="C_s2">'[1]Standard R and C Look Up Table'!$J$19</definedName>
    <definedName name="constant">Sayfa1!$C$128</definedName>
    <definedName name="cossqaavg">Sayfa1!$C$52</definedName>
    <definedName name="cossqeavg">Sayfa1!$C$86</definedName>
    <definedName name="cout">Sayfa1!$C$76</definedName>
    <definedName name="d2a">Sayfa1!$C$131</definedName>
    <definedName name="dclamp">Sayfa1!$C$98</definedName>
    <definedName name="dcrlout">Sayfa1!$C$65</definedName>
    <definedName name="dcrp">Sayfa1!$C$41</definedName>
    <definedName name="dcrs">Sayfa1!$C$42</definedName>
    <definedName name="dilmag">Sayfa1!$C$33</definedName>
    <definedName name="dilout">Sayfa1!$C$24</definedName>
    <definedName name="dmax">Sayfa1!$C$20</definedName>
    <definedName name="dtyp">Sayfa1!$C$23</definedName>
    <definedName name="E48_f">'[1]Standard R and C Look Up Table'!$F$95</definedName>
    <definedName name="E48_s">'[1]Standard R and C Look Up Table'!$E$48</definedName>
    <definedName name="Eff">Sayfa1!$B$10</definedName>
    <definedName name="esrcout">Sayfa1!$C$77</definedName>
    <definedName name="fc">Sayfa1!$C$126</definedName>
    <definedName name="fpp">Sayfa1!$C$125</definedName>
    <definedName name="fs">Sayfa1!$C$12</definedName>
    <definedName name="iloutrms">Sayfa1!$C$63</definedName>
    <definedName name="imp">Sayfa1!$C$35</definedName>
    <definedName name="ims">Sayfa1!$C$27</definedName>
    <definedName name="ipp">Sayfa1!$C$34</definedName>
    <definedName name="iprms">Sayfa1!$C$39</definedName>
    <definedName name="iprms1">Sayfa1!$C$37</definedName>
    <definedName name="iprms2">Sayfa1!$C$38</definedName>
    <definedName name="ips">Sayfa1!$C$26</definedName>
    <definedName name="isrms">Sayfa1!$C$32</definedName>
    <definedName name="isrms1">Sayfa1!$C$29</definedName>
    <definedName name="isrms2">Sayfa1!$C$30</definedName>
    <definedName name="isrms3">Sayfa1!$C$31</definedName>
    <definedName name="llk">Sayfa1!$C$43</definedName>
    <definedName name="lmag">Sayfa1!$C$25</definedName>
    <definedName name="lmag2">Sayfa1!$C$40</definedName>
    <definedName name="lout">Sayfa1!$C$64</definedName>
    <definedName name="ls">Sayfa1!$C$57</definedName>
    <definedName name="n1divd1">Sayfa1!$C$130</definedName>
    <definedName name="pbudget">Sayfa1!$C$16</definedName>
    <definedName name="pout">Sayfa1!$D$9</definedName>
    <definedName name="QAg">Sayfa1!$C$50</definedName>
    <definedName name="qeg">Sayfa1!$C$82</definedName>
    <definedName name="rdsonqa">Sayfa1!$C$48</definedName>
    <definedName name="rdsonqe">Sayfa1!$C$83</definedName>
    <definedName name="rf">Sayfa1!$C$137</definedName>
    <definedName name="RII">Sayfa1!$C$124</definedName>
    <definedName name="rload">Sayfa1!$C$127</definedName>
    <definedName name="RS">Sayfa1!$C$111</definedName>
    <definedName name="thu">Sayfa1!$C$69</definedName>
    <definedName name="tr">Sayfa1!$C$91</definedName>
    <definedName name="vdsqe">Sayfa1!$C$81</definedName>
    <definedName name="vg">Sayfa1!$C$47</definedName>
    <definedName name="VINMAX">Sayfa1!$D$6</definedName>
    <definedName name="VINMIN">Sayfa1!$B$6</definedName>
    <definedName name="vin">Sayfa1!$C$6</definedName>
    <definedName name="VOUT">Sayfa1!$C$7</definedName>
    <definedName name="vrdson">Sayfa1!$C$17</definedName>
    <definedName name="VTRAN">Sayfa1!$D$8</definedName>
  </definedNames>
  <calcPr calcId="162913"/>
</workbook>
</file>

<file path=xl/calcChain.xml><?xml version="1.0" encoding="utf-8"?>
<calcChain xmlns="http://schemas.openxmlformats.org/spreadsheetml/2006/main">
  <c r="I5" i="1" l="1"/>
  <c r="I8" i="1" s="1"/>
  <c r="I9" i="1" s="1"/>
  <c r="I7" i="1" l="1"/>
  <c r="N17" i="1" s="1"/>
  <c r="N18" i="1" s="1"/>
  <c r="I6" i="1"/>
  <c r="N19" i="1" l="1"/>
  <c r="I11" i="1"/>
  <c r="I10" i="1"/>
  <c r="I12" i="1" s="1"/>
  <c r="I13" i="1" s="1"/>
  <c r="I17" i="1" l="1"/>
  <c r="I18" i="1" s="1"/>
  <c r="I19" i="1"/>
  <c r="N15" i="1"/>
  <c r="I22" i="1" l="1"/>
  <c r="I23" i="1" s="1"/>
  <c r="N10" i="1" s="1"/>
  <c r="I14" i="1"/>
  <c r="N6" i="1"/>
  <c r="N8" i="1" s="1"/>
  <c r="N5" i="1"/>
  <c r="N7" i="1" s="1"/>
  <c r="I20" i="1"/>
  <c r="I21" i="1" s="1"/>
  <c r="N16" i="1"/>
  <c r="N22" i="1" l="1"/>
  <c r="N9" i="1"/>
  <c r="N11" i="1"/>
  <c r="N12" i="1" s="1"/>
  <c r="I24" i="1"/>
  <c r="N23" i="1"/>
  <c r="N24" i="1" s="1"/>
</calcChain>
</file>

<file path=xl/sharedStrings.xml><?xml version="1.0" encoding="utf-8"?>
<sst xmlns="http://schemas.openxmlformats.org/spreadsheetml/2006/main" count="159" uniqueCount="84">
  <si>
    <t>A</t>
  </si>
  <si>
    <t>=</t>
  </si>
  <si>
    <t>Secondary Number of Turns, Ns</t>
  </si>
  <si>
    <t>Inputs</t>
  </si>
  <si>
    <t>Primary Number of Turns, Np</t>
  </si>
  <si>
    <t>Results</t>
  </si>
  <si>
    <t>kV</t>
  </si>
  <si>
    <t>turns</t>
  </si>
  <si>
    <t>kVA</t>
  </si>
  <si>
    <t>T</t>
  </si>
  <si>
    <t xml:space="preserve">Primary Voltage </t>
  </si>
  <si>
    <t>Secondary Voltage</t>
  </si>
  <si>
    <t>Rating of Transformer</t>
  </si>
  <si>
    <t>Peak Flux Density in Core, Bmax</t>
  </si>
  <si>
    <t>Secondary Current, Is</t>
  </si>
  <si>
    <t>Primary Current, Ip</t>
  </si>
  <si>
    <t>Hz</t>
  </si>
  <si>
    <t>Operating Frequency</t>
  </si>
  <si>
    <t>Core Cross Section Area</t>
  </si>
  <si>
    <t>cm</t>
  </si>
  <si>
    <t>cm2</t>
  </si>
  <si>
    <t>Width of Core, x</t>
  </si>
  <si>
    <t>Current Density, J</t>
  </si>
  <si>
    <t>A/mm2</t>
  </si>
  <si>
    <t>mm2</t>
  </si>
  <si>
    <t>Fill Factor</t>
  </si>
  <si>
    <t>Window Area</t>
  </si>
  <si>
    <t>Core Volume</t>
  </si>
  <si>
    <t>m3</t>
  </si>
  <si>
    <t>Density of Core</t>
  </si>
  <si>
    <t>kg/m3</t>
  </si>
  <si>
    <t>Core Mass</t>
  </si>
  <si>
    <t>kg</t>
  </si>
  <si>
    <t>Core Loss</t>
  </si>
  <si>
    <t>W/kg</t>
  </si>
  <si>
    <t>Total Length of Primary Winding</t>
  </si>
  <si>
    <t>m</t>
  </si>
  <si>
    <t>Mass of Primary Winding</t>
  </si>
  <si>
    <t>Density of Copper</t>
  </si>
  <si>
    <t>Total Length of Secondary Winding</t>
  </si>
  <si>
    <t>Mass of Secondary Winding</t>
  </si>
  <si>
    <t>Total Copper Mass</t>
  </si>
  <si>
    <t>Total Mass</t>
  </si>
  <si>
    <t>Primary Winding Resistance, Rp</t>
  </si>
  <si>
    <t>Ω</t>
  </si>
  <si>
    <t>Secondary Winding Resistance, Rs</t>
  </si>
  <si>
    <t>Primary Copper Loss</t>
  </si>
  <si>
    <t>Secondary Copper Loss</t>
  </si>
  <si>
    <t>Total Loss</t>
  </si>
  <si>
    <t>Efficiency</t>
  </si>
  <si>
    <t>Power Factor</t>
  </si>
  <si>
    <t>Reluctance of Core</t>
  </si>
  <si>
    <t>Relative Permeability of Core</t>
  </si>
  <si>
    <t>Magnetizing Inductance, Lm</t>
  </si>
  <si>
    <t>H</t>
  </si>
  <si>
    <t>Current Exchange Rate</t>
  </si>
  <si>
    <r>
      <t>₺/</t>
    </r>
    <r>
      <rPr>
        <sz val="14"/>
        <color theme="1"/>
        <rFont val="Arial Tur"/>
        <charset val="162"/>
      </rPr>
      <t>$</t>
    </r>
  </si>
  <si>
    <t>Total Cost</t>
  </si>
  <si>
    <t>Core Material Cost</t>
  </si>
  <si>
    <r>
      <rPr>
        <sz val="14"/>
        <color theme="1"/>
        <rFont val="Arial Tur"/>
        <charset val="162"/>
      </rPr>
      <t>$</t>
    </r>
    <r>
      <rPr>
        <sz val="13.6"/>
        <color theme="1"/>
        <rFont val="Calibri"/>
        <family val="2"/>
        <charset val="162"/>
      </rPr>
      <t>/</t>
    </r>
    <r>
      <rPr>
        <sz val="16"/>
        <color theme="1"/>
        <rFont val="Calibri"/>
        <family val="2"/>
        <charset val="162"/>
        <scheme val="minor"/>
      </rPr>
      <t>kg</t>
    </r>
  </si>
  <si>
    <t>Copper Cost</t>
  </si>
  <si>
    <t>Core Cost</t>
  </si>
  <si>
    <t>₺</t>
  </si>
  <si>
    <t>Cost Analysis</t>
  </si>
  <si>
    <t>Inductance Calculation</t>
  </si>
  <si>
    <t>Efficiency &amp; Loss Analysis</t>
  </si>
  <si>
    <t>%</t>
  </si>
  <si>
    <t>Weight Analysis</t>
  </si>
  <si>
    <t>Dimensions</t>
  </si>
  <si>
    <t>kW</t>
  </si>
  <si>
    <t>Single Phase Transformer Design</t>
  </si>
  <si>
    <t>Maximum Ambient Temperature</t>
  </si>
  <si>
    <t>°C</t>
  </si>
  <si>
    <t>Core Material Datasheet</t>
  </si>
  <si>
    <t>Primary Wire Cross Section Area</t>
  </si>
  <si>
    <t>Secondary Wire Cross Section Area</t>
  </si>
  <si>
    <t>1/H</t>
  </si>
  <si>
    <t>Primary Base Impedance</t>
  </si>
  <si>
    <t>Primary Leakage Inductance</t>
  </si>
  <si>
    <t>Secondary Leakage Inductance</t>
  </si>
  <si>
    <t>mH</t>
  </si>
  <si>
    <t>Total Copper Loss</t>
  </si>
  <si>
    <r>
      <t>Core Inner Length, L</t>
    </r>
    <r>
      <rPr>
        <b/>
        <sz val="14"/>
        <color theme="1"/>
        <rFont val="Calibri"/>
        <family val="2"/>
        <charset val="162"/>
        <scheme val="minor"/>
      </rPr>
      <t>inner</t>
    </r>
  </si>
  <si>
    <r>
      <t>Core Outer Length, L</t>
    </r>
    <r>
      <rPr>
        <b/>
        <sz val="14"/>
        <color theme="1"/>
        <rFont val="Calibri"/>
        <family val="2"/>
        <charset val="162"/>
        <scheme val="minor"/>
      </rPr>
      <t>core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</si>
</sst>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5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20"/>
      <name val="Calibri"/>
      <family val="2"/>
      <charset val="162"/>
      <scheme val="minor"/>
    </font>
    <font>
      <sz val="13.6"/>
      <color theme="1"/>
      <name val="Calibri"/>
      <family val="2"/>
      <charset val="162"/>
    </font>
    <font>
      <sz val="14"/>
      <color theme="1"/>
      <name val="Arial Tur"/>
      <charset val="162"/>
    </font>
    <font>
      <i/>
      <sz val="16"/>
      <color theme="1"/>
      <name val="Calibri"/>
      <family val="2"/>
      <charset val="162"/>
      <scheme val="minor"/>
    </font>
    <font>
      <i/>
      <sz val="16"/>
      <name val="Calibri"/>
      <family val="2"/>
      <charset val="162"/>
      <scheme val="minor"/>
    </font>
    <font>
      <sz val="16"/>
      <color theme="1" tint="4.9989318521683403E-2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  <font>
      <sz val="16"/>
      <color theme="1"/>
      <name val="Arial Tur"/>
      <charset val="162"/>
    </font>
    <font>
      <u/>
      <sz val="11"/>
      <color theme="10"/>
      <name val="Calibri"/>
      <family val="2"/>
      <charset val="162"/>
      <scheme val="minor"/>
    </font>
    <font>
      <u/>
      <sz val="16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D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colors>
    <mruColors>
      <color rgb="FFD5D000"/>
      <color rgb="FF080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23546</xdr:rowOff>
    </xdr:from>
    <xdr:to>
      <xdr:col>5</xdr:col>
      <xdr:colOff>296546</xdr:colOff>
      <xdr:row>48</xdr:row>
      <xdr:rowOff>27099</xdr:rowOff>
    </xdr:to>
    <xdr:pic>
      <xdr:nvPicPr>
        <xdr:cNvPr id="3" name="2 Resim" descr="traf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806832"/>
          <a:ext cx="6800760" cy="54464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Machine%20Design\Week-2\UCC28950%20Excel%20Design%20Tool_SLUC222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unctional Schematic"/>
      <sheetName val="Design Information"/>
      <sheetName val="Figure of T1 Current"/>
      <sheetName val="TABSET Valley Switching"/>
      <sheetName val="TCDSET Valley Switching"/>
      <sheetName val="Voltage Loop"/>
      <sheetName val="Standard R and C Look Up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J6">
            <v>1</v>
          </cell>
        </row>
        <row r="17">
          <cell r="K17">
            <v>10</v>
          </cell>
        </row>
        <row r="19">
          <cell r="J19">
            <v>1</v>
          </cell>
        </row>
        <row r="24">
          <cell r="K24">
            <v>10</v>
          </cell>
        </row>
        <row r="48">
          <cell r="E48">
            <v>100</v>
          </cell>
        </row>
        <row r="95">
          <cell r="F95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rso.uclouvain.be/ernest.matagne/ELEC2311/T2006/NOF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D3" zoomScale="115" zoomScaleNormal="115" workbookViewId="0">
      <selection activeCell="F6" sqref="F6"/>
    </sheetView>
  </sheetViews>
  <sheetFormatPr defaultRowHeight="21" x14ac:dyDescent="0.25"/>
  <cols>
    <col min="1" max="1" width="57" style="1" bestFit="1" customWidth="1"/>
    <col min="2" max="2" width="9.140625" style="1"/>
    <col min="3" max="3" width="11.7109375" style="1" customWidth="1"/>
    <col min="4" max="4" width="10.5703125" style="1" bestFit="1" customWidth="1"/>
    <col min="5" max="6" width="9.140625" style="1"/>
    <col min="7" max="7" width="52.85546875" style="1" bestFit="1" customWidth="1"/>
    <col min="8" max="8" width="9.140625" style="1"/>
    <col min="9" max="9" width="19.140625" style="1" bestFit="1" customWidth="1"/>
    <col min="10" max="11" width="9.140625" style="1"/>
    <col min="12" max="12" width="52.28515625" style="1" bestFit="1" customWidth="1"/>
    <col min="13" max="13" width="9" style="1" customWidth="1"/>
    <col min="14" max="14" width="16.140625" style="1" bestFit="1" customWidth="1"/>
    <col min="15" max="15" width="9.140625" style="1"/>
    <col min="16" max="16" width="9" style="1" customWidth="1"/>
    <col min="17" max="16384" width="9.140625" style="1"/>
  </cols>
  <sheetData>
    <row r="1" spans="1:17" ht="26.25" customHeight="1" x14ac:dyDescent="0.25">
      <c r="A1" s="23" t="s">
        <v>70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7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5"/>
      <c r="Q2" s="5"/>
    </row>
    <row r="3" spans="1:17" ht="28.5" x14ac:dyDescent="0.25">
      <c r="A3" s="25" t="s">
        <v>3</v>
      </c>
      <c r="B3" s="26"/>
      <c r="C3" s="26"/>
      <c r="D3" s="27"/>
      <c r="F3" s="5"/>
      <c r="G3" s="32" t="s">
        <v>5</v>
      </c>
      <c r="H3" s="32"/>
      <c r="I3" s="32"/>
      <c r="J3" s="32"/>
      <c r="K3" s="32"/>
      <c r="L3" s="32"/>
      <c r="M3" s="32"/>
      <c r="N3" s="32"/>
      <c r="O3" s="32"/>
      <c r="P3" s="10"/>
      <c r="Q3" s="8"/>
    </row>
    <row r="4" spans="1:17" x14ac:dyDescent="0.25">
      <c r="A4" s="34" t="s">
        <v>10</v>
      </c>
      <c r="B4" s="16" t="s">
        <v>1</v>
      </c>
      <c r="C4" s="15">
        <v>34.5</v>
      </c>
      <c r="D4" s="15" t="s">
        <v>6</v>
      </c>
      <c r="F4" s="5"/>
      <c r="G4" s="28" t="s">
        <v>68</v>
      </c>
      <c r="H4" s="28"/>
      <c r="I4" s="28"/>
      <c r="J4" s="28"/>
      <c r="K4" s="6"/>
      <c r="L4" s="29" t="s">
        <v>65</v>
      </c>
      <c r="M4" s="29"/>
      <c r="N4" s="29"/>
      <c r="O4" s="30"/>
      <c r="P4" s="9"/>
      <c r="Q4" s="8"/>
    </row>
    <row r="5" spans="1:17" x14ac:dyDescent="0.25">
      <c r="A5" s="34" t="s">
        <v>11</v>
      </c>
      <c r="B5" s="16" t="s">
        <v>1</v>
      </c>
      <c r="C5" s="15">
        <v>25</v>
      </c>
      <c r="D5" s="15" t="s">
        <v>6</v>
      </c>
      <c r="F5" s="5"/>
      <c r="G5" s="35" t="s">
        <v>4</v>
      </c>
      <c r="H5" s="3" t="s">
        <v>1</v>
      </c>
      <c r="I5" s="2">
        <f>ROUND(vin*C4/C5,0)</f>
        <v>1490</v>
      </c>
      <c r="J5" s="2" t="s">
        <v>7</v>
      </c>
      <c r="K5" s="6"/>
      <c r="L5" s="35" t="s">
        <v>43</v>
      </c>
      <c r="M5" s="3" t="s">
        <v>1</v>
      </c>
      <c r="N5" s="11">
        <f>0.000000017*I17/(I10/1000000)*(1+0.004041*(C11-20))</f>
        <v>6.7654699040326722</v>
      </c>
      <c r="O5" s="4" t="s">
        <v>44</v>
      </c>
      <c r="P5" s="5"/>
    </row>
    <row r="6" spans="1:17" x14ac:dyDescent="0.25">
      <c r="A6" s="34" t="s">
        <v>2</v>
      </c>
      <c r="B6" s="16" t="s">
        <v>1</v>
      </c>
      <c r="C6" s="15">
        <v>1080</v>
      </c>
      <c r="D6" s="15" t="s">
        <v>7</v>
      </c>
      <c r="F6" s="5"/>
      <c r="G6" s="35" t="s">
        <v>14</v>
      </c>
      <c r="H6" s="3" t="s">
        <v>1</v>
      </c>
      <c r="I6" s="2">
        <f>VOUT/(C5)</f>
        <v>20</v>
      </c>
      <c r="J6" s="2" t="s">
        <v>0</v>
      </c>
      <c r="K6" s="6"/>
      <c r="L6" s="35" t="s">
        <v>45</v>
      </c>
      <c r="M6" s="3" t="s">
        <v>1</v>
      </c>
      <c r="N6" s="11">
        <f>0.000000017*I19/(I11/1000000)*(1+0.004041*(C11-20))</f>
        <v>3.626020803361901</v>
      </c>
      <c r="O6" s="4" t="s">
        <v>44</v>
      </c>
      <c r="P6" s="5"/>
    </row>
    <row r="7" spans="1:17" x14ac:dyDescent="0.25">
      <c r="A7" s="34" t="s">
        <v>12</v>
      </c>
      <c r="B7" s="16" t="s">
        <v>1</v>
      </c>
      <c r="C7" s="15">
        <v>500</v>
      </c>
      <c r="D7" s="15" t="s">
        <v>8</v>
      </c>
      <c r="F7" s="5"/>
      <c r="G7" s="35" t="s">
        <v>15</v>
      </c>
      <c r="H7" s="3" t="s">
        <v>1</v>
      </c>
      <c r="I7" s="11">
        <f>VOUT/C4/0.98</f>
        <v>14.788524105294293</v>
      </c>
      <c r="J7" s="2" t="s">
        <v>0</v>
      </c>
      <c r="K7" s="6"/>
      <c r="L7" s="35" t="s">
        <v>46</v>
      </c>
      <c r="M7" s="3" t="s">
        <v>1</v>
      </c>
      <c r="N7" s="11">
        <f>I7^2*N5/1000</f>
        <v>1.4796112800862209</v>
      </c>
      <c r="O7" s="2" t="s">
        <v>69</v>
      </c>
      <c r="P7" s="5"/>
    </row>
    <row r="8" spans="1:17" x14ac:dyDescent="0.25">
      <c r="A8" s="34" t="s">
        <v>13</v>
      </c>
      <c r="B8" s="16" t="s">
        <v>1</v>
      </c>
      <c r="C8" s="15">
        <v>1.5</v>
      </c>
      <c r="D8" s="15" t="s">
        <v>9</v>
      </c>
      <c r="F8" s="5"/>
      <c r="G8" s="35" t="s">
        <v>18</v>
      </c>
      <c r="H8" s="3" t="s">
        <v>1</v>
      </c>
      <c r="I8" s="14">
        <f>C4*1000/4.44/I5/C9/C8*10000</f>
        <v>695.32619868190329</v>
      </c>
      <c r="J8" s="2" t="s">
        <v>20</v>
      </c>
      <c r="K8" s="6"/>
      <c r="L8" s="35" t="s">
        <v>47</v>
      </c>
      <c r="M8" s="3" t="s">
        <v>1</v>
      </c>
      <c r="N8" s="11">
        <f>I6^2*N6/1000</f>
        <v>1.4504083213447605</v>
      </c>
      <c r="O8" s="2" t="s">
        <v>69</v>
      </c>
      <c r="P8" s="5"/>
    </row>
    <row r="9" spans="1:17" x14ac:dyDescent="0.25">
      <c r="A9" s="34" t="s">
        <v>17</v>
      </c>
      <c r="B9" s="16" t="s">
        <v>1</v>
      </c>
      <c r="C9" s="15">
        <v>50</v>
      </c>
      <c r="D9" s="15" t="s">
        <v>16</v>
      </c>
      <c r="F9" s="5"/>
      <c r="G9" s="35" t="s">
        <v>21</v>
      </c>
      <c r="H9" s="3" t="s">
        <v>1</v>
      </c>
      <c r="I9" s="11">
        <f>SQRT(I8)</f>
        <v>26.369038637802163</v>
      </c>
      <c r="J9" s="2" t="s">
        <v>19</v>
      </c>
      <c r="K9" s="6"/>
      <c r="L9" s="35" t="s">
        <v>81</v>
      </c>
      <c r="M9" s="3" t="s">
        <v>1</v>
      </c>
      <c r="N9" s="11">
        <f>N8+N7</f>
        <v>2.9300196014309812</v>
      </c>
      <c r="O9" s="2" t="s">
        <v>69</v>
      </c>
      <c r="P9" s="5"/>
    </row>
    <row r="10" spans="1:17" x14ac:dyDescent="0.25">
      <c r="A10" s="34" t="s">
        <v>22</v>
      </c>
      <c r="B10" s="16" t="s">
        <v>1</v>
      </c>
      <c r="C10" s="15">
        <v>3</v>
      </c>
      <c r="D10" s="15" t="s">
        <v>23</v>
      </c>
      <c r="F10" s="5"/>
      <c r="G10" s="35" t="s">
        <v>74</v>
      </c>
      <c r="H10" s="3" t="s">
        <v>1</v>
      </c>
      <c r="I10" s="11">
        <f>I7/C10</f>
        <v>4.929508035098098</v>
      </c>
      <c r="J10" s="2" t="s">
        <v>24</v>
      </c>
      <c r="K10" s="6"/>
      <c r="L10" s="35" t="s">
        <v>33</v>
      </c>
      <c r="M10" s="3" t="s">
        <v>1</v>
      </c>
      <c r="N10" s="11">
        <f>C15*I23/1000</f>
        <v>2.6974194722174034</v>
      </c>
      <c r="O10" s="2" t="s">
        <v>69</v>
      </c>
      <c r="P10" s="5"/>
    </row>
    <row r="11" spans="1:17" x14ac:dyDescent="0.25">
      <c r="A11" s="34" t="s">
        <v>71</v>
      </c>
      <c r="B11" s="16" t="s">
        <v>1</v>
      </c>
      <c r="C11" s="15">
        <v>50</v>
      </c>
      <c r="D11" s="17" t="s">
        <v>72</v>
      </c>
      <c r="F11" s="5"/>
      <c r="G11" s="35" t="s">
        <v>75</v>
      </c>
      <c r="H11" s="3" t="s">
        <v>1</v>
      </c>
      <c r="I11" s="14">
        <f>I6/C10</f>
        <v>6.666666666666667</v>
      </c>
      <c r="J11" s="2" t="s">
        <v>24</v>
      </c>
      <c r="K11" s="6"/>
      <c r="L11" s="35" t="s">
        <v>48</v>
      </c>
      <c r="M11" s="3" t="s">
        <v>1</v>
      </c>
      <c r="N11" s="11">
        <f>(N8+N7+N10)</f>
        <v>5.6274390736483841</v>
      </c>
      <c r="O11" s="2" t="s">
        <v>69</v>
      </c>
      <c r="P11" s="5"/>
    </row>
    <row r="12" spans="1:17" x14ac:dyDescent="0.25">
      <c r="A12" s="34" t="s">
        <v>25</v>
      </c>
      <c r="B12" s="16" t="s">
        <v>1</v>
      </c>
      <c r="C12" s="15">
        <v>0.3</v>
      </c>
      <c r="D12" s="16"/>
      <c r="F12" s="5"/>
      <c r="G12" s="35" t="s">
        <v>26</v>
      </c>
      <c r="H12" s="3" t="s">
        <v>1</v>
      </c>
      <c r="I12" s="14">
        <f>(I5*I10+vin*I11)/fs/100</f>
        <v>484.83223240987223</v>
      </c>
      <c r="J12" s="2" t="s">
        <v>20</v>
      </c>
      <c r="K12" s="6"/>
      <c r="L12" s="35" t="s">
        <v>49</v>
      </c>
      <c r="M12" s="3" t="s">
        <v>1</v>
      </c>
      <c r="N12" s="13">
        <f>100*(VOUT*1000*pbudget)/(VOUT*1000*pbudget+N11*1000)</f>
        <v>98.887038432099672</v>
      </c>
      <c r="O12" s="2" t="s">
        <v>66</v>
      </c>
      <c r="P12" s="5"/>
    </row>
    <row r="13" spans="1:17" x14ac:dyDescent="0.25">
      <c r="A13" s="34" t="s">
        <v>29</v>
      </c>
      <c r="B13" s="16" t="s">
        <v>1</v>
      </c>
      <c r="C13" s="15">
        <v>7650</v>
      </c>
      <c r="D13" s="15" t="s">
        <v>30</v>
      </c>
      <c r="F13" s="5"/>
      <c r="G13" s="35" t="s">
        <v>82</v>
      </c>
      <c r="H13" s="3" t="s">
        <v>1</v>
      </c>
      <c r="I13" s="11">
        <f>SQRT(I12)</f>
        <v>22.018906249173057</v>
      </c>
      <c r="J13" s="2" t="s">
        <v>19</v>
      </c>
      <c r="K13" s="6"/>
      <c r="L13" s="6"/>
      <c r="M13" s="6"/>
      <c r="N13" s="6"/>
      <c r="O13" s="6"/>
      <c r="P13" s="5"/>
    </row>
    <row r="14" spans="1:17" x14ac:dyDescent="0.25">
      <c r="A14" s="34" t="s">
        <v>38</v>
      </c>
      <c r="B14" s="16" t="s">
        <v>1</v>
      </c>
      <c r="C14" s="15">
        <v>8960</v>
      </c>
      <c r="D14" s="15" t="s">
        <v>30</v>
      </c>
      <c r="F14" s="5"/>
      <c r="G14" s="35" t="s">
        <v>83</v>
      </c>
      <c r="H14" s="3" t="s">
        <v>1</v>
      </c>
      <c r="I14" s="11">
        <f>I13+2*I9</f>
        <v>74.756983524777382</v>
      </c>
      <c r="J14" s="2" t="s">
        <v>19</v>
      </c>
      <c r="K14" s="6"/>
      <c r="L14" s="31" t="s">
        <v>64</v>
      </c>
      <c r="M14" s="31"/>
      <c r="N14" s="31"/>
      <c r="O14" s="31"/>
      <c r="P14" s="5"/>
    </row>
    <row r="15" spans="1:17" x14ac:dyDescent="0.25">
      <c r="A15" s="34" t="s">
        <v>33</v>
      </c>
      <c r="B15" s="16" t="s">
        <v>1</v>
      </c>
      <c r="C15" s="15">
        <v>2.62</v>
      </c>
      <c r="D15" s="15" t="s">
        <v>34</v>
      </c>
      <c r="F15" s="5"/>
      <c r="G15" s="6"/>
      <c r="H15" s="18"/>
      <c r="I15" s="19"/>
      <c r="J15" s="6"/>
      <c r="K15" s="7"/>
      <c r="L15" s="35" t="s">
        <v>51</v>
      </c>
      <c r="M15" s="3" t="s">
        <v>1</v>
      </c>
      <c r="N15" s="14">
        <f>0.04*(I9+I13)/(vrdson*PI()*0.0000004*I8/10000)</f>
        <v>26688.28207197761</v>
      </c>
      <c r="O15" s="2" t="s">
        <v>76</v>
      </c>
      <c r="P15" s="5"/>
    </row>
    <row r="16" spans="1:17" x14ac:dyDescent="0.25">
      <c r="A16" s="34" t="s">
        <v>50</v>
      </c>
      <c r="B16" s="16" t="s">
        <v>1</v>
      </c>
      <c r="C16" s="15">
        <v>1</v>
      </c>
      <c r="D16" s="16"/>
      <c r="F16" s="5"/>
      <c r="G16" s="31" t="s">
        <v>67</v>
      </c>
      <c r="H16" s="31"/>
      <c r="I16" s="31"/>
      <c r="J16" s="31"/>
      <c r="K16" s="6"/>
      <c r="L16" s="35" t="s">
        <v>53</v>
      </c>
      <c r="M16" s="3" t="s">
        <v>1</v>
      </c>
      <c r="N16" s="11">
        <f>I5^2/N15</f>
        <v>83.186321023303321</v>
      </c>
      <c r="O16" s="2" t="s">
        <v>54</v>
      </c>
      <c r="P16" s="5"/>
    </row>
    <row r="17" spans="1:17" x14ac:dyDescent="0.25">
      <c r="A17" s="34" t="s">
        <v>52</v>
      </c>
      <c r="B17" s="16" t="s">
        <v>1</v>
      </c>
      <c r="C17" s="15">
        <v>830</v>
      </c>
      <c r="D17" s="16"/>
      <c r="F17" s="5"/>
      <c r="G17" s="35" t="s">
        <v>35</v>
      </c>
      <c r="H17" s="3" t="s">
        <v>1</v>
      </c>
      <c r="I17" s="14">
        <f>PI()*(I9+I13/2)*I5/100</f>
        <v>1749.6771273325048</v>
      </c>
      <c r="J17" s="2" t="s">
        <v>36</v>
      </c>
      <c r="K17" s="6"/>
      <c r="L17" s="35" t="s">
        <v>77</v>
      </c>
      <c r="M17" s="3" t="s">
        <v>1</v>
      </c>
      <c r="N17" s="14">
        <f>C4*1000/I7</f>
        <v>2332.89</v>
      </c>
      <c r="O17" s="4" t="s">
        <v>44</v>
      </c>
      <c r="P17" s="5"/>
    </row>
    <row r="18" spans="1:17" x14ac:dyDescent="0.25">
      <c r="A18" s="34" t="s">
        <v>60</v>
      </c>
      <c r="B18" s="16" t="s">
        <v>1</v>
      </c>
      <c r="C18" s="15">
        <v>10</v>
      </c>
      <c r="D18" s="15" t="s">
        <v>59</v>
      </c>
      <c r="F18" s="5"/>
      <c r="G18" s="35" t="s">
        <v>37</v>
      </c>
      <c r="H18" s="3" t="s">
        <v>1</v>
      </c>
      <c r="I18" s="14">
        <f>C14*I17*I10/1000000</f>
        <v>77.280425223795945</v>
      </c>
      <c r="J18" s="2" t="s">
        <v>32</v>
      </c>
      <c r="K18" s="6"/>
      <c r="L18" s="35" t="s">
        <v>78</v>
      </c>
      <c r="M18" s="3" t="s">
        <v>1</v>
      </c>
      <c r="N18" s="11">
        <f>N17*0.02/2/PI()/C9*1000</f>
        <v>148.5163900758607</v>
      </c>
      <c r="O18" s="4" t="s">
        <v>80</v>
      </c>
      <c r="P18" s="5"/>
    </row>
    <row r="19" spans="1:17" x14ac:dyDescent="0.25">
      <c r="A19" s="34" t="s">
        <v>58</v>
      </c>
      <c r="B19" s="16" t="s">
        <v>1</v>
      </c>
      <c r="C19" s="15">
        <v>3</v>
      </c>
      <c r="D19" s="15" t="s">
        <v>59</v>
      </c>
      <c r="F19" s="5"/>
      <c r="G19" s="35" t="s">
        <v>39</v>
      </c>
      <c r="H19" s="3" t="s">
        <v>1</v>
      </c>
      <c r="I19" s="14">
        <f>PI()*(I9+I13/2)*vin/100</f>
        <v>1268.2223473282586</v>
      </c>
      <c r="J19" s="2" t="s">
        <v>36</v>
      </c>
      <c r="K19" s="6"/>
      <c r="L19" s="35" t="s">
        <v>79</v>
      </c>
      <c r="M19" s="3" t="s">
        <v>1</v>
      </c>
      <c r="N19" s="11">
        <f>N18*vin^2/I5^2</f>
        <v>78.027799371417473</v>
      </c>
      <c r="O19" s="4" t="s">
        <v>80</v>
      </c>
      <c r="P19" s="5"/>
    </row>
    <row r="20" spans="1:17" x14ac:dyDescent="0.25">
      <c r="A20" s="34" t="s">
        <v>55</v>
      </c>
      <c r="B20" s="16" t="s">
        <v>1</v>
      </c>
      <c r="C20" s="15">
        <v>3.9</v>
      </c>
      <c r="D20" s="15" t="s">
        <v>56</v>
      </c>
      <c r="F20" s="5"/>
      <c r="G20" s="35" t="s">
        <v>40</v>
      </c>
      <c r="H20" s="3" t="s">
        <v>1</v>
      </c>
      <c r="I20" s="14">
        <f>C14*I19*I11/1000000</f>
        <v>75.755148213741322</v>
      </c>
      <c r="J20" s="2" t="s">
        <v>32</v>
      </c>
      <c r="K20" s="7"/>
      <c r="L20" s="6"/>
      <c r="M20" s="6"/>
      <c r="N20" s="6"/>
      <c r="O20" s="6"/>
      <c r="P20" s="5"/>
    </row>
    <row r="21" spans="1:17" x14ac:dyDescent="0.25">
      <c r="F21" s="5"/>
      <c r="G21" s="35" t="s">
        <v>41</v>
      </c>
      <c r="H21" s="3" t="s">
        <v>1</v>
      </c>
      <c r="I21" s="14">
        <f>I20+I18</f>
        <v>153.03557343753727</v>
      </c>
      <c r="J21" s="2" t="s">
        <v>32</v>
      </c>
      <c r="K21" s="6"/>
      <c r="L21" s="20" t="s">
        <v>63</v>
      </c>
      <c r="M21" s="21"/>
      <c r="N21" s="21"/>
      <c r="O21" s="22"/>
      <c r="P21" s="5"/>
    </row>
    <row r="22" spans="1:17" x14ac:dyDescent="0.25">
      <c r="F22" s="5"/>
      <c r="G22" s="35" t="s">
        <v>27</v>
      </c>
      <c r="H22" s="3" t="s">
        <v>1</v>
      </c>
      <c r="I22" s="13">
        <f>((I13+2*I9)^2-(I13)^2)*I9/1000000</f>
        <v>0.13458162312115968</v>
      </c>
      <c r="J22" s="2" t="s">
        <v>28</v>
      </c>
      <c r="K22" s="7"/>
      <c r="L22" s="35" t="s">
        <v>61</v>
      </c>
      <c r="M22" s="3" t="s">
        <v>1</v>
      </c>
      <c r="N22" s="12">
        <f>C19*I23*dmax</f>
        <v>12045.728177459396</v>
      </c>
      <c r="O22" s="2" t="s">
        <v>62</v>
      </c>
      <c r="P22" s="5"/>
    </row>
    <row r="23" spans="1:17" x14ac:dyDescent="0.25">
      <c r="F23" s="5"/>
      <c r="G23" s="35" t="s">
        <v>31</v>
      </c>
      <c r="H23" s="3" t="s">
        <v>1</v>
      </c>
      <c r="I23" s="14">
        <f>I22*C13</f>
        <v>1029.5494168768714</v>
      </c>
      <c r="J23" s="2" t="s">
        <v>32</v>
      </c>
      <c r="K23" s="6"/>
      <c r="L23" s="35" t="s">
        <v>60</v>
      </c>
      <c r="M23" s="3" t="s">
        <v>1</v>
      </c>
      <c r="N23" s="12">
        <f>C18*I21*dmax</f>
        <v>5968.387364063954</v>
      </c>
      <c r="O23" s="2" t="s">
        <v>62</v>
      </c>
      <c r="P23" s="5"/>
    </row>
    <row r="24" spans="1:17" x14ac:dyDescent="0.25">
      <c r="F24" s="5"/>
      <c r="G24" s="35" t="s">
        <v>42</v>
      </c>
      <c r="H24" s="3" t="s">
        <v>1</v>
      </c>
      <c r="I24" s="14">
        <f>I21+I23</f>
        <v>1182.5849903144087</v>
      </c>
      <c r="J24" s="2" t="s">
        <v>32</v>
      </c>
      <c r="K24" s="7"/>
      <c r="L24" s="35" t="s">
        <v>57</v>
      </c>
      <c r="M24" s="3" t="s">
        <v>1</v>
      </c>
      <c r="N24" s="12">
        <f>N23+N22</f>
        <v>18014.115541523352</v>
      </c>
      <c r="O24" s="2" t="s">
        <v>62</v>
      </c>
      <c r="P24" s="5"/>
      <c r="Q24" s="5"/>
    </row>
    <row r="25" spans="1:17" x14ac:dyDescent="0.25">
      <c r="G25" s="5"/>
      <c r="H25" s="5"/>
      <c r="I25" s="5"/>
      <c r="J25" s="5"/>
      <c r="L25" s="5"/>
      <c r="M25" s="5"/>
      <c r="N25" s="5"/>
      <c r="O25" s="5"/>
    </row>
    <row r="30" spans="1:17" x14ac:dyDescent="0.25">
      <c r="G30" s="33" t="s">
        <v>73</v>
      </c>
    </row>
  </sheetData>
  <sheetProtection deleteColumns="0" deleteRows="0" sort="0"/>
  <protectedRanges>
    <protectedRange sqref="C4:C20" name="Aralık1"/>
  </protectedRanges>
  <mergeCells count="8">
    <mergeCell ref="L21:O21"/>
    <mergeCell ref="A1:O2"/>
    <mergeCell ref="A3:D3"/>
    <mergeCell ref="G4:J4"/>
    <mergeCell ref="L4:O4"/>
    <mergeCell ref="L14:O14"/>
    <mergeCell ref="G16:J16"/>
    <mergeCell ref="G3:O3"/>
  </mergeCells>
  <hyperlinks>
    <hyperlink ref="G30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63</vt:i4>
      </vt:variant>
    </vt:vector>
  </HeadingPairs>
  <TitlesOfParts>
    <vt:vector size="65" baseType="lpstr">
      <vt:lpstr>Sayfa1</vt:lpstr>
      <vt:lpstr>Sayfa2</vt:lpstr>
      <vt:lpstr>_imp2</vt:lpstr>
      <vt:lpstr>_ims2</vt:lpstr>
      <vt:lpstr>_ipp1</vt:lpstr>
      <vt:lpstr>_ta1</vt:lpstr>
      <vt:lpstr>_ta2</vt:lpstr>
      <vt:lpstr>_taa1</vt:lpstr>
      <vt:lpstr>_va1</vt:lpstr>
      <vt:lpstr>constant</vt:lpstr>
      <vt:lpstr>cossqaavg</vt:lpstr>
      <vt:lpstr>cossqeavg</vt:lpstr>
      <vt:lpstr>cout</vt:lpstr>
      <vt:lpstr>d2a</vt:lpstr>
      <vt:lpstr>dclamp</vt:lpstr>
      <vt:lpstr>dcrlout</vt:lpstr>
      <vt:lpstr>dcrp</vt:lpstr>
      <vt:lpstr>dcrs</vt:lpstr>
      <vt:lpstr>dilmag</vt:lpstr>
      <vt:lpstr>dilout</vt:lpstr>
      <vt:lpstr>dmax</vt:lpstr>
      <vt:lpstr>dtyp</vt:lpstr>
      <vt:lpstr>Eff</vt:lpstr>
      <vt:lpstr>esrcout</vt:lpstr>
      <vt:lpstr>fc</vt:lpstr>
      <vt:lpstr>fpp</vt:lpstr>
      <vt:lpstr>fs</vt:lpstr>
      <vt:lpstr>iloutrms</vt:lpstr>
      <vt:lpstr>imp</vt:lpstr>
      <vt:lpstr>ims</vt:lpstr>
      <vt:lpstr>ipp</vt:lpstr>
      <vt:lpstr>iprms</vt:lpstr>
      <vt:lpstr>iprms1</vt:lpstr>
      <vt:lpstr>iprms2</vt:lpstr>
      <vt:lpstr>ips</vt:lpstr>
      <vt:lpstr>isrms</vt:lpstr>
      <vt:lpstr>isrms1</vt:lpstr>
      <vt:lpstr>isrms2</vt:lpstr>
      <vt:lpstr>isrms3</vt:lpstr>
      <vt:lpstr>llk</vt:lpstr>
      <vt:lpstr>lmag</vt:lpstr>
      <vt:lpstr>lmag2</vt:lpstr>
      <vt:lpstr>lout</vt:lpstr>
      <vt:lpstr>ls</vt:lpstr>
      <vt:lpstr>n1divd1</vt:lpstr>
      <vt:lpstr>pbudget</vt:lpstr>
      <vt:lpstr>pout</vt:lpstr>
      <vt:lpstr>QAg</vt:lpstr>
      <vt:lpstr>qeg</vt:lpstr>
      <vt:lpstr>rdsonqa</vt:lpstr>
      <vt:lpstr>rdsonqe</vt:lpstr>
      <vt:lpstr>rf</vt:lpstr>
      <vt:lpstr>RII</vt:lpstr>
      <vt:lpstr>rload</vt:lpstr>
      <vt:lpstr>RS</vt:lpstr>
      <vt:lpstr>thu</vt:lpstr>
      <vt:lpstr>tr</vt:lpstr>
      <vt:lpstr>vdsqe</vt:lpstr>
      <vt:lpstr>vg</vt:lpstr>
      <vt:lpstr>VINMAX</vt:lpstr>
      <vt:lpstr>VINMIN</vt:lpstr>
      <vt:lpstr>vin</vt:lpstr>
      <vt:lpstr>VOUT</vt:lpstr>
      <vt:lpstr>vrdson</vt:lpstr>
      <vt:lpstr>VTRAN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Gokhan</cp:lastModifiedBy>
  <dcterms:created xsi:type="dcterms:W3CDTF">2017-11-16T20:25:43Z</dcterms:created>
  <dcterms:modified xsi:type="dcterms:W3CDTF">2018-03-26T22:56:07Z</dcterms:modified>
</cp:coreProperties>
</file>