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jensen/Library/Mobile Documents/com~apple~CloudDocs/Active/Chiwei Kong/"/>
    </mc:Choice>
  </mc:AlternateContent>
  <xr:revisionPtr revIDLastSave="0" documentId="13_ncr:1_{74385CD7-96D1-2C45-80B4-853DE7978E81}" xr6:coauthVersionLast="40" xr6:coauthVersionMax="43" xr10:uidLastSave="{00000000-0000-0000-0000-000000000000}"/>
  <bookViews>
    <workbookView xWindow="880" yWindow="440" windowWidth="37520" windowHeight="21160" xr2:uid="{00000000-000D-0000-FFFF-FFFF00000000}"/>
  </bookViews>
  <sheets>
    <sheet name="ROI INFO" sheetId="3" r:id="rId1"/>
    <sheet name="ACTIVE" sheetId="1" r:id="rId2"/>
    <sheet name="REMOVED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7" i="1" l="1"/>
  <c r="R43" i="1"/>
  <c r="R52" i="1"/>
  <c r="R8" i="1"/>
  <c r="R3" i="1"/>
  <c r="R31" i="1"/>
  <c r="R37" i="1"/>
  <c r="R39" i="1"/>
  <c r="R40" i="1"/>
  <c r="R7" i="1"/>
  <c r="R15" i="1"/>
  <c r="R23" i="1"/>
  <c r="R38" i="1"/>
  <c r="R54" i="1"/>
  <c r="R55" i="1"/>
  <c r="R36" i="1"/>
  <c r="R5" i="1"/>
  <c r="R56" i="1"/>
  <c r="R12" i="1"/>
  <c r="R11" i="1"/>
  <c r="R53" i="1"/>
  <c r="R14" i="1"/>
  <c r="R18" i="1"/>
  <c r="R46" i="1"/>
  <c r="R44" i="1"/>
  <c r="R20" i="1"/>
  <c r="R13" i="1"/>
  <c r="R49" i="1"/>
  <c r="R33" i="1"/>
  <c r="R48" i="1"/>
  <c r="R2" i="1"/>
  <c r="R9" i="1"/>
  <c r="R51" i="1"/>
  <c r="R34" i="1"/>
  <c r="R35" i="1"/>
  <c r="R21" i="1"/>
  <c r="R30" i="1"/>
  <c r="R50" i="1"/>
  <c r="R32" i="1"/>
  <c r="R47" i="1"/>
  <c r="R42" i="1"/>
  <c r="R45" i="1"/>
  <c r="R10" i="1"/>
  <c r="R6" i="1"/>
  <c r="R22" i="1"/>
  <c r="R4" i="1"/>
  <c r="R28" i="1"/>
  <c r="R17" i="1"/>
  <c r="R19" i="1"/>
  <c r="R24" i="1"/>
  <c r="R16" i="1"/>
  <c r="R26" i="1"/>
  <c r="R41" i="1"/>
  <c r="R25" i="1"/>
  <c r="R29" i="1"/>
  <c r="A29" i="1" l="1"/>
  <c r="Q32" i="1" l="1"/>
  <c r="S32" i="1" s="1"/>
  <c r="U32" i="1" s="1"/>
  <c r="Q3" i="1"/>
  <c r="S3" i="1" s="1"/>
  <c r="U3" i="1" s="1"/>
  <c r="Q2" i="1"/>
  <c r="S2" i="1"/>
  <c r="U2" i="1" s="1"/>
  <c r="Q20" i="1"/>
  <c r="S20" i="1" s="1"/>
  <c r="U20" i="1" s="1"/>
  <c r="Q19" i="1"/>
  <c r="S19" i="1" s="1"/>
  <c r="U19" i="1" s="1"/>
  <c r="Q13" i="1"/>
  <c r="S13" i="1" s="1"/>
  <c r="U13" i="1" s="1"/>
  <c r="Q47" i="1"/>
  <c r="S47" i="1" s="1"/>
  <c r="U47" i="1" s="1"/>
  <c r="Q31" i="1"/>
  <c r="S31" i="1"/>
  <c r="U31" i="1" s="1"/>
  <c r="Q37" i="1"/>
  <c r="S37" i="1" s="1"/>
  <c r="U37" i="1" s="1"/>
  <c r="Q5" i="1"/>
  <c r="S5" i="1" s="1"/>
  <c r="U5" i="1" s="1"/>
  <c r="Q33" i="1"/>
  <c r="S33" i="1"/>
  <c r="U33" i="1" s="1"/>
  <c r="Q21" i="1"/>
  <c r="S21" i="1" s="1"/>
  <c r="U21" i="1" s="1"/>
  <c r="Q9" i="1"/>
  <c r="S9" i="1" s="1"/>
  <c r="U9" i="1" s="1"/>
  <c r="Q24" i="1"/>
  <c r="S24" i="1" s="1"/>
  <c r="U24" i="1" s="1"/>
  <c r="Q29" i="1"/>
  <c r="S29" i="1" s="1"/>
  <c r="U29" i="1" s="1"/>
  <c r="Q39" i="1"/>
  <c r="S39" i="1"/>
  <c r="U39" i="1" s="1"/>
  <c r="Q51" i="1"/>
  <c r="S51" i="1" s="1"/>
  <c r="U51" i="1" s="1"/>
  <c r="Q34" i="1"/>
  <c r="S34" i="1" s="1"/>
  <c r="U34" i="1" s="1"/>
  <c r="Q16" i="1"/>
  <c r="S16" i="1"/>
  <c r="U16" i="1" s="1"/>
  <c r="Q10" i="1"/>
  <c r="S10" i="1" s="1"/>
  <c r="U10" i="1" s="1"/>
  <c r="Q27" i="1"/>
  <c r="S27" i="1" s="1"/>
  <c r="U27" i="1" s="1"/>
  <c r="Q28" i="1"/>
  <c r="S28" i="1" s="1"/>
  <c r="U28" i="1" s="1"/>
  <c r="Q22" i="1"/>
  <c r="S22" i="1" s="1"/>
  <c r="U22" i="1" s="1"/>
  <c r="Q11" i="1"/>
  <c r="S11" i="1"/>
  <c r="U11" i="1" s="1"/>
  <c r="Q53" i="1"/>
  <c r="S53" i="1" s="1"/>
  <c r="U53" i="1" s="1"/>
  <c r="Q7" i="1"/>
  <c r="S7" i="1" s="1"/>
  <c r="U7" i="1" s="1"/>
  <c r="Q14" i="1"/>
  <c r="S14" i="1"/>
  <c r="U14" i="1" s="1"/>
  <c r="Q43" i="1"/>
  <c r="S43" i="1" s="1"/>
  <c r="U43" i="1" s="1"/>
  <c r="Q35" i="1"/>
  <c r="S35" i="1" s="1"/>
  <c r="U35" i="1" s="1"/>
  <c r="Q6" i="1"/>
  <c r="S6" i="1" s="1"/>
  <c r="U6" i="1" s="1"/>
  <c r="Q48" i="1"/>
  <c r="S48" i="1" s="1"/>
  <c r="U48" i="1" s="1"/>
  <c r="Q40" i="1"/>
  <c r="S40" i="1"/>
  <c r="U40" i="1" s="1"/>
  <c r="Q18" i="1"/>
  <c r="S18" i="1" s="1"/>
  <c r="U18" i="1" s="1"/>
  <c r="Q15" i="1"/>
  <c r="S15" i="1" s="1"/>
  <c r="U15" i="1" s="1"/>
  <c r="Q38" i="1"/>
  <c r="S38" i="1"/>
  <c r="U38" i="1" s="1"/>
  <c r="Q49" i="1"/>
  <c r="S49" i="1" s="1"/>
  <c r="U49" i="1" s="1"/>
  <c r="Q17" i="1"/>
  <c r="S17" i="1" s="1"/>
  <c r="U17" i="1" s="1"/>
  <c r="Q23" i="1"/>
  <c r="S23" i="1" s="1"/>
  <c r="U23" i="1" s="1"/>
  <c r="Q26" i="1"/>
  <c r="S26" i="1" s="1"/>
  <c r="U26" i="1" s="1"/>
  <c r="Q4" i="1"/>
  <c r="S4" i="1"/>
  <c r="U4" i="1" s="1"/>
  <c r="Q52" i="1"/>
  <c r="S52" i="1" s="1"/>
  <c r="U52" i="1" s="1"/>
  <c r="Q56" i="1"/>
  <c r="S56" i="1" s="1"/>
  <c r="U56" i="1" s="1"/>
  <c r="Q46" i="1"/>
  <c r="S46" i="1"/>
  <c r="U46" i="1" s="1"/>
  <c r="Q36" i="1"/>
  <c r="S36" i="1" s="1"/>
  <c r="U36" i="1" s="1"/>
  <c r="Q45" i="1"/>
  <c r="S45" i="1" s="1"/>
  <c r="U45" i="1" s="1"/>
  <c r="Q30" i="1"/>
  <c r="S30" i="1" s="1"/>
  <c r="U30" i="1" s="1"/>
  <c r="Q54" i="1"/>
  <c r="S54" i="1" s="1"/>
  <c r="U54" i="1" s="1"/>
  <c r="Q41" i="1"/>
  <c r="S41" i="1"/>
  <c r="U41" i="1" s="1"/>
  <c r="Q25" i="1"/>
  <c r="S25" i="1" s="1"/>
  <c r="U25" i="1" s="1"/>
  <c r="Q55" i="1"/>
  <c r="S55" i="1" s="1"/>
  <c r="U55" i="1" s="1"/>
  <c r="Q42" i="1"/>
  <c r="S42" i="1"/>
  <c r="U42" i="1" s="1"/>
  <c r="Q50" i="1"/>
  <c r="S50" i="1" s="1"/>
  <c r="U50" i="1" s="1"/>
  <c r="Q12" i="1"/>
  <c r="S12" i="1" s="1"/>
  <c r="U12" i="1" s="1"/>
  <c r="Q44" i="1"/>
  <c r="S44" i="1" s="1"/>
  <c r="U44" i="1" s="1"/>
  <c r="Q8" i="1"/>
  <c r="S8" i="1" s="1"/>
  <c r="U8" i="1" s="1"/>
  <c r="A8" i="1"/>
  <c r="A32" i="1"/>
  <c r="A3" i="1"/>
  <c r="A2" i="1"/>
  <c r="A20" i="1"/>
  <c r="A19" i="1"/>
  <c r="A13" i="1"/>
  <c r="A47" i="1"/>
  <c r="A31" i="1"/>
  <c r="A37" i="1"/>
  <c r="A5" i="1"/>
  <c r="A33" i="1"/>
  <c r="A21" i="1"/>
  <c r="A9" i="1"/>
  <c r="A24" i="1"/>
  <c r="A39" i="1"/>
  <c r="A51" i="1"/>
  <c r="A34" i="1"/>
  <c r="A16" i="1"/>
  <c r="A10" i="1"/>
  <c r="A27" i="1"/>
  <c r="A28" i="1"/>
  <c r="A22" i="1"/>
  <c r="A11" i="1"/>
  <c r="A53" i="1"/>
  <c r="A7" i="1"/>
  <c r="A14" i="1"/>
  <c r="A43" i="1"/>
  <c r="A35" i="1"/>
  <c r="A6" i="1"/>
  <c r="A48" i="1"/>
  <c r="A40" i="1"/>
  <c r="A18" i="1"/>
  <c r="A15" i="1"/>
  <c r="A38" i="1"/>
  <c r="A49" i="1"/>
  <c r="A17" i="1"/>
  <c r="A23" i="1"/>
  <c r="A26" i="1"/>
  <c r="A4" i="1"/>
  <c r="A52" i="1"/>
  <c r="A56" i="1"/>
  <c r="A46" i="1"/>
  <c r="A36" i="1"/>
  <c r="A45" i="1"/>
  <c r="A30" i="1"/>
  <c r="A54" i="1"/>
  <c r="A41" i="1"/>
  <c r="A25" i="1"/>
  <c r="A55" i="1"/>
  <c r="A42" i="1"/>
  <c r="A50" i="1"/>
  <c r="A12" i="1"/>
  <c r="A44" i="1"/>
  <c r="W44" i="1" l="1"/>
  <c r="V44" i="1"/>
  <c r="V42" i="1"/>
  <c r="W42" i="1"/>
  <c r="V41" i="1"/>
  <c r="W41" i="1"/>
  <c r="V30" i="1"/>
  <c r="W30" i="1"/>
  <c r="V46" i="1"/>
  <c r="W46" i="1"/>
  <c r="W4" i="1"/>
  <c r="V4" i="1"/>
  <c r="V23" i="1"/>
  <c r="W23" i="1"/>
  <c r="V38" i="1"/>
  <c r="W38" i="1"/>
  <c r="W40" i="1"/>
  <c r="V40" i="1"/>
  <c r="V6" i="1"/>
  <c r="W6" i="1"/>
  <c r="V14" i="1"/>
  <c r="W14" i="1"/>
  <c r="V11" i="1"/>
  <c r="W11" i="1"/>
  <c r="W28" i="1"/>
  <c r="V28" i="1"/>
  <c r="W16" i="1"/>
  <c r="V16" i="1"/>
  <c r="V39" i="1"/>
  <c r="W39" i="1"/>
  <c r="W24" i="1"/>
  <c r="V24" i="1"/>
  <c r="V33" i="1"/>
  <c r="W33" i="1"/>
  <c r="V31" i="1"/>
  <c r="W31" i="1"/>
  <c r="V13" i="1"/>
  <c r="W13" i="1"/>
  <c r="V2" i="1"/>
  <c r="W2" i="1"/>
  <c r="W12" i="1"/>
  <c r="V12" i="1"/>
  <c r="V45" i="1"/>
  <c r="W45" i="1"/>
  <c r="V17" i="1"/>
  <c r="W17" i="1"/>
  <c r="V35" i="1"/>
  <c r="W35" i="1"/>
  <c r="V27" i="1"/>
  <c r="W27" i="1"/>
  <c r="V9" i="1"/>
  <c r="W9" i="1"/>
  <c r="V19" i="1"/>
  <c r="W19" i="1"/>
  <c r="V55" i="1"/>
  <c r="W55" i="1"/>
  <c r="W56" i="1"/>
  <c r="V56" i="1"/>
  <c r="V26" i="1"/>
  <c r="W26" i="1"/>
  <c r="V15" i="1"/>
  <c r="W15" i="1"/>
  <c r="W48" i="1"/>
  <c r="V48" i="1"/>
  <c r="V43" i="1"/>
  <c r="W43" i="1"/>
  <c r="V7" i="1"/>
  <c r="W7" i="1"/>
  <c r="V22" i="1"/>
  <c r="W22" i="1"/>
  <c r="V10" i="1"/>
  <c r="W10" i="1"/>
  <c r="V34" i="1"/>
  <c r="W34" i="1"/>
  <c r="V29" i="1"/>
  <c r="W29" i="1"/>
  <c r="V21" i="1"/>
  <c r="W21" i="1"/>
  <c r="V5" i="1"/>
  <c r="W5" i="1"/>
  <c r="V47" i="1"/>
  <c r="W47" i="1"/>
  <c r="W20" i="1"/>
  <c r="V20" i="1"/>
  <c r="V3" i="1"/>
  <c r="W3" i="1"/>
  <c r="W8" i="1"/>
  <c r="V8" i="1"/>
  <c r="V50" i="1"/>
  <c r="W50" i="1"/>
  <c r="V54" i="1"/>
  <c r="W54" i="1"/>
  <c r="W36" i="1"/>
  <c r="V36" i="1"/>
  <c r="V49" i="1"/>
  <c r="W49" i="1"/>
  <c r="V25" i="1"/>
  <c r="W25" i="1"/>
  <c r="W52" i="1"/>
  <c r="V52" i="1"/>
  <c r="V18" i="1"/>
  <c r="W18" i="1"/>
  <c r="V53" i="1"/>
  <c r="W53" i="1"/>
  <c r="V51" i="1"/>
  <c r="W51" i="1"/>
  <c r="V37" i="1"/>
  <c r="W37" i="1"/>
  <c r="W32" i="1"/>
  <c r="V32" i="1"/>
</calcChain>
</file>

<file path=xl/sharedStrings.xml><?xml version="1.0" encoding="utf-8"?>
<sst xmlns="http://schemas.openxmlformats.org/spreadsheetml/2006/main" count="381" uniqueCount="79">
  <si>
    <t>MLS #</t>
  </si>
  <si>
    <t>Status</t>
  </si>
  <si>
    <t>City</t>
  </si>
  <si>
    <t>Tax Exemptions</t>
  </si>
  <si>
    <t>ACTV</t>
  </si>
  <si>
    <t>E</t>
  </si>
  <si>
    <t>9TH</t>
  </si>
  <si>
    <t>ST</t>
  </si>
  <si>
    <t>Chicago</t>
  </si>
  <si>
    <t>Yes</t>
  </si>
  <si>
    <t>N</t>
  </si>
  <si>
    <t>Dearborn</t>
  </si>
  <si>
    <t>NEW</t>
  </si>
  <si>
    <t>9th</t>
  </si>
  <si>
    <t>None</t>
  </si>
  <si>
    <t>S</t>
  </si>
  <si>
    <t>Federal</t>
  </si>
  <si>
    <t>PLYMOUTH</t>
  </si>
  <si>
    <t>CT</t>
  </si>
  <si>
    <t>Sandburg</t>
  </si>
  <si>
    <t>TER</t>
  </si>
  <si>
    <t>Homeowner</t>
  </si>
  <si>
    <t>PCHG</t>
  </si>
  <si>
    <t>Chestnut</t>
  </si>
  <si>
    <t>FEDERAL</t>
  </si>
  <si>
    <t>No</t>
  </si>
  <si>
    <t>Plymouth</t>
  </si>
  <si>
    <t>Homeowner, Senior, Senior Freeze</t>
  </si>
  <si>
    <t>Michigan</t>
  </si>
  <si>
    <t>AVE</t>
  </si>
  <si>
    <t>W</t>
  </si>
  <si>
    <t>MONROE</t>
  </si>
  <si>
    <t>Ashland</t>
  </si>
  <si>
    <t>Monroe</t>
  </si>
  <si>
    <t>State</t>
  </si>
  <si>
    <t>Greenview</t>
  </si>
  <si>
    <t>Randolph</t>
  </si>
  <si>
    <t>McClurg</t>
  </si>
  <si>
    <t>MAPLE</t>
  </si>
  <si>
    <t>Clinton</t>
  </si>
  <si>
    <t>Halsted</t>
  </si>
  <si>
    <t>Wells</t>
  </si>
  <si>
    <t>Jefferson</t>
  </si>
  <si>
    <t>Desplaines</t>
  </si>
  <si>
    <t>Walton</t>
  </si>
  <si>
    <t>MICHIGAN</t>
  </si>
  <si>
    <t>DEARBORN</t>
  </si>
  <si>
    <t>Van Buren</t>
  </si>
  <si>
    <t>Orleans</t>
  </si>
  <si>
    <t>Columbus</t>
  </si>
  <si>
    <t>DR</t>
  </si>
  <si>
    <t>Superior</t>
  </si>
  <si>
    <t>WELLS</t>
  </si>
  <si>
    <t>#</t>
  </si>
  <si>
    <t>PT</t>
  </si>
  <si>
    <t>Street</t>
  </si>
  <si>
    <t>Suffix</t>
  </si>
  <si>
    <t>Zip</t>
  </si>
  <si>
    <t>Bed</t>
  </si>
  <si>
    <t>Bath</t>
  </si>
  <si>
    <t>Gar</t>
  </si>
  <si>
    <t>Rentable</t>
  </si>
  <si>
    <t>Price</t>
  </si>
  <si>
    <t>Tax</t>
  </si>
  <si>
    <t>Dues</t>
  </si>
  <si>
    <t>Base</t>
  </si>
  <si>
    <t>MTG</t>
  </si>
  <si>
    <t>Total</t>
  </si>
  <si>
    <t>Rental Comp</t>
  </si>
  <si>
    <t>P/L</t>
  </si>
  <si>
    <t>R</t>
  </si>
  <si>
    <t>Unit</t>
  </si>
  <si>
    <t>Down Payment</t>
  </si>
  <si>
    <t>ROI Finance</t>
  </si>
  <si>
    <t>Closing Costs</t>
  </si>
  <si>
    <t>Initial Reno</t>
  </si>
  <si>
    <t>Cash ROI</t>
  </si>
  <si>
    <t>Item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</si>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</sst>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8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177800</xdr:rowOff>
    </xdr:from>
    <xdr:to>
      <xdr:col>4</xdr:col>
      <xdr:colOff>609600</xdr:colOff>
      <xdr:row>26</xdr:row>
      <xdr:rowOff>38100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33840C68-EAC7-F34E-8BB1-947180AC7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25800"/>
          <a:ext cx="4114800" cy="2095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</xdr:row>
      <xdr:rowOff>88900</xdr:rowOff>
    </xdr:from>
    <xdr:to>
      <xdr:col>10</xdr:col>
      <xdr:colOff>0</xdr:colOff>
      <xdr:row>29</xdr:row>
      <xdr:rowOff>100965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7780F7AA-6CFD-5946-B206-1BD1859178C9}"/>
            </a:ext>
          </a:extLst>
        </xdr:cNvPr>
        <xdr:cNvGrpSpPr>
          <a:grpSpLocks/>
        </xdr:cNvGrpSpPr>
      </xdr:nvGrpSpPr>
      <xdr:grpSpPr>
        <a:xfrm>
          <a:off x="0" y="5372100"/>
          <a:ext cx="8458200" cy="621665"/>
          <a:chOff x="-1194911" y="-12700"/>
          <a:chExt cx="10162222" cy="621640"/>
        </a:xfrm>
      </xdr:grpSpPr>
      <xdr:sp macro="" textlink="">
        <xdr:nvSpPr>
          <xdr:cNvPr id="100" name="Shape 302">
            <a:extLst>
              <a:ext uri="{FF2B5EF4-FFF2-40B4-BE49-F238E27FC236}">
                <a16:creationId xmlns:a16="http://schemas.microsoft.com/office/drawing/2014/main" id="{35E07C48-93D1-0A4D-AADD-E2403D243083}"/>
              </a:ext>
            </a:extLst>
          </xdr:cNvPr>
          <xdr:cNvSpPr/>
        </xdr:nvSpPr>
        <xdr:spPr>
          <a:xfrm>
            <a:off x="-1194911" y="-12700"/>
            <a:ext cx="10162222" cy="279795"/>
          </a:xfrm>
          <a:custGeom>
            <a:avLst/>
            <a:gdLst/>
            <a:ahLst/>
            <a:cxnLst/>
            <a:rect l="0" t="0" r="0" b="0"/>
            <a:pathLst>
              <a:path w="7772400" h="292494">
                <a:moveTo>
                  <a:pt x="0" y="0"/>
                </a:moveTo>
                <a:lnTo>
                  <a:pt x="7772400" y="0"/>
                </a:lnTo>
                <a:lnTo>
                  <a:pt x="7772400" y="292494"/>
                </a:lnTo>
                <a:lnTo>
                  <a:pt x="0" y="292494"/>
                </a:lnTo>
                <a:lnTo>
                  <a:pt x="0" y="0"/>
                </a:lnTo>
              </a:path>
            </a:pathLst>
          </a:custGeom>
          <a:solidFill>
            <a:srgbClr val="6D6E71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01" name="Rectangle 100">
            <a:extLst>
              <a:ext uri="{FF2B5EF4-FFF2-40B4-BE49-F238E27FC236}">
                <a16:creationId xmlns:a16="http://schemas.microsoft.com/office/drawing/2014/main" id="{58DB2697-930A-7F4B-9459-7F57AA6E23A0}"/>
              </a:ext>
            </a:extLst>
          </xdr:cNvPr>
          <xdr:cNvSpPr/>
        </xdr:nvSpPr>
        <xdr:spPr>
          <a:xfrm>
            <a:off x="844467" y="51090"/>
            <a:ext cx="3258257" cy="211644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000" spc="50">
                <a:solidFill>
                  <a:srgbClr val="FEFEFE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S. Dearborn Street  |  Chicago, IL 60605  |  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C592CD5D-E161-F64F-89E8-FF087451CEF7}"/>
              </a:ext>
            </a:extLst>
          </xdr:cNvPr>
          <xdr:cNvSpPr/>
        </xdr:nvSpPr>
        <xdr:spPr>
          <a:xfrm>
            <a:off x="586474" y="51090"/>
            <a:ext cx="273803" cy="211644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000" spc="50">
                <a:solidFill>
                  <a:srgbClr val="FEFEFE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620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C26F5E12-6D86-6944-9A3F-FAFD0C77C4B6}"/>
              </a:ext>
            </a:extLst>
          </xdr:cNvPr>
          <xdr:cNvSpPr/>
        </xdr:nvSpPr>
        <xdr:spPr>
          <a:xfrm>
            <a:off x="3773650" y="49566"/>
            <a:ext cx="91887" cy="216542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4" name="Rectangle 103">
            <a:extLst>
              <a:ext uri="{FF2B5EF4-FFF2-40B4-BE49-F238E27FC236}">
                <a16:creationId xmlns:a16="http://schemas.microsoft.com/office/drawing/2014/main" id="{12905D01-96EB-F443-8389-979F9BA67246}"/>
              </a:ext>
            </a:extLst>
          </xdr:cNvPr>
          <xdr:cNvSpPr/>
        </xdr:nvSpPr>
        <xdr:spPr>
          <a:xfrm>
            <a:off x="3849101" y="50709"/>
            <a:ext cx="38511" cy="213672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000" b="1">
                <a:solidFill>
                  <a:srgbClr val="FEFEFE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5" name="Rectangle 104">
            <a:extLst>
              <a:ext uri="{FF2B5EF4-FFF2-40B4-BE49-F238E27FC236}">
                <a16:creationId xmlns:a16="http://schemas.microsoft.com/office/drawing/2014/main" id="{5E0C8A7E-2C58-9B4C-A04B-2F4B470BDFAC}"/>
              </a:ext>
            </a:extLst>
          </xdr:cNvPr>
          <xdr:cNvSpPr/>
        </xdr:nvSpPr>
        <xdr:spPr>
          <a:xfrm>
            <a:off x="4581764" y="51090"/>
            <a:ext cx="233096" cy="211644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000" spc="50">
                <a:solidFill>
                  <a:srgbClr val="FEFEFE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     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6" name="Rectangle 105">
            <a:extLst>
              <a:ext uri="{FF2B5EF4-FFF2-40B4-BE49-F238E27FC236}">
                <a16:creationId xmlns:a16="http://schemas.microsoft.com/office/drawing/2014/main" id="{9A9E8337-1278-1142-9763-3905A370A86B}"/>
              </a:ext>
            </a:extLst>
          </xdr:cNvPr>
          <xdr:cNvSpPr/>
        </xdr:nvSpPr>
        <xdr:spPr>
          <a:xfrm>
            <a:off x="3869149" y="51090"/>
            <a:ext cx="1024118" cy="215598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000" spc="50">
                <a:solidFill>
                  <a:srgbClr val="FEFEFE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312.414.3355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00EECE37-AED9-4941-AF43-02530EEDDC45}"/>
              </a:ext>
            </a:extLst>
          </xdr:cNvPr>
          <xdr:cNvSpPr/>
        </xdr:nvSpPr>
        <xdr:spPr>
          <a:xfrm>
            <a:off x="4763374" y="49566"/>
            <a:ext cx="57936" cy="216542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0987B4A8-4955-C742-A29A-D9FF27736675}"/>
              </a:ext>
            </a:extLst>
          </xdr:cNvPr>
          <xdr:cNvSpPr/>
        </xdr:nvSpPr>
        <xdr:spPr>
          <a:xfrm>
            <a:off x="4813285" y="50709"/>
            <a:ext cx="38511" cy="213672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000" b="1">
                <a:solidFill>
                  <a:srgbClr val="FEFEFE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89925119-AF0A-5D41-B7B5-E4B1CDD15BBF}"/>
              </a:ext>
            </a:extLst>
          </xdr:cNvPr>
          <xdr:cNvSpPr/>
        </xdr:nvSpPr>
        <xdr:spPr>
          <a:xfrm>
            <a:off x="4814334" y="51090"/>
            <a:ext cx="1530831" cy="211644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000" spc="50">
                <a:solidFill>
                  <a:srgbClr val="FEFEFE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 |      Baird &amp; Warner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11" name="Shape 44">
            <a:extLst>
              <a:ext uri="{FF2B5EF4-FFF2-40B4-BE49-F238E27FC236}">
                <a16:creationId xmlns:a16="http://schemas.microsoft.com/office/drawing/2014/main" id="{FDF2858F-6BD5-6C4B-B9DE-045338031044}"/>
              </a:ext>
            </a:extLst>
          </xdr:cNvPr>
          <xdr:cNvSpPr/>
        </xdr:nvSpPr>
        <xdr:spPr>
          <a:xfrm>
            <a:off x="3772037" y="403090"/>
            <a:ext cx="105994" cy="153315"/>
          </a:xfrm>
          <a:custGeom>
            <a:avLst/>
            <a:gdLst/>
            <a:ahLst/>
            <a:cxnLst/>
            <a:rect l="0" t="0" r="0" b="0"/>
            <a:pathLst>
              <a:path w="105994" h="153315">
                <a:moveTo>
                  <a:pt x="103441" y="0"/>
                </a:moveTo>
                <a:lnTo>
                  <a:pt x="105994" y="1301"/>
                </a:lnTo>
                <a:lnTo>
                  <a:pt x="105994" y="23525"/>
                </a:lnTo>
                <a:lnTo>
                  <a:pt x="105130" y="23076"/>
                </a:lnTo>
                <a:lnTo>
                  <a:pt x="37046" y="59347"/>
                </a:lnTo>
                <a:lnTo>
                  <a:pt x="35344" y="133528"/>
                </a:lnTo>
                <a:lnTo>
                  <a:pt x="105994" y="133528"/>
                </a:lnTo>
                <a:lnTo>
                  <a:pt x="105994" y="153315"/>
                </a:lnTo>
                <a:lnTo>
                  <a:pt x="14922" y="153315"/>
                </a:lnTo>
                <a:lnTo>
                  <a:pt x="14922" y="80772"/>
                </a:lnTo>
                <a:lnTo>
                  <a:pt x="0" y="80950"/>
                </a:lnTo>
                <a:lnTo>
                  <a:pt x="0" y="55372"/>
                </a:lnTo>
                <a:lnTo>
                  <a:pt x="103441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12" name="Shape 45">
            <a:extLst>
              <a:ext uri="{FF2B5EF4-FFF2-40B4-BE49-F238E27FC236}">
                <a16:creationId xmlns:a16="http://schemas.microsoft.com/office/drawing/2014/main" id="{735AD783-20F4-0A41-8647-6048A10FAEBC}"/>
              </a:ext>
            </a:extLst>
          </xdr:cNvPr>
          <xdr:cNvSpPr/>
        </xdr:nvSpPr>
        <xdr:spPr>
          <a:xfrm>
            <a:off x="3878032" y="404391"/>
            <a:ext cx="107264" cy="152014"/>
          </a:xfrm>
          <a:custGeom>
            <a:avLst/>
            <a:gdLst/>
            <a:ahLst/>
            <a:cxnLst/>
            <a:rect l="0" t="0" r="0" b="0"/>
            <a:pathLst>
              <a:path w="107264" h="152014">
                <a:moveTo>
                  <a:pt x="0" y="0"/>
                </a:moveTo>
                <a:lnTo>
                  <a:pt x="107264" y="54656"/>
                </a:lnTo>
                <a:lnTo>
                  <a:pt x="107238" y="77668"/>
                </a:lnTo>
                <a:lnTo>
                  <a:pt x="91072" y="77833"/>
                </a:lnTo>
                <a:lnTo>
                  <a:pt x="91072" y="152014"/>
                </a:lnTo>
                <a:lnTo>
                  <a:pt x="0" y="152014"/>
                </a:lnTo>
                <a:lnTo>
                  <a:pt x="0" y="132227"/>
                </a:lnTo>
                <a:lnTo>
                  <a:pt x="70650" y="132227"/>
                </a:lnTo>
                <a:lnTo>
                  <a:pt x="68935" y="58046"/>
                </a:lnTo>
                <a:lnTo>
                  <a:pt x="0" y="22224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13" name="Shape 46">
            <a:extLst>
              <a:ext uri="{FF2B5EF4-FFF2-40B4-BE49-F238E27FC236}">
                <a16:creationId xmlns:a16="http://schemas.microsoft.com/office/drawing/2014/main" id="{1A221A65-D2A3-1145-A51C-CAF44B12711F}"/>
              </a:ext>
            </a:extLst>
          </xdr:cNvPr>
          <xdr:cNvSpPr/>
        </xdr:nvSpPr>
        <xdr:spPr>
          <a:xfrm>
            <a:off x="3841425" y="472325"/>
            <a:ext cx="73203" cy="19786"/>
          </a:xfrm>
          <a:custGeom>
            <a:avLst/>
            <a:gdLst/>
            <a:ahLst/>
            <a:cxnLst/>
            <a:rect l="0" t="0" r="0" b="0"/>
            <a:pathLst>
              <a:path w="73203" h="19786">
                <a:moveTo>
                  <a:pt x="0" y="0"/>
                </a:moveTo>
                <a:lnTo>
                  <a:pt x="72987" y="89"/>
                </a:lnTo>
                <a:lnTo>
                  <a:pt x="73203" y="19786"/>
                </a:lnTo>
                <a:lnTo>
                  <a:pt x="0" y="19786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14" name="Shape 47">
            <a:extLst>
              <a:ext uri="{FF2B5EF4-FFF2-40B4-BE49-F238E27FC236}">
                <a16:creationId xmlns:a16="http://schemas.microsoft.com/office/drawing/2014/main" id="{DF7EBA95-06C2-B945-8BC3-1DDEF38AC09D}"/>
              </a:ext>
            </a:extLst>
          </xdr:cNvPr>
          <xdr:cNvSpPr/>
        </xdr:nvSpPr>
        <xdr:spPr>
          <a:xfrm>
            <a:off x="3841425" y="498562"/>
            <a:ext cx="72987" cy="19926"/>
          </a:xfrm>
          <a:custGeom>
            <a:avLst/>
            <a:gdLst/>
            <a:ahLst/>
            <a:cxnLst/>
            <a:rect l="0" t="0" r="0" b="0"/>
            <a:pathLst>
              <a:path w="72987" h="19926">
                <a:moveTo>
                  <a:pt x="72403" y="0"/>
                </a:moveTo>
                <a:lnTo>
                  <a:pt x="72987" y="19761"/>
                </a:lnTo>
                <a:lnTo>
                  <a:pt x="0" y="19926"/>
                </a:lnTo>
                <a:lnTo>
                  <a:pt x="0" y="140"/>
                </a:lnTo>
                <a:lnTo>
                  <a:pt x="72403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15" name="Shape 48">
            <a:extLst>
              <a:ext uri="{FF2B5EF4-FFF2-40B4-BE49-F238E27FC236}">
                <a16:creationId xmlns:a16="http://schemas.microsoft.com/office/drawing/2014/main" id="{40184CC4-E87F-0642-B90C-AD9A00A200CA}"/>
              </a:ext>
            </a:extLst>
          </xdr:cNvPr>
          <xdr:cNvSpPr/>
        </xdr:nvSpPr>
        <xdr:spPr>
          <a:xfrm>
            <a:off x="3784953" y="566676"/>
            <a:ext cx="12674" cy="16739"/>
          </a:xfrm>
          <a:custGeom>
            <a:avLst/>
            <a:gdLst/>
            <a:ahLst/>
            <a:cxnLst/>
            <a:rect l="0" t="0" r="0" b="0"/>
            <a:pathLst>
              <a:path w="12674" h="16739">
                <a:moveTo>
                  <a:pt x="0" y="0"/>
                </a:moveTo>
                <a:lnTo>
                  <a:pt x="12268" y="0"/>
                </a:lnTo>
                <a:lnTo>
                  <a:pt x="12268" y="2959"/>
                </a:lnTo>
                <a:lnTo>
                  <a:pt x="3416" y="2959"/>
                </a:lnTo>
                <a:lnTo>
                  <a:pt x="3416" y="6515"/>
                </a:lnTo>
                <a:lnTo>
                  <a:pt x="11544" y="6515"/>
                </a:lnTo>
                <a:lnTo>
                  <a:pt x="11544" y="9423"/>
                </a:lnTo>
                <a:lnTo>
                  <a:pt x="3416" y="9423"/>
                </a:lnTo>
                <a:lnTo>
                  <a:pt x="3416" y="13716"/>
                </a:lnTo>
                <a:lnTo>
                  <a:pt x="12674" y="13716"/>
                </a:lnTo>
                <a:lnTo>
                  <a:pt x="12674" y="16739"/>
                </a:lnTo>
                <a:lnTo>
                  <a:pt x="0" y="16739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16" name="Shape 49">
            <a:extLst>
              <a:ext uri="{FF2B5EF4-FFF2-40B4-BE49-F238E27FC236}">
                <a16:creationId xmlns:a16="http://schemas.microsoft.com/office/drawing/2014/main" id="{89B2027D-F116-8847-94D9-D1F252E6A5DC}"/>
              </a:ext>
            </a:extLst>
          </xdr:cNvPr>
          <xdr:cNvSpPr/>
        </xdr:nvSpPr>
        <xdr:spPr>
          <a:xfrm>
            <a:off x="3799727" y="566178"/>
            <a:ext cx="8013" cy="17690"/>
          </a:xfrm>
          <a:custGeom>
            <a:avLst/>
            <a:gdLst/>
            <a:ahLst/>
            <a:cxnLst/>
            <a:rect l="0" t="0" r="0" b="0"/>
            <a:pathLst>
              <a:path w="8013" h="17690">
                <a:moveTo>
                  <a:pt x="8013" y="0"/>
                </a:moveTo>
                <a:lnTo>
                  <a:pt x="8013" y="2950"/>
                </a:lnTo>
                <a:lnTo>
                  <a:pt x="4712" y="4418"/>
                </a:lnTo>
                <a:cubicBezTo>
                  <a:pt x="3886" y="5409"/>
                  <a:pt x="3480" y="6882"/>
                  <a:pt x="3480" y="8837"/>
                </a:cubicBezTo>
                <a:cubicBezTo>
                  <a:pt x="3480" y="11137"/>
                  <a:pt x="4064" y="12774"/>
                  <a:pt x="5245" y="13765"/>
                </a:cubicBezTo>
                <a:cubicBezTo>
                  <a:pt x="6007" y="14413"/>
                  <a:pt x="6921" y="14730"/>
                  <a:pt x="7988" y="14730"/>
                </a:cubicBezTo>
                <a:lnTo>
                  <a:pt x="8013" y="14727"/>
                </a:lnTo>
                <a:lnTo>
                  <a:pt x="8013" y="17687"/>
                </a:lnTo>
                <a:lnTo>
                  <a:pt x="7988" y="17690"/>
                </a:lnTo>
                <a:cubicBezTo>
                  <a:pt x="5816" y="17690"/>
                  <a:pt x="4013" y="17042"/>
                  <a:pt x="2591" y="15746"/>
                </a:cubicBezTo>
                <a:cubicBezTo>
                  <a:pt x="864" y="14171"/>
                  <a:pt x="0" y="11873"/>
                  <a:pt x="0" y="8837"/>
                </a:cubicBezTo>
                <a:cubicBezTo>
                  <a:pt x="0" y="5777"/>
                  <a:pt x="889" y="3466"/>
                  <a:pt x="2654" y="1904"/>
                </a:cubicBezTo>
                <a:lnTo>
                  <a:pt x="8013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17" name="Shape 50">
            <a:extLst>
              <a:ext uri="{FF2B5EF4-FFF2-40B4-BE49-F238E27FC236}">
                <a16:creationId xmlns:a16="http://schemas.microsoft.com/office/drawing/2014/main" id="{9D5481B5-32A3-0D41-9118-E049BE8BCEE1}"/>
              </a:ext>
            </a:extLst>
          </xdr:cNvPr>
          <xdr:cNvSpPr/>
        </xdr:nvSpPr>
        <xdr:spPr>
          <a:xfrm>
            <a:off x="3807741" y="566164"/>
            <a:ext cx="8103" cy="18453"/>
          </a:xfrm>
          <a:custGeom>
            <a:avLst/>
            <a:gdLst/>
            <a:ahLst/>
            <a:cxnLst/>
            <a:rect l="0" t="0" r="0" b="0"/>
            <a:pathLst>
              <a:path w="8103" h="18453">
                <a:moveTo>
                  <a:pt x="38" y="0"/>
                </a:moveTo>
                <a:cubicBezTo>
                  <a:pt x="2197" y="0"/>
                  <a:pt x="4013" y="685"/>
                  <a:pt x="5486" y="2032"/>
                </a:cubicBezTo>
                <a:cubicBezTo>
                  <a:pt x="7176" y="3594"/>
                  <a:pt x="8027" y="5791"/>
                  <a:pt x="8027" y="8598"/>
                </a:cubicBezTo>
                <a:cubicBezTo>
                  <a:pt x="8027" y="10096"/>
                  <a:pt x="7849" y="11340"/>
                  <a:pt x="7481" y="12357"/>
                </a:cubicBezTo>
                <a:cubicBezTo>
                  <a:pt x="7188" y="13309"/>
                  <a:pt x="6757" y="14109"/>
                  <a:pt x="6172" y="14744"/>
                </a:cubicBezTo>
                <a:lnTo>
                  <a:pt x="8103" y="16548"/>
                </a:lnTo>
                <a:lnTo>
                  <a:pt x="6274" y="18453"/>
                </a:lnTo>
                <a:lnTo>
                  <a:pt x="4255" y="16548"/>
                </a:lnTo>
                <a:cubicBezTo>
                  <a:pt x="3645" y="16916"/>
                  <a:pt x="3111" y="17183"/>
                  <a:pt x="2667" y="17335"/>
                </a:cubicBezTo>
                <a:lnTo>
                  <a:pt x="0" y="17700"/>
                </a:lnTo>
                <a:lnTo>
                  <a:pt x="0" y="14741"/>
                </a:lnTo>
                <a:lnTo>
                  <a:pt x="1143" y="14592"/>
                </a:lnTo>
                <a:cubicBezTo>
                  <a:pt x="1334" y="14541"/>
                  <a:pt x="1600" y="14453"/>
                  <a:pt x="1918" y="14312"/>
                </a:cubicBezTo>
                <a:lnTo>
                  <a:pt x="229" y="12700"/>
                </a:lnTo>
                <a:lnTo>
                  <a:pt x="2032" y="10820"/>
                </a:lnTo>
                <a:lnTo>
                  <a:pt x="3734" y="12433"/>
                </a:lnTo>
                <a:cubicBezTo>
                  <a:pt x="3988" y="11887"/>
                  <a:pt x="4178" y="11404"/>
                  <a:pt x="4280" y="10998"/>
                </a:cubicBezTo>
                <a:cubicBezTo>
                  <a:pt x="4445" y="10389"/>
                  <a:pt x="4534" y="9677"/>
                  <a:pt x="4534" y="8851"/>
                </a:cubicBezTo>
                <a:cubicBezTo>
                  <a:pt x="4534" y="6972"/>
                  <a:pt x="4140" y="5524"/>
                  <a:pt x="3378" y="4508"/>
                </a:cubicBezTo>
                <a:cubicBezTo>
                  <a:pt x="2616" y="3480"/>
                  <a:pt x="1486" y="2959"/>
                  <a:pt x="13" y="2959"/>
                </a:cubicBezTo>
                <a:lnTo>
                  <a:pt x="0" y="2964"/>
                </a:lnTo>
                <a:lnTo>
                  <a:pt x="0" y="14"/>
                </a:lnTo>
                <a:lnTo>
                  <a:pt x="38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18" name="Shape 51">
            <a:extLst>
              <a:ext uri="{FF2B5EF4-FFF2-40B4-BE49-F238E27FC236}">
                <a16:creationId xmlns:a16="http://schemas.microsoft.com/office/drawing/2014/main" id="{C509508F-5518-674E-A287-EAE90EF4F4D4}"/>
              </a:ext>
            </a:extLst>
          </xdr:cNvPr>
          <xdr:cNvSpPr/>
        </xdr:nvSpPr>
        <xdr:spPr>
          <a:xfrm>
            <a:off x="3818438" y="566672"/>
            <a:ext cx="13449" cy="17158"/>
          </a:xfrm>
          <a:custGeom>
            <a:avLst/>
            <a:gdLst/>
            <a:ahLst/>
            <a:cxnLst/>
            <a:rect l="0" t="0" r="0" b="0"/>
            <a:pathLst>
              <a:path w="13449" h="17158">
                <a:moveTo>
                  <a:pt x="0" y="0"/>
                </a:moveTo>
                <a:lnTo>
                  <a:pt x="3556" y="0"/>
                </a:lnTo>
                <a:lnTo>
                  <a:pt x="3556" y="10287"/>
                </a:lnTo>
                <a:cubicBezTo>
                  <a:pt x="3556" y="11430"/>
                  <a:pt x="3683" y="12281"/>
                  <a:pt x="3963" y="12802"/>
                </a:cubicBezTo>
                <a:cubicBezTo>
                  <a:pt x="4382" y="13742"/>
                  <a:pt x="5309" y="14212"/>
                  <a:pt x="6731" y="14212"/>
                </a:cubicBezTo>
                <a:cubicBezTo>
                  <a:pt x="8141" y="14212"/>
                  <a:pt x="9055" y="13742"/>
                  <a:pt x="9487" y="12802"/>
                </a:cubicBezTo>
                <a:cubicBezTo>
                  <a:pt x="9766" y="12281"/>
                  <a:pt x="9893" y="11430"/>
                  <a:pt x="9893" y="10287"/>
                </a:cubicBezTo>
                <a:lnTo>
                  <a:pt x="9893" y="0"/>
                </a:lnTo>
                <a:lnTo>
                  <a:pt x="13449" y="0"/>
                </a:lnTo>
                <a:lnTo>
                  <a:pt x="13449" y="10287"/>
                </a:lnTo>
                <a:cubicBezTo>
                  <a:pt x="13449" y="12065"/>
                  <a:pt x="13170" y="13450"/>
                  <a:pt x="12611" y="14440"/>
                </a:cubicBezTo>
                <a:cubicBezTo>
                  <a:pt x="11595" y="16256"/>
                  <a:pt x="9627" y="17158"/>
                  <a:pt x="6731" y="17158"/>
                </a:cubicBezTo>
                <a:cubicBezTo>
                  <a:pt x="3835" y="17158"/>
                  <a:pt x="1854" y="16256"/>
                  <a:pt x="826" y="14440"/>
                </a:cubicBezTo>
                <a:cubicBezTo>
                  <a:pt x="267" y="13450"/>
                  <a:pt x="0" y="12065"/>
                  <a:pt x="0" y="10287"/>
                </a:cubicBez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19" name="Shape 52">
            <a:extLst>
              <a:ext uri="{FF2B5EF4-FFF2-40B4-BE49-F238E27FC236}">
                <a16:creationId xmlns:a16="http://schemas.microsoft.com/office/drawing/2014/main" id="{E2E063F0-D805-A843-A8B3-7CFD73EFB74A}"/>
              </a:ext>
            </a:extLst>
          </xdr:cNvPr>
          <xdr:cNvSpPr/>
        </xdr:nvSpPr>
        <xdr:spPr>
          <a:xfrm>
            <a:off x="3834032" y="566679"/>
            <a:ext cx="7881" cy="16726"/>
          </a:xfrm>
          <a:custGeom>
            <a:avLst/>
            <a:gdLst/>
            <a:ahLst/>
            <a:cxnLst/>
            <a:rect l="0" t="0" r="0" b="0"/>
            <a:pathLst>
              <a:path w="7881" h="16726">
                <a:moveTo>
                  <a:pt x="5969" y="0"/>
                </a:moveTo>
                <a:lnTo>
                  <a:pt x="7881" y="0"/>
                </a:lnTo>
                <a:lnTo>
                  <a:pt x="7881" y="3918"/>
                </a:lnTo>
                <a:lnTo>
                  <a:pt x="5753" y="10402"/>
                </a:lnTo>
                <a:lnTo>
                  <a:pt x="7881" y="10402"/>
                </a:lnTo>
                <a:lnTo>
                  <a:pt x="7881" y="13284"/>
                </a:lnTo>
                <a:lnTo>
                  <a:pt x="4813" y="13284"/>
                </a:lnTo>
                <a:lnTo>
                  <a:pt x="3658" y="16726"/>
                </a:lnTo>
                <a:lnTo>
                  <a:pt x="0" y="16726"/>
                </a:lnTo>
                <a:lnTo>
                  <a:pt x="5969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0" name="Shape 53">
            <a:extLst>
              <a:ext uri="{FF2B5EF4-FFF2-40B4-BE49-F238E27FC236}">
                <a16:creationId xmlns:a16="http://schemas.microsoft.com/office/drawing/2014/main" id="{74ED64A4-BCAA-0F4B-9E09-969E389FE8CA}"/>
              </a:ext>
            </a:extLst>
          </xdr:cNvPr>
          <xdr:cNvSpPr/>
        </xdr:nvSpPr>
        <xdr:spPr>
          <a:xfrm>
            <a:off x="3841913" y="566679"/>
            <a:ext cx="7969" cy="16726"/>
          </a:xfrm>
          <a:custGeom>
            <a:avLst/>
            <a:gdLst/>
            <a:ahLst/>
            <a:cxnLst/>
            <a:rect l="0" t="0" r="0" b="0"/>
            <a:pathLst>
              <a:path w="7969" h="16726">
                <a:moveTo>
                  <a:pt x="0" y="0"/>
                </a:moveTo>
                <a:lnTo>
                  <a:pt x="2038" y="0"/>
                </a:lnTo>
                <a:lnTo>
                  <a:pt x="7969" y="16726"/>
                </a:lnTo>
                <a:lnTo>
                  <a:pt x="4172" y="16726"/>
                </a:lnTo>
                <a:lnTo>
                  <a:pt x="3092" y="13284"/>
                </a:lnTo>
                <a:lnTo>
                  <a:pt x="0" y="13284"/>
                </a:lnTo>
                <a:lnTo>
                  <a:pt x="0" y="10402"/>
                </a:lnTo>
                <a:lnTo>
                  <a:pt x="2127" y="10402"/>
                </a:lnTo>
                <a:lnTo>
                  <a:pt x="31" y="3823"/>
                </a:lnTo>
                <a:lnTo>
                  <a:pt x="0" y="3918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1" name="Shape 54">
            <a:extLst>
              <a:ext uri="{FF2B5EF4-FFF2-40B4-BE49-F238E27FC236}">
                <a16:creationId xmlns:a16="http://schemas.microsoft.com/office/drawing/2014/main" id="{8A5F065B-275B-F143-91B9-8D3EE30E05F7}"/>
              </a:ext>
            </a:extLst>
          </xdr:cNvPr>
          <xdr:cNvSpPr/>
        </xdr:nvSpPr>
        <xdr:spPr>
          <a:xfrm>
            <a:off x="3851991" y="566679"/>
            <a:ext cx="11786" cy="16726"/>
          </a:xfrm>
          <a:custGeom>
            <a:avLst/>
            <a:gdLst/>
            <a:ahLst/>
            <a:cxnLst/>
            <a:rect l="0" t="0" r="0" b="0"/>
            <a:pathLst>
              <a:path w="11786" h="16726">
                <a:moveTo>
                  <a:pt x="0" y="0"/>
                </a:moveTo>
                <a:lnTo>
                  <a:pt x="3505" y="0"/>
                </a:lnTo>
                <a:lnTo>
                  <a:pt x="3505" y="13716"/>
                </a:lnTo>
                <a:lnTo>
                  <a:pt x="11786" y="13716"/>
                </a:lnTo>
                <a:lnTo>
                  <a:pt x="11786" y="16726"/>
                </a:lnTo>
                <a:lnTo>
                  <a:pt x="0" y="16726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2" name="Shape 55">
            <a:extLst>
              <a:ext uri="{FF2B5EF4-FFF2-40B4-BE49-F238E27FC236}">
                <a16:creationId xmlns:a16="http://schemas.microsoft.com/office/drawing/2014/main" id="{8E8481E1-6483-A64C-AA5D-9BC4050A7C42}"/>
              </a:ext>
            </a:extLst>
          </xdr:cNvPr>
          <xdr:cNvSpPr/>
        </xdr:nvSpPr>
        <xdr:spPr>
          <a:xfrm>
            <a:off x="3872625" y="566679"/>
            <a:ext cx="13475" cy="16726"/>
          </a:xfrm>
          <a:custGeom>
            <a:avLst/>
            <a:gdLst/>
            <a:ahLst/>
            <a:cxnLst/>
            <a:rect l="0" t="0" r="0" b="0"/>
            <a:pathLst>
              <a:path w="13475" h="16726">
                <a:moveTo>
                  <a:pt x="0" y="0"/>
                </a:moveTo>
                <a:lnTo>
                  <a:pt x="3467" y="0"/>
                </a:lnTo>
                <a:lnTo>
                  <a:pt x="3467" y="6376"/>
                </a:lnTo>
                <a:lnTo>
                  <a:pt x="10008" y="6376"/>
                </a:lnTo>
                <a:lnTo>
                  <a:pt x="10008" y="0"/>
                </a:lnTo>
                <a:lnTo>
                  <a:pt x="13475" y="0"/>
                </a:lnTo>
                <a:lnTo>
                  <a:pt x="13475" y="16726"/>
                </a:lnTo>
                <a:lnTo>
                  <a:pt x="10008" y="16726"/>
                </a:lnTo>
                <a:lnTo>
                  <a:pt x="10008" y="9258"/>
                </a:lnTo>
                <a:lnTo>
                  <a:pt x="3467" y="9258"/>
                </a:lnTo>
                <a:lnTo>
                  <a:pt x="3467" y="16726"/>
                </a:lnTo>
                <a:lnTo>
                  <a:pt x="0" y="16726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3" name="Shape 56">
            <a:extLst>
              <a:ext uri="{FF2B5EF4-FFF2-40B4-BE49-F238E27FC236}">
                <a16:creationId xmlns:a16="http://schemas.microsoft.com/office/drawing/2014/main" id="{3D55EA35-20C4-D145-A290-EB72707DC35B}"/>
              </a:ext>
            </a:extLst>
          </xdr:cNvPr>
          <xdr:cNvSpPr/>
        </xdr:nvSpPr>
        <xdr:spPr>
          <a:xfrm>
            <a:off x="3888813" y="566176"/>
            <a:ext cx="8001" cy="17695"/>
          </a:xfrm>
          <a:custGeom>
            <a:avLst/>
            <a:gdLst/>
            <a:ahLst/>
            <a:cxnLst/>
            <a:rect l="0" t="0" r="0" b="0"/>
            <a:pathLst>
              <a:path w="8001" h="17695">
                <a:moveTo>
                  <a:pt x="8001" y="0"/>
                </a:moveTo>
                <a:lnTo>
                  <a:pt x="8001" y="2961"/>
                </a:lnTo>
                <a:lnTo>
                  <a:pt x="4699" y="4491"/>
                </a:lnTo>
                <a:cubicBezTo>
                  <a:pt x="3873" y="5507"/>
                  <a:pt x="3467" y="6955"/>
                  <a:pt x="3467" y="8835"/>
                </a:cubicBezTo>
                <a:cubicBezTo>
                  <a:pt x="3467" y="10727"/>
                  <a:pt x="3873" y="12175"/>
                  <a:pt x="4699" y="13204"/>
                </a:cubicBezTo>
                <a:lnTo>
                  <a:pt x="8001" y="14722"/>
                </a:lnTo>
                <a:lnTo>
                  <a:pt x="8001" y="17695"/>
                </a:lnTo>
                <a:lnTo>
                  <a:pt x="2540" y="15743"/>
                </a:lnTo>
                <a:cubicBezTo>
                  <a:pt x="838" y="14143"/>
                  <a:pt x="0" y="11845"/>
                  <a:pt x="0" y="8835"/>
                </a:cubicBezTo>
                <a:cubicBezTo>
                  <a:pt x="0" y="5774"/>
                  <a:pt x="838" y="3475"/>
                  <a:pt x="2540" y="1939"/>
                </a:cubicBezTo>
                <a:lnTo>
                  <a:pt x="8001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4" name="Shape 57">
            <a:extLst>
              <a:ext uri="{FF2B5EF4-FFF2-40B4-BE49-F238E27FC236}">
                <a16:creationId xmlns:a16="http://schemas.microsoft.com/office/drawing/2014/main" id="{23262DB3-7FA9-C642-A8E6-3FD2A4507627}"/>
              </a:ext>
            </a:extLst>
          </xdr:cNvPr>
          <xdr:cNvSpPr/>
        </xdr:nvSpPr>
        <xdr:spPr>
          <a:xfrm>
            <a:off x="3896813" y="566171"/>
            <a:ext cx="8027" cy="17704"/>
          </a:xfrm>
          <a:custGeom>
            <a:avLst/>
            <a:gdLst/>
            <a:ahLst/>
            <a:cxnLst/>
            <a:rect l="0" t="0" r="0" b="0"/>
            <a:pathLst>
              <a:path w="8027" h="17704">
                <a:moveTo>
                  <a:pt x="13" y="0"/>
                </a:moveTo>
                <a:cubicBezTo>
                  <a:pt x="2413" y="0"/>
                  <a:pt x="4229" y="648"/>
                  <a:pt x="5499" y="1943"/>
                </a:cubicBezTo>
                <a:cubicBezTo>
                  <a:pt x="7188" y="3480"/>
                  <a:pt x="8027" y="5779"/>
                  <a:pt x="8027" y="8840"/>
                </a:cubicBezTo>
                <a:cubicBezTo>
                  <a:pt x="8027" y="11850"/>
                  <a:pt x="7188" y="14148"/>
                  <a:pt x="5499" y="15748"/>
                </a:cubicBezTo>
                <a:cubicBezTo>
                  <a:pt x="4229" y="17044"/>
                  <a:pt x="2413" y="17704"/>
                  <a:pt x="13" y="17704"/>
                </a:cubicBezTo>
                <a:lnTo>
                  <a:pt x="0" y="17700"/>
                </a:lnTo>
                <a:lnTo>
                  <a:pt x="0" y="14726"/>
                </a:lnTo>
                <a:lnTo>
                  <a:pt x="13" y="14732"/>
                </a:lnTo>
                <a:cubicBezTo>
                  <a:pt x="1397" y="14732"/>
                  <a:pt x="2502" y="14224"/>
                  <a:pt x="3315" y="13208"/>
                </a:cubicBezTo>
                <a:cubicBezTo>
                  <a:pt x="4128" y="12180"/>
                  <a:pt x="4534" y="10732"/>
                  <a:pt x="4534" y="8840"/>
                </a:cubicBezTo>
                <a:cubicBezTo>
                  <a:pt x="4534" y="6972"/>
                  <a:pt x="4128" y="5524"/>
                  <a:pt x="3315" y="4496"/>
                </a:cubicBezTo>
                <a:cubicBezTo>
                  <a:pt x="2502" y="3467"/>
                  <a:pt x="1397" y="2960"/>
                  <a:pt x="13" y="2960"/>
                </a:cubicBezTo>
                <a:lnTo>
                  <a:pt x="0" y="2966"/>
                </a:lnTo>
                <a:lnTo>
                  <a:pt x="0" y="5"/>
                </a:lnTo>
                <a:lnTo>
                  <a:pt x="13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5" name="Shape 58">
            <a:extLst>
              <a:ext uri="{FF2B5EF4-FFF2-40B4-BE49-F238E27FC236}">
                <a16:creationId xmlns:a16="http://schemas.microsoft.com/office/drawing/2014/main" id="{D32D6011-68A0-9B4B-91D6-71E972C421CB}"/>
              </a:ext>
            </a:extLst>
          </xdr:cNvPr>
          <xdr:cNvSpPr/>
        </xdr:nvSpPr>
        <xdr:spPr>
          <a:xfrm>
            <a:off x="3907513" y="566670"/>
            <a:ext cx="13449" cy="17170"/>
          </a:xfrm>
          <a:custGeom>
            <a:avLst/>
            <a:gdLst/>
            <a:ahLst/>
            <a:cxnLst/>
            <a:rect l="0" t="0" r="0" b="0"/>
            <a:pathLst>
              <a:path w="13449" h="17170">
                <a:moveTo>
                  <a:pt x="0" y="0"/>
                </a:moveTo>
                <a:lnTo>
                  <a:pt x="3556" y="0"/>
                </a:lnTo>
                <a:lnTo>
                  <a:pt x="3556" y="10287"/>
                </a:lnTo>
                <a:cubicBezTo>
                  <a:pt x="3556" y="11430"/>
                  <a:pt x="3683" y="12281"/>
                  <a:pt x="3963" y="12802"/>
                </a:cubicBezTo>
                <a:cubicBezTo>
                  <a:pt x="4382" y="13741"/>
                  <a:pt x="5309" y="14212"/>
                  <a:pt x="6731" y="14212"/>
                </a:cubicBezTo>
                <a:cubicBezTo>
                  <a:pt x="8141" y="14212"/>
                  <a:pt x="9055" y="13741"/>
                  <a:pt x="9487" y="12802"/>
                </a:cubicBezTo>
                <a:cubicBezTo>
                  <a:pt x="9754" y="12281"/>
                  <a:pt x="9893" y="11430"/>
                  <a:pt x="9893" y="10287"/>
                </a:cubicBezTo>
                <a:lnTo>
                  <a:pt x="9893" y="0"/>
                </a:lnTo>
                <a:lnTo>
                  <a:pt x="13449" y="0"/>
                </a:lnTo>
                <a:lnTo>
                  <a:pt x="13449" y="10287"/>
                </a:lnTo>
                <a:cubicBezTo>
                  <a:pt x="13449" y="12065"/>
                  <a:pt x="13170" y="13450"/>
                  <a:pt x="12624" y="14440"/>
                </a:cubicBezTo>
                <a:cubicBezTo>
                  <a:pt x="11582" y="16256"/>
                  <a:pt x="9627" y="17170"/>
                  <a:pt x="6731" y="17170"/>
                </a:cubicBezTo>
                <a:cubicBezTo>
                  <a:pt x="3835" y="17170"/>
                  <a:pt x="1867" y="16256"/>
                  <a:pt x="826" y="14440"/>
                </a:cubicBezTo>
                <a:cubicBezTo>
                  <a:pt x="279" y="13450"/>
                  <a:pt x="0" y="12065"/>
                  <a:pt x="0" y="10287"/>
                </a:cubicBez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6" name="Shape 59">
            <a:extLst>
              <a:ext uri="{FF2B5EF4-FFF2-40B4-BE49-F238E27FC236}">
                <a16:creationId xmlns:a16="http://schemas.microsoft.com/office/drawing/2014/main" id="{AD0D12CB-37A5-5149-86F0-712A05CA50D2}"/>
              </a:ext>
            </a:extLst>
          </xdr:cNvPr>
          <xdr:cNvSpPr/>
        </xdr:nvSpPr>
        <xdr:spPr>
          <a:xfrm>
            <a:off x="3923478" y="566188"/>
            <a:ext cx="13729" cy="17652"/>
          </a:xfrm>
          <a:custGeom>
            <a:avLst/>
            <a:gdLst/>
            <a:ahLst/>
            <a:cxnLst/>
            <a:rect l="0" t="0" r="0" b="0"/>
            <a:pathLst>
              <a:path w="13729" h="17652">
                <a:moveTo>
                  <a:pt x="6719" y="0"/>
                </a:moveTo>
                <a:cubicBezTo>
                  <a:pt x="8471" y="0"/>
                  <a:pt x="9982" y="470"/>
                  <a:pt x="11227" y="1397"/>
                </a:cubicBezTo>
                <a:cubicBezTo>
                  <a:pt x="12472" y="2336"/>
                  <a:pt x="13119" y="3695"/>
                  <a:pt x="13183" y="5473"/>
                </a:cubicBezTo>
                <a:lnTo>
                  <a:pt x="9830" y="5473"/>
                </a:lnTo>
                <a:cubicBezTo>
                  <a:pt x="9766" y="4470"/>
                  <a:pt x="9322" y="3746"/>
                  <a:pt x="8509" y="3327"/>
                </a:cubicBezTo>
                <a:cubicBezTo>
                  <a:pt x="7963" y="3048"/>
                  <a:pt x="7290" y="2908"/>
                  <a:pt x="6477" y="2908"/>
                </a:cubicBezTo>
                <a:cubicBezTo>
                  <a:pt x="5575" y="2908"/>
                  <a:pt x="4852" y="3086"/>
                  <a:pt x="4318" y="3454"/>
                </a:cubicBezTo>
                <a:cubicBezTo>
                  <a:pt x="3785" y="3810"/>
                  <a:pt x="3518" y="4318"/>
                  <a:pt x="3518" y="4978"/>
                </a:cubicBezTo>
                <a:cubicBezTo>
                  <a:pt x="3518" y="5562"/>
                  <a:pt x="3785" y="6020"/>
                  <a:pt x="4306" y="6311"/>
                </a:cubicBezTo>
                <a:cubicBezTo>
                  <a:pt x="4648" y="6502"/>
                  <a:pt x="5372" y="6743"/>
                  <a:pt x="6490" y="6997"/>
                </a:cubicBezTo>
                <a:lnTo>
                  <a:pt x="9373" y="7696"/>
                </a:lnTo>
                <a:cubicBezTo>
                  <a:pt x="10630" y="8000"/>
                  <a:pt x="11583" y="8394"/>
                  <a:pt x="12230" y="8903"/>
                </a:cubicBezTo>
                <a:cubicBezTo>
                  <a:pt x="13234" y="9690"/>
                  <a:pt x="13729" y="10833"/>
                  <a:pt x="13729" y="12331"/>
                </a:cubicBezTo>
                <a:cubicBezTo>
                  <a:pt x="13729" y="13856"/>
                  <a:pt x="13145" y="15125"/>
                  <a:pt x="11976" y="16128"/>
                </a:cubicBezTo>
                <a:cubicBezTo>
                  <a:pt x="10808" y="17145"/>
                  <a:pt x="9157" y="17652"/>
                  <a:pt x="7023" y="17652"/>
                </a:cubicBezTo>
                <a:cubicBezTo>
                  <a:pt x="4839" y="17652"/>
                  <a:pt x="3124" y="17145"/>
                  <a:pt x="1880" y="16154"/>
                </a:cubicBezTo>
                <a:cubicBezTo>
                  <a:pt x="635" y="15163"/>
                  <a:pt x="0" y="13792"/>
                  <a:pt x="0" y="12052"/>
                </a:cubicBezTo>
                <a:lnTo>
                  <a:pt x="3340" y="12052"/>
                </a:lnTo>
                <a:cubicBezTo>
                  <a:pt x="3454" y="12814"/>
                  <a:pt x="3658" y="13385"/>
                  <a:pt x="3963" y="13767"/>
                </a:cubicBezTo>
                <a:cubicBezTo>
                  <a:pt x="4534" y="14453"/>
                  <a:pt x="5512" y="14808"/>
                  <a:pt x="6884" y="14808"/>
                </a:cubicBezTo>
                <a:cubicBezTo>
                  <a:pt x="7709" y="14808"/>
                  <a:pt x="8382" y="14706"/>
                  <a:pt x="8890" y="14529"/>
                </a:cubicBezTo>
                <a:cubicBezTo>
                  <a:pt x="9868" y="14173"/>
                  <a:pt x="10363" y="13526"/>
                  <a:pt x="10363" y="12585"/>
                </a:cubicBezTo>
                <a:cubicBezTo>
                  <a:pt x="10363" y="12026"/>
                  <a:pt x="10122" y="11608"/>
                  <a:pt x="9639" y="11302"/>
                </a:cubicBezTo>
                <a:cubicBezTo>
                  <a:pt x="9144" y="11010"/>
                  <a:pt x="8382" y="10744"/>
                  <a:pt x="7353" y="10515"/>
                </a:cubicBezTo>
                <a:lnTo>
                  <a:pt x="5575" y="10122"/>
                </a:lnTo>
                <a:cubicBezTo>
                  <a:pt x="3848" y="9728"/>
                  <a:pt x="2642" y="9309"/>
                  <a:pt x="1968" y="8839"/>
                </a:cubicBezTo>
                <a:cubicBezTo>
                  <a:pt x="838" y="8064"/>
                  <a:pt x="279" y="6858"/>
                  <a:pt x="279" y="5219"/>
                </a:cubicBezTo>
                <a:cubicBezTo>
                  <a:pt x="279" y="3721"/>
                  <a:pt x="826" y="2476"/>
                  <a:pt x="1918" y="1485"/>
                </a:cubicBezTo>
                <a:cubicBezTo>
                  <a:pt x="3010" y="495"/>
                  <a:pt x="4597" y="0"/>
                  <a:pt x="6719" y="0"/>
                </a:cubicBez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7" name="Shape 344">
            <a:extLst>
              <a:ext uri="{FF2B5EF4-FFF2-40B4-BE49-F238E27FC236}">
                <a16:creationId xmlns:a16="http://schemas.microsoft.com/office/drawing/2014/main" id="{791ABDF9-5160-A649-A337-E2BF65B437DB}"/>
              </a:ext>
            </a:extLst>
          </xdr:cNvPr>
          <xdr:cNvSpPr/>
        </xdr:nvSpPr>
        <xdr:spPr>
          <a:xfrm>
            <a:off x="3939527" y="566674"/>
            <a:ext cx="9144" cy="16726"/>
          </a:xfrm>
          <a:custGeom>
            <a:avLst/>
            <a:gdLst/>
            <a:ahLst/>
            <a:cxnLst/>
            <a:rect l="0" t="0" r="0" b="0"/>
            <a:pathLst>
              <a:path w="9144" h="16726">
                <a:moveTo>
                  <a:pt x="0" y="0"/>
                </a:moveTo>
                <a:lnTo>
                  <a:pt x="9144" y="0"/>
                </a:lnTo>
                <a:lnTo>
                  <a:pt x="9144" y="16726"/>
                </a:lnTo>
                <a:lnTo>
                  <a:pt x="0" y="16726"/>
                </a:lnTo>
                <a:lnTo>
                  <a:pt x="0" y="0"/>
                </a:lnTo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8" name="Shape 61">
            <a:extLst>
              <a:ext uri="{FF2B5EF4-FFF2-40B4-BE49-F238E27FC236}">
                <a16:creationId xmlns:a16="http://schemas.microsoft.com/office/drawing/2014/main" id="{3DE2B9A0-80A2-384C-98E2-3CFE475169F1}"/>
              </a:ext>
            </a:extLst>
          </xdr:cNvPr>
          <xdr:cNvSpPr/>
        </xdr:nvSpPr>
        <xdr:spPr>
          <a:xfrm>
            <a:off x="3946191" y="566679"/>
            <a:ext cx="13589" cy="16726"/>
          </a:xfrm>
          <a:custGeom>
            <a:avLst/>
            <a:gdLst/>
            <a:ahLst/>
            <a:cxnLst/>
            <a:rect l="0" t="0" r="0" b="0"/>
            <a:pathLst>
              <a:path w="13589" h="16726">
                <a:moveTo>
                  <a:pt x="0" y="0"/>
                </a:moveTo>
                <a:lnTo>
                  <a:pt x="3670" y="0"/>
                </a:lnTo>
                <a:lnTo>
                  <a:pt x="10325" y="11671"/>
                </a:lnTo>
                <a:lnTo>
                  <a:pt x="10325" y="0"/>
                </a:lnTo>
                <a:lnTo>
                  <a:pt x="13589" y="0"/>
                </a:lnTo>
                <a:lnTo>
                  <a:pt x="13589" y="16726"/>
                </a:lnTo>
                <a:lnTo>
                  <a:pt x="10096" y="16726"/>
                </a:lnTo>
                <a:lnTo>
                  <a:pt x="3264" y="4839"/>
                </a:lnTo>
                <a:lnTo>
                  <a:pt x="3264" y="16726"/>
                </a:lnTo>
                <a:lnTo>
                  <a:pt x="0" y="16726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9" name="Shape 62">
            <a:extLst>
              <a:ext uri="{FF2B5EF4-FFF2-40B4-BE49-F238E27FC236}">
                <a16:creationId xmlns:a16="http://schemas.microsoft.com/office/drawing/2014/main" id="{4A248A9F-4FC1-4F4B-B99A-5061FD91B8C9}"/>
              </a:ext>
            </a:extLst>
          </xdr:cNvPr>
          <xdr:cNvSpPr/>
        </xdr:nvSpPr>
        <xdr:spPr>
          <a:xfrm>
            <a:off x="3962225" y="566244"/>
            <a:ext cx="15545" cy="17602"/>
          </a:xfrm>
          <a:custGeom>
            <a:avLst/>
            <a:gdLst/>
            <a:ahLst/>
            <a:cxnLst/>
            <a:rect l="0" t="0" r="0" b="0"/>
            <a:pathLst>
              <a:path w="15545" h="17602">
                <a:moveTo>
                  <a:pt x="8153" y="0"/>
                </a:moveTo>
                <a:cubicBezTo>
                  <a:pt x="10274" y="0"/>
                  <a:pt x="11989" y="546"/>
                  <a:pt x="13272" y="1613"/>
                </a:cubicBezTo>
                <a:cubicBezTo>
                  <a:pt x="14567" y="2693"/>
                  <a:pt x="15303" y="4039"/>
                  <a:pt x="15494" y="5652"/>
                </a:cubicBezTo>
                <a:lnTo>
                  <a:pt x="12052" y="5652"/>
                </a:lnTo>
                <a:cubicBezTo>
                  <a:pt x="11786" y="4508"/>
                  <a:pt x="11138" y="3708"/>
                  <a:pt x="10109" y="3251"/>
                </a:cubicBezTo>
                <a:cubicBezTo>
                  <a:pt x="9538" y="3010"/>
                  <a:pt x="8903" y="2883"/>
                  <a:pt x="8191" y="2883"/>
                </a:cubicBezTo>
                <a:cubicBezTo>
                  <a:pt x="6845" y="2883"/>
                  <a:pt x="5740" y="3391"/>
                  <a:pt x="4877" y="4407"/>
                </a:cubicBezTo>
                <a:cubicBezTo>
                  <a:pt x="4013" y="5423"/>
                  <a:pt x="3582" y="6960"/>
                  <a:pt x="3582" y="8992"/>
                </a:cubicBezTo>
                <a:cubicBezTo>
                  <a:pt x="3582" y="11062"/>
                  <a:pt x="4039" y="12509"/>
                  <a:pt x="4978" y="13373"/>
                </a:cubicBezTo>
                <a:cubicBezTo>
                  <a:pt x="5918" y="14224"/>
                  <a:pt x="6985" y="14643"/>
                  <a:pt x="8179" y="14643"/>
                </a:cubicBezTo>
                <a:cubicBezTo>
                  <a:pt x="9360" y="14643"/>
                  <a:pt x="10313" y="14313"/>
                  <a:pt x="11062" y="13640"/>
                </a:cubicBezTo>
                <a:cubicBezTo>
                  <a:pt x="11811" y="12967"/>
                  <a:pt x="12281" y="12065"/>
                  <a:pt x="12459" y="10973"/>
                </a:cubicBezTo>
                <a:lnTo>
                  <a:pt x="8585" y="10973"/>
                </a:lnTo>
                <a:lnTo>
                  <a:pt x="8585" y="8179"/>
                </a:lnTo>
                <a:lnTo>
                  <a:pt x="15545" y="8179"/>
                </a:lnTo>
                <a:lnTo>
                  <a:pt x="15545" y="17158"/>
                </a:lnTo>
                <a:lnTo>
                  <a:pt x="13233" y="17158"/>
                </a:lnTo>
                <a:lnTo>
                  <a:pt x="12891" y="15075"/>
                </a:lnTo>
                <a:cubicBezTo>
                  <a:pt x="12205" y="15863"/>
                  <a:pt x="11608" y="16421"/>
                  <a:pt x="11062" y="16752"/>
                </a:cubicBezTo>
                <a:cubicBezTo>
                  <a:pt x="10147" y="17323"/>
                  <a:pt x="9004" y="17602"/>
                  <a:pt x="7658" y="17602"/>
                </a:cubicBezTo>
                <a:cubicBezTo>
                  <a:pt x="5436" y="17602"/>
                  <a:pt x="3632" y="16828"/>
                  <a:pt x="2210" y="15304"/>
                </a:cubicBezTo>
                <a:cubicBezTo>
                  <a:pt x="737" y="13754"/>
                  <a:pt x="0" y="11646"/>
                  <a:pt x="0" y="8966"/>
                </a:cubicBezTo>
                <a:cubicBezTo>
                  <a:pt x="0" y="6261"/>
                  <a:pt x="749" y="4090"/>
                  <a:pt x="2235" y="2451"/>
                </a:cubicBezTo>
                <a:cubicBezTo>
                  <a:pt x="3721" y="813"/>
                  <a:pt x="5702" y="0"/>
                  <a:pt x="8153" y="0"/>
                </a:cubicBez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0" name="Shape 63">
            <a:extLst>
              <a:ext uri="{FF2B5EF4-FFF2-40B4-BE49-F238E27FC236}">
                <a16:creationId xmlns:a16="http://schemas.microsoft.com/office/drawing/2014/main" id="{4D5800DE-12E8-3244-9964-F00C3D1B9902}"/>
              </a:ext>
            </a:extLst>
          </xdr:cNvPr>
          <xdr:cNvSpPr/>
        </xdr:nvSpPr>
        <xdr:spPr>
          <a:xfrm>
            <a:off x="3774405" y="588107"/>
            <a:ext cx="10370" cy="20791"/>
          </a:xfrm>
          <a:custGeom>
            <a:avLst/>
            <a:gdLst/>
            <a:ahLst/>
            <a:cxnLst/>
            <a:rect l="0" t="0" r="0" b="0"/>
            <a:pathLst>
              <a:path w="10370" h="20791">
                <a:moveTo>
                  <a:pt x="10274" y="0"/>
                </a:moveTo>
                <a:lnTo>
                  <a:pt x="10370" y="22"/>
                </a:lnTo>
                <a:lnTo>
                  <a:pt x="10370" y="4834"/>
                </a:lnTo>
                <a:lnTo>
                  <a:pt x="8446" y="5410"/>
                </a:lnTo>
                <a:cubicBezTo>
                  <a:pt x="7810" y="5816"/>
                  <a:pt x="7315" y="6426"/>
                  <a:pt x="6947" y="7264"/>
                </a:cubicBezTo>
                <a:cubicBezTo>
                  <a:pt x="6579" y="8115"/>
                  <a:pt x="6401" y="9144"/>
                  <a:pt x="6401" y="10389"/>
                </a:cubicBezTo>
                <a:cubicBezTo>
                  <a:pt x="6401" y="12229"/>
                  <a:pt x="6820" y="13677"/>
                  <a:pt x="7658" y="14732"/>
                </a:cubicBezTo>
                <a:cubicBezTo>
                  <a:pt x="8331" y="15532"/>
                  <a:pt x="9208" y="15925"/>
                  <a:pt x="10325" y="15925"/>
                </a:cubicBezTo>
                <a:lnTo>
                  <a:pt x="10370" y="15913"/>
                </a:lnTo>
                <a:lnTo>
                  <a:pt x="10370" y="20791"/>
                </a:lnTo>
                <a:lnTo>
                  <a:pt x="2832" y="17945"/>
                </a:lnTo>
                <a:cubicBezTo>
                  <a:pt x="940" y="16053"/>
                  <a:pt x="0" y="13526"/>
                  <a:pt x="0" y="10363"/>
                </a:cubicBezTo>
                <a:cubicBezTo>
                  <a:pt x="0" y="8865"/>
                  <a:pt x="216" y="7505"/>
                  <a:pt x="648" y="6311"/>
                </a:cubicBezTo>
                <a:cubicBezTo>
                  <a:pt x="1092" y="5105"/>
                  <a:pt x="1677" y="4102"/>
                  <a:pt x="2413" y="3277"/>
                </a:cubicBezTo>
                <a:cubicBezTo>
                  <a:pt x="3150" y="2463"/>
                  <a:pt x="3924" y="1829"/>
                  <a:pt x="4725" y="1384"/>
                </a:cubicBezTo>
                <a:cubicBezTo>
                  <a:pt x="5524" y="952"/>
                  <a:pt x="6388" y="609"/>
                  <a:pt x="7328" y="368"/>
                </a:cubicBezTo>
                <a:cubicBezTo>
                  <a:pt x="8268" y="126"/>
                  <a:pt x="9258" y="0"/>
                  <a:pt x="10274" y="0"/>
                </a:cubicBez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1" name="Shape 64">
            <a:extLst>
              <a:ext uri="{FF2B5EF4-FFF2-40B4-BE49-F238E27FC236}">
                <a16:creationId xmlns:a16="http://schemas.microsoft.com/office/drawing/2014/main" id="{97F275AF-7B1F-D748-AFAF-4528B5223B25}"/>
              </a:ext>
            </a:extLst>
          </xdr:cNvPr>
          <xdr:cNvSpPr/>
        </xdr:nvSpPr>
        <xdr:spPr>
          <a:xfrm>
            <a:off x="3784774" y="588128"/>
            <a:ext cx="10357" cy="20781"/>
          </a:xfrm>
          <a:custGeom>
            <a:avLst/>
            <a:gdLst/>
            <a:ahLst/>
            <a:cxnLst/>
            <a:rect l="0" t="0" r="0" b="0"/>
            <a:pathLst>
              <a:path w="10357" h="20781">
                <a:moveTo>
                  <a:pt x="0" y="0"/>
                </a:moveTo>
                <a:lnTo>
                  <a:pt x="5290" y="1210"/>
                </a:lnTo>
                <a:cubicBezTo>
                  <a:pt x="6928" y="2022"/>
                  <a:pt x="8185" y="3216"/>
                  <a:pt x="9049" y="4766"/>
                </a:cubicBezTo>
                <a:cubicBezTo>
                  <a:pt x="9925" y="6328"/>
                  <a:pt x="10357" y="8119"/>
                  <a:pt x="10357" y="10138"/>
                </a:cubicBezTo>
                <a:cubicBezTo>
                  <a:pt x="10357" y="12119"/>
                  <a:pt x="9976" y="13897"/>
                  <a:pt x="9214" y="15472"/>
                </a:cubicBezTo>
                <a:cubicBezTo>
                  <a:pt x="8452" y="17047"/>
                  <a:pt x="7284" y="18329"/>
                  <a:pt x="5734" y="19307"/>
                </a:cubicBezTo>
                <a:cubicBezTo>
                  <a:pt x="4172" y="20286"/>
                  <a:pt x="2280" y="20781"/>
                  <a:pt x="32" y="20781"/>
                </a:cubicBezTo>
                <a:lnTo>
                  <a:pt x="0" y="20769"/>
                </a:lnTo>
                <a:lnTo>
                  <a:pt x="0" y="15891"/>
                </a:lnTo>
                <a:lnTo>
                  <a:pt x="1962" y="15345"/>
                </a:lnTo>
                <a:cubicBezTo>
                  <a:pt x="2572" y="14977"/>
                  <a:pt x="3054" y="14367"/>
                  <a:pt x="3423" y="13504"/>
                </a:cubicBezTo>
                <a:cubicBezTo>
                  <a:pt x="3791" y="12640"/>
                  <a:pt x="3969" y="11599"/>
                  <a:pt x="3969" y="10367"/>
                </a:cubicBezTo>
                <a:cubicBezTo>
                  <a:pt x="3969" y="9465"/>
                  <a:pt x="3880" y="8678"/>
                  <a:pt x="3702" y="7979"/>
                </a:cubicBezTo>
                <a:cubicBezTo>
                  <a:pt x="3524" y="7293"/>
                  <a:pt x="3283" y="6734"/>
                  <a:pt x="2991" y="6303"/>
                </a:cubicBezTo>
                <a:cubicBezTo>
                  <a:pt x="2686" y="5871"/>
                  <a:pt x="2292" y="5515"/>
                  <a:pt x="1784" y="5223"/>
                </a:cubicBezTo>
                <a:cubicBezTo>
                  <a:pt x="1276" y="4931"/>
                  <a:pt x="705" y="4791"/>
                  <a:pt x="70" y="4791"/>
                </a:cubicBezTo>
                <a:lnTo>
                  <a:pt x="0" y="4812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2" name="Shape 65">
            <a:extLst>
              <a:ext uri="{FF2B5EF4-FFF2-40B4-BE49-F238E27FC236}">
                <a16:creationId xmlns:a16="http://schemas.microsoft.com/office/drawing/2014/main" id="{30B794C2-78FA-8344-95B2-05B83CD19867}"/>
              </a:ext>
            </a:extLst>
          </xdr:cNvPr>
          <xdr:cNvSpPr/>
        </xdr:nvSpPr>
        <xdr:spPr>
          <a:xfrm>
            <a:off x="3796329" y="588634"/>
            <a:ext cx="9036" cy="19761"/>
          </a:xfrm>
          <a:custGeom>
            <a:avLst/>
            <a:gdLst/>
            <a:ahLst/>
            <a:cxnLst/>
            <a:rect l="0" t="0" r="0" b="0"/>
            <a:pathLst>
              <a:path w="9036" h="19761">
                <a:moveTo>
                  <a:pt x="0" y="0"/>
                </a:moveTo>
                <a:lnTo>
                  <a:pt x="8077" y="0"/>
                </a:lnTo>
                <a:lnTo>
                  <a:pt x="9036" y="57"/>
                </a:lnTo>
                <a:lnTo>
                  <a:pt x="9036" y="4887"/>
                </a:lnTo>
                <a:lnTo>
                  <a:pt x="8356" y="4775"/>
                </a:lnTo>
                <a:lnTo>
                  <a:pt x="6286" y="4775"/>
                </a:lnTo>
                <a:lnTo>
                  <a:pt x="6286" y="8916"/>
                </a:lnTo>
                <a:lnTo>
                  <a:pt x="8623" y="8916"/>
                </a:lnTo>
                <a:lnTo>
                  <a:pt x="9036" y="8880"/>
                </a:lnTo>
                <a:lnTo>
                  <a:pt x="9036" y="13627"/>
                </a:lnTo>
                <a:lnTo>
                  <a:pt x="6388" y="13627"/>
                </a:lnTo>
                <a:lnTo>
                  <a:pt x="6388" y="19761"/>
                </a:lnTo>
                <a:lnTo>
                  <a:pt x="0" y="19761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3" name="Shape 66">
            <a:extLst>
              <a:ext uri="{FF2B5EF4-FFF2-40B4-BE49-F238E27FC236}">
                <a16:creationId xmlns:a16="http://schemas.microsoft.com/office/drawing/2014/main" id="{1B5D86BD-0A43-534C-98D4-1BC97D93CC5D}"/>
              </a:ext>
            </a:extLst>
          </xdr:cNvPr>
          <xdr:cNvSpPr/>
        </xdr:nvSpPr>
        <xdr:spPr>
          <a:xfrm>
            <a:off x="3805365" y="588691"/>
            <a:ext cx="8922" cy="13570"/>
          </a:xfrm>
          <a:custGeom>
            <a:avLst/>
            <a:gdLst/>
            <a:ahLst/>
            <a:cxnLst/>
            <a:rect l="0" t="0" r="0" b="0"/>
            <a:pathLst>
              <a:path w="8922" h="13570">
                <a:moveTo>
                  <a:pt x="0" y="0"/>
                </a:moveTo>
                <a:lnTo>
                  <a:pt x="3308" y="197"/>
                </a:lnTo>
                <a:cubicBezTo>
                  <a:pt x="4261" y="374"/>
                  <a:pt x="5061" y="615"/>
                  <a:pt x="5671" y="921"/>
                </a:cubicBezTo>
                <a:cubicBezTo>
                  <a:pt x="6280" y="1238"/>
                  <a:pt x="6839" y="1683"/>
                  <a:pt x="7360" y="2267"/>
                </a:cubicBezTo>
                <a:cubicBezTo>
                  <a:pt x="7881" y="2839"/>
                  <a:pt x="8274" y="3486"/>
                  <a:pt x="8528" y="4210"/>
                </a:cubicBezTo>
                <a:cubicBezTo>
                  <a:pt x="8795" y="4934"/>
                  <a:pt x="8922" y="5746"/>
                  <a:pt x="8922" y="6648"/>
                </a:cubicBezTo>
                <a:cubicBezTo>
                  <a:pt x="8922" y="7664"/>
                  <a:pt x="8769" y="8591"/>
                  <a:pt x="8452" y="9404"/>
                </a:cubicBezTo>
                <a:cubicBezTo>
                  <a:pt x="8122" y="10230"/>
                  <a:pt x="7741" y="10890"/>
                  <a:pt x="7296" y="11373"/>
                </a:cubicBezTo>
                <a:cubicBezTo>
                  <a:pt x="6852" y="11855"/>
                  <a:pt x="6382" y="12236"/>
                  <a:pt x="5899" y="12503"/>
                </a:cubicBezTo>
                <a:cubicBezTo>
                  <a:pt x="5569" y="12706"/>
                  <a:pt x="5061" y="12909"/>
                  <a:pt x="4375" y="13112"/>
                </a:cubicBezTo>
                <a:cubicBezTo>
                  <a:pt x="3334" y="13417"/>
                  <a:pt x="2229" y="13570"/>
                  <a:pt x="1048" y="13570"/>
                </a:cubicBezTo>
                <a:lnTo>
                  <a:pt x="0" y="13570"/>
                </a:lnTo>
                <a:lnTo>
                  <a:pt x="0" y="8823"/>
                </a:lnTo>
                <a:lnTo>
                  <a:pt x="1505" y="8693"/>
                </a:lnTo>
                <a:cubicBezTo>
                  <a:pt x="1873" y="8579"/>
                  <a:pt x="2165" y="8350"/>
                  <a:pt x="2407" y="8007"/>
                </a:cubicBezTo>
                <a:cubicBezTo>
                  <a:pt x="2635" y="7651"/>
                  <a:pt x="2749" y="7232"/>
                  <a:pt x="2749" y="6750"/>
                </a:cubicBezTo>
                <a:cubicBezTo>
                  <a:pt x="2749" y="5975"/>
                  <a:pt x="2483" y="5442"/>
                  <a:pt x="1949" y="5149"/>
                </a:cubicBezTo>
                <a:lnTo>
                  <a:pt x="0" y="4829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4" name="Shape 67">
            <a:extLst>
              <a:ext uri="{FF2B5EF4-FFF2-40B4-BE49-F238E27FC236}">
                <a16:creationId xmlns:a16="http://schemas.microsoft.com/office/drawing/2014/main" id="{EAC9732A-8442-4A45-90ED-18738A63777B}"/>
              </a:ext>
            </a:extLst>
          </xdr:cNvPr>
          <xdr:cNvSpPr/>
        </xdr:nvSpPr>
        <xdr:spPr>
          <a:xfrm>
            <a:off x="3814807" y="588635"/>
            <a:ext cx="9030" cy="19761"/>
          </a:xfrm>
          <a:custGeom>
            <a:avLst/>
            <a:gdLst/>
            <a:ahLst/>
            <a:cxnLst/>
            <a:rect l="0" t="0" r="0" b="0"/>
            <a:pathLst>
              <a:path w="9030" h="19761">
                <a:moveTo>
                  <a:pt x="0" y="0"/>
                </a:moveTo>
                <a:lnTo>
                  <a:pt x="8064" y="0"/>
                </a:lnTo>
                <a:lnTo>
                  <a:pt x="9030" y="57"/>
                </a:lnTo>
                <a:lnTo>
                  <a:pt x="9030" y="4886"/>
                </a:lnTo>
                <a:lnTo>
                  <a:pt x="8356" y="4775"/>
                </a:lnTo>
                <a:lnTo>
                  <a:pt x="6286" y="4775"/>
                </a:lnTo>
                <a:lnTo>
                  <a:pt x="6286" y="8915"/>
                </a:lnTo>
                <a:lnTo>
                  <a:pt x="8610" y="8915"/>
                </a:lnTo>
                <a:lnTo>
                  <a:pt x="9030" y="8879"/>
                </a:lnTo>
                <a:lnTo>
                  <a:pt x="9030" y="13627"/>
                </a:lnTo>
                <a:lnTo>
                  <a:pt x="6375" y="13627"/>
                </a:lnTo>
                <a:lnTo>
                  <a:pt x="6375" y="19761"/>
                </a:lnTo>
                <a:lnTo>
                  <a:pt x="0" y="19761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5" name="Shape 68">
            <a:extLst>
              <a:ext uri="{FF2B5EF4-FFF2-40B4-BE49-F238E27FC236}">
                <a16:creationId xmlns:a16="http://schemas.microsoft.com/office/drawing/2014/main" id="{6BE7B3D0-9554-3140-9881-5359A62E821A}"/>
              </a:ext>
            </a:extLst>
          </xdr:cNvPr>
          <xdr:cNvSpPr/>
        </xdr:nvSpPr>
        <xdr:spPr>
          <a:xfrm>
            <a:off x="3823837" y="588693"/>
            <a:ext cx="8928" cy="13570"/>
          </a:xfrm>
          <a:custGeom>
            <a:avLst/>
            <a:gdLst/>
            <a:ahLst/>
            <a:cxnLst/>
            <a:rect l="0" t="0" r="0" b="0"/>
            <a:pathLst>
              <a:path w="8928" h="13570">
                <a:moveTo>
                  <a:pt x="0" y="0"/>
                </a:moveTo>
                <a:lnTo>
                  <a:pt x="3302" y="196"/>
                </a:lnTo>
                <a:cubicBezTo>
                  <a:pt x="4267" y="374"/>
                  <a:pt x="5054" y="603"/>
                  <a:pt x="5664" y="920"/>
                </a:cubicBezTo>
                <a:cubicBezTo>
                  <a:pt x="6274" y="1238"/>
                  <a:pt x="6845" y="1682"/>
                  <a:pt x="7366" y="2254"/>
                </a:cubicBezTo>
                <a:cubicBezTo>
                  <a:pt x="7874" y="2838"/>
                  <a:pt x="8268" y="3486"/>
                  <a:pt x="8534" y="4210"/>
                </a:cubicBezTo>
                <a:cubicBezTo>
                  <a:pt x="8801" y="4934"/>
                  <a:pt x="8928" y="5746"/>
                  <a:pt x="8928" y="6648"/>
                </a:cubicBezTo>
                <a:cubicBezTo>
                  <a:pt x="8928" y="7664"/>
                  <a:pt x="8763" y="8591"/>
                  <a:pt x="8445" y="9404"/>
                </a:cubicBezTo>
                <a:cubicBezTo>
                  <a:pt x="8115" y="10230"/>
                  <a:pt x="7734" y="10877"/>
                  <a:pt x="7290" y="11372"/>
                </a:cubicBezTo>
                <a:cubicBezTo>
                  <a:pt x="6845" y="11855"/>
                  <a:pt x="6388" y="12236"/>
                  <a:pt x="5905" y="12502"/>
                </a:cubicBezTo>
                <a:cubicBezTo>
                  <a:pt x="5562" y="12706"/>
                  <a:pt x="5067" y="12909"/>
                  <a:pt x="4382" y="13112"/>
                </a:cubicBezTo>
                <a:cubicBezTo>
                  <a:pt x="3340" y="13417"/>
                  <a:pt x="2222" y="13570"/>
                  <a:pt x="1041" y="13570"/>
                </a:cubicBezTo>
                <a:lnTo>
                  <a:pt x="0" y="13570"/>
                </a:lnTo>
                <a:lnTo>
                  <a:pt x="0" y="8822"/>
                </a:lnTo>
                <a:lnTo>
                  <a:pt x="1511" y="8692"/>
                </a:lnTo>
                <a:cubicBezTo>
                  <a:pt x="1867" y="8579"/>
                  <a:pt x="2159" y="8350"/>
                  <a:pt x="2400" y="7994"/>
                </a:cubicBezTo>
                <a:cubicBezTo>
                  <a:pt x="2629" y="7651"/>
                  <a:pt x="2743" y="7232"/>
                  <a:pt x="2743" y="6749"/>
                </a:cubicBezTo>
                <a:cubicBezTo>
                  <a:pt x="2743" y="5975"/>
                  <a:pt x="2476" y="5442"/>
                  <a:pt x="1943" y="5149"/>
                </a:cubicBezTo>
                <a:lnTo>
                  <a:pt x="0" y="4828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6" name="Shape 69">
            <a:extLst>
              <a:ext uri="{FF2B5EF4-FFF2-40B4-BE49-F238E27FC236}">
                <a16:creationId xmlns:a16="http://schemas.microsoft.com/office/drawing/2014/main" id="{CA7C72B4-1D77-9049-B874-45C284E81BB2}"/>
              </a:ext>
            </a:extLst>
          </xdr:cNvPr>
          <xdr:cNvSpPr/>
        </xdr:nvSpPr>
        <xdr:spPr>
          <a:xfrm>
            <a:off x="3832918" y="588107"/>
            <a:ext cx="10370" cy="20791"/>
          </a:xfrm>
          <a:custGeom>
            <a:avLst/>
            <a:gdLst/>
            <a:ahLst/>
            <a:cxnLst/>
            <a:rect l="0" t="0" r="0" b="0"/>
            <a:pathLst>
              <a:path w="10370" h="20791">
                <a:moveTo>
                  <a:pt x="10274" y="0"/>
                </a:moveTo>
                <a:lnTo>
                  <a:pt x="10370" y="22"/>
                </a:lnTo>
                <a:lnTo>
                  <a:pt x="10370" y="4834"/>
                </a:lnTo>
                <a:lnTo>
                  <a:pt x="8446" y="5410"/>
                </a:lnTo>
                <a:cubicBezTo>
                  <a:pt x="7810" y="5816"/>
                  <a:pt x="7315" y="6426"/>
                  <a:pt x="6947" y="7264"/>
                </a:cubicBezTo>
                <a:cubicBezTo>
                  <a:pt x="6579" y="8115"/>
                  <a:pt x="6401" y="9144"/>
                  <a:pt x="6401" y="10389"/>
                </a:cubicBezTo>
                <a:cubicBezTo>
                  <a:pt x="6401" y="12229"/>
                  <a:pt x="6820" y="13677"/>
                  <a:pt x="7658" y="14732"/>
                </a:cubicBezTo>
                <a:cubicBezTo>
                  <a:pt x="8331" y="15532"/>
                  <a:pt x="9208" y="15925"/>
                  <a:pt x="10313" y="15925"/>
                </a:cubicBezTo>
                <a:lnTo>
                  <a:pt x="10370" y="15910"/>
                </a:lnTo>
                <a:lnTo>
                  <a:pt x="10370" y="20791"/>
                </a:lnTo>
                <a:lnTo>
                  <a:pt x="2832" y="17945"/>
                </a:lnTo>
                <a:cubicBezTo>
                  <a:pt x="940" y="16053"/>
                  <a:pt x="0" y="13526"/>
                  <a:pt x="0" y="10363"/>
                </a:cubicBezTo>
                <a:cubicBezTo>
                  <a:pt x="0" y="8865"/>
                  <a:pt x="216" y="7505"/>
                  <a:pt x="648" y="6311"/>
                </a:cubicBezTo>
                <a:cubicBezTo>
                  <a:pt x="1092" y="5105"/>
                  <a:pt x="1677" y="4102"/>
                  <a:pt x="2413" y="3277"/>
                </a:cubicBezTo>
                <a:cubicBezTo>
                  <a:pt x="3162" y="2463"/>
                  <a:pt x="3924" y="1829"/>
                  <a:pt x="4725" y="1384"/>
                </a:cubicBezTo>
                <a:cubicBezTo>
                  <a:pt x="5524" y="952"/>
                  <a:pt x="6388" y="609"/>
                  <a:pt x="7328" y="368"/>
                </a:cubicBezTo>
                <a:cubicBezTo>
                  <a:pt x="8268" y="126"/>
                  <a:pt x="9258" y="0"/>
                  <a:pt x="10274" y="0"/>
                </a:cubicBez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7" name="Shape 70">
            <a:extLst>
              <a:ext uri="{FF2B5EF4-FFF2-40B4-BE49-F238E27FC236}">
                <a16:creationId xmlns:a16="http://schemas.microsoft.com/office/drawing/2014/main" id="{6362EB82-6588-ED4D-8F3C-97F4BFBA1906}"/>
              </a:ext>
            </a:extLst>
          </xdr:cNvPr>
          <xdr:cNvSpPr/>
        </xdr:nvSpPr>
        <xdr:spPr>
          <a:xfrm>
            <a:off x="3843288" y="588128"/>
            <a:ext cx="10357" cy="20781"/>
          </a:xfrm>
          <a:custGeom>
            <a:avLst/>
            <a:gdLst/>
            <a:ahLst/>
            <a:cxnLst/>
            <a:rect l="0" t="0" r="0" b="0"/>
            <a:pathLst>
              <a:path w="10357" h="20781">
                <a:moveTo>
                  <a:pt x="0" y="0"/>
                </a:moveTo>
                <a:lnTo>
                  <a:pt x="5302" y="1210"/>
                </a:lnTo>
                <a:cubicBezTo>
                  <a:pt x="6941" y="2022"/>
                  <a:pt x="8185" y="3216"/>
                  <a:pt x="9061" y="4766"/>
                </a:cubicBezTo>
                <a:cubicBezTo>
                  <a:pt x="9925" y="6328"/>
                  <a:pt x="10357" y="8119"/>
                  <a:pt x="10357" y="10138"/>
                </a:cubicBezTo>
                <a:cubicBezTo>
                  <a:pt x="10357" y="12119"/>
                  <a:pt x="9976" y="13897"/>
                  <a:pt x="9214" y="15472"/>
                </a:cubicBezTo>
                <a:cubicBezTo>
                  <a:pt x="8452" y="17047"/>
                  <a:pt x="7284" y="18329"/>
                  <a:pt x="5734" y="19307"/>
                </a:cubicBezTo>
                <a:cubicBezTo>
                  <a:pt x="4185" y="20286"/>
                  <a:pt x="2280" y="20781"/>
                  <a:pt x="32" y="20781"/>
                </a:cubicBezTo>
                <a:lnTo>
                  <a:pt x="0" y="20769"/>
                </a:lnTo>
                <a:lnTo>
                  <a:pt x="0" y="15888"/>
                </a:lnTo>
                <a:lnTo>
                  <a:pt x="1962" y="15345"/>
                </a:lnTo>
                <a:cubicBezTo>
                  <a:pt x="2572" y="14977"/>
                  <a:pt x="3054" y="14367"/>
                  <a:pt x="3423" y="13504"/>
                </a:cubicBezTo>
                <a:cubicBezTo>
                  <a:pt x="3791" y="12640"/>
                  <a:pt x="3969" y="11599"/>
                  <a:pt x="3969" y="10367"/>
                </a:cubicBezTo>
                <a:cubicBezTo>
                  <a:pt x="3969" y="9465"/>
                  <a:pt x="3880" y="8678"/>
                  <a:pt x="3702" y="7979"/>
                </a:cubicBezTo>
                <a:cubicBezTo>
                  <a:pt x="3524" y="7293"/>
                  <a:pt x="3283" y="6734"/>
                  <a:pt x="2991" y="6303"/>
                </a:cubicBezTo>
                <a:cubicBezTo>
                  <a:pt x="2686" y="5871"/>
                  <a:pt x="2292" y="5515"/>
                  <a:pt x="1784" y="5223"/>
                </a:cubicBezTo>
                <a:cubicBezTo>
                  <a:pt x="1276" y="4931"/>
                  <a:pt x="705" y="4791"/>
                  <a:pt x="70" y="4791"/>
                </a:cubicBezTo>
                <a:lnTo>
                  <a:pt x="0" y="4812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8" name="Shape 71">
            <a:extLst>
              <a:ext uri="{FF2B5EF4-FFF2-40B4-BE49-F238E27FC236}">
                <a16:creationId xmlns:a16="http://schemas.microsoft.com/office/drawing/2014/main" id="{6C7C19DF-54D0-5C46-9EFC-236DC0BD2DFE}"/>
              </a:ext>
            </a:extLst>
          </xdr:cNvPr>
          <xdr:cNvSpPr/>
        </xdr:nvSpPr>
        <xdr:spPr>
          <a:xfrm>
            <a:off x="3855097" y="588632"/>
            <a:ext cx="9182" cy="19762"/>
          </a:xfrm>
          <a:custGeom>
            <a:avLst/>
            <a:gdLst/>
            <a:ahLst/>
            <a:cxnLst/>
            <a:rect l="0" t="0" r="0" b="0"/>
            <a:pathLst>
              <a:path w="9182" h="19762">
                <a:moveTo>
                  <a:pt x="0" y="0"/>
                </a:moveTo>
                <a:lnTo>
                  <a:pt x="9182" y="0"/>
                </a:lnTo>
                <a:lnTo>
                  <a:pt x="9182" y="4750"/>
                </a:lnTo>
                <a:lnTo>
                  <a:pt x="6274" y="4750"/>
                </a:lnTo>
                <a:lnTo>
                  <a:pt x="6274" y="8548"/>
                </a:lnTo>
                <a:lnTo>
                  <a:pt x="9182" y="8548"/>
                </a:lnTo>
                <a:lnTo>
                  <a:pt x="9182" y="12940"/>
                </a:lnTo>
                <a:lnTo>
                  <a:pt x="8788" y="12878"/>
                </a:lnTo>
                <a:lnTo>
                  <a:pt x="6274" y="12878"/>
                </a:lnTo>
                <a:lnTo>
                  <a:pt x="6274" y="19762"/>
                </a:lnTo>
                <a:lnTo>
                  <a:pt x="0" y="19762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39" name="Shape 72">
            <a:extLst>
              <a:ext uri="{FF2B5EF4-FFF2-40B4-BE49-F238E27FC236}">
                <a16:creationId xmlns:a16="http://schemas.microsoft.com/office/drawing/2014/main" id="{C58A5DF6-9692-2240-81C3-E8C3EFDD96CD}"/>
              </a:ext>
            </a:extLst>
          </xdr:cNvPr>
          <xdr:cNvSpPr/>
        </xdr:nvSpPr>
        <xdr:spPr>
          <a:xfrm>
            <a:off x="3864279" y="588632"/>
            <a:ext cx="9614" cy="19762"/>
          </a:xfrm>
          <a:custGeom>
            <a:avLst/>
            <a:gdLst/>
            <a:ahLst/>
            <a:cxnLst/>
            <a:rect l="0" t="0" r="0" b="0"/>
            <a:pathLst>
              <a:path w="9614" h="19762">
                <a:moveTo>
                  <a:pt x="0" y="0"/>
                </a:moveTo>
                <a:lnTo>
                  <a:pt x="483" y="0"/>
                </a:lnTo>
                <a:cubicBezTo>
                  <a:pt x="1829" y="0"/>
                  <a:pt x="2972" y="77"/>
                  <a:pt x="3886" y="216"/>
                </a:cubicBezTo>
                <a:cubicBezTo>
                  <a:pt x="4800" y="356"/>
                  <a:pt x="5562" y="584"/>
                  <a:pt x="6159" y="902"/>
                </a:cubicBezTo>
                <a:cubicBezTo>
                  <a:pt x="6744" y="1207"/>
                  <a:pt x="7251" y="1601"/>
                  <a:pt x="7671" y="2070"/>
                </a:cubicBezTo>
                <a:cubicBezTo>
                  <a:pt x="8077" y="2553"/>
                  <a:pt x="8382" y="3061"/>
                  <a:pt x="8585" y="3594"/>
                </a:cubicBezTo>
                <a:cubicBezTo>
                  <a:pt x="8801" y="4128"/>
                  <a:pt x="8903" y="4801"/>
                  <a:pt x="8903" y="5588"/>
                </a:cubicBezTo>
                <a:cubicBezTo>
                  <a:pt x="8903" y="6579"/>
                  <a:pt x="8737" y="7417"/>
                  <a:pt x="8433" y="8090"/>
                </a:cubicBezTo>
                <a:cubicBezTo>
                  <a:pt x="8115" y="8763"/>
                  <a:pt x="7671" y="9310"/>
                  <a:pt x="7099" y="9754"/>
                </a:cubicBezTo>
                <a:cubicBezTo>
                  <a:pt x="6693" y="10059"/>
                  <a:pt x="6185" y="10287"/>
                  <a:pt x="5575" y="10452"/>
                </a:cubicBezTo>
                <a:cubicBezTo>
                  <a:pt x="6845" y="10935"/>
                  <a:pt x="7709" y="11468"/>
                  <a:pt x="8166" y="12053"/>
                </a:cubicBezTo>
                <a:cubicBezTo>
                  <a:pt x="8611" y="12636"/>
                  <a:pt x="8865" y="13627"/>
                  <a:pt x="8903" y="15025"/>
                </a:cubicBezTo>
                <a:lnTo>
                  <a:pt x="8992" y="18136"/>
                </a:lnTo>
                <a:cubicBezTo>
                  <a:pt x="9017" y="18593"/>
                  <a:pt x="9055" y="18860"/>
                  <a:pt x="9131" y="18936"/>
                </a:cubicBezTo>
                <a:cubicBezTo>
                  <a:pt x="9220" y="19063"/>
                  <a:pt x="9385" y="19127"/>
                  <a:pt x="9614" y="19139"/>
                </a:cubicBezTo>
                <a:lnTo>
                  <a:pt x="9614" y="19762"/>
                </a:lnTo>
                <a:lnTo>
                  <a:pt x="3061" y="19762"/>
                </a:lnTo>
                <a:cubicBezTo>
                  <a:pt x="2870" y="19215"/>
                  <a:pt x="2768" y="18314"/>
                  <a:pt x="2743" y="17018"/>
                </a:cubicBezTo>
                <a:lnTo>
                  <a:pt x="2705" y="15570"/>
                </a:lnTo>
                <a:cubicBezTo>
                  <a:pt x="2692" y="14898"/>
                  <a:pt x="2591" y="14377"/>
                  <a:pt x="2375" y="14008"/>
                </a:cubicBezTo>
                <a:cubicBezTo>
                  <a:pt x="2172" y="13640"/>
                  <a:pt x="1867" y="13360"/>
                  <a:pt x="1460" y="13171"/>
                </a:cubicBezTo>
                <a:lnTo>
                  <a:pt x="0" y="12940"/>
                </a:lnTo>
                <a:lnTo>
                  <a:pt x="0" y="8548"/>
                </a:lnTo>
                <a:lnTo>
                  <a:pt x="178" y="8548"/>
                </a:lnTo>
                <a:cubicBezTo>
                  <a:pt x="1181" y="8548"/>
                  <a:pt x="1892" y="8382"/>
                  <a:pt x="2286" y="8039"/>
                </a:cubicBezTo>
                <a:cubicBezTo>
                  <a:pt x="2705" y="7684"/>
                  <a:pt x="2908" y="7227"/>
                  <a:pt x="2908" y="6642"/>
                </a:cubicBezTo>
                <a:cubicBezTo>
                  <a:pt x="2908" y="6045"/>
                  <a:pt x="2705" y="5588"/>
                  <a:pt x="2324" y="5245"/>
                </a:cubicBezTo>
                <a:cubicBezTo>
                  <a:pt x="1931" y="4915"/>
                  <a:pt x="1244" y="4750"/>
                  <a:pt x="267" y="4750"/>
                </a:cubicBezTo>
                <a:lnTo>
                  <a:pt x="0" y="4750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40" name="Shape 73">
            <a:extLst>
              <a:ext uri="{FF2B5EF4-FFF2-40B4-BE49-F238E27FC236}">
                <a16:creationId xmlns:a16="http://schemas.microsoft.com/office/drawing/2014/main" id="{B353A30A-F41D-FA4B-B1DE-BABC5C152889}"/>
              </a:ext>
            </a:extLst>
          </xdr:cNvPr>
          <xdr:cNvSpPr/>
        </xdr:nvSpPr>
        <xdr:spPr>
          <a:xfrm>
            <a:off x="3874281" y="588625"/>
            <a:ext cx="18136" cy="19761"/>
          </a:xfrm>
          <a:custGeom>
            <a:avLst/>
            <a:gdLst/>
            <a:ahLst/>
            <a:cxnLst/>
            <a:rect l="0" t="0" r="0" b="0"/>
            <a:pathLst>
              <a:path w="18136" h="19761">
                <a:moveTo>
                  <a:pt x="0" y="0"/>
                </a:moveTo>
                <a:lnTo>
                  <a:pt x="18136" y="0"/>
                </a:lnTo>
                <a:lnTo>
                  <a:pt x="18136" y="5207"/>
                </a:lnTo>
                <a:lnTo>
                  <a:pt x="12293" y="5207"/>
                </a:lnTo>
                <a:lnTo>
                  <a:pt x="12293" y="19761"/>
                </a:lnTo>
                <a:lnTo>
                  <a:pt x="5842" y="19761"/>
                </a:lnTo>
                <a:lnTo>
                  <a:pt x="5842" y="5207"/>
                </a:lnTo>
                <a:lnTo>
                  <a:pt x="0" y="5207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41" name="Shape 74">
            <a:extLst>
              <a:ext uri="{FF2B5EF4-FFF2-40B4-BE49-F238E27FC236}">
                <a16:creationId xmlns:a16="http://schemas.microsoft.com/office/drawing/2014/main" id="{4722DCB5-BA5D-8E4C-898D-CA9DFCE9C72E}"/>
              </a:ext>
            </a:extLst>
          </xdr:cNvPr>
          <xdr:cNvSpPr/>
        </xdr:nvSpPr>
        <xdr:spPr>
          <a:xfrm>
            <a:off x="3893852" y="588631"/>
            <a:ext cx="19012" cy="20309"/>
          </a:xfrm>
          <a:custGeom>
            <a:avLst/>
            <a:gdLst/>
            <a:ahLst/>
            <a:cxnLst/>
            <a:rect l="0" t="0" r="0" b="0"/>
            <a:pathLst>
              <a:path w="19012" h="20309">
                <a:moveTo>
                  <a:pt x="0" y="0"/>
                </a:moveTo>
                <a:lnTo>
                  <a:pt x="6452" y="0"/>
                </a:lnTo>
                <a:lnTo>
                  <a:pt x="6452" y="12180"/>
                </a:lnTo>
                <a:cubicBezTo>
                  <a:pt x="6452" y="12980"/>
                  <a:pt x="6553" y="13589"/>
                  <a:pt x="6757" y="14008"/>
                </a:cubicBezTo>
                <a:cubicBezTo>
                  <a:pt x="6947" y="14428"/>
                  <a:pt x="7290" y="14758"/>
                  <a:pt x="7798" y="15011"/>
                </a:cubicBezTo>
                <a:cubicBezTo>
                  <a:pt x="8318" y="15266"/>
                  <a:pt x="8890" y="15405"/>
                  <a:pt x="9551" y="15405"/>
                </a:cubicBezTo>
                <a:cubicBezTo>
                  <a:pt x="10503" y="15405"/>
                  <a:pt x="11240" y="15152"/>
                  <a:pt x="11773" y="14631"/>
                </a:cubicBezTo>
                <a:cubicBezTo>
                  <a:pt x="12293" y="14122"/>
                  <a:pt x="12560" y="13298"/>
                  <a:pt x="12560" y="12180"/>
                </a:cubicBezTo>
                <a:lnTo>
                  <a:pt x="12560" y="0"/>
                </a:lnTo>
                <a:lnTo>
                  <a:pt x="19012" y="0"/>
                </a:lnTo>
                <a:lnTo>
                  <a:pt x="19012" y="11532"/>
                </a:lnTo>
                <a:cubicBezTo>
                  <a:pt x="19012" y="12980"/>
                  <a:pt x="18898" y="14136"/>
                  <a:pt x="18669" y="14987"/>
                </a:cubicBezTo>
                <a:cubicBezTo>
                  <a:pt x="18440" y="15825"/>
                  <a:pt x="18072" y="16574"/>
                  <a:pt x="17551" y="17221"/>
                </a:cubicBezTo>
                <a:cubicBezTo>
                  <a:pt x="17031" y="17869"/>
                  <a:pt x="16383" y="18428"/>
                  <a:pt x="15634" y="18898"/>
                </a:cubicBezTo>
                <a:cubicBezTo>
                  <a:pt x="14884" y="19368"/>
                  <a:pt x="13995" y="19724"/>
                  <a:pt x="12967" y="19952"/>
                </a:cubicBezTo>
                <a:lnTo>
                  <a:pt x="9743" y="20309"/>
                </a:lnTo>
                <a:lnTo>
                  <a:pt x="9527" y="20309"/>
                </a:lnTo>
                <a:lnTo>
                  <a:pt x="6007" y="19952"/>
                </a:lnTo>
                <a:cubicBezTo>
                  <a:pt x="4978" y="19710"/>
                  <a:pt x="4089" y="19342"/>
                  <a:pt x="3340" y="18872"/>
                </a:cubicBezTo>
                <a:cubicBezTo>
                  <a:pt x="2603" y="18403"/>
                  <a:pt x="1968" y="17844"/>
                  <a:pt x="1460" y="17209"/>
                </a:cubicBezTo>
                <a:cubicBezTo>
                  <a:pt x="965" y="16574"/>
                  <a:pt x="559" y="15710"/>
                  <a:pt x="267" y="14643"/>
                </a:cubicBezTo>
                <a:cubicBezTo>
                  <a:pt x="89" y="13957"/>
                  <a:pt x="0" y="12916"/>
                  <a:pt x="0" y="11494"/>
                </a:cubicBez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42" name="Shape 75">
            <a:extLst>
              <a:ext uri="{FF2B5EF4-FFF2-40B4-BE49-F238E27FC236}">
                <a16:creationId xmlns:a16="http://schemas.microsoft.com/office/drawing/2014/main" id="{2BDA5917-74AA-6F4F-A11C-85CEDB280AB1}"/>
              </a:ext>
            </a:extLst>
          </xdr:cNvPr>
          <xdr:cNvSpPr/>
        </xdr:nvSpPr>
        <xdr:spPr>
          <a:xfrm>
            <a:off x="3915432" y="588629"/>
            <a:ext cx="19050" cy="19762"/>
          </a:xfrm>
          <a:custGeom>
            <a:avLst/>
            <a:gdLst/>
            <a:ahLst/>
            <a:cxnLst/>
            <a:rect l="0" t="0" r="0" b="0"/>
            <a:pathLst>
              <a:path w="19050" h="19762">
                <a:moveTo>
                  <a:pt x="0" y="0"/>
                </a:moveTo>
                <a:lnTo>
                  <a:pt x="6032" y="0"/>
                </a:lnTo>
                <a:lnTo>
                  <a:pt x="12840" y="10579"/>
                </a:lnTo>
                <a:lnTo>
                  <a:pt x="12840" y="0"/>
                </a:lnTo>
                <a:lnTo>
                  <a:pt x="19050" y="0"/>
                </a:lnTo>
                <a:lnTo>
                  <a:pt x="19050" y="19762"/>
                </a:lnTo>
                <a:lnTo>
                  <a:pt x="12878" y="19762"/>
                </a:lnTo>
                <a:lnTo>
                  <a:pt x="6223" y="9437"/>
                </a:lnTo>
                <a:lnTo>
                  <a:pt x="6223" y="19762"/>
                </a:lnTo>
                <a:lnTo>
                  <a:pt x="0" y="19762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43" name="Shape 345">
            <a:extLst>
              <a:ext uri="{FF2B5EF4-FFF2-40B4-BE49-F238E27FC236}">
                <a16:creationId xmlns:a16="http://schemas.microsoft.com/office/drawing/2014/main" id="{11581D86-C325-574A-A3A4-7C597B891940}"/>
              </a:ext>
            </a:extLst>
          </xdr:cNvPr>
          <xdr:cNvSpPr/>
        </xdr:nvSpPr>
        <xdr:spPr>
          <a:xfrm>
            <a:off x="3937114" y="588632"/>
            <a:ext cx="9144" cy="19762"/>
          </a:xfrm>
          <a:custGeom>
            <a:avLst/>
            <a:gdLst/>
            <a:ahLst/>
            <a:cxnLst/>
            <a:rect l="0" t="0" r="0" b="0"/>
            <a:pathLst>
              <a:path w="9144" h="19762">
                <a:moveTo>
                  <a:pt x="0" y="0"/>
                </a:moveTo>
                <a:lnTo>
                  <a:pt x="9144" y="0"/>
                </a:lnTo>
                <a:lnTo>
                  <a:pt x="9144" y="19762"/>
                </a:lnTo>
                <a:lnTo>
                  <a:pt x="0" y="19762"/>
                </a:lnTo>
                <a:lnTo>
                  <a:pt x="0" y="0"/>
                </a:lnTo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44" name="Shape 77">
            <a:extLst>
              <a:ext uri="{FF2B5EF4-FFF2-40B4-BE49-F238E27FC236}">
                <a16:creationId xmlns:a16="http://schemas.microsoft.com/office/drawing/2014/main" id="{2F98062E-48EE-8A45-9EB8-9B6F25511DCC}"/>
              </a:ext>
            </a:extLst>
          </xdr:cNvPr>
          <xdr:cNvSpPr/>
        </xdr:nvSpPr>
        <xdr:spPr>
          <a:xfrm>
            <a:off x="3945063" y="588625"/>
            <a:ext cx="18136" cy="19761"/>
          </a:xfrm>
          <a:custGeom>
            <a:avLst/>
            <a:gdLst/>
            <a:ahLst/>
            <a:cxnLst/>
            <a:rect l="0" t="0" r="0" b="0"/>
            <a:pathLst>
              <a:path w="18136" h="19761">
                <a:moveTo>
                  <a:pt x="0" y="0"/>
                </a:moveTo>
                <a:lnTo>
                  <a:pt x="18136" y="0"/>
                </a:lnTo>
                <a:lnTo>
                  <a:pt x="18136" y="5207"/>
                </a:lnTo>
                <a:lnTo>
                  <a:pt x="12306" y="5207"/>
                </a:lnTo>
                <a:lnTo>
                  <a:pt x="12306" y="19761"/>
                </a:lnTo>
                <a:lnTo>
                  <a:pt x="5842" y="19761"/>
                </a:lnTo>
                <a:lnTo>
                  <a:pt x="5842" y="5207"/>
                </a:lnTo>
                <a:lnTo>
                  <a:pt x="0" y="5207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45" name="Shape 78">
            <a:extLst>
              <a:ext uri="{FF2B5EF4-FFF2-40B4-BE49-F238E27FC236}">
                <a16:creationId xmlns:a16="http://schemas.microsoft.com/office/drawing/2014/main" id="{26B3B110-A7DD-154B-817B-1978DE0C5995}"/>
              </a:ext>
            </a:extLst>
          </xdr:cNvPr>
          <xdr:cNvSpPr/>
        </xdr:nvSpPr>
        <xdr:spPr>
          <a:xfrm>
            <a:off x="3962758" y="588626"/>
            <a:ext cx="21158" cy="19762"/>
          </a:xfrm>
          <a:custGeom>
            <a:avLst/>
            <a:gdLst/>
            <a:ahLst/>
            <a:cxnLst/>
            <a:rect l="0" t="0" r="0" b="0"/>
            <a:pathLst>
              <a:path w="21158" h="19762">
                <a:moveTo>
                  <a:pt x="0" y="0"/>
                </a:moveTo>
                <a:lnTo>
                  <a:pt x="7265" y="0"/>
                </a:lnTo>
                <a:lnTo>
                  <a:pt x="10579" y="6718"/>
                </a:lnTo>
                <a:lnTo>
                  <a:pt x="13945" y="0"/>
                </a:lnTo>
                <a:lnTo>
                  <a:pt x="21158" y="0"/>
                </a:lnTo>
                <a:lnTo>
                  <a:pt x="13754" y="12471"/>
                </a:lnTo>
                <a:lnTo>
                  <a:pt x="13754" y="19762"/>
                </a:lnTo>
                <a:lnTo>
                  <a:pt x="7303" y="19762"/>
                </a:lnTo>
                <a:lnTo>
                  <a:pt x="7303" y="12560"/>
                </a:lnTo>
                <a:lnTo>
                  <a:pt x="0" y="0"/>
                </a:lnTo>
                <a:close/>
              </a:path>
            </a:pathLst>
          </a:custGeom>
          <a:solidFill>
            <a:srgbClr val="A6A9AB"/>
          </a:solidFill>
          <a:ln w="0" cap="flat">
            <a:noFill/>
            <a:miter lim="127000"/>
          </a:ln>
          <a:effectLst/>
        </xdr:spPr>
        <xdr:txBody>
          <a:bodyPr wrap="square"/>
          <a:lstStyle/>
          <a:p>
            <a:endParaRPr 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B7B3C0-F1A7-A947-A176-CED87712D031}" name="Table1" displayName="Table1" ref="B3:C7" totalsRowShown="0">
  <autoFilter ref="B3:C7" xr:uid="{F7687F95-0409-554A-9908-DB5B7F81AD7B}"/>
  <tableColumns count="2">
    <tableColumn id="1" xr3:uid="{ED7AC035-EB29-244B-A74C-5BF9A6DFFF75}" name="Item" dataDxfId="0"/>
    <tableColumn id="2" xr3:uid="{4A7924A1-0BD8-3242-8FF9-24BE7083314C}" name="Uni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FD46-A222-8543-B8E4-3E3A6D77F6D8}">
  <dimension ref="B3:C7"/>
  <sheetViews>
    <sheetView tabSelected="1" workbookViewId="0">
      <selection activeCell="F15" sqref="F15"/>
    </sheetView>
  </sheetViews>
  <sheetFormatPr baseColWidth="10" defaultRowHeight="16" x14ac:dyDescent="0.2"/>
  <cols>
    <col min="2" max="2" width="13.5" bestFit="1" customWidth="1"/>
  </cols>
  <sheetData>
    <row r="3" spans="2:3" x14ac:dyDescent="0.2">
      <c r="B3" t="s">
        <v>77</v>
      </c>
      <c r="C3" t="s">
        <v>71</v>
      </c>
    </row>
    <row r="4" spans="2:3" x14ac:dyDescent="0.2">
      <c r="B4" s="5" t="s">
        <v>78</v>
      </c>
      <c r="C4" s="3">
        <v>0.05</v>
      </c>
    </row>
    <row r="5" spans="2:3" x14ac:dyDescent="0.2">
      <c r="B5" s="5" t="s">
        <v>72</v>
      </c>
      <c r="C5" s="4">
        <v>40000</v>
      </c>
    </row>
    <row r="6" spans="2:3" x14ac:dyDescent="0.2">
      <c r="B6" s="5" t="s">
        <v>74</v>
      </c>
      <c r="C6" s="4">
        <v>6000</v>
      </c>
    </row>
    <row r="7" spans="2:3" x14ac:dyDescent="0.2">
      <c r="B7" s="5" t="s">
        <v>75</v>
      </c>
      <c r="C7" s="4"/>
    </row>
  </sheetData>
  <pageMargins left="0.7" right="0.7" top="0.75" bottom="0.75" header="0.3" footer="0.3"/>
  <pageSetup orientation="landscape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"/>
  <sheetViews>
    <sheetView workbookViewId="0">
      <pane xSplit="5" topLeftCell="F1" activePane="topRight" state="frozen"/>
      <selection pane="topRight" activeCell="Y27" sqref="Y27"/>
    </sheetView>
  </sheetViews>
  <sheetFormatPr baseColWidth="10" defaultColWidth="10.83203125" defaultRowHeight="16" x14ac:dyDescent="0.2"/>
  <cols>
    <col min="2" max="2" width="6.33203125" bestFit="1" customWidth="1"/>
    <col min="3" max="3" width="5.1640625" bestFit="1" customWidth="1"/>
    <col min="4" max="4" width="3.1640625" bestFit="1" customWidth="1"/>
    <col min="5" max="5" width="11.5" bestFit="1" customWidth="1"/>
    <col min="6" max="6" width="5.83203125" bestFit="1" customWidth="1"/>
    <col min="8" max="8" width="6.1640625" bestFit="1" customWidth="1"/>
    <col min="9" max="9" width="4.33203125" bestFit="1" customWidth="1"/>
    <col min="10" max="10" width="5" bestFit="1" customWidth="1"/>
    <col min="11" max="11" width="4.1640625" bestFit="1" customWidth="1"/>
    <col min="12" max="12" width="12.83203125" customWidth="1"/>
    <col min="13" max="13" width="8.5" bestFit="1" customWidth="1"/>
    <col min="14" max="14" width="7.1640625" bestFit="1" customWidth="1"/>
    <col min="15" max="15" width="8.1640625" bestFit="1" customWidth="1"/>
    <col min="16" max="16" width="5.1640625" bestFit="1" customWidth="1"/>
    <col min="20" max="20" width="11.6640625" bestFit="1" customWidth="1"/>
  </cols>
  <sheetData>
    <row r="1" spans="1:23" ht="15" x14ac:dyDescent="0.2">
      <c r="A1" t="s">
        <v>0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G1" t="s">
        <v>2</v>
      </c>
      <c r="H1" t="s">
        <v>57</v>
      </c>
      <c r="I1" t="s">
        <v>58</v>
      </c>
      <c r="J1" t="s">
        <v>59</v>
      </c>
      <c r="K1" t="s">
        <v>60</v>
      </c>
      <c r="L1" t="s">
        <v>3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76</v>
      </c>
      <c r="W1" t="s">
        <v>73</v>
      </c>
    </row>
    <row r="2" spans="1:23" x14ac:dyDescent="0.2">
      <c r="A2" t="str">
        <f>"10323777"</f>
        <v>10323777</v>
      </c>
      <c r="B2" t="s">
        <v>4</v>
      </c>
      <c r="C2">
        <v>740</v>
      </c>
      <c r="D2" t="s">
        <v>15</v>
      </c>
      <c r="E2" t="s">
        <v>16</v>
      </c>
      <c r="F2" t="s">
        <v>7</v>
      </c>
      <c r="G2" t="s">
        <v>8</v>
      </c>
      <c r="H2">
        <v>60605</v>
      </c>
      <c r="I2">
        <v>1</v>
      </c>
      <c r="J2">
        <v>1</v>
      </c>
      <c r="K2">
        <v>1</v>
      </c>
      <c r="N2">
        <v>178000</v>
      </c>
      <c r="O2">
        <v>2110.6999999999998</v>
      </c>
      <c r="P2">
        <v>355</v>
      </c>
      <c r="Q2">
        <f t="shared" ref="Q2:Q33" si="0">O2/12+P2</f>
        <v>530.89166666666665</v>
      </c>
      <c r="R2" s="1">
        <f>PMT('ROI INFO'!$C$4/12,360,N2-'ROI INFO'!$C$5)</f>
        <v>-740.8138397567518</v>
      </c>
      <c r="S2" s="1">
        <f t="shared" ref="S2:S33" si="1">Q2-R2</f>
        <v>1271.7055064234185</v>
      </c>
      <c r="T2">
        <v>1600</v>
      </c>
      <c r="U2" s="1">
        <f t="shared" ref="U2:U33" si="2">T2-S2</f>
        <v>328.29449357658154</v>
      </c>
      <c r="V2" s="2">
        <f>U2*12/(N2-ACTIVE!$C$5)</f>
        <v>2.2164588291431184E-2</v>
      </c>
      <c r="W2" s="2">
        <f>U2*12/('ROI INFO'!$C$5+'ROI INFO'!$C$6+'ROI INFO'!$C$7)</f>
        <v>8.5642041802586485E-2</v>
      </c>
    </row>
    <row r="3" spans="1:23" x14ac:dyDescent="0.2">
      <c r="A3" t="str">
        <f>"10377001"</f>
        <v>10377001</v>
      </c>
      <c r="B3" t="s">
        <v>12</v>
      </c>
      <c r="C3">
        <v>40</v>
      </c>
      <c r="D3" t="s">
        <v>5</v>
      </c>
      <c r="E3" t="s">
        <v>13</v>
      </c>
      <c r="F3" t="s">
        <v>7</v>
      </c>
      <c r="G3" t="s">
        <v>8</v>
      </c>
      <c r="H3">
        <v>60605</v>
      </c>
      <c r="I3">
        <v>1</v>
      </c>
      <c r="J3">
        <v>1</v>
      </c>
      <c r="L3" t="s">
        <v>14</v>
      </c>
      <c r="N3">
        <v>175000</v>
      </c>
      <c r="O3">
        <v>2077</v>
      </c>
      <c r="P3">
        <v>390</v>
      </c>
      <c r="Q3">
        <f t="shared" si="0"/>
        <v>563.08333333333337</v>
      </c>
      <c r="R3" s="1">
        <f>PMT('ROI INFO'!$C$4/12,360,N3-'ROI INFO'!$C$5)</f>
        <v>-724.70919106638769</v>
      </c>
      <c r="S3" s="1">
        <f t="shared" si="1"/>
        <v>1287.7925243997211</v>
      </c>
      <c r="T3">
        <v>1500</v>
      </c>
      <c r="U3" s="1">
        <f t="shared" si="2"/>
        <v>212.20747560027894</v>
      </c>
      <c r="V3" s="2">
        <f>U3*12/(N3-ACTIVE!$C$5)</f>
        <v>1.4573021101083595E-2</v>
      </c>
      <c r="W3" s="2">
        <f>U3*12/('ROI INFO'!$C$5+'ROI INFO'!$C$6+'ROI INFO'!$C$7)</f>
        <v>5.5358471895724938E-2</v>
      </c>
    </row>
    <row r="4" spans="1:23" ht="15" x14ac:dyDescent="0.2">
      <c r="A4" t="str">
        <f>"10366974"</f>
        <v>10366974</v>
      </c>
      <c r="B4" t="s">
        <v>4</v>
      </c>
      <c r="C4">
        <v>1515</v>
      </c>
      <c r="D4" t="s">
        <v>15</v>
      </c>
      <c r="E4" t="s">
        <v>40</v>
      </c>
      <c r="F4" t="s">
        <v>7</v>
      </c>
      <c r="G4" t="s">
        <v>8</v>
      </c>
      <c r="H4">
        <v>60607</v>
      </c>
      <c r="I4">
        <v>1</v>
      </c>
      <c r="J4">
        <v>1</v>
      </c>
      <c r="L4" t="s">
        <v>14</v>
      </c>
      <c r="M4" t="s">
        <v>9</v>
      </c>
      <c r="N4">
        <v>230000</v>
      </c>
      <c r="O4">
        <v>2591</v>
      </c>
      <c r="P4">
        <v>203</v>
      </c>
      <c r="Q4">
        <f t="shared" si="0"/>
        <v>418.91666666666663</v>
      </c>
      <c r="R4" s="1">
        <f>PMT('ROI INFO'!$C$4/12,360,N4-'ROI INFO'!$C$5)</f>
        <v>-1019.9610837230642</v>
      </c>
      <c r="S4" s="1">
        <f t="shared" si="1"/>
        <v>1438.8777503897309</v>
      </c>
      <c r="T4">
        <v>1650</v>
      </c>
      <c r="U4" s="1">
        <f t="shared" si="2"/>
        <v>211.12224961026914</v>
      </c>
      <c r="V4" s="2">
        <f>U4*12/(N4-ACTIVE!$C$5)</f>
        <v>1.1027539807274439E-2</v>
      </c>
      <c r="W4" s="2">
        <f>U4*12/('ROI INFO'!$C$5+'ROI INFO'!$C$6+'ROI INFO'!$C$7)</f>
        <v>5.5075369463548469E-2</v>
      </c>
    </row>
    <row r="5" spans="1:23" ht="15" x14ac:dyDescent="0.2">
      <c r="A5" t="str">
        <f>"10298474"</f>
        <v>10298474</v>
      </c>
      <c r="B5" t="s">
        <v>4</v>
      </c>
      <c r="C5">
        <v>260</v>
      </c>
      <c r="D5" t="s">
        <v>5</v>
      </c>
      <c r="E5" t="s">
        <v>23</v>
      </c>
      <c r="F5" t="s">
        <v>7</v>
      </c>
      <c r="G5" t="s">
        <v>8</v>
      </c>
      <c r="H5">
        <v>60611</v>
      </c>
      <c r="I5">
        <v>1</v>
      </c>
      <c r="J5">
        <v>1</v>
      </c>
      <c r="K5">
        <v>0</v>
      </c>
      <c r="N5">
        <v>195000</v>
      </c>
      <c r="O5">
        <v>2458.52</v>
      </c>
      <c r="P5">
        <v>391</v>
      </c>
      <c r="Q5">
        <f t="shared" si="0"/>
        <v>595.87666666666667</v>
      </c>
      <c r="R5" s="1">
        <f>PMT('ROI INFO'!$C$4/12,360,N5-'ROI INFO'!$C$5)</f>
        <v>-832.0735156688155</v>
      </c>
      <c r="S5" s="1">
        <f t="shared" si="1"/>
        <v>1427.9501823354822</v>
      </c>
      <c r="T5">
        <v>1600</v>
      </c>
      <c r="U5" s="1">
        <f t="shared" si="2"/>
        <v>172.04981766451783</v>
      </c>
      <c r="V5" s="2">
        <f>U5*12/(N5-ACTIVE!$C$5)</f>
        <v>1.0601816842837701E-2</v>
      </c>
      <c r="W5" s="2">
        <f>U5*12/('ROI INFO'!$C$5+'ROI INFO'!$C$6+'ROI INFO'!$C$7)</f>
        <v>4.4882561129874217E-2</v>
      </c>
    </row>
    <row r="6" spans="1:23" ht="15" x14ac:dyDescent="0.2">
      <c r="A6" t="str">
        <f>"10355569"</f>
        <v>10355569</v>
      </c>
      <c r="B6" t="s">
        <v>4</v>
      </c>
      <c r="C6">
        <v>1509</v>
      </c>
      <c r="D6" t="s">
        <v>15</v>
      </c>
      <c r="E6" t="s">
        <v>40</v>
      </c>
      <c r="F6" t="s">
        <v>7</v>
      </c>
      <c r="G6" t="s">
        <v>8</v>
      </c>
      <c r="H6">
        <v>60607</v>
      </c>
      <c r="I6">
        <v>1</v>
      </c>
      <c r="J6">
        <v>1</v>
      </c>
      <c r="L6" t="s">
        <v>21</v>
      </c>
      <c r="M6" t="s">
        <v>9</v>
      </c>
      <c r="N6">
        <v>224000</v>
      </c>
      <c r="O6">
        <v>1861.32</v>
      </c>
      <c r="P6">
        <v>202</v>
      </c>
      <c r="Q6">
        <f t="shared" si="0"/>
        <v>357.11</v>
      </c>
      <c r="R6" s="1">
        <f>PMT('ROI INFO'!$C$4/12,360,N6-'ROI INFO'!$C$5)</f>
        <v>-987.75178634233589</v>
      </c>
      <c r="S6" s="1">
        <f t="shared" si="1"/>
        <v>1344.861786342336</v>
      </c>
      <c r="T6">
        <v>1500</v>
      </c>
      <c r="U6" s="1">
        <f t="shared" si="2"/>
        <v>155.13821365766398</v>
      </c>
      <c r="V6" s="2">
        <f>U6*12/(N6-ACTIVE!$C$5)</f>
        <v>8.3206336099578438E-3</v>
      </c>
      <c r="W6" s="2">
        <f>U6*12/('ROI INFO'!$C$5+'ROI INFO'!$C$6+'ROI INFO'!$C$7)</f>
        <v>4.0470838345477558E-2</v>
      </c>
    </row>
    <row r="7" spans="1:23" ht="15" x14ac:dyDescent="0.2">
      <c r="A7" t="str">
        <f>"10367071"</f>
        <v>10367071</v>
      </c>
      <c r="B7" t="s">
        <v>4</v>
      </c>
      <c r="C7">
        <v>111</v>
      </c>
      <c r="D7" t="s">
        <v>30</v>
      </c>
      <c r="E7" t="s">
        <v>38</v>
      </c>
      <c r="F7" t="s">
        <v>7</v>
      </c>
      <c r="G7" t="s">
        <v>8</v>
      </c>
      <c r="H7">
        <v>60610</v>
      </c>
      <c r="I7">
        <v>1</v>
      </c>
      <c r="J7">
        <v>1</v>
      </c>
      <c r="L7" t="s">
        <v>14</v>
      </c>
      <c r="M7" t="s">
        <v>9</v>
      </c>
      <c r="N7">
        <v>219900</v>
      </c>
      <c r="O7">
        <v>3568.11</v>
      </c>
      <c r="P7">
        <v>384</v>
      </c>
      <c r="Q7">
        <f t="shared" si="0"/>
        <v>681.34249999999997</v>
      </c>
      <c r="R7" s="1">
        <f>PMT('ROI INFO'!$C$4/12,360,N7-'ROI INFO'!$C$5)</f>
        <v>-965.74209979883813</v>
      </c>
      <c r="S7" s="1">
        <f t="shared" si="1"/>
        <v>1647.0845997988381</v>
      </c>
      <c r="T7">
        <v>1800</v>
      </c>
      <c r="U7" s="1">
        <f t="shared" si="2"/>
        <v>152.9154002011619</v>
      </c>
      <c r="V7" s="2">
        <f>U7*12/(N7-ACTIVE!$C$5)</f>
        <v>8.3545110290199551E-3</v>
      </c>
      <c r="W7" s="2">
        <f>U7*12/('ROI INFO'!$C$5+'ROI INFO'!$C$6+'ROI INFO'!$C$7)</f>
        <v>3.9890973965520493E-2</v>
      </c>
    </row>
    <row r="8" spans="1:23" ht="15" x14ac:dyDescent="0.2">
      <c r="A8" t="str">
        <f>"10336031"</f>
        <v>10336031</v>
      </c>
      <c r="B8" t="s">
        <v>4</v>
      </c>
      <c r="C8">
        <v>40</v>
      </c>
      <c r="D8" t="s">
        <v>5</v>
      </c>
      <c r="E8" t="s">
        <v>6</v>
      </c>
      <c r="F8" t="s">
        <v>7</v>
      </c>
      <c r="G8" t="s">
        <v>8</v>
      </c>
      <c r="H8">
        <v>60605</v>
      </c>
      <c r="I8">
        <v>1</v>
      </c>
      <c r="J8">
        <v>1</v>
      </c>
      <c r="K8">
        <v>0</v>
      </c>
      <c r="M8" t="s">
        <v>9</v>
      </c>
      <c r="N8">
        <v>168900</v>
      </c>
      <c r="O8">
        <v>2560.1799999999998</v>
      </c>
      <c r="P8">
        <v>464</v>
      </c>
      <c r="Q8">
        <f t="shared" si="0"/>
        <v>677.34833333333336</v>
      </c>
      <c r="R8" s="1">
        <f>PMT('ROI INFO'!$C$4/12,360,N8-'ROI INFO'!$C$5)</f>
        <v>-691.96307206264726</v>
      </c>
      <c r="S8" s="1">
        <f t="shared" si="1"/>
        <v>1369.3114053959807</v>
      </c>
      <c r="T8">
        <v>1500</v>
      </c>
      <c r="U8" s="1">
        <f t="shared" si="2"/>
        <v>130.68859460401927</v>
      </c>
      <c r="V8" s="2">
        <f>U8*12/(N8-ACTIVE!$C$5)</f>
        <v>9.2994730505706318E-3</v>
      </c>
      <c r="W8" s="2">
        <f>U8*12/('ROI INFO'!$C$5+'ROI INFO'!$C$6+'ROI INFO'!$C$7)</f>
        <v>3.4092676853222419E-2</v>
      </c>
    </row>
    <row r="9" spans="1:23" ht="15" x14ac:dyDescent="0.2">
      <c r="A9" t="str">
        <f>"10157893"</f>
        <v>10157893</v>
      </c>
      <c r="B9" t="s">
        <v>4</v>
      </c>
      <c r="C9">
        <v>801</v>
      </c>
      <c r="D9" t="s">
        <v>15</v>
      </c>
      <c r="E9" t="s">
        <v>26</v>
      </c>
      <c r="F9" t="s">
        <v>18</v>
      </c>
      <c r="G9" t="s">
        <v>8</v>
      </c>
      <c r="H9">
        <v>60605</v>
      </c>
      <c r="I9">
        <v>1</v>
      </c>
      <c r="J9">
        <v>1</v>
      </c>
      <c r="K9">
        <v>1</v>
      </c>
      <c r="L9" t="s">
        <v>27</v>
      </c>
      <c r="M9" t="s">
        <v>25</v>
      </c>
      <c r="N9">
        <v>200000</v>
      </c>
      <c r="O9">
        <v>1261.5999999999999</v>
      </c>
      <c r="P9">
        <v>413</v>
      </c>
      <c r="Q9">
        <f t="shared" si="0"/>
        <v>518.13333333333333</v>
      </c>
      <c r="R9" s="1">
        <f>PMT('ROI INFO'!$C$4/12,360,N9-'ROI INFO'!$C$5)</f>
        <v>-858.91459681942251</v>
      </c>
      <c r="S9" s="1">
        <f t="shared" si="1"/>
        <v>1377.0479301527557</v>
      </c>
      <c r="T9">
        <v>1500</v>
      </c>
      <c r="U9" s="1">
        <f t="shared" si="2"/>
        <v>122.95206984724427</v>
      </c>
      <c r="V9" s="2">
        <f>U9*12/(N9-ACTIVE!$C$5)</f>
        <v>7.3867269358512634E-3</v>
      </c>
      <c r="W9" s="2">
        <f>U9*12/('ROI INFO'!$C$5+'ROI INFO'!$C$6+'ROI INFO'!$C$7)</f>
        <v>3.207445300362894E-2</v>
      </c>
    </row>
    <row r="10" spans="1:23" ht="15" x14ac:dyDescent="0.2">
      <c r="A10" t="str">
        <f>"10356535"</f>
        <v>10356535</v>
      </c>
      <c r="B10" t="s">
        <v>4</v>
      </c>
      <c r="C10">
        <v>1449</v>
      </c>
      <c r="D10" t="s">
        <v>10</v>
      </c>
      <c r="E10" t="s">
        <v>32</v>
      </c>
      <c r="F10" t="s">
        <v>29</v>
      </c>
      <c r="G10" t="s">
        <v>8</v>
      </c>
      <c r="H10">
        <v>60622</v>
      </c>
      <c r="I10">
        <v>2</v>
      </c>
      <c r="J10">
        <v>1</v>
      </c>
      <c r="M10" t="s">
        <v>9</v>
      </c>
      <c r="N10">
        <v>214900</v>
      </c>
      <c r="O10">
        <v>3552.71</v>
      </c>
      <c r="P10">
        <v>145</v>
      </c>
      <c r="Q10">
        <f t="shared" si="0"/>
        <v>441.05916666666667</v>
      </c>
      <c r="R10" s="1">
        <f>PMT('ROI INFO'!$C$4/12,360,N10-'ROI INFO'!$C$5)</f>
        <v>-938.90101864823112</v>
      </c>
      <c r="S10" s="1">
        <f t="shared" si="1"/>
        <v>1379.9601853148979</v>
      </c>
      <c r="T10">
        <v>1500</v>
      </c>
      <c r="U10" s="1">
        <f t="shared" si="2"/>
        <v>120.0398146851021</v>
      </c>
      <c r="V10" s="2">
        <f>U10*12/(N10-ACTIVE!$C$5)</f>
        <v>6.7111338810157718E-3</v>
      </c>
      <c r="W10" s="2">
        <f>U10*12/('ROI INFO'!$C$5+'ROI INFO'!$C$6+'ROI INFO'!$C$7)</f>
        <v>3.1314734265678809E-2</v>
      </c>
    </row>
    <row r="11" spans="1:23" ht="15" x14ac:dyDescent="0.2">
      <c r="A11" t="str">
        <f>"10277591"</f>
        <v>10277591</v>
      </c>
      <c r="B11" t="s">
        <v>4</v>
      </c>
      <c r="C11">
        <v>400</v>
      </c>
      <c r="D11" t="s">
        <v>5</v>
      </c>
      <c r="E11" t="s">
        <v>36</v>
      </c>
      <c r="F11" t="s">
        <v>7</v>
      </c>
      <c r="G11" t="s">
        <v>8</v>
      </c>
      <c r="H11">
        <v>60601</v>
      </c>
      <c r="I11">
        <v>1</v>
      </c>
      <c r="J11">
        <v>1</v>
      </c>
      <c r="K11">
        <v>1</v>
      </c>
      <c r="L11" t="s">
        <v>14</v>
      </c>
      <c r="M11" t="s">
        <v>9</v>
      </c>
      <c r="N11">
        <v>215000</v>
      </c>
      <c r="O11">
        <v>3488</v>
      </c>
      <c r="P11">
        <v>451</v>
      </c>
      <c r="Q11">
        <f t="shared" si="0"/>
        <v>741.66666666666674</v>
      </c>
      <c r="R11" s="1">
        <f>PMT('ROI INFO'!$C$4/12,360,N11-'ROI INFO'!$C$5)</f>
        <v>-939.43784027124332</v>
      </c>
      <c r="S11" s="1">
        <f t="shared" si="1"/>
        <v>1681.1045069379102</v>
      </c>
      <c r="T11">
        <v>1800</v>
      </c>
      <c r="U11" s="1">
        <f t="shared" si="2"/>
        <v>118.89549306208983</v>
      </c>
      <c r="V11" s="2">
        <f>U11*12/(N11-ACTIVE!$C$5)</f>
        <v>6.6440621996138489E-3</v>
      </c>
      <c r="W11" s="2">
        <f>U11*12/('ROI INFO'!$C$5+'ROI INFO'!$C$6+'ROI INFO'!$C$7)</f>
        <v>3.1016215581414739E-2</v>
      </c>
    </row>
    <row r="12" spans="1:23" ht="15" x14ac:dyDescent="0.2">
      <c r="A12" t="str">
        <f>"10378509"</f>
        <v>10378509</v>
      </c>
      <c r="B12" t="s">
        <v>12</v>
      </c>
      <c r="C12">
        <v>340</v>
      </c>
      <c r="D12" t="s">
        <v>30</v>
      </c>
      <c r="E12" t="s">
        <v>51</v>
      </c>
      <c r="F12" t="s">
        <v>7</v>
      </c>
      <c r="G12" t="s">
        <v>8</v>
      </c>
      <c r="H12">
        <v>60654</v>
      </c>
      <c r="I12">
        <v>1</v>
      </c>
      <c r="J12">
        <v>1</v>
      </c>
      <c r="K12">
        <v>1</v>
      </c>
      <c r="L12" t="s">
        <v>14</v>
      </c>
      <c r="N12">
        <v>249000</v>
      </c>
      <c r="O12">
        <v>4101</v>
      </c>
      <c r="P12">
        <v>425</v>
      </c>
      <c r="Q12">
        <f t="shared" si="0"/>
        <v>766.75</v>
      </c>
      <c r="R12" s="1">
        <f>PMT('ROI INFO'!$C$4/12,360,N12-'ROI INFO'!$C$5)</f>
        <v>-1121.9571920953706</v>
      </c>
      <c r="S12" s="1">
        <f t="shared" si="1"/>
        <v>1888.7071920953706</v>
      </c>
      <c r="T12">
        <v>2000</v>
      </c>
      <c r="U12" s="1">
        <f t="shared" si="2"/>
        <v>111.2928079046294</v>
      </c>
      <c r="V12" s="2">
        <f>U12*12/(N12-ACTIVE!$C$5)</f>
        <v>5.3691151196251221E-3</v>
      </c>
      <c r="W12" s="2">
        <f>U12*12/('ROI INFO'!$C$5+'ROI INFO'!$C$6+'ROI INFO'!$C$7)</f>
        <v>2.903290640990332E-2</v>
      </c>
    </row>
    <row r="13" spans="1:23" ht="15" x14ac:dyDescent="0.2">
      <c r="A13" t="str">
        <f>"10379338"</f>
        <v>10379338</v>
      </c>
      <c r="B13" t="s">
        <v>12</v>
      </c>
      <c r="C13">
        <v>633</v>
      </c>
      <c r="D13" t="s">
        <v>15</v>
      </c>
      <c r="E13" t="s">
        <v>17</v>
      </c>
      <c r="F13" t="s">
        <v>18</v>
      </c>
      <c r="G13" t="s">
        <v>8</v>
      </c>
      <c r="H13">
        <v>60605</v>
      </c>
      <c r="I13">
        <v>1</v>
      </c>
      <c r="J13">
        <v>1</v>
      </c>
      <c r="L13" t="s">
        <v>21</v>
      </c>
      <c r="M13" t="s">
        <v>9</v>
      </c>
      <c r="N13">
        <v>189888</v>
      </c>
      <c r="O13">
        <v>2592.44</v>
      </c>
      <c r="P13">
        <v>474</v>
      </c>
      <c r="Q13">
        <f t="shared" si="0"/>
        <v>690.03666666666663</v>
      </c>
      <c r="R13" s="1">
        <f>PMT('ROI INFO'!$C$4/12,360,N13-'ROI INFO'!$C$5)</f>
        <v>-804.63119430043503</v>
      </c>
      <c r="S13" s="1">
        <f t="shared" si="1"/>
        <v>1494.6678609671017</v>
      </c>
      <c r="T13">
        <v>1600</v>
      </c>
      <c r="U13" s="1">
        <f t="shared" si="2"/>
        <v>105.33213903289834</v>
      </c>
      <c r="V13" s="2">
        <f>U13*12/(N13-ACTIVE!$C$5)</f>
        <v>6.6656067057332255E-3</v>
      </c>
      <c r="W13" s="2">
        <f>U13*12/('ROI INFO'!$C$5+'ROI INFO'!$C$6+'ROI INFO'!$C$7)</f>
        <v>2.7477949312930003E-2</v>
      </c>
    </row>
    <row r="14" spans="1:23" ht="15" x14ac:dyDescent="0.2">
      <c r="A14" t="str">
        <f>"10380421"</f>
        <v>10380421</v>
      </c>
      <c r="B14" t="s">
        <v>12</v>
      </c>
      <c r="C14">
        <v>500</v>
      </c>
      <c r="D14" t="s">
        <v>15</v>
      </c>
      <c r="E14" t="s">
        <v>39</v>
      </c>
      <c r="F14" t="s">
        <v>7</v>
      </c>
      <c r="G14" t="s">
        <v>8</v>
      </c>
      <c r="H14">
        <v>60607</v>
      </c>
      <c r="I14">
        <v>1</v>
      </c>
      <c r="J14">
        <v>1</v>
      </c>
      <c r="K14">
        <v>1</v>
      </c>
      <c r="L14" t="s">
        <v>14</v>
      </c>
      <c r="M14" t="s">
        <v>9</v>
      </c>
      <c r="N14">
        <v>219900</v>
      </c>
      <c r="O14">
        <v>2939.97</v>
      </c>
      <c r="P14">
        <v>487</v>
      </c>
      <c r="Q14">
        <f t="shared" si="0"/>
        <v>731.99749999999995</v>
      </c>
      <c r="R14" s="1">
        <f>PMT('ROI INFO'!$C$4/12,360,N14-'ROI INFO'!$C$5)</f>
        <v>-965.74209979883813</v>
      </c>
      <c r="S14" s="1">
        <f t="shared" si="1"/>
        <v>1697.7395997988381</v>
      </c>
      <c r="T14">
        <v>1800</v>
      </c>
      <c r="U14" s="1">
        <f t="shared" si="2"/>
        <v>102.26040020116193</v>
      </c>
      <c r="V14" s="2">
        <f>U14*12/(N14-ACTIVE!$C$5)</f>
        <v>5.5869823457200107E-3</v>
      </c>
      <c r="W14" s="2">
        <f>U14*12/('ROI INFO'!$C$5+'ROI INFO'!$C$6+'ROI INFO'!$C$7)</f>
        <v>2.6676626139433546E-2</v>
      </c>
    </row>
    <row r="15" spans="1:23" ht="15" x14ac:dyDescent="0.2">
      <c r="A15" t="str">
        <f>"10366376"</f>
        <v>10366376</v>
      </c>
      <c r="B15" t="s">
        <v>4</v>
      </c>
      <c r="C15">
        <v>125</v>
      </c>
      <c r="D15" t="s">
        <v>15</v>
      </c>
      <c r="E15" t="s">
        <v>42</v>
      </c>
      <c r="F15" t="s">
        <v>7</v>
      </c>
      <c r="G15" t="s">
        <v>8</v>
      </c>
      <c r="H15">
        <v>60661</v>
      </c>
      <c r="I15">
        <v>1</v>
      </c>
      <c r="J15">
        <v>1</v>
      </c>
      <c r="L15" t="s">
        <v>14</v>
      </c>
      <c r="N15">
        <v>225000</v>
      </c>
      <c r="O15">
        <v>3216</v>
      </c>
      <c r="P15">
        <v>343</v>
      </c>
      <c r="Q15">
        <f t="shared" si="0"/>
        <v>611</v>
      </c>
      <c r="R15" s="1">
        <f>PMT('ROI INFO'!$C$4/12,360,N15-'ROI INFO'!$C$5)</f>
        <v>-993.12000257245734</v>
      </c>
      <c r="S15" s="1">
        <f t="shared" si="1"/>
        <v>1604.1200025724575</v>
      </c>
      <c r="T15">
        <v>1700</v>
      </c>
      <c r="U15" s="1">
        <f t="shared" si="2"/>
        <v>95.879997427542548</v>
      </c>
      <c r="V15" s="2">
        <f>U15*12/(N15-ACTIVE!$C$5)</f>
        <v>5.1195157476662395E-3</v>
      </c>
      <c r="W15" s="2">
        <f>U15*12/('ROI INFO'!$C$5+'ROI INFO'!$C$6+'ROI INFO'!$C$7)</f>
        <v>2.5012173241967622E-2</v>
      </c>
    </row>
    <row r="16" spans="1:23" ht="15" x14ac:dyDescent="0.2">
      <c r="A16" t="str">
        <f>"10375053"</f>
        <v>10375053</v>
      </c>
      <c r="B16" t="s">
        <v>4</v>
      </c>
      <c r="C16">
        <v>1720</v>
      </c>
      <c r="D16" t="s">
        <v>15</v>
      </c>
      <c r="E16" t="s">
        <v>28</v>
      </c>
      <c r="F16" t="s">
        <v>29</v>
      </c>
      <c r="G16" t="s">
        <v>8</v>
      </c>
      <c r="H16">
        <v>60616</v>
      </c>
      <c r="I16">
        <v>1</v>
      </c>
      <c r="J16">
        <v>1</v>
      </c>
      <c r="L16" t="s">
        <v>21</v>
      </c>
      <c r="M16" t="s">
        <v>9</v>
      </c>
      <c r="N16">
        <v>211900</v>
      </c>
      <c r="O16">
        <v>2984.44</v>
      </c>
      <c r="P16">
        <v>333</v>
      </c>
      <c r="Q16">
        <f t="shared" si="0"/>
        <v>581.70333333333338</v>
      </c>
      <c r="R16" s="1">
        <f>PMT('ROI INFO'!$C$4/12,360,N16-'ROI INFO'!$C$5)</f>
        <v>-922.796369957867</v>
      </c>
      <c r="S16" s="1">
        <f t="shared" si="1"/>
        <v>1504.4997032912004</v>
      </c>
      <c r="T16">
        <v>1600</v>
      </c>
      <c r="U16" s="1">
        <f t="shared" si="2"/>
        <v>95.500296708799624</v>
      </c>
      <c r="V16" s="2">
        <f>U16*12/(N16-ACTIVE!$C$5)</f>
        <v>5.4148722382611767E-3</v>
      </c>
      <c r="W16" s="2">
        <f>U16*12/('ROI INFO'!$C$5+'ROI INFO'!$C$6+'ROI INFO'!$C$7)</f>
        <v>2.4913120880556423E-2</v>
      </c>
    </row>
    <row r="17" spans="1:23" ht="15" x14ac:dyDescent="0.2">
      <c r="A17" t="str">
        <f>"10344240"</f>
        <v>10344240</v>
      </c>
      <c r="B17" t="s">
        <v>4</v>
      </c>
      <c r="C17">
        <v>1531</v>
      </c>
      <c r="D17" t="s">
        <v>30</v>
      </c>
      <c r="E17" t="s">
        <v>44</v>
      </c>
      <c r="F17" t="s">
        <v>7</v>
      </c>
      <c r="G17" t="s">
        <v>8</v>
      </c>
      <c r="H17">
        <v>60642</v>
      </c>
      <c r="I17">
        <v>2</v>
      </c>
      <c r="J17">
        <v>1</v>
      </c>
      <c r="M17" t="s">
        <v>9</v>
      </c>
      <c r="N17">
        <v>229000</v>
      </c>
      <c r="O17">
        <v>4145</v>
      </c>
      <c r="P17">
        <v>149</v>
      </c>
      <c r="Q17">
        <f t="shared" si="0"/>
        <v>494.41666666666669</v>
      </c>
      <c r="R17" s="1">
        <f>PMT('ROI INFO'!$C$4/12,360,N17-'ROI INFO'!$C$5)</f>
        <v>-1014.5928674929428</v>
      </c>
      <c r="S17" s="1">
        <f t="shared" si="1"/>
        <v>1509.0095341596095</v>
      </c>
      <c r="T17">
        <v>1600</v>
      </c>
      <c r="U17" s="1">
        <f t="shared" si="2"/>
        <v>90.99046584039047</v>
      </c>
      <c r="V17" s="2">
        <f>U17*12/(N17-ACTIVE!$C$5)</f>
        <v>4.7734790158463127E-3</v>
      </c>
      <c r="W17" s="2">
        <f>U17*12/('ROI INFO'!$C$5+'ROI INFO'!$C$6+'ROI INFO'!$C$7)</f>
        <v>2.3736643262710556E-2</v>
      </c>
    </row>
    <row r="18" spans="1:23" ht="15" x14ac:dyDescent="0.2">
      <c r="A18" t="str">
        <f>"10324312"</f>
        <v>10324312</v>
      </c>
      <c r="B18" t="s">
        <v>4</v>
      </c>
      <c r="C18">
        <v>500</v>
      </c>
      <c r="D18" t="s">
        <v>15</v>
      </c>
      <c r="E18" t="s">
        <v>39</v>
      </c>
      <c r="F18" t="s">
        <v>7</v>
      </c>
      <c r="G18" t="s">
        <v>8</v>
      </c>
      <c r="H18">
        <v>60607</v>
      </c>
      <c r="I18">
        <v>1</v>
      </c>
      <c r="J18">
        <v>1</v>
      </c>
      <c r="K18">
        <v>1</v>
      </c>
      <c r="N18">
        <v>225000</v>
      </c>
      <c r="O18">
        <v>3072.57</v>
      </c>
      <c r="P18">
        <v>462</v>
      </c>
      <c r="Q18">
        <f t="shared" si="0"/>
        <v>718.04750000000001</v>
      </c>
      <c r="R18" s="1">
        <f>PMT('ROI INFO'!$C$4/12,360,N18-'ROI INFO'!$C$5)</f>
        <v>-993.12000257245734</v>
      </c>
      <c r="S18" s="1">
        <f t="shared" si="1"/>
        <v>1711.1675025724574</v>
      </c>
      <c r="T18">
        <v>1800</v>
      </c>
      <c r="U18" s="1">
        <f t="shared" si="2"/>
        <v>88.832497427542648</v>
      </c>
      <c r="V18" s="2">
        <f>U18*12/(N18-ACTIVE!$C$5)</f>
        <v>4.7432142437061125E-3</v>
      </c>
      <c r="W18" s="2">
        <f>U18*12/('ROI INFO'!$C$5+'ROI INFO'!$C$6+'ROI INFO'!$C$7)</f>
        <v>2.3173694981098083E-2</v>
      </c>
    </row>
    <row r="19" spans="1:23" ht="15" x14ac:dyDescent="0.2">
      <c r="A19" t="str">
        <f>"10370295"</f>
        <v>10370295</v>
      </c>
      <c r="B19" t="s">
        <v>4</v>
      </c>
      <c r="C19">
        <v>1560</v>
      </c>
      <c r="D19" t="s">
        <v>10</v>
      </c>
      <c r="E19" t="s">
        <v>19</v>
      </c>
      <c r="F19" t="s">
        <v>20</v>
      </c>
      <c r="G19" t="s">
        <v>8</v>
      </c>
      <c r="H19">
        <v>60610</v>
      </c>
      <c r="I19">
        <v>1</v>
      </c>
      <c r="J19">
        <v>1</v>
      </c>
      <c r="K19">
        <v>1</v>
      </c>
      <c r="L19" t="s">
        <v>21</v>
      </c>
      <c r="N19">
        <v>185000</v>
      </c>
      <c r="O19">
        <v>2566.86</v>
      </c>
      <c r="P19">
        <v>420</v>
      </c>
      <c r="Q19">
        <f t="shared" si="0"/>
        <v>633.90499999999997</v>
      </c>
      <c r="R19" s="1">
        <f>PMT('ROI INFO'!$C$4/12,360,N19-'ROI INFO'!$C$5)</f>
        <v>-778.39135336760171</v>
      </c>
      <c r="S19" s="1">
        <f t="shared" si="1"/>
        <v>1412.2963533676016</v>
      </c>
      <c r="T19">
        <v>1500</v>
      </c>
      <c r="U19" s="1">
        <f t="shared" si="2"/>
        <v>87.703646632398431</v>
      </c>
      <c r="V19" s="2">
        <f>U19*12/(N19-ACTIVE!$C$5)</f>
        <v>5.6968916292561497E-3</v>
      </c>
      <c r="W19" s="2">
        <f>U19*12/('ROI INFO'!$C$5+'ROI INFO'!$C$6+'ROI INFO'!$C$7)</f>
        <v>2.2879212164973503E-2</v>
      </c>
    </row>
    <row r="20" spans="1:23" ht="15" x14ac:dyDescent="0.2">
      <c r="A20" t="str">
        <f>"10379881"</f>
        <v>10379881</v>
      </c>
      <c r="B20" t="s">
        <v>12</v>
      </c>
      <c r="C20">
        <v>633</v>
      </c>
      <c r="D20" t="s">
        <v>15</v>
      </c>
      <c r="E20" t="s">
        <v>17</v>
      </c>
      <c r="F20" t="s">
        <v>18</v>
      </c>
      <c r="G20" t="s">
        <v>8</v>
      </c>
      <c r="H20">
        <v>60605</v>
      </c>
      <c r="I20">
        <v>1</v>
      </c>
      <c r="J20">
        <v>1</v>
      </c>
      <c r="L20" t="s">
        <v>14</v>
      </c>
      <c r="M20" t="s">
        <v>9</v>
      </c>
      <c r="N20">
        <v>180000</v>
      </c>
      <c r="O20">
        <v>2942.51</v>
      </c>
      <c r="P20">
        <v>428</v>
      </c>
      <c r="Q20">
        <f t="shared" si="0"/>
        <v>673.20916666666665</v>
      </c>
      <c r="R20" s="1">
        <f>PMT('ROI INFO'!$C$4/12,360,N20-'ROI INFO'!$C$5)</f>
        <v>-751.5502722169947</v>
      </c>
      <c r="S20" s="1">
        <f t="shared" si="1"/>
        <v>1424.7594388836615</v>
      </c>
      <c r="T20">
        <v>1500</v>
      </c>
      <c r="U20" s="1">
        <f t="shared" si="2"/>
        <v>75.24056111633854</v>
      </c>
      <c r="V20" s="2">
        <f>U20*12/(N20-ACTIVE!$C$5)</f>
        <v>5.023293275820977E-3</v>
      </c>
      <c r="W20" s="2">
        <f>U20*12/('ROI INFO'!$C$5+'ROI INFO'!$C$6+'ROI INFO'!$C$7)</f>
        <v>1.9627972465131795E-2</v>
      </c>
    </row>
    <row r="21" spans="1:23" ht="15" x14ac:dyDescent="0.2">
      <c r="A21" t="str">
        <f>"10372886"</f>
        <v>10372886</v>
      </c>
      <c r="B21" t="s">
        <v>4</v>
      </c>
      <c r="C21">
        <v>901</v>
      </c>
      <c r="D21" t="s">
        <v>15</v>
      </c>
      <c r="E21" t="s">
        <v>17</v>
      </c>
      <c r="F21" t="s">
        <v>18</v>
      </c>
      <c r="G21" t="s">
        <v>8</v>
      </c>
      <c r="H21">
        <v>60605</v>
      </c>
      <c r="I21">
        <v>1</v>
      </c>
      <c r="J21">
        <v>1</v>
      </c>
      <c r="K21">
        <v>1</v>
      </c>
      <c r="L21" t="s">
        <v>14</v>
      </c>
      <c r="M21" t="s">
        <v>9</v>
      </c>
      <c r="N21">
        <v>199999</v>
      </c>
      <c r="O21">
        <v>3460</v>
      </c>
      <c r="P21">
        <v>379</v>
      </c>
      <c r="Q21">
        <f t="shared" si="0"/>
        <v>667.33333333333326</v>
      </c>
      <c r="R21" s="1">
        <f>PMT('ROI INFO'!$C$4/12,360,N21-'ROI INFO'!$C$5)</f>
        <v>-858.90922860319233</v>
      </c>
      <c r="S21" s="1">
        <f t="shared" si="1"/>
        <v>1526.2425619365256</v>
      </c>
      <c r="T21">
        <v>1600</v>
      </c>
      <c r="U21" s="1">
        <f t="shared" si="2"/>
        <v>73.75743806347441</v>
      </c>
      <c r="V21" s="2">
        <f>U21*12/(N21-ACTIVE!$C$5)</f>
        <v>4.4312290377026666E-3</v>
      </c>
      <c r="W21" s="2">
        <f>U21*12/('ROI INFO'!$C$5+'ROI INFO'!$C$6+'ROI INFO'!$C$7)</f>
        <v>1.9241070799167238E-2</v>
      </c>
    </row>
    <row r="22" spans="1:23" ht="15" x14ac:dyDescent="0.2">
      <c r="A22" t="str">
        <f>"10364982"</f>
        <v>10364982</v>
      </c>
      <c r="B22" t="s">
        <v>4</v>
      </c>
      <c r="C22">
        <v>1510</v>
      </c>
      <c r="D22" t="s">
        <v>10</v>
      </c>
      <c r="E22" t="s">
        <v>35</v>
      </c>
      <c r="F22" t="s">
        <v>29</v>
      </c>
      <c r="G22" t="s">
        <v>8</v>
      </c>
      <c r="H22">
        <v>60642</v>
      </c>
      <c r="I22">
        <v>1</v>
      </c>
      <c r="J22">
        <v>1</v>
      </c>
      <c r="L22" t="s">
        <v>14</v>
      </c>
      <c r="N22">
        <v>215000</v>
      </c>
      <c r="O22">
        <v>3292.52</v>
      </c>
      <c r="P22">
        <v>119</v>
      </c>
      <c r="Q22">
        <f t="shared" si="0"/>
        <v>393.37666666666667</v>
      </c>
      <c r="R22" s="1">
        <f>PMT('ROI INFO'!$C$4/12,360,N22-'ROI INFO'!$C$5)</f>
        <v>-939.43784027124332</v>
      </c>
      <c r="S22" s="1">
        <f t="shared" si="1"/>
        <v>1332.81450693791</v>
      </c>
      <c r="T22">
        <v>1400</v>
      </c>
      <c r="U22" s="1">
        <f t="shared" si="2"/>
        <v>67.185493062090018</v>
      </c>
      <c r="V22" s="2">
        <f>U22*12/(N22-ACTIVE!$C$5)</f>
        <v>3.7544282236429182E-3</v>
      </c>
      <c r="W22" s="2">
        <f>U22*12/('ROI INFO'!$C$5+'ROI INFO'!$C$6+'ROI INFO'!$C$7)</f>
        <v>1.7526650364023483E-2</v>
      </c>
    </row>
    <row r="23" spans="1:23" ht="15" x14ac:dyDescent="0.2">
      <c r="A23" t="str">
        <f>"10320269"</f>
        <v>10320269</v>
      </c>
      <c r="B23" t="s">
        <v>4</v>
      </c>
      <c r="C23">
        <v>125</v>
      </c>
      <c r="D23" t="s">
        <v>15</v>
      </c>
      <c r="E23" t="s">
        <v>42</v>
      </c>
      <c r="F23" t="s">
        <v>7</v>
      </c>
      <c r="G23" t="s">
        <v>8</v>
      </c>
      <c r="H23">
        <v>60661</v>
      </c>
      <c r="I23">
        <v>1</v>
      </c>
      <c r="J23">
        <v>1</v>
      </c>
      <c r="L23" t="s">
        <v>14</v>
      </c>
      <c r="M23" t="s">
        <v>25</v>
      </c>
      <c r="N23">
        <v>229000</v>
      </c>
      <c r="O23">
        <v>3243.62</v>
      </c>
      <c r="P23">
        <v>349</v>
      </c>
      <c r="Q23">
        <f t="shared" si="0"/>
        <v>619.30166666666673</v>
      </c>
      <c r="R23" s="1">
        <f>PMT('ROI INFO'!$C$4/12,360,N23-'ROI INFO'!$C$5)</f>
        <v>-1014.5928674929428</v>
      </c>
      <c r="S23" s="1">
        <f t="shared" si="1"/>
        <v>1633.8945341596095</v>
      </c>
      <c r="T23">
        <v>1700</v>
      </c>
      <c r="U23" s="1">
        <f t="shared" si="2"/>
        <v>66.10546584039048</v>
      </c>
      <c r="V23" s="2">
        <f>U23*12/(N23-ACTIVE!$C$5)</f>
        <v>3.4679793218706208E-3</v>
      </c>
      <c r="W23" s="2">
        <f>U23*12/('ROI INFO'!$C$5+'ROI INFO'!$C$6+'ROI INFO'!$C$7)</f>
        <v>1.7244904132275779E-2</v>
      </c>
    </row>
    <row r="24" spans="1:23" ht="15" x14ac:dyDescent="0.2">
      <c r="A24" t="str">
        <f>"10381592"</f>
        <v>10381592</v>
      </c>
      <c r="B24" t="s">
        <v>12</v>
      </c>
      <c r="C24">
        <v>1720</v>
      </c>
      <c r="D24" t="s">
        <v>15</v>
      </c>
      <c r="E24" t="s">
        <v>28</v>
      </c>
      <c r="F24" t="s">
        <v>29</v>
      </c>
      <c r="G24" t="s">
        <v>8</v>
      </c>
      <c r="H24">
        <v>60616</v>
      </c>
      <c r="I24">
        <v>1</v>
      </c>
      <c r="J24">
        <v>1</v>
      </c>
      <c r="K24">
        <v>1</v>
      </c>
      <c r="L24" t="s">
        <v>21</v>
      </c>
      <c r="N24">
        <v>200000</v>
      </c>
      <c r="O24">
        <v>3558</v>
      </c>
      <c r="P24">
        <v>380</v>
      </c>
      <c r="Q24">
        <f t="shared" si="0"/>
        <v>676.5</v>
      </c>
      <c r="R24" s="1">
        <f>PMT('ROI INFO'!$C$4/12,360,N24-'ROI INFO'!$C$5)</f>
        <v>-858.91459681942251</v>
      </c>
      <c r="S24" s="1">
        <f t="shared" si="1"/>
        <v>1535.4145968194225</v>
      </c>
      <c r="T24">
        <v>1600</v>
      </c>
      <c r="U24" s="1">
        <f t="shared" si="2"/>
        <v>64.585403180577487</v>
      </c>
      <c r="V24" s="2">
        <f>U24*12/(N24-ACTIVE!$C$5)</f>
        <v>3.8801684097673466E-3</v>
      </c>
      <c r="W24" s="2">
        <f>U24*12/('ROI INFO'!$C$5+'ROI INFO'!$C$6+'ROI INFO'!$C$7)</f>
        <v>1.6848366047107169E-2</v>
      </c>
    </row>
    <row r="25" spans="1:23" ht="15" x14ac:dyDescent="0.2">
      <c r="A25" t="str">
        <f>"10356317"</f>
        <v>10356317</v>
      </c>
      <c r="B25" t="s">
        <v>4</v>
      </c>
      <c r="C25">
        <v>1720</v>
      </c>
      <c r="D25" t="s">
        <v>15</v>
      </c>
      <c r="E25" t="s">
        <v>28</v>
      </c>
      <c r="F25" t="s">
        <v>29</v>
      </c>
      <c r="G25" t="s">
        <v>8</v>
      </c>
      <c r="H25">
        <v>60616</v>
      </c>
      <c r="I25">
        <v>1</v>
      </c>
      <c r="J25">
        <v>1</v>
      </c>
      <c r="K25">
        <v>1</v>
      </c>
      <c r="L25" t="s">
        <v>14</v>
      </c>
      <c r="M25" t="s">
        <v>9</v>
      </c>
      <c r="N25">
        <v>245000</v>
      </c>
      <c r="O25">
        <v>2882.2</v>
      </c>
      <c r="P25">
        <v>356</v>
      </c>
      <c r="Q25">
        <f t="shared" si="0"/>
        <v>596.18333333333328</v>
      </c>
      <c r="R25" s="1">
        <f>PMT('ROI INFO'!$C$4/12,360,N25-'ROI INFO'!$C$5)</f>
        <v>-1100.484327174885</v>
      </c>
      <c r="S25" s="1">
        <f t="shared" si="1"/>
        <v>1696.6676605082184</v>
      </c>
      <c r="T25">
        <v>1750</v>
      </c>
      <c r="U25" s="1">
        <f t="shared" si="2"/>
        <v>53.332339491781568</v>
      </c>
      <c r="V25" s="2">
        <f>U25*12/(N25-ACTIVE!$C$5)</f>
        <v>2.614971291580366E-3</v>
      </c>
      <c r="W25" s="2">
        <f>U25*12/('ROI INFO'!$C$5+'ROI INFO'!$C$6+'ROI INFO'!$C$7)</f>
        <v>1.3912784215247366E-2</v>
      </c>
    </row>
    <row r="26" spans="1:23" ht="15" x14ac:dyDescent="0.2">
      <c r="A26" t="str">
        <f>"10341762"</f>
        <v>10341762</v>
      </c>
      <c r="B26" t="s">
        <v>4</v>
      </c>
      <c r="C26">
        <v>1720</v>
      </c>
      <c r="D26" t="s">
        <v>15</v>
      </c>
      <c r="E26" t="s">
        <v>45</v>
      </c>
      <c r="F26" t="s">
        <v>29</v>
      </c>
      <c r="G26" t="s">
        <v>8</v>
      </c>
      <c r="H26">
        <v>60616</v>
      </c>
      <c r="I26">
        <v>1</v>
      </c>
      <c r="J26">
        <v>1</v>
      </c>
      <c r="L26" t="s">
        <v>21</v>
      </c>
      <c r="N26">
        <v>229900</v>
      </c>
      <c r="O26">
        <v>3649.85</v>
      </c>
      <c r="P26">
        <v>383</v>
      </c>
      <c r="Q26">
        <f t="shared" si="0"/>
        <v>687.1541666666667</v>
      </c>
      <c r="R26" s="1">
        <f>PMT('ROI INFO'!$C$4/12,360,N26-'ROI INFO'!$C$5)</f>
        <v>-1019.4242621000521</v>
      </c>
      <c r="S26" s="1">
        <f t="shared" si="1"/>
        <v>1706.5784287667188</v>
      </c>
      <c r="T26">
        <v>1750</v>
      </c>
      <c r="U26" s="1">
        <f t="shared" si="2"/>
        <v>43.421571233281156</v>
      </c>
      <c r="V26" s="2">
        <f>U26*12/(N26-ACTIVE!$C$5)</f>
        <v>2.2690247988128107E-3</v>
      </c>
      <c r="W26" s="2">
        <f>U26*12/('ROI INFO'!$C$5+'ROI INFO'!$C$6+'ROI INFO'!$C$7)</f>
        <v>1.1327366408682042E-2</v>
      </c>
    </row>
    <row r="27" spans="1:23" ht="15" x14ac:dyDescent="0.2">
      <c r="A27" t="str">
        <f>"10377031"</f>
        <v>10377031</v>
      </c>
      <c r="B27" t="s">
        <v>12</v>
      </c>
      <c r="C27">
        <v>8</v>
      </c>
      <c r="D27" t="s">
        <v>30</v>
      </c>
      <c r="E27" t="s">
        <v>33</v>
      </c>
      <c r="F27" t="s">
        <v>7</v>
      </c>
      <c r="G27" t="s">
        <v>8</v>
      </c>
      <c r="H27">
        <v>60603</v>
      </c>
      <c r="I27">
        <v>1</v>
      </c>
      <c r="J27">
        <v>1</v>
      </c>
      <c r="K27">
        <v>130</v>
      </c>
      <c r="L27" t="s">
        <v>14</v>
      </c>
      <c r="M27" t="s">
        <v>25</v>
      </c>
      <c r="N27">
        <v>214900</v>
      </c>
      <c r="O27">
        <v>3157.64</v>
      </c>
      <c r="P27">
        <v>460</v>
      </c>
      <c r="Q27">
        <f t="shared" si="0"/>
        <v>723.13666666666666</v>
      </c>
      <c r="R27" s="1">
        <f>PMT('ROI INFO'!$C$4/12,360,N27-'ROI INFO'!$C$5)</f>
        <v>-938.90101864823112</v>
      </c>
      <c r="S27" s="1">
        <f t="shared" si="1"/>
        <v>1662.0376853148978</v>
      </c>
      <c r="T27">
        <v>1700</v>
      </c>
      <c r="U27" s="1">
        <f t="shared" si="2"/>
        <v>37.962314685102228</v>
      </c>
      <c r="V27" s="2">
        <f>U27*12/(N27-ACTIVE!$C$5)</f>
        <v>2.1223806197410862E-3</v>
      </c>
      <c r="W27" s="2">
        <f>U27*12/('ROI INFO'!$C$5+'ROI INFO'!$C$6+'ROI INFO'!$C$7)</f>
        <v>9.9032125265484071E-3</v>
      </c>
    </row>
    <row r="28" spans="1:23" ht="15" x14ac:dyDescent="0.2">
      <c r="A28" t="str">
        <f>"10373091"</f>
        <v>10373091</v>
      </c>
      <c r="B28" t="s">
        <v>4</v>
      </c>
      <c r="C28">
        <v>1529</v>
      </c>
      <c r="D28" t="s">
        <v>15</v>
      </c>
      <c r="E28" t="s">
        <v>34</v>
      </c>
      <c r="F28" t="s">
        <v>7</v>
      </c>
      <c r="G28" t="s">
        <v>8</v>
      </c>
      <c r="H28">
        <v>60605</v>
      </c>
      <c r="I28">
        <v>1</v>
      </c>
      <c r="J28">
        <v>1</v>
      </c>
      <c r="L28" t="s">
        <v>14</v>
      </c>
      <c r="M28" t="s">
        <v>9</v>
      </c>
      <c r="N28">
        <v>214900</v>
      </c>
      <c r="O28">
        <v>3054.48</v>
      </c>
      <c r="P28">
        <v>370</v>
      </c>
      <c r="Q28">
        <f t="shared" si="0"/>
        <v>624.54</v>
      </c>
      <c r="R28" s="1">
        <f>PMT('ROI INFO'!$C$4/12,360,N28-'ROI INFO'!$C$5)</f>
        <v>-938.90101864823112</v>
      </c>
      <c r="S28" s="1">
        <f t="shared" si="1"/>
        <v>1563.441018648231</v>
      </c>
      <c r="T28">
        <v>1600</v>
      </c>
      <c r="U28" s="1">
        <f t="shared" si="2"/>
        <v>36.558981351769035</v>
      </c>
      <c r="V28" s="2">
        <f>U28*12/(N28-ACTIVE!$C$5)</f>
        <v>2.0439236685670351E-3</v>
      </c>
      <c r="W28" s="2">
        <f>U28*12/('ROI INFO'!$C$5+'ROI INFO'!$C$6+'ROI INFO'!$C$7)</f>
        <v>9.5371255700267051E-3</v>
      </c>
    </row>
    <row r="29" spans="1:23" ht="15" x14ac:dyDescent="0.2">
      <c r="A29" t="str">
        <f>"10362978"</f>
        <v>10362978</v>
      </c>
      <c r="B29" t="s">
        <v>4</v>
      </c>
      <c r="C29">
        <v>8</v>
      </c>
      <c r="D29" t="s">
        <v>30</v>
      </c>
      <c r="E29" t="s">
        <v>31</v>
      </c>
      <c r="F29" t="s">
        <v>7</v>
      </c>
      <c r="G29" t="s">
        <v>8</v>
      </c>
      <c r="H29">
        <v>60603</v>
      </c>
      <c r="I29">
        <v>1</v>
      </c>
      <c r="J29">
        <v>1</v>
      </c>
      <c r="L29" t="s">
        <v>14</v>
      </c>
      <c r="M29" t="s">
        <v>25</v>
      </c>
      <c r="N29">
        <v>208900</v>
      </c>
      <c r="O29">
        <v>3331.79</v>
      </c>
      <c r="P29">
        <v>482</v>
      </c>
      <c r="Q29">
        <f t="shared" si="0"/>
        <v>759.64916666666659</v>
      </c>
      <c r="R29" s="1">
        <f>PMT('ROI INFO'!$C$4/12,360,N29-'ROI INFO'!$C$5)</f>
        <v>-906.69172126750288</v>
      </c>
      <c r="S29" s="1">
        <f t="shared" si="1"/>
        <v>1666.3408879341696</v>
      </c>
      <c r="T29">
        <v>1700</v>
      </c>
      <c r="U29" s="1">
        <f t="shared" si="2"/>
        <v>33.659112065830413</v>
      </c>
      <c r="V29" s="2">
        <f>U29*12/(N29-ACTIVE!$C$5)</f>
        <v>1.9359151878353383E-3</v>
      </c>
      <c r="W29" s="2">
        <f>U29*12/('ROI INFO'!$C$5+'ROI INFO'!$C$6+'ROI INFO'!$C$7)</f>
        <v>8.7806379302166303E-3</v>
      </c>
    </row>
    <row r="30" spans="1:23" ht="15" x14ac:dyDescent="0.2">
      <c r="A30" t="str">
        <f>"10170208"</f>
        <v>10170208</v>
      </c>
      <c r="B30" t="s">
        <v>4</v>
      </c>
      <c r="C30">
        <v>1042</v>
      </c>
      <c r="D30" t="s">
        <v>10</v>
      </c>
      <c r="E30" t="s">
        <v>48</v>
      </c>
      <c r="F30" t="s">
        <v>7</v>
      </c>
      <c r="G30" t="s">
        <v>8</v>
      </c>
      <c r="H30">
        <v>60610</v>
      </c>
      <c r="I30">
        <v>1</v>
      </c>
      <c r="J30">
        <v>1</v>
      </c>
      <c r="L30" t="s">
        <v>14</v>
      </c>
      <c r="N30">
        <v>240000</v>
      </c>
      <c r="O30">
        <v>4725.37</v>
      </c>
      <c r="P30">
        <v>200</v>
      </c>
      <c r="Q30">
        <f t="shared" si="0"/>
        <v>593.78083333333325</v>
      </c>
      <c r="R30" s="1">
        <f>PMT('ROI INFO'!$C$4/12,360,N30-'ROI INFO'!$C$5)</f>
        <v>-1073.6432460242781</v>
      </c>
      <c r="S30" s="1">
        <f t="shared" si="1"/>
        <v>1667.4240793576114</v>
      </c>
      <c r="T30">
        <v>1700</v>
      </c>
      <c r="U30" s="1">
        <f t="shared" si="2"/>
        <v>32.57592064238861</v>
      </c>
      <c r="V30" s="2">
        <f>U30*12/(N30-ACTIVE!$C$5)</f>
        <v>1.6305624748004642E-3</v>
      </c>
      <c r="W30" s="2">
        <f>U30*12/('ROI INFO'!$C$5+'ROI INFO'!$C$6+'ROI INFO'!$C$7)</f>
        <v>8.4980662545361598E-3</v>
      </c>
    </row>
    <row r="31" spans="1:23" ht="15" x14ac:dyDescent="0.2">
      <c r="A31" t="str">
        <f>"10306542"</f>
        <v>10306542</v>
      </c>
      <c r="B31" t="s">
        <v>4</v>
      </c>
      <c r="C31">
        <v>40</v>
      </c>
      <c r="D31" t="s">
        <v>5</v>
      </c>
      <c r="E31" t="s">
        <v>13</v>
      </c>
      <c r="F31" t="s">
        <v>7</v>
      </c>
      <c r="G31" t="s">
        <v>8</v>
      </c>
      <c r="H31">
        <v>60605</v>
      </c>
      <c r="I31">
        <v>1</v>
      </c>
      <c r="J31">
        <v>1</v>
      </c>
      <c r="L31" t="s">
        <v>14</v>
      </c>
      <c r="M31" t="s">
        <v>9</v>
      </c>
      <c r="N31">
        <v>190000</v>
      </c>
      <c r="O31">
        <v>2514</v>
      </c>
      <c r="P31">
        <v>456</v>
      </c>
      <c r="Q31">
        <f t="shared" si="0"/>
        <v>665.5</v>
      </c>
      <c r="R31" s="1">
        <f>PMT('ROI INFO'!$C$4/12,360,N31-'ROI INFO'!$C$5)</f>
        <v>-805.23243451820861</v>
      </c>
      <c r="S31" s="1">
        <f t="shared" si="1"/>
        <v>1470.7324345182087</v>
      </c>
      <c r="T31">
        <v>1500</v>
      </c>
      <c r="U31" s="1">
        <f t="shared" si="2"/>
        <v>29.26756548179128</v>
      </c>
      <c r="V31" s="2">
        <f>U31*12/(N31-ACTIVE!$C$5)</f>
        <v>1.8510107820253786E-3</v>
      </c>
      <c r="W31" s="2">
        <f>U31*12/('ROI INFO'!$C$5+'ROI INFO'!$C$6+'ROI INFO'!$C$7)</f>
        <v>7.6350170822064205E-3</v>
      </c>
    </row>
    <row r="32" spans="1:23" ht="15" x14ac:dyDescent="0.2">
      <c r="A32" t="str">
        <f>"10130373"</f>
        <v>10130373</v>
      </c>
      <c r="B32" t="s">
        <v>4</v>
      </c>
      <c r="C32">
        <v>1339</v>
      </c>
      <c r="D32" t="s">
        <v>10</v>
      </c>
      <c r="E32" t="s">
        <v>11</v>
      </c>
      <c r="F32" t="s">
        <v>7</v>
      </c>
      <c r="G32" t="s">
        <v>8</v>
      </c>
      <c r="H32">
        <v>60610</v>
      </c>
      <c r="I32">
        <v>1</v>
      </c>
      <c r="J32">
        <v>1</v>
      </c>
      <c r="K32">
        <v>1</v>
      </c>
      <c r="N32">
        <v>169999</v>
      </c>
      <c r="O32">
        <v>3636.34</v>
      </c>
      <c r="P32">
        <v>421</v>
      </c>
      <c r="Q32">
        <f t="shared" si="0"/>
        <v>724.02833333333342</v>
      </c>
      <c r="R32" s="1">
        <f>PMT('ROI INFO'!$C$4/12,360,N32-'ROI INFO'!$C$5)</f>
        <v>-697.86274169955072</v>
      </c>
      <c r="S32" s="1">
        <f t="shared" si="1"/>
        <v>1421.8910750328841</v>
      </c>
      <c r="T32">
        <v>1450</v>
      </c>
      <c r="U32" s="1">
        <f t="shared" si="2"/>
        <v>28.108924967115854</v>
      </c>
      <c r="V32" s="2">
        <f>U32*12/(N32-ACTIVE!$C$5)</f>
        <v>1.9872103618225052E-3</v>
      </c>
      <c r="W32" s="2">
        <f>U32*12/('ROI INFO'!$C$5+'ROI INFO'!$C$6+'ROI INFO'!$C$7)</f>
        <v>7.3327630348997879E-3</v>
      </c>
    </row>
    <row r="33" spans="1:23" ht="15" x14ac:dyDescent="0.2">
      <c r="A33" t="str">
        <f>"10370091"</f>
        <v>10370091</v>
      </c>
      <c r="B33" t="s">
        <v>4</v>
      </c>
      <c r="C33">
        <v>640</v>
      </c>
      <c r="D33" t="s">
        <v>15</v>
      </c>
      <c r="E33" t="s">
        <v>24</v>
      </c>
      <c r="F33" t="s">
        <v>7</v>
      </c>
      <c r="G33" t="s">
        <v>8</v>
      </c>
      <c r="H33">
        <v>60605</v>
      </c>
      <c r="I33">
        <v>1</v>
      </c>
      <c r="J33">
        <v>1</v>
      </c>
      <c r="K33">
        <v>1</v>
      </c>
      <c r="L33" t="s">
        <v>14</v>
      </c>
      <c r="M33" t="s">
        <v>25</v>
      </c>
      <c r="N33">
        <v>199900</v>
      </c>
      <c r="O33">
        <v>2843.04</v>
      </c>
      <c r="P33">
        <v>478</v>
      </c>
      <c r="Q33">
        <f t="shared" si="0"/>
        <v>714.92</v>
      </c>
      <c r="R33" s="1">
        <f>PMT('ROI INFO'!$C$4/12,360,N33-'ROI INFO'!$C$5)</f>
        <v>-858.37777519641031</v>
      </c>
      <c r="S33" s="1">
        <f t="shared" si="1"/>
        <v>1573.2977751964104</v>
      </c>
      <c r="T33">
        <v>1600</v>
      </c>
      <c r="U33" s="1">
        <f t="shared" si="2"/>
        <v>26.702224803589615</v>
      </c>
      <c r="V33" s="2">
        <f>U33*12/(N33-ACTIVE!$C$5)</f>
        <v>1.6050225287671579E-3</v>
      </c>
      <c r="W33" s="2">
        <f>U33*12/('ROI INFO'!$C$5+'ROI INFO'!$C$6+'ROI INFO'!$C$7)</f>
        <v>6.9657977748494651E-3</v>
      </c>
    </row>
    <row r="34" spans="1:23" ht="15" x14ac:dyDescent="0.2">
      <c r="A34" t="str">
        <f>"10352029"</f>
        <v>10352029</v>
      </c>
      <c r="B34" t="s">
        <v>4</v>
      </c>
      <c r="C34">
        <v>801</v>
      </c>
      <c r="D34" t="s">
        <v>15</v>
      </c>
      <c r="E34" t="s">
        <v>26</v>
      </c>
      <c r="F34" t="s">
        <v>18</v>
      </c>
      <c r="G34" t="s">
        <v>8</v>
      </c>
      <c r="H34">
        <v>60605</v>
      </c>
      <c r="I34">
        <v>1</v>
      </c>
      <c r="J34">
        <v>1</v>
      </c>
      <c r="K34">
        <v>1</v>
      </c>
      <c r="L34" t="s">
        <v>21</v>
      </c>
      <c r="N34">
        <v>210000</v>
      </c>
      <c r="O34">
        <v>2332.8200000000002</v>
      </c>
      <c r="P34">
        <v>374</v>
      </c>
      <c r="Q34">
        <f t="shared" ref="Q34:Q65" si="3">O34/12+P34</f>
        <v>568.40166666666664</v>
      </c>
      <c r="R34" s="1">
        <f>PMT('ROI INFO'!$C$4/12,360,N34-'ROI INFO'!$C$5)</f>
        <v>-912.59675912063631</v>
      </c>
      <c r="S34" s="1">
        <f t="shared" ref="S34:S65" si="4">Q34-R34</f>
        <v>1480.9984257873029</v>
      </c>
      <c r="T34">
        <v>1500</v>
      </c>
      <c r="U34" s="1">
        <f t="shared" ref="U34:U65" si="5">T34-S34</f>
        <v>19.001574212697051</v>
      </c>
      <c r="V34" s="2">
        <f>U34*12/(N34-ACTIVE!$C$5)</f>
        <v>1.0871502362561486E-3</v>
      </c>
      <c r="W34" s="2">
        <f>U34*12/('ROI INFO'!$C$5+'ROI INFO'!$C$6+'ROI INFO'!$C$7)</f>
        <v>4.956932403312274E-3</v>
      </c>
    </row>
    <row r="35" spans="1:23" ht="15" x14ac:dyDescent="0.2">
      <c r="A35" t="str">
        <f>"10291989"</f>
        <v>10291989</v>
      </c>
      <c r="B35" t="s">
        <v>4</v>
      </c>
      <c r="C35">
        <v>899</v>
      </c>
      <c r="D35" t="s">
        <v>15</v>
      </c>
      <c r="E35" t="s">
        <v>17</v>
      </c>
      <c r="F35" t="s">
        <v>18</v>
      </c>
      <c r="G35" t="s">
        <v>8</v>
      </c>
      <c r="H35">
        <v>60605</v>
      </c>
      <c r="I35">
        <v>1</v>
      </c>
      <c r="J35">
        <v>1</v>
      </c>
      <c r="K35">
        <v>0</v>
      </c>
      <c r="M35" t="s">
        <v>9</v>
      </c>
      <c r="N35">
        <v>220000</v>
      </c>
      <c r="O35">
        <v>3624</v>
      </c>
      <c r="P35">
        <v>477</v>
      </c>
      <c r="Q35">
        <f t="shared" si="3"/>
        <v>779</v>
      </c>
      <c r="R35" s="1">
        <f>PMT('ROI INFO'!$C$4/12,360,N35-'ROI INFO'!$C$5)</f>
        <v>-966.27892142185033</v>
      </c>
      <c r="S35" s="1">
        <f t="shared" si="4"/>
        <v>1745.2789214218503</v>
      </c>
      <c r="T35">
        <v>1750</v>
      </c>
      <c r="U35" s="1">
        <f t="shared" si="5"/>
        <v>4.7210785781496725</v>
      </c>
      <c r="V35" s="2">
        <f>U35*12/(N35-ACTIVE!$C$5)</f>
        <v>2.5781807107397867E-4</v>
      </c>
      <c r="W35" s="2">
        <f>U35*12/('ROI INFO'!$C$5+'ROI INFO'!$C$6+'ROI INFO'!$C$7)</f>
        <v>1.231585716039045E-3</v>
      </c>
    </row>
    <row r="36" spans="1:23" ht="15" x14ac:dyDescent="0.2">
      <c r="A36" t="str">
        <f>"10303902"</f>
        <v>10303902</v>
      </c>
      <c r="B36" t="s">
        <v>4</v>
      </c>
      <c r="C36">
        <v>235</v>
      </c>
      <c r="D36" t="s">
        <v>30</v>
      </c>
      <c r="E36" t="s">
        <v>47</v>
      </c>
      <c r="F36" t="s">
        <v>7</v>
      </c>
      <c r="G36" t="s">
        <v>8</v>
      </c>
      <c r="H36">
        <v>60607</v>
      </c>
      <c r="I36">
        <v>1</v>
      </c>
      <c r="J36">
        <v>1</v>
      </c>
      <c r="K36">
        <v>1</v>
      </c>
      <c r="L36" t="s">
        <v>21</v>
      </c>
      <c r="N36">
        <v>239500</v>
      </c>
      <c r="O36">
        <v>4214.5600000000004</v>
      </c>
      <c r="P36">
        <v>326</v>
      </c>
      <c r="Q36">
        <f t="shared" si="3"/>
        <v>677.21333333333337</v>
      </c>
      <c r="R36" s="1">
        <f>PMT('ROI INFO'!$C$4/12,360,N36-'ROI INFO'!$C$5)</f>
        <v>-1070.9591379092174</v>
      </c>
      <c r="S36" s="1">
        <f t="shared" si="4"/>
        <v>1748.1724712425507</v>
      </c>
      <c r="T36">
        <v>1750</v>
      </c>
      <c r="U36" s="1">
        <f t="shared" si="5"/>
        <v>1.8275287574492722</v>
      </c>
      <c r="V36" s="2">
        <f>U36*12/(N36-ACTIVE!$C$5)</f>
        <v>9.1666715805848798E-5</v>
      </c>
      <c r="W36" s="2">
        <f>U36*12/('ROI INFO'!$C$5+'ROI INFO'!$C$6+'ROI INFO'!$C$7)</f>
        <v>4.7674663237807103E-4</v>
      </c>
    </row>
    <row r="37" spans="1:23" ht="15" x14ac:dyDescent="0.2">
      <c r="A37" t="str">
        <f>"10279867"</f>
        <v>10279867</v>
      </c>
      <c r="B37" t="s">
        <v>22</v>
      </c>
      <c r="C37">
        <v>40</v>
      </c>
      <c r="D37" t="s">
        <v>5</v>
      </c>
      <c r="E37" t="s">
        <v>13</v>
      </c>
      <c r="F37" t="s">
        <v>7</v>
      </c>
      <c r="G37" t="s">
        <v>8</v>
      </c>
      <c r="H37">
        <v>60605</v>
      </c>
      <c r="I37">
        <v>1</v>
      </c>
      <c r="J37">
        <v>1</v>
      </c>
      <c r="L37" t="s">
        <v>21</v>
      </c>
      <c r="N37">
        <v>194900</v>
      </c>
      <c r="O37">
        <v>2074.98</v>
      </c>
      <c r="P37">
        <v>496</v>
      </c>
      <c r="Q37">
        <f t="shared" si="3"/>
        <v>668.91499999999996</v>
      </c>
      <c r="R37" s="1">
        <f>PMT('ROI INFO'!$C$4/12,360,N37-'ROI INFO'!$C$5)</f>
        <v>-831.53669404580342</v>
      </c>
      <c r="S37" s="1">
        <f t="shared" si="4"/>
        <v>1500.4516940458034</v>
      </c>
      <c r="T37">
        <v>1500</v>
      </c>
      <c r="U37" s="1">
        <f t="shared" si="5"/>
        <v>-0.45169404580337869</v>
      </c>
      <c r="V37" s="2">
        <f>U37*12/(N37-ACTIVE!$C$5)</f>
        <v>-2.7847968298605346E-5</v>
      </c>
      <c r="W37" s="2">
        <f>U37*12/('ROI INFO'!$C$5+'ROI INFO'!$C$6+'ROI INFO'!$C$7)</f>
        <v>-1.1783322934001183E-4</v>
      </c>
    </row>
    <row r="38" spans="1:23" ht="15" x14ac:dyDescent="0.2">
      <c r="A38" t="str">
        <f>"10375465"</f>
        <v>10375465</v>
      </c>
      <c r="B38" t="s">
        <v>4</v>
      </c>
      <c r="C38">
        <v>210</v>
      </c>
      <c r="D38" t="s">
        <v>15</v>
      </c>
      <c r="E38" t="s">
        <v>43</v>
      </c>
      <c r="F38" t="s">
        <v>7</v>
      </c>
      <c r="G38" t="s">
        <v>8</v>
      </c>
      <c r="H38">
        <v>60661</v>
      </c>
      <c r="I38">
        <v>1</v>
      </c>
      <c r="J38">
        <v>1</v>
      </c>
      <c r="L38" t="s">
        <v>14</v>
      </c>
      <c r="N38">
        <v>225000</v>
      </c>
      <c r="O38">
        <v>3811.73</v>
      </c>
      <c r="P38">
        <v>392</v>
      </c>
      <c r="Q38">
        <f t="shared" si="3"/>
        <v>709.64416666666671</v>
      </c>
      <c r="R38" s="1">
        <f>PMT('ROI INFO'!$C$4/12,360,N38-'ROI INFO'!$C$5)</f>
        <v>-993.12000257245734</v>
      </c>
      <c r="S38" s="1">
        <f t="shared" si="4"/>
        <v>1702.7641692391239</v>
      </c>
      <c r="T38">
        <v>1700</v>
      </c>
      <c r="U38" s="1">
        <f t="shared" si="5"/>
        <v>-2.7641692391239303</v>
      </c>
      <c r="V38" s="2">
        <f>U38*12/(N38-ACTIVE!$C$5)</f>
        <v>-1.4759291122847364E-4</v>
      </c>
      <c r="W38" s="2">
        <f>U38*12/('ROI INFO'!$C$5+'ROI INFO'!$C$6+'ROI INFO'!$C$7)</f>
        <v>-7.2108762759754699E-4</v>
      </c>
    </row>
    <row r="39" spans="1:23" ht="15" x14ac:dyDescent="0.2">
      <c r="A39" t="str">
        <f>"10253705"</f>
        <v>10253705</v>
      </c>
      <c r="B39" t="s">
        <v>4</v>
      </c>
      <c r="C39">
        <v>40</v>
      </c>
      <c r="D39" t="s">
        <v>5</v>
      </c>
      <c r="E39" t="s">
        <v>13</v>
      </c>
      <c r="F39" t="s">
        <v>7</v>
      </c>
      <c r="G39" t="s">
        <v>8</v>
      </c>
      <c r="H39">
        <v>60605</v>
      </c>
      <c r="I39">
        <v>1</v>
      </c>
      <c r="J39">
        <v>1</v>
      </c>
      <c r="L39" t="s">
        <v>21</v>
      </c>
      <c r="M39" t="s">
        <v>9</v>
      </c>
      <c r="N39">
        <v>209900</v>
      </c>
      <c r="O39">
        <v>2419</v>
      </c>
      <c r="P39">
        <v>445</v>
      </c>
      <c r="Q39">
        <f t="shared" si="3"/>
        <v>646.58333333333337</v>
      </c>
      <c r="R39" s="1">
        <f>PMT('ROI INFO'!$C$4/12,360,N39-'ROI INFO'!$C$5)</f>
        <v>-912.05993749762433</v>
      </c>
      <c r="S39" s="1">
        <f t="shared" si="4"/>
        <v>1558.6432708309576</v>
      </c>
      <c r="T39">
        <v>1550</v>
      </c>
      <c r="U39" s="1">
        <f t="shared" si="5"/>
        <v>-8.6432708309575901</v>
      </c>
      <c r="V39" s="2">
        <f>U39*12/(N39-ACTIVE!$C$5)</f>
        <v>-4.9474933205252377E-4</v>
      </c>
      <c r="W39" s="2">
        <f>U39*12/('ROI INFO'!$C$5+'ROI INFO'!$C$6+'ROI INFO'!$C$7)</f>
        <v>-2.2547663037280671E-3</v>
      </c>
    </row>
    <row r="40" spans="1:23" ht="15" x14ac:dyDescent="0.2">
      <c r="A40" t="str">
        <f>"10302808"</f>
        <v>10302808</v>
      </c>
      <c r="B40" t="s">
        <v>4</v>
      </c>
      <c r="C40">
        <v>40</v>
      </c>
      <c r="D40" t="s">
        <v>5</v>
      </c>
      <c r="E40" t="s">
        <v>13</v>
      </c>
      <c r="F40" t="s">
        <v>7</v>
      </c>
      <c r="G40" t="s">
        <v>8</v>
      </c>
      <c r="H40">
        <v>60605</v>
      </c>
      <c r="I40">
        <v>1</v>
      </c>
      <c r="J40">
        <v>1</v>
      </c>
      <c r="M40" t="s">
        <v>9</v>
      </c>
      <c r="N40">
        <v>224900</v>
      </c>
      <c r="O40">
        <v>2929</v>
      </c>
      <c r="P40">
        <v>428</v>
      </c>
      <c r="Q40">
        <f t="shared" si="3"/>
        <v>672.08333333333337</v>
      </c>
      <c r="R40" s="1">
        <f>PMT('ROI INFO'!$C$4/12,360,N40-'ROI INFO'!$C$5)</f>
        <v>-992.58318094944514</v>
      </c>
      <c r="S40" s="1">
        <f t="shared" si="4"/>
        <v>1664.6665142827785</v>
      </c>
      <c r="T40">
        <v>1650</v>
      </c>
      <c r="U40" s="1">
        <f t="shared" si="5"/>
        <v>-14.666514282778508</v>
      </c>
      <c r="V40" s="2">
        <f>U40*12/(N40-ACTIVE!$C$5)</f>
        <v>-7.8346764331081774E-4</v>
      </c>
      <c r="W40" s="2">
        <f>U40*12/('ROI INFO'!$C$5+'ROI INFO'!$C$6+'ROI INFO'!$C$7)</f>
        <v>-3.8260472042030889E-3</v>
      </c>
    </row>
    <row r="41" spans="1:23" ht="15" x14ac:dyDescent="0.2">
      <c r="A41" t="str">
        <f>"10332691"</f>
        <v>10332691</v>
      </c>
      <c r="B41" t="s">
        <v>4</v>
      </c>
      <c r="C41">
        <v>1720</v>
      </c>
      <c r="D41" t="s">
        <v>15</v>
      </c>
      <c r="E41" t="s">
        <v>28</v>
      </c>
      <c r="F41" t="s">
        <v>29</v>
      </c>
      <c r="G41" t="s">
        <v>8</v>
      </c>
      <c r="H41">
        <v>60616</v>
      </c>
      <c r="I41">
        <v>1</v>
      </c>
      <c r="J41">
        <v>1</v>
      </c>
      <c r="K41">
        <v>1</v>
      </c>
      <c r="L41" t="s">
        <v>14</v>
      </c>
      <c r="M41" t="s">
        <v>9</v>
      </c>
      <c r="N41">
        <v>244000</v>
      </c>
      <c r="O41">
        <v>3828.65</v>
      </c>
      <c r="P41">
        <v>353</v>
      </c>
      <c r="Q41">
        <f t="shared" si="3"/>
        <v>672.05416666666667</v>
      </c>
      <c r="R41" s="1">
        <f>PMT('ROI INFO'!$C$4/12,360,N41-'ROI INFO'!$C$5)</f>
        <v>-1095.1161109447637</v>
      </c>
      <c r="S41" s="1">
        <f t="shared" si="4"/>
        <v>1767.1702776114303</v>
      </c>
      <c r="T41">
        <v>1750</v>
      </c>
      <c r="U41" s="1">
        <f t="shared" si="5"/>
        <v>-17.170277611430265</v>
      </c>
      <c r="V41" s="2">
        <f>U41*12/(N41-ACTIVE!$C$5)</f>
        <v>-8.4534065535883803E-4</v>
      </c>
      <c r="W41" s="2">
        <f>U41*12/('ROI INFO'!$C$5+'ROI INFO'!$C$6+'ROI INFO'!$C$7)</f>
        <v>-4.4792028551557212E-3</v>
      </c>
    </row>
    <row r="42" spans="1:23" ht="15" x14ac:dyDescent="0.2">
      <c r="A42" t="str">
        <f>"10142484"</f>
        <v>10142484</v>
      </c>
      <c r="B42" t="s">
        <v>4</v>
      </c>
      <c r="C42">
        <v>1430</v>
      </c>
      <c r="D42" t="s">
        <v>15</v>
      </c>
      <c r="E42" t="s">
        <v>28</v>
      </c>
      <c r="F42" t="s">
        <v>29</v>
      </c>
      <c r="G42" t="s">
        <v>8</v>
      </c>
      <c r="H42">
        <v>60605</v>
      </c>
      <c r="I42">
        <v>1</v>
      </c>
      <c r="J42">
        <v>1</v>
      </c>
      <c r="K42">
        <v>1</v>
      </c>
      <c r="L42" t="s">
        <v>21</v>
      </c>
      <c r="N42">
        <v>248900</v>
      </c>
      <c r="O42">
        <v>4130.79</v>
      </c>
      <c r="P42">
        <v>365</v>
      </c>
      <c r="Q42">
        <f t="shared" si="3"/>
        <v>709.23250000000007</v>
      </c>
      <c r="R42" s="1">
        <f>PMT('ROI INFO'!$C$4/12,360,N42-'ROI INFO'!$C$5)</f>
        <v>-1121.4203704723586</v>
      </c>
      <c r="S42" s="1">
        <f t="shared" si="4"/>
        <v>1830.6528704723587</v>
      </c>
      <c r="T42">
        <v>1800</v>
      </c>
      <c r="U42" s="1">
        <f t="shared" si="5"/>
        <v>-30.6528704723587</v>
      </c>
      <c r="V42" s="2">
        <f>U42*12/(N42-ACTIVE!$C$5)</f>
        <v>-1.4793856405578524E-3</v>
      </c>
      <c r="W42" s="2">
        <f>U42*12/('ROI INFO'!$C$5+'ROI INFO'!$C$6+'ROI INFO'!$C$7)</f>
        <v>-7.9964009927892266E-3</v>
      </c>
    </row>
    <row r="43" spans="1:23" ht="15" x14ac:dyDescent="0.2">
      <c r="A43" t="str">
        <f>"10378125"</f>
        <v>10378125</v>
      </c>
      <c r="B43" t="s">
        <v>12</v>
      </c>
      <c r="C43">
        <v>8</v>
      </c>
      <c r="D43" t="s">
        <v>30</v>
      </c>
      <c r="E43" t="s">
        <v>31</v>
      </c>
      <c r="F43" t="s">
        <v>7</v>
      </c>
      <c r="G43" t="s">
        <v>8</v>
      </c>
      <c r="H43">
        <v>60603</v>
      </c>
      <c r="I43">
        <v>1</v>
      </c>
      <c r="J43">
        <v>1</v>
      </c>
      <c r="L43" t="s">
        <v>14</v>
      </c>
      <c r="M43" t="s">
        <v>9</v>
      </c>
      <c r="N43">
        <v>219900</v>
      </c>
      <c r="O43">
        <v>3418.67</v>
      </c>
      <c r="P43">
        <v>482</v>
      </c>
      <c r="Q43">
        <f t="shared" si="3"/>
        <v>766.8891666666666</v>
      </c>
      <c r="R43" s="1">
        <f>PMT('ROI INFO'!$C$4/12,360,N43-'ROI INFO'!$C$5)</f>
        <v>-965.74209979883813</v>
      </c>
      <c r="S43" s="1">
        <f t="shared" si="4"/>
        <v>1732.6312664655047</v>
      </c>
      <c r="T43">
        <v>1700</v>
      </c>
      <c r="U43" s="1">
        <f t="shared" si="5"/>
        <v>-32.631266465504723</v>
      </c>
      <c r="V43" s="2">
        <f>U43*12/(N43-ACTIVE!$C$5)</f>
        <v>-1.7828045783375372E-3</v>
      </c>
      <c r="W43" s="2">
        <f>U43*12/('ROI INFO'!$C$5+'ROI INFO'!$C$6+'ROI INFO'!$C$7)</f>
        <v>-8.5125042953490583E-3</v>
      </c>
    </row>
    <row r="44" spans="1:23" ht="15" x14ac:dyDescent="0.2">
      <c r="A44" t="str">
        <f>"10367339"</f>
        <v>10367339</v>
      </c>
      <c r="B44" t="s">
        <v>4</v>
      </c>
      <c r="C44">
        <v>611</v>
      </c>
      <c r="D44" t="s">
        <v>15</v>
      </c>
      <c r="E44" t="s">
        <v>52</v>
      </c>
      <c r="F44" t="s">
        <v>7</v>
      </c>
      <c r="G44" t="s">
        <v>8</v>
      </c>
      <c r="H44">
        <v>60607</v>
      </c>
      <c r="I44">
        <v>1</v>
      </c>
      <c r="J44">
        <v>1</v>
      </c>
      <c r="K44">
        <v>1</v>
      </c>
      <c r="L44" t="s">
        <v>14</v>
      </c>
      <c r="M44" t="s">
        <v>25</v>
      </c>
      <c r="N44">
        <v>249900</v>
      </c>
      <c r="O44">
        <v>3211</v>
      </c>
      <c r="P44">
        <v>350</v>
      </c>
      <c r="Q44">
        <f t="shared" si="3"/>
        <v>617.58333333333326</v>
      </c>
      <c r="R44" s="1">
        <f>PMT('ROI INFO'!$C$4/12,360,N44-'ROI INFO'!$C$5)</f>
        <v>-1126.7885867024797</v>
      </c>
      <c r="S44" s="1">
        <f t="shared" si="4"/>
        <v>1744.371920035813</v>
      </c>
      <c r="T44">
        <v>1700</v>
      </c>
      <c r="U44" s="1">
        <f t="shared" si="5"/>
        <v>-44.371920035812991</v>
      </c>
      <c r="V44" s="2">
        <f>U44*12/(N44-ACTIVE!$C$5)</f>
        <v>-2.1329235716622172E-3</v>
      </c>
      <c r="W44" s="2">
        <f>U44*12/('ROI INFO'!$C$5+'ROI INFO'!$C$6+'ROI INFO'!$C$7)</f>
        <v>-1.1575283487603389E-2</v>
      </c>
    </row>
    <row r="45" spans="1:23" ht="15" x14ac:dyDescent="0.2">
      <c r="A45" t="str">
        <f>"10355624"</f>
        <v>10355624</v>
      </c>
      <c r="B45" t="s">
        <v>22</v>
      </c>
      <c r="C45">
        <v>1440</v>
      </c>
      <c r="D45" t="s">
        <v>15</v>
      </c>
      <c r="E45" t="s">
        <v>28</v>
      </c>
      <c r="F45" t="s">
        <v>29</v>
      </c>
      <c r="G45" t="s">
        <v>8</v>
      </c>
      <c r="H45">
        <v>60605</v>
      </c>
      <c r="I45">
        <v>1</v>
      </c>
      <c r="J45">
        <v>1</v>
      </c>
      <c r="K45">
        <v>1</v>
      </c>
      <c r="L45" t="s">
        <v>14</v>
      </c>
      <c r="M45" t="s">
        <v>9</v>
      </c>
      <c r="N45">
        <v>239888</v>
      </c>
      <c r="O45">
        <v>3553.58</v>
      </c>
      <c r="P45">
        <v>377</v>
      </c>
      <c r="Q45">
        <f t="shared" si="3"/>
        <v>673.13166666666666</v>
      </c>
      <c r="R45" s="1">
        <f>PMT('ROI INFO'!$C$4/12,360,N45-'ROI INFO'!$C$5)</f>
        <v>-1073.0420058065044</v>
      </c>
      <c r="S45" s="1">
        <f t="shared" si="4"/>
        <v>1746.1736724731711</v>
      </c>
      <c r="T45">
        <v>1700</v>
      </c>
      <c r="U45" s="1">
        <f t="shared" si="5"/>
        <v>-46.173672473171109</v>
      </c>
      <c r="V45" s="2">
        <f>U45*12/(N45-ACTIVE!$C$5)</f>
        <v>-2.3122676384982276E-3</v>
      </c>
      <c r="W45" s="2">
        <f>U45*12/('ROI INFO'!$C$5+'ROI INFO'!$C$6+'ROI INFO'!$C$7)</f>
        <v>-1.2045305862566377E-2</v>
      </c>
    </row>
    <row r="46" spans="1:23" ht="15" x14ac:dyDescent="0.2">
      <c r="A46" t="str">
        <f>"10276023"</f>
        <v>10276023</v>
      </c>
      <c r="B46" t="s">
        <v>4</v>
      </c>
      <c r="C46">
        <v>600</v>
      </c>
      <c r="D46" t="s">
        <v>15</v>
      </c>
      <c r="E46" t="s">
        <v>46</v>
      </c>
      <c r="F46" t="s">
        <v>7</v>
      </c>
      <c r="G46" t="s">
        <v>8</v>
      </c>
      <c r="H46">
        <v>60605</v>
      </c>
      <c r="I46">
        <v>1</v>
      </c>
      <c r="J46">
        <v>1</v>
      </c>
      <c r="L46" t="s">
        <v>14</v>
      </c>
      <c r="N46">
        <v>239000</v>
      </c>
      <c r="O46">
        <v>3653</v>
      </c>
      <c r="P46">
        <v>380</v>
      </c>
      <c r="Q46">
        <f t="shared" si="3"/>
        <v>684.41666666666674</v>
      </c>
      <c r="R46" s="1">
        <f>PMT('ROI INFO'!$C$4/12,360,N46-'ROI INFO'!$C$5)</f>
        <v>-1068.2750297941566</v>
      </c>
      <c r="S46" s="1">
        <f t="shared" si="4"/>
        <v>1752.6916964608233</v>
      </c>
      <c r="T46">
        <v>1700</v>
      </c>
      <c r="U46" s="1">
        <f t="shared" si="5"/>
        <v>-52.691696460823323</v>
      </c>
      <c r="V46" s="2">
        <f>U46*12/(N46-ACTIVE!$C$5)</f>
        <v>-2.6484893923510089E-3</v>
      </c>
      <c r="W46" s="2">
        <f>U46*12/('ROI INFO'!$C$5+'ROI INFO'!$C$6+'ROI INFO'!$C$7)</f>
        <v>-1.3745659946301737E-2</v>
      </c>
    </row>
    <row r="47" spans="1:23" ht="15" x14ac:dyDescent="0.2">
      <c r="A47" t="str">
        <f>"10348537"</f>
        <v>10348537</v>
      </c>
      <c r="B47" t="s">
        <v>4</v>
      </c>
      <c r="C47">
        <v>1339</v>
      </c>
      <c r="D47" t="s">
        <v>10</v>
      </c>
      <c r="E47" t="s">
        <v>11</v>
      </c>
      <c r="F47" t="s">
        <v>7</v>
      </c>
      <c r="G47" t="s">
        <v>8</v>
      </c>
      <c r="H47">
        <v>60610</v>
      </c>
      <c r="I47">
        <v>1</v>
      </c>
      <c r="J47">
        <v>1</v>
      </c>
      <c r="K47">
        <v>1</v>
      </c>
      <c r="N47">
        <v>189999</v>
      </c>
      <c r="O47">
        <v>3358.42</v>
      </c>
      <c r="P47">
        <v>477</v>
      </c>
      <c r="Q47">
        <f t="shared" si="3"/>
        <v>756.86833333333334</v>
      </c>
      <c r="R47" s="1">
        <f>PMT('ROI INFO'!$C$4/12,360,N47-'ROI INFO'!$C$5)</f>
        <v>-805.22706630197854</v>
      </c>
      <c r="S47" s="1">
        <f t="shared" si="4"/>
        <v>1562.0953996353119</v>
      </c>
      <c r="T47">
        <v>1500</v>
      </c>
      <c r="U47" s="1">
        <f t="shared" si="5"/>
        <v>-62.095399635311878</v>
      </c>
      <c r="V47" s="2">
        <f>U47*12/(N47-ACTIVE!$C$5)</f>
        <v>-3.9272094594350266E-3</v>
      </c>
      <c r="W47" s="2">
        <f>U47*12/('ROI INFO'!$C$5+'ROI INFO'!$C$6+'ROI INFO'!$C$7)</f>
        <v>-1.6198799904863968E-2</v>
      </c>
    </row>
    <row r="48" spans="1:23" ht="15" x14ac:dyDescent="0.2">
      <c r="A48" t="str">
        <f>"10367102"</f>
        <v>10367102</v>
      </c>
      <c r="B48" t="s">
        <v>4</v>
      </c>
      <c r="C48">
        <v>701</v>
      </c>
      <c r="D48" t="s">
        <v>15</v>
      </c>
      <c r="E48" t="s">
        <v>41</v>
      </c>
      <c r="F48" t="s">
        <v>7</v>
      </c>
      <c r="G48" t="s">
        <v>8</v>
      </c>
      <c r="H48">
        <v>60607</v>
      </c>
      <c r="I48">
        <v>1</v>
      </c>
      <c r="J48">
        <v>1</v>
      </c>
      <c r="K48">
        <v>1</v>
      </c>
      <c r="L48" t="s">
        <v>14</v>
      </c>
      <c r="N48">
        <v>224500</v>
      </c>
      <c r="O48">
        <v>3709.95</v>
      </c>
      <c r="P48">
        <v>477</v>
      </c>
      <c r="Q48">
        <f t="shared" si="3"/>
        <v>786.16249999999991</v>
      </c>
      <c r="R48" s="1">
        <f>PMT('ROI INFO'!$C$4/12,360,N48-'ROI INFO'!$C$5)</f>
        <v>-990.43589445739656</v>
      </c>
      <c r="S48" s="1">
        <f t="shared" si="4"/>
        <v>1776.5983944573964</v>
      </c>
      <c r="T48">
        <v>1700</v>
      </c>
      <c r="U48" s="1">
        <f t="shared" si="5"/>
        <v>-76.598394457396353</v>
      </c>
      <c r="V48" s="2">
        <f>U48*12/(N48-ACTIVE!$C$5)</f>
        <v>-4.0990935314339826E-3</v>
      </c>
      <c r="W48" s="2">
        <f>U48*12/('ROI INFO'!$C$5+'ROI INFO'!$C$6+'ROI INFO'!$C$7)</f>
        <v>-1.9982189858451221E-2</v>
      </c>
    </row>
    <row r="49" spans="1:23" ht="15" x14ac:dyDescent="0.2">
      <c r="A49" t="str">
        <f>"10366500"</f>
        <v>10366500</v>
      </c>
      <c r="B49" t="s">
        <v>4</v>
      </c>
      <c r="C49">
        <v>633</v>
      </c>
      <c r="D49" t="s">
        <v>15</v>
      </c>
      <c r="E49" t="s">
        <v>17</v>
      </c>
      <c r="F49" t="s">
        <v>18</v>
      </c>
      <c r="G49" t="s">
        <v>8</v>
      </c>
      <c r="H49">
        <v>60605</v>
      </c>
      <c r="I49">
        <v>1</v>
      </c>
      <c r="J49">
        <v>1</v>
      </c>
      <c r="N49">
        <v>225000</v>
      </c>
      <c r="O49">
        <v>2832</v>
      </c>
      <c r="P49">
        <v>470</v>
      </c>
      <c r="Q49">
        <f t="shared" si="3"/>
        <v>706</v>
      </c>
      <c r="R49" s="1">
        <f>PMT('ROI INFO'!$C$4/12,360,N49-'ROI INFO'!$C$5)</f>
        <v>-993.12000257245734</v>
      </c>
      <c r="S49" s="1">
        <f t="shared" si="4"/>
        <v>1699.1200025724575</v>
      </c>
      <c r="T49">
        <v>1600</v>
      </c>
      <c r="U49" s="1">
        <f t="shared" si="5"/>
        <v>-99.120002572457452</v>
      </c>
      <c r="V49" s="2">
        <f>U49*12/(N49-ACTIVE!$C$5)</f>
        <v>-5.2925159333874231E-3</v>
      </c>
      <c r="W49" s="2">
        <f>U49*12/('ROI INFO'!$C$5+'ROI INFO'!$C$6+'ROI INFO'!$C$7)</f>
        <v>-2.5857391975423683E-2</v>
      </c>
    </row>
    <row r="50" spans="1:23" ht="15" x14ac:dyDescent="0.2">
      <c r="A50" t="str">
        <f>"10377904"</f>
        <v>10377904</v>
      </c>
      <c r="B50" t="s">
        <v>12</v>
      </c>
      <c r="C50">
        <v>1255</v>
      </c>
      <c r="D50" t="s">
        <v>10</v>
      </c>
      <c r="E50" t="s">
        <v>19</v>
      </c>
      <c r="F50" t="s">
        <v>20</v>
      </c>
      <c r="G50" t="s">
        <v>8</v>
      </c>
      <c r="H50">
        <v>60610</v>
      </c>
      <c r="I50">
        <v>1</v>
      </c>
      <c r="J50">
        <v>1</v>
      </c>
      <c r="K50">
        <v>1</v>
      </c>
      <c r="L50" t="s">
        <v>21</v>
      </c>
      <c r="M50" t="s">
        <v>9</v>
      </c>
      <c r="N50">
        <v>249000</v>
      </c>
      <c r="O50">
        <v>3417.85</v>
      </c>
      <c r="P50">
        <v>495</v>
      </c>
      <c r="Q50">
        <f t="shared" si="3"/>
        <v>779.82083333333333</v>
      </c>
      <c r="R50" s="1">
        <f>PMT('ROI INFO'!$C$4/12,360,N50-'ROI INFO'!$C$5)</f>
        <v>-1121.9571920953706</v>
      </c>
      <c r="S50" s="1">
        <f t="shared" si="4"/>
        <v>1901.778025428704</v>
      </c>
      <c r="T50">
        <v>1800</v>
      </c>
      <c r="U50" s="1">
        <f t="shared" si="5"/>
        <v>-101.77802542870404</v>
      </c>
      <c r="V50" s="2">
        <f>U50*12/(N50-ACTIVE!$C$5)</f>
        <v>-4.9100920846846044E-3</v>
      </c>
      <c r="W50" s="2">
        <f>U50*12/('ROI INFO'!$C$5+'ROI INFO'!$C$6+'ROI INFO'!$C$7)</f>
        <v>-2.6550789242270618E-2</v>
      </c>
    </row>
    <row r="51" spans="1:23" ht="15" x14ac:dyDescent="0.2">
      <c r="A51" t="str">
        <f>"10132172"</f>
        <v>10132172</v>
      </c>
      <c r="B51" t="s">
        <v>4</v>
      </c>
      <c r="C51">
        <v>801</v>
      </c>
      <c r="D51" t="s">
        <v>15</v>
      </c>
      <c r="E51" t="s">
        <v>17</v>
      </c>
      <c r="F51" t="s">
        <v>18</v>
      </c>
      <c r="G51" t="s">
        <v>8</v>
      </c>
      <c r="H51">
        <v>60605</v>
      </c>
      <c r="I51">
        <v>1</v>
      </c>
      <c r="J51">
        <v>1</v>
      </c>
      <c r="L51" t="s">
        <v>14</v>
      </c>
      <c r="M51" t="s">
        <v>9</v>
      </c>
      <c r="N51">
        <v>210000</v>
      </c>
      <c r="O51">
        <v>2983.86</v>
      </c>
      <c r="P51">
        <v>455</v>
      </c>
      <c r="Q51">
        <f t="shared" si="3"/>
        <v>703.65499999999997</v>
      </c>
      <c r="R51" s="1">
        <f>PMT('ROI INFO'!$C$4/12,360,N51-'ROI INFO'!$C$5)</f>
        <v>-912.59675912063631</v>
      </c>
      <c r="S51" s="1">
        <f t="shared" si="4"/>
        <v>1616.2517591206363</v>
      </c>
      <c r="T51">
        <v>1500</v>
      </c>
      <c r="U51" s="1">
        <f t="shared" si="5"/>
        <v>-116.25175912063628</v>
      </c>
      <c r="V51" s="2">
        <f>U51*12/(N51-ACTIVE!$C$5)</f>
        <v>-6.6511924737657829E-3</v>
      </c>
      <c r="W51" s="2">
        <f>U51*12/('ROI INFO'!$C$5+'ROI INFO'!$C$6+'ROI INFO'!$C$7)</f>
        <v>-3.0326545857557289E-2</v>
      </c>
    </row>
    <row r="52" spans="1:23" ht="15" x14ac:dyDescent="0.2">
      <c r="A52" t="str">
        <f>"10358425"</f>
        <v>10358425</v>
      </c>
      <c r="B52" t="s">
        <v>4</v>
      </c>
      <c r="C52">
        <v>8</v>
      </c>
      <c r="D52" t="s">
        <v>30</v>
      </c>
      <c r="E52" t="s">
        <v>33</v>
      </c>
      <c r="F52" t="s">
        <v>7</v>
      </c>
      <c r="G52" t="s">
        <v>8</v>
      </c>
      <c r="H52">
        <v>60603</v>
      </c>
      <c r="I52">
        <v>1</v>
      </c>
      <c r="J52">
        <v>1</v>
      </c>
      <c r="L52" t="s">
        <v>14</v>
      </c>
      <c r="M52" t="s">
        <v>25</v>
      </c>
      <c r="N52">
        <v>232500</v>
      </c>
      <c r="O52">
        <v>3636</v>
      </c>
      <c r="P52">
        <v>485</v>
      </c>
      <c r="Q52">
        <f t="shared" si="3"/>
        <v>788</v>
      </c>
      <c r="R52" s="1">
        <f>PMT('ROI INFO'!$C$4/12,360,N52-'ROI INFO'!$C$5)</f>
        <v>-1033.3816242983678</v>
      </c>
      <c r="S52" s="1">
        <f t="shared" si="4"/>
        <v>1821.3816242983678</v>
      </c>
      <c r="T52">
        <v>1700</v>
      </c>
      <c r="U52" s="1">
        <f t="shared" si="5"/>
        <v>-121.3816242983678</v>
      </c>
      <c r="V52" s="2">
        <f>U52*12/(N52-ACTIVE!$C$5)</f>
        <v>-6.2718717343283395E-3</v>
      </c>
      <c r="W52" s="2">
        <f>U52*12/('ROI INFO'!$C$5+'ROI INFO'!$C$6+'ROI INFO'!$C$7)</f>
        <v>-3.1664771556095948E-2</v>
      </c>
    </row>
    <row r="53" spans="1:23" ht="15" x14ac:dyDescent="0.2">
      <c r="A53" t="str">
        <f>"10290710"</f>
        <v>10290710</v>
      </c>
      <c r="B53" t="s">
        <v>4</v>
      </c>
      <c r="C53">
        <v>480</v>
      </c>
      <c r="D53" t="s">
        <v>10</v>
      </c>
      <c r="E53" t="s">
        <v>37</v>
      </c>
      <c r="F53" t="s">
        <v>18</v>
      </c>
      <c r="G53" t="s">
        <v>8</v>
      </c>
      <c r="H53">
        <v>60611</v>
      </c>
      <c r="I53">
        <v>1</v>
      </c>
      <c r="J53">
        <v>1</v>
      </c>
      <c r="L53" t="s">
        <v>14</v>
      </c>
      <c r="M53" t="s">
        <v>25</v>
      </c>
      <c r="N53">
        <v>215900</v>
      </c>
      <c r="O53">
        <v>3868</v>
      </c>
      <c r="P53">
        <v>464</v>
      </c>
      <c r="Q53">
        <f t="shared" si="3"/>
        <v>786.33333333333326</v>
      </c>
      <c r="R53" s="1">
        <f>PMT('ROI INFO'!$C$4/12,360,N53-'ROI INFO'!$C$5)</f>
        <v>-944.26923487835268</v>
      </c>
      <c r="S53" s="1">
        <f t="shared" si="4"/>
        <v>1730.602568211686</v>
      </c>
      <c r="T53">
        <v>1600</v>
      </c>
      <c r="U53" s="1">
        <f t="shared" si="5"/>
        <v>-130.60256821168605</v>
      </c>
      <c r="V53" s="2">
        <f>U53*12/(N53-ACTIVE!$C$5)</f>
        <v>-7.2678112527371202E-3</v>
      </c>
      <c r="W53" s="2">
        <f>U53*12/('ROI INFO'!$C$5+'ROI INFO'!$C$6+'ROI INFO'!$C$7)</f>
        <v>-3.407023518565723E-2</v>
      </c>
    </row>
    <row r="54" spans="1:23" ht="15" x14ac:dyDescent="0.2">
      <c r="A54" t="str">
        <f>"10365235"</f>
        <v>10365235</v>
      </c>
      <c r="B54" t="s">
        <v>4</v>
      </c>
      <c r="C54">
        <v>210</v>
      </c>
      <c r="D54" t="s">
        <v>15</v>
      </c>
      <c r="E54" t="s">
        <v>43</v>
      </c>
      <c r="F54" t="s">
        <v>7</v>
      </c>
      <c r="G54" t="s">
        <v>8</v>
      </c>
      <c r="H54">
        <v>60661</v>
      </c>
      <c r="I54">
        <v>1</v>
      </c>
      <c r="J54">
        <v>1</v>
      </c>
      <c r="K54">
        <v>1</v>
      </c>
      <c r="L54" t="s">
        <v>14</v>
      </c>
      <c r="M54" t="s">
        <v>9</v>
      </c>
      <c r="N54">
        <v>240000</v>
      </c>
      <c r="O54">
        <v>4328.66</v>
      </c>
      <c r="P54">
        <v>446</v>
      </c>
      <c r="Q54">
        <f t="shared" si="3"/>
        <v>806.72166666666658</v>
      </c>
      <c r="R54" s="1">
        <f>PMT('ROI INFO'!$C$4/12,360,N54-'ROI INFO'!$C$5)</f>
        <v>-1073.6432460242781</v>
      </c>
      <c r="S54" s="1">
        <f t="shared" si="4"/>
        <v>1880.3649126909447</v>
      </c>
      <c r="T54">
        <v>1700</v>
      </c>
      <c r="U54" s="1">
        <f t="shared" si="5"/>
        <v>-180.36491269094472</v>
      </c>
      <c r="V54" s="2">
        <f>U54*12/(N54-ACTIVE!$C$5)</f>
        <v>-9.0280259960429498E-3</v>
      </c>
      <c r="W54" s="2">
        <f>U54*12/('ROI INFO'!$C$5+'ROI INFO'!$C$6+'ROI INFO'!$C$7)</f>
        <v>-4.7051716354159494E-2</v>
      </c>
    </row>
    <row r="55" spans="1:23" ht="15" x14ac:dyDescent="0.2">
      <c r="A55" t="str">
        <f>"10048973"</f>
        <v>10048973</v>
      </c>
      <c r="B55" t="s">
        <v>4</v>
      </c>
      <c r="C55">
        <v>222</v>
      </c>
      <c r="D55" t="s">
        <v>10</v>
      </c>
      <c r="E55" t="s">
        <v>49</v>
      </c>
      <c r="F55" t="s">
        <v>50</v>
      </c>
      <c r="G55" t="s">
        <v>8</v>
      </c>
      <c r="H55">
        <v>60601</v>
      </c>
      <c r="I55">
        <v>1</v>
      </c>
      <c r="J55">
        <v>1</v>
      </c>
      <c r="K55">
        <v>1</v>
      </c>
      <c r="M55" t="s">
        <v>9</v>
      </c>
      <c r="N55">
        <v>248700</v>
      </c>
      <c r="O55">
        <v>4118.16</v>
      </c>
      <c r="P55">
        <v>494</v>
      </c>
      <c r="Q55">
        <f t="shared" si="3"/>
        <v>837.18000000000006</v>
      </c>
      <c r="R55" s="1">
        <f>PMT('ROI INFO'!$C$4/12,360,N55-'ROI INFO'!$C$5)</f>
        <v>-1120.3467272263342</v>
      </c>
      <c r="S55" s="1">
        <f t="shared" si="4"/>
        <v>1957.5267272263343</v>
      </c>
      <c r="T55">
        <v>1750</v>
      </c>
      <c r="U55" s="1">
        <f t="shared" si="5"/>
        <v>-207.52672722633429</v>
      </c>
      <c r="V55" s="2">
        <f>U55*12/(N55-ACTIVE!$C$5)</f>
        <v>-1.0023831616148815E-2</v>
      </c>
      <c r="W55" s="2">
        <f>U55*12/('ROI INFO'!$C$5+'ROI INFO'!$C$6+'ROI INFO'!$C$7)</f>
        <v>-5.4137407102521989E-2</v>
      </c>
    </row>
    <row r="56" spans="1:23" ht="15" x14ac:dyDescent="0.2">
      <c r="A56" t="str">
        <f>"10328595"</f>
        <v>10328595</v>
      </c>
      <c r="B56" t="s">
        <v>4</v>
      </c>
      <c r="C56">
        <v>300</v>
      </c>
      <c r="D56" t="s">
        <v>10</v>
      </c>
      <c r="E56" t="s">
        <v>34</v>
      </c>
      <c r="F56" t="s">
        <v>7</v>
      </c>
      <c r="G56" t="s">
        <v>8</v>
      </c>
      <c r="H56">
        <v>60654</v>
      </c>
      <c r="I56">
        <v>1</v>
      </c>
      <c r="J56">
        <v>1</v>
      </c>
      <c r="K56">
        <v>1</v>
      </c>
      <c r="L56" t="s">
        <v>14</v>
      </c>
      <c r="N56">
        <v>239000</v>
      </c>
      <c r="O56">
        <v>4265</v>
      </c>
      <c r="P56">
        <v>463</v>
      </c>
      <c r="Q56">
        <f t="shared" si="3"/>
        <v>818.41666666666674</v>
      </c>
      <c r="R56" s="1">
        <f>PMT('ROI INFO'!$C$4/12,360,N56-'ROI INFO'!$C$5)</f>
        <v>-1068.2750297941566</v>
      </c>
      <c r="S56" s="1">
        <f t="shared" si="4"/>
        <v>1886.6916964608233</v>
      </c>
      <c r="T56">
        <v>1650</v>
      </c>
      <c r="U56" s="1">
        <f t="shared" si="5"/>
        <v>-236.69169646082332</v>
      </c>
      <c r="V56" s="2">
        <f>U56*12/(N56-ACTIVE!$C$5)</f>
        <v>-1.1897044305645806E-2</v>
      </c>
      <c r="W56" s="2">
        <f>U56*12/('ROI INFO'!$C$5+'ROI INFO'!$C$6+'ROI INFO'!$C$7)</f>
        <v>-6.174565994630174E-2</v>
      </c>
    </row>
  </sheetData>
  <sortState ref="A2:U57">
    <sortCondition descending="1" ref="U2:U57"/>
  </sortState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020A-7AA0-B542-A4BF-0FAF7F9E2A19}">
  <dimension ref="A1"/>
  <sheetViews>
    <sheetView workbookViewId="0"/>
  </sheetViews>
  <sheetFormatPr baseColWidth="10" defaultRowHeight="16" x14ac:dyDescent="0.2"/>
  <sheetData>
    <row r="1" spans="1:1" x14ac:dyDescent="0.2">
      <c r="A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ROI INFO</vt:lpstr>
      <vt:lpstr>ACTIVE</vt:lpstr>
      <vt:lpstr>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2019-05-17T21:46:03Z</dcterms:created>
  <dcterms:modified xsi:type="dcterms:W3CDTF">2019-05-21T21:29:08Z</dcterms:modified>
</cp:coreProperties>
</file>