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2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<sst xmlns="http://schemas.openxmlformats.org/spreadsheetml/2006/main" count="65" uniqueCount="41">
  <si>
    <t xml:space="preserve">RC цепь</t>
  </si>
  <si>
    <t xml:space="preserve">R, Ом</t>
  </si>
  <si>
    <t xml:space="preserve">ϕ, Рад</t>
  </si>
  <si>
    <r>
      <rPr>
        <sz val="11"/>
        <color rgb="FF000000"/>
        <rFont val="Calibri"/>
        <family val="2"/>
        <charset val="1"/>
      </rPr>
      <t xml:space="preserve">0.48</t>
    </r>
    <r>
      <rPr>
        <sz val="11"/>
        <color rgb="FF000000"/>
        <rFont val="Calibri"/>
        <family val="2"/>
        <charset val="204"/>
      </rPr>
      <t xml:space="preserve">π</t>
    </r>
  </si>
  <si>
    <t xml:space="preserve">0.45π</t>
  </si>
  <si>
    <t xml:space="preserve">0.4π</t>
  </si>
  <si>
    <t xml:space="preserve">0.35π</t>
  </si>
  <si>
    <t xml:space="preserve">0.3π</t>
  </si>
  <si>
    <t xml:space="preserve">0.25π</t>
  </si>
  <si>
    <t xml:space="preserve">0.2π</t>
  </si>
  <si>
    <t xml:space="preserve">0.15π</t>
  </si>
  <si>
    <t xml:space="preserve">0.1π</t>
  </si>
  <si>
    <t xml:space="preserve">0.05π</t>
  </si>
  <si>
    <r>
      <rPr>
        <sz val="11"/>
        <color rgb="FF000000"/>
        <rFont val="Calibri"/>
        <family val="2"/>
        <charset val="204"/>
      </rPr>
      <t xml:space="preserve">Ω</t>
    </r>
    <r>
      <rPr>
        <sz val="8.8"/>
        <color rgb="FF000000"/>
        <rFont val="Calibri"/>
        <family val="2"/>
        <charset val="1"/>
      </rPr>
      <t xml:space="preserve">CR</t>
    </r>
  </si>
  <si>
    <t xml:space="preserve">ctg(ϕ)</t>
  </si>
  <si>
    <t xml:space="preserve">RL цепь</t>
  </si>
  <si>
    <r>
      <rPr>
        <sz val="11"/>
        <color rgb="FF000000"/>
        <rFont val="Calibri"/>
        <family val="2"/>
        <charset val="1"/>
      </rPr>
      <t xml:space="preserve">0.46</t>
    </r>
    <r>
      <rPr>
        <sz val="11"/>
        <color rgb="FF000000"/>
        <rFont val="Calibri"/>
        <family val="2"/>
        <charset val="204"/>
      </rPr>
      <t xml:space="preserve">π</t>
    </r>
  </si>
  <si>
    <t xml:space="preserve">0.43π</t>
  </si>
  <si>
    <t xml:space="preserve">0.39π</t>
  </si>
  <si>
    <t xml:space="preserve">0.34π</t>
  </si>
  <si>
    <t xml:space="preserve">0.28π</t>
  </si>
  <si>
    <t xml:space="preserve">0.24π</t>
  </si>
  <si>
    <t xml:space="preserve">0.193π</t>
  </si>
  <si>
    <t xml:space="preserve">0.145π</t>
  </si>
  <si>
    <t xml:space="preserve">0.096π</t>
  </si>
  <si>
    <t xml:space="preserve">0.048π</t>
  </si>
  <si>
    <t xml:space="preserve">R/ΩL</t>
  </si>
  <si>
    <t xml:space="preserve">RLC цепочка</t>
  </si>
  <si>
    <t xml:space="preserve">ν, Гц</t>
  </si>
  <si>
    <t xml:space="preserve">f0, Гц</t>
  </si>
  <si>
    <r>
      <rPr>
        <sz val="11"/>
        <color rgb="FF000000"/>
        <rFont val="Calibri"/>
        <family val="2"/>
        <charset val="204"/>
      </rPr>
      <t xml:space="preserve">ν/ν</t>
    </r>
    <r>
      <rPr>
        <sz val="7"/>
        <color rgb="FF000000"/>
        <rFont val="Calibri"/>
        <family val="2"/>
        <charset val="204"/>
      </rPr>
      <t xml:space="preserve">0</t>
    </r>
  </si>
  <si>
    <t xml:space="preserve">0.27π</t>
  </si>
  <si>
    <t xml:space="preserve">0.21π</t>
  </si>
  <si>
    <t xml:space="preserve">0.155π</t>
  </si>
  <si>
    <t xml:space="preserve">0.025π</t>
  </si>
  <si>
    <r>
      <rPr>
        <sz val="11"/>
        <color rgb="FF000000"/>
        <rFont val="Calibri"/>
        <family val="2"/>
        <charset val="204"/>
      </rPr>
      <t xml:space="preserve">¬</t>
    </r>
    <r>
      <rPr>
        <sz val="11"/>
        <color rgb="FF000000"/>
        <rFont val="Calibri"/>
        <family val="2"/>
        <charset val="1"/>
      </rPr>
      <t xml:space="preserve">0.095π</t>
    </r>
  </si>
  <si>
    <t xml:space="preserve">¬0.14π</t>
  </si>
  <si>
    <t xml:space="preserve">¬0.19π</t>
  </si>
  <si>
    <t xml:space="preserve">¬0.23π</t>
  </si>
  <si>
    <t xml:space="preserve">¬0.27π</t>
  </si>
  <si>
    <t xml:space="preserve">Q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</si>
</sst>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sz val="8.8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8"/>
      <color rgb="FF595959"/>
      <name val="Calibri"/>
      <family val="2"/>
    </font>
    <font>
      <sz val="10"/>
      <name val="Arial"/>
      <family val="2"/>
    </font>
    <font>
      <sz val="7"/>
      <color rgb="FF000000"/>
      <name val="Calibri"/>
      <family val="2"/>
      <charset val="204"/>
    </font>
    <font>
      <sz val="7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8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ctg(ϕ) = f(ΩCR)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Лист1!$C$6:$L$6</c:f>
              <c:numCache>
                <c:formatCode>General</c:formatCode>
                <c:ptCount val="10"/>
                <c:pt idx="0">
                  <c:v>0</c:v>
                </c:pt>
                <c:pt idx="1">
                  <c:v>0.144</c:v>
                </c:pt>
                <c:pt idx="2">
                  <c:v>0.352</c:v>
                </c:pt>
                <c:pt idx="3">
                  <c:v>0.58</c:v>
                </c:pt>
                <c:pt idx="4">
                  <c:v>0.86</c:v>
                </c:pt>
                <c:pt idx="5">
                  <c:v>1.2</c:v>
                </c:pt>
                <c:pt idx="6">
                  <c:v>1.76</c:v>
                </c:pt>
                <c:pt idx="7">
                  <c:v>2.52</c:v>
                </c:pt>
                <c:pt idx="8">
                  <c:v>4.16</c:v>
                </c:pt>
                <c:pt idx="9">
                  <c:v>10</c:v>
                </c:pt>
              </c:numCache>
            </c:numRef>
          </c:xVal>
          <c:yVal>
            <c:numRef>
              <c:f>Лист1!$C$7:$L$7</c:f>
              <c:numCache>
                <c:formatCode>General</c:formatCod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yVal>
          <c:smooth val="0"/>
        </c:ser>
        <c:axId val="67264373"/>
        <c:axId val="70687871"/>
      </c:scatterChart>
      <c:valAx>
        <c:axId val="6726437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ΩCR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687871"/>
        <c:crosses val="autoZero"/>
        <c:crossBetween val="midCat"/>
      </c:valAx>
      <c:valAx>
        <c:axId val="7068787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ctg(ϕ)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726437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Лист1!$AA$6:$AA$15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Лист1!$AB$6:$AB$15</c:f>
              <c:numCache>
                <c:formatCode>General</c:formatCode>
                <c:ptCount val="10"/>
                <c:pt idx="0">
                  <c:v/>
                </c:pt>
                <c:pt idx="1">
                  <c:v>6.31375151467504</c:v>
                </c:pt>
                <c:pt idx="2">
                  <c:v>3.07768353717525</c:v>
                </c:pt>
                <c:pt idx="3">
                  <c:v>1.96261050550515</c:v>
                </c:pt>
                <c:pt idx="4">
                  <c:v>1.37638192047117</c:v>
                </c:pt>
                <c:pt idx="5">
                  <c:v>1</c:v>
                </c:pt>
                <c:pt idx="6">
                  <c:v>0.726542528005361</c:v>
                </c:pt>
                <c:pt idx="7">
                  <c:v>0.509525449494429</c:v>
                </c:pt>
                <c:pt idx="8">
                  <c:v>0.324919696232906</c:v>
                </c:pt>
                <c:pt idx="9">
                  <c:v>0.158384440324536</c:v>
                </c:pt>
              </c:numCache>
            </c:numRef>
          </c:yVal>
          <c:smooth val="0"/>
        </c:ser>
        <c:axId val="29341114"/>
        <c:axId val="7955433"/>
      </c:scatterChart>
      <c:valAx>
        <c:axId val="293411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955433"/>
        <c:crosses val="autoZero"/>
        <c:crossBetween val="midCat"/>
      </c:valAx>
      <c:valAx>
        <c:axId val="79554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93411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ϕ = f(R)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Лист2!$C$2:$L$2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61</c:v>
                </c:pt>
                <c:pt idx="3">
                  <c:v>115</c:v>
                </c:pt>
                <c:pt idx="4">
                  <c:v>175</c:v>
                </c:pt>
                <c:pt idx="5">
                  <c:v>260</c:v>
                </c:pt>
                <c:pt idx="6">
                  <c:v>380</c:v>
                </c:pt>
                <c:pt idx="7">
                  <c:v>560</c:v>
                </c:pt>
                <c:pt idx="8">
                  <c:v>860</c:v>
                </c:pt>
                <c:pt idx="9">
                  <c:v>1700</c:v>
                </c:pt>
              </c:numCache>
            </c:numRef>
          </c:xVal>
          <c:yVal>
            <c:numRef>
              <c:f>Лист2!$C$4:$L$4</c:f>
              <c:numCache>
                <c:formatCode>General</c:formatCode>
                <c:ptCount val="10"/>
                <c:pt idx="0">
                  <c:v>1.44509</c:v>
                </c:pt>
                <c:pt idx="1">
                  <c:v>1.350845</c:v>
                </c:pt>
                <c:pt idx="2">
                  <c:v>1.225185</c:v>
                </c:pt>
                <c:pt idx="3">
                  <c:v>1.06811</c:v>
                </c:pt>
                <c:pt idx="4">
                  <c:v>0.87962</c:v>
                </c:pt>
                <c:pt idx="5">
                  <c:v>0.75396</c:v>
                </c:pt>
                <c:pt idx="6">
                  <c:v>0.6063095</c:v>
                </c:pt>
                <c:pt idx="7">
                  <c:v>0.4555175</c:v>
                </c:pt>
                <c:pt idx="8">
                  <c:v>0.301584</c:v>
                </c:pt>
                <c:pt idx="9">
                  <c:v>0.150792</c:v>
                </c:pt>
              </c:numCache>
            </c:numRef>
          </c:yVal>
          <c:smooth val="0"/>
        </c:ser>
        <c:axId val="7050231"/>
        <c:axId val="65162075"/>
      </c:scatterChart>
      <c:valAx>
        <c:axId val="705023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R, Ом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5162075"/>
        <c:crosses val="autoZero"/>
        <c:crossBetween val="midCat"/>
      </c:valAx>
      <c:valAx>
        <c:axId val="651620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ϕ, Рад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5023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ctg(ϕ) = f(R/ΩL)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Лист2!$C$6:$L$6</c:f>
              <c:numCache>
                <c:formatCode>General</c:formatCode>
                <c:ptCount val="10"/>
                <c:pt idx="0">
                  <c:v>0</c:v>
                </c:pt>
                <c:pt idx="1">
                  <c:v>0.0261096605744125</c:v>
                </c:pt>
                <c:pt idx="2">
                  <c:v>0.159268929503916</c:v>
                </c:pt>
                <c:pt idx="3">
                  <c:v>0.300261096605744</c:v>
                </c:pt>
                <c:pt idx="4">
                  <c:v>0.456919060052219</c:v>
                </c:pt>
                <c:pt idx="5">
                  <c:v>0.678851174934726</c:v>
                </c:pt>
                <c:pt idx="6">
                  <c:v>0.992167101827676</c:v>
                </c:pt>
                <c:pt idx="7">
                  <c:v>1.4621409921671</c:v>
                </c:pt>
                <c:pt idx="8">
                  <c:v>2.24543080939948</c:v>
                </c:pt>
                <c:pt idx="9">
                  <c:v>4.43864229765013</c:v>
                </c:pt>
              </c:numCache>
            </c:numRef>
          </c:xVal>
          <c:yVal>
            <c:numRef>
              <c:f>Лист2!$C$7:$L$7</c:f>
              <c:numCache>
                <c:formatCode>General</c:formatCode>
                <c:ptCount val="10"/>
                <c:pt idx="0">
                  <c:v>0.126372679518324</c:v>
                </c:pt>
                <c:pt idx="1">
                  <c:v>0.22356831493475</c:v>
                </c:pt>
                <c:pt idx="2">
                  <c:v>0.360062972186244</c:v>
                </c:pt>
                <c:pt idx="3">
                  <c:v>0.54979567604549</c:v>
                </c:pt>
                <c:pt idx="4">
                  <c:v>0.827315644760098</c:v>
                </c:pt>
                <c:pt idx="5">
                  <c:v>1.06493929479169</c:v>
                </c:pt>
                <c:pt idx="6">
                  <c:v>1.44208644286166</c:v>
                </c:pt>
                <c:pt idx="7">
                  <c:v>2.04132338269277</c:v>
                </c:pt>
                <c:pt idx="8">
                  <c:v>3.21468289044215</c:v>
                </c:pt>
                <c:pt idx="9">
                  <c:v>6.58131118683923</c:v>
                </c:pt>
              </c:numCache>
            </c:numRef>
          </c:yVal>
          <c:smooth val="0"/>
        </c:ser>
        <c:axId val="62371625"/>
        <c:axId val="56004203"/>
      </c:scatterChart>
      <c:valAx>
        <c:axId val="6237162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R/ΩL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6004203"/>
        <c:crosses val="autoZero"/>
        <c:crossBetween val="midCat"/>
      </c:valAx>
      <c:valAx>
        <c:axId val="560042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ctg(ϕ)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237162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Лист2!$AA$6:$AA$15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Лист2!$AB$6:$AB$15</c:f>
              <c:numCache>
                <c:formatCode>General</c:formatCode>
                <c:ptCount val="10"/>
                <c:pt idx="0">
                  <c:v/>
                </c:pt>
                <c:pt idx="1">
                  <c:v>4.47374282921155</c:v>
                </c:pt>
                <c:pt idx="2">
                  <c:v>2.77760685391497</c:v>
                </c:pt>
                <c:pt idx="3">
                  <c:v>1.81899324728107</c:v>
                </c:pt>
                <c:pt idx="4">
                  <c:v>1.20879235040961</c:v>
                </c:pt>
                <c:pt idx="5">
                  <c:v>0.939062505817492</c:v>
                </c:pt>
                <c:pt idx="6">
                  <c:v>0.693466187971855</c:v>
                </c:pt>
                <c:pt idx="7">
                  <c:v>0.489894945022477</c:v>
                </c:pt>
                <c:pt idx="8">
                  <c:v>0.311082428613841</c:v>
                </c:pt>
                <c:pt idx="9">
                  <c:v>0.151949956008605</c:v>
                </c:pt>
              </c:numCache>
            </c:numRef>
          </c:yVal>
          <c:smooth val="0"/>
        </c:ser>
        <c:axId val="38378609"/>
        <c:axId val="18894879"/>
      </c:scatterChart>
      <c:valAx>
        <c:axId val="3837860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8894879"/>
        <c:crosses val="autoZero"/>
        <c:crossBetween val="midCat"/>
      </c:valAx>
      <c:valAx>
        <c:axId val="188948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3786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|ϕ|=f(ν/ν0)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Лист3!$C$3:$L$3</c:f>
              <c:numCache>
                <c:formatCode>General</c:formatCode>
                <c:ptCount val="10"/>
                <c:pt idx="0">
                  <c:v>0.9944</c:v>
                </c:pt>
                <c:pt idx="1">
                  <c:v>1.0808</c:v>
                </c:pt>
                <c:pt idx="2">
                  <c:v>1.052</c:v>
                </c:pt>
                <c:pt idx="3">
                  <c:v>1.032</c:v>
                </c:pt>
                <c:pt idx="4">
                  <c:v>1.0032</c:v>
                </c:pt>
                <c:pt idx="5">
                  <c:v>0.976</c:v>
                </c:pt>
                <c:pt idx="6">
                  <c:v>0.964</c:v>
                </c:pt>
                <c:pt idx="7">
                  <c:v>0.952</c:v>
                </c:pt>
                <c:pt idx="8">
                  <c:v>0.9304</c:v>
                </c:pt>
                <c:pt idx="9">
                  <c:v>0.9088</c:v>
                </c:pt>
              </c:numCache>
            </c:numRef>
          </c:xVal>
          <c:yVal>
            <c:numRef>
              <c:f>Лист3!$C$6:$L$6</c:f>
              <c:numCache>
                <c:formatCode>General</c:formatCode>
                <c:ptCount val="10"/>
                <c:pt idx="0">
                  <c:v>0</c:v>
                </c:pt>
                <c:pt idx="1">
                  <c:v>0.92205</c:v>
                </c:pt>
                <c:pt idx="2">
                  <c:v>0.71715</c:v>
                </c:pt>
                <c:pt idx="3">
                  <c:v>0.529325</c:v>
                </c:pt>
                <c:pt idx="4">
                  <c:v>0.085375</c:v>
                </c:pt>
                <c:pt idx="5">
                  <c:v>0.324425</c:v>
                </c:pt>
                <c:pt idx="6">
                  <c:v>0.4781</c:v>
                </c:pt>
                <c:pt idx="7">
                  <c:v>0.64885</c:v>
                </c:pt>
                <c:pt idx="8">
                  <c:v>0.78545</c:v>
                </c:pt>
                <c:pt idx="9">
                  <c:v>0.92205</c:v>
                </c:pt>
              </c:numCache>
            </c:numRef>
          </c:yVal>
          <c:smooth val="0"/>
        </c:ser>
        <c:axId val="55250243"/>
        <c:axId val="4151592"/>
      </c:scatterChart>
      <c:valAx>
        <c:axId val="5525024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151592"/>
        <c:crosses val="autoZero"/>
        <c:crossBetween val="midCat"/>
      </c:valAx>
      <c:valAx>
        <c:axId val="41515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525024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Лист3!$X$6:$X$15</c:f>
              <c:numCache>
                <c:formatCode>General</c:formatCode>
                <c:ptCount val="10"/>
                <c:pt idx="0">
                  <c:v>1</c:v>
                </c:pt>
                <c:pt idx="1">
                  <c:v>1.08688656476267</c:v>
                </c:pt>
                <c:pt idx="2">
                  <c:v>1.05792437650845</c:v>
                </c:pt>
                <c:pt idx="3">
                  <c:v>1.03781174577635</c:v>
                </c:pt>
                <c:pt idx="4">
                  <c:v>1.01689460981496</c:v>
                </c:pt>
                <c:pt idx="5">
                  <c:v>0.981496379726468</c:v>
                </c:pt>
                <c:pt idx="6">
                  <c:v>0.969428801287208</c:v>
                </c:pt>
                <c:pt idx="7">
                  <c:v>0.957361222847949</c:v>
                </c:pt>
                <c:pt idx="8">
                  <c:v>0.935639581657281</c:v>
                </c:pt>
                <c:pt idx="9">
                  <c:v>0.913917940466613</c:v>
                </c:pt>
              </c:numCache>
            </c:numRef>
          </c:xVal>
          <c:yVal>
            <c:numRef>
              <c:f>Лист3!$Y$6:$Y$15</c:f>
              <c:numCache>
                <c:formatCode>General</c:formatCode>
                <c:ptCount val="10"/>
                <c:pt idx="0">
                  <c:v>0</c:v>
                </c:pt>
                <c:pt idx="1">
                  <c:v>0.27</c:v>
                </c:pt>
                <c:pt idx="2">
                  <c:v>0.21</c:v>
                </c:pt>
                <c:pt idx="3">
                  <c:v>0.155</c:v>
                </c:pt>
                <c:pt idx="4">
                  <c:v>0.085</c:v>
                </c:pt>
                <c:pt idx="5">
                  <c:v>-0.095</c:v>
                </c:pt>
                <c:pt idx="6">
                  <c:v>-0.14</c:v>
                </c:pt>
                <c:pt idx="7">
                  <c:v>-0.19</c:v>
                </c:pt>
                <c:pt idx="8">
                  <c:v>-0.23</c:v>
                </c:pt>
                <c:pt idx="9">
                  <c:v>-0.27</c:v>
                </c:pt>
              </c:numCache>
            </c:numRef>
          </c:yVal>
          <c:smooth val="0"/>
        </c:ser>
        <c:axId val="19801965"/>
        <c:axId val="64698705"/>
      </c:scatterChart>
      <c:valAx>
        <c:axId val="1980196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4698705"/>
        <c:crosses val="autoZero"/>
        <c:crossBetween val="midCat"/>
      </c:valAx>
      <c:valAx>
        <c:axId val="646987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980196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ϕ = f(R)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power"/>
            <c:forward val="0"/>
            <c:backward val="0"/>
            <c:dispRSqr val="0"/>
            <c:dispEq val="1"/>
          </c:trendline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power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xVal>
            <c:numRef>
              <c:f>Лист1!$C$2:$L$2</c:f>
              <c:numCache>
                <c:formatCode>General</c:formatCode>
                <c:ptCount val="10"/>
                <c:pt idx="0">
                  <c:v>0</c:v>
                </c:pt>
                <c:pt idx="1">
                  <c:v>36</c:v>
                </c:pt>
                <c:pt idx="2">
                  <c:v>88</c:v>
                </c:pt>
                <c:pt idx="3">
                  <c:v>145</c:v>
                </c:pt>
                <c:pt idx="4">
                  <c:v>215</c:v>
                </c:pt>
                <c:pt idx="5">
                  <c:v>300</c:v>
                </c:pt>
                <c:pt idx="6">
                  <c:v>440</c:v>
                </c:pt>
                <c:pt idx="7">
                  <c:v>630</c:v>
                </c:pt>
                <c:pt idx="8">
                  <c:v>1040</c:v>
                </c:pt>
                <c:pt idx="9">
                  <c:v>2500</c:v>
                </c:pt>
              </c:numCache>
            </c:numRef>
          </c:xVal>
          <c:yVal>
            <c:numRef>
              <c:f>Лист1!$C$4:$L$4</c:f>
              <c:numCache>
                <c:formatCode>General</c:formatCod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yVal>
          <c:smooth val="0"/>
        </c:ser>
        <c:axId val="80436683"/>
        <c:axId val="96794595"/>
      </c:scatterChart>
      <c:valAx>
        <c:axId val="8043668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R, Oм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6794595"/>
        <c:crosses val="autoZero"/>
        <c:crossBetween val="midCat"/>
      </c:valAx>
      <c:valAx>
        <c:axId val="967945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ϕ, Рад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043668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581040</xdr:colOff>
      <xdr:row>7</xdr:row>
      <xdr:rowOff>105840</xdr:rowOff>
    </xdr:from>
    <xdr:to>
      <xdr:col>19</xdr:col>
      <xdr:colOff>571320</xdr:colOff>
      <xdr:row>27</xdr:row>
      <xdr:rowOff>54360</xdr:rowOff>
    </xdr:to>
    <xdr:graphicFrame>
      <xdr:nvGraphicFramePr>
        <xdr:cNvPr id="0" name="Диаграмма 1"/>
        <xdr:cNvGraphicFramePr/>
      </xdr:nvGraphicFramePr>
      <xdr:xfrm>
        <a:off x="7439040" y="1407240"/>
        <a:ext cx="7610040" cy="363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3960</xdr:colOff>
      <xdr:row>28</xdr:row>
      <xdr:rowOff>122040</xdr:rowOff>
    </xdr:from>
    <xdr:to>
      <xdr:col>10</xdr:col>
      <xdr:colOff>761760</xdr:colOff>
      <xdr:row>48</xdr:row>
      <xdr:rowOff>153360</xdr:rowOff>
    </xdr:to>
    <xdr:graphicFrame>
      <xdr:nvGraphicFramePr>
        <xdr:cNvPr id="1" name="Диаграмма 2"/>
        <xdr:cNvGraphicFramePr/>
      </xdr:nvGraphicFramePr>
      <xdr:xfrm>
        <a:off x="765720" y="5302080"/>
        <a:ext cx="7615800" cy="384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277560</xdr:colOff>
      <xdr:row>7</xdr:row>
      <xdr:rowOff>174600</xdr:rowOff>
    </xdr:from>
    <xdr:to>
      <xdr:col>21</xdr:col>
      <xdr:colOff>312120</xdr:colOff>
      <xdr:row>46</xdr:row>
      <xdr:rowOff>51480</xdr:rowOff>
    </xdr:to>
    <xdr:graphicFrame>
      <xdr:nvGraphicFramePr>
        <xdr:cNvPr id="2" name=""/>
        <xdr:cNvGraphicFramePr/>
      </xdr:nvGraphicFramePr>
      <xdr:xfrm>
        <a:off x="4087440" y="1476000"/>
        <a:ext cx="12226680" cy="718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15840</xdr:colOff>
      <xdr:row>8</xdr:row>
      <xdr:rowOff>34920</xdr:rowOff>
    </xdr:from>
    <xdr:to>
      <xdr:col>10</xdr:col>
      <xdr:colOff>603000</xdr:colOff>
      <xdr:row>24</xdr:row>
      <xdr:rowOff>185760</xdr:rowOff>
    </xdr:to>
    <xdr:graphicFrame>
      <xdr:nvGraphicFramePr>
        <xdr:cNvPr id="3" name="Диаграмма 1"/>
        <xdr:cNvGraphicFramePr/>
      </xdr:nvGraphicFramePr>
      <xdr:xfrm>
        <a:off x="777600" y="1511280"/>
        <a:ext cx="7445160" cy="309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600120</xdr:colOff>
      <xdr:row>25</xdr:row>
      <xdr:rowOff>154440</xdr:rowOff>
    </xdr:from>
    <xdr:to>
      <xdr:col>11</xdr:col>
      <xdr:colOff>6120</xdr:colOff>
      <xdr:row>42</xdr:row>
      <xdr:rowOff>154080</xdr:rowOff>
    </xdr:to>
    <xdr:graphicFrame>
      <xdr:nvGraphicFramePr>
        <xdr:cNvPr id="4" name="Диаграмма 2"/>
        <xdr:cNvGraphicFramePr/>
      </xdr:nvGraphicFramePr>
      <xdr:xfrm>
        <a:off x="600120" y="4762440"/>
        <a:ext cx="778788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393480</xdr:colOff>
      <xdr:row>24</xdr:row>
      <xdr:rowOff>143280</xdr:rowOff>
    </xdr:from>
    <xdr:to>
      <xdr:col>19</xdr:col>
      <xdr:colOff>61560</xdr:colOff>
      <xdr:row>41</xdr:row>
      <xdr:rowOff>145800</xdr:rowOff>
    </xdr:to>
    <xdr:graphicFrame>
      <xdr:nvGraphicFramePr>
        <xdr:cNvPr id="5" name=""/>
        <xdr:cNvGraphicFramePr/>
      </xdr:nvGraphicFramePr>
      <xdr:xfrm>
        <a:off x="8775360" y="4560840"/>
        <a:ext cx="576396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537840</xdr:colOff>
      <xdr:row>19</xdr:row>
      <xdr:rowOff>96480</xdr:rowOff>
    </xdr:from>
    <xdr:to>
      <xdr:col>13</xdr:col>
      <xdr:colOff>525600</xdr:colOff>
      <xdr:row>40</xdr:row>
      <xdr:rowOff>189720</xdr:rowOff>
    </xdr:to>
    <xdr:graphicFrame>
      <xdr:nvGraphicFramePr>
        <xdr:cNvPr id="6" name="Диаграмма 1"/>
        <xdr:cNvGraphicFramePr/>
      </xdr:nvGraphicFramePr>
      <xdr:xfrm>
        <a:off x="2061720" y="3578040"/>
        <a:ext cx="8369640" cy="409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479520</xdr:colOff>
      <xdr:row>13</xdr:row>
      <xdr:rowOff>43920</xdr:rowOff>
    </xdr:from>
    <xdr:to>
      <xdr:col>18</xdr:col>
      <xdr:colOff>147600</xdr:colOff>
      <xdr:row>30</xdr:row>
      <xdr:rowOff>74520</xdr:rowOff>
    </xdr:to>
    <xdr:graphicFrame>
      <xdr:nvGraphicFramePr>
        <xdr:cNvPr id="7" name=""/>
        <xdr:cNvGraphicFramePr/>
      </xdr:nvGraphicFramePr>
      <xdr:xfrm>
        <a:off x="8099280" y="2413080"/>
        <a:ext cx="57643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5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75" zoomScaleNormal="75" zoomScalePageLayoutView="100" workbookViewId="0">
      <selection pane="topLeft" activeCell="AA7" activeCellId="0" sqref="AA7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B2" s="1" t="s">
        <v>1</v>
      </c>
      <c r="C2" s="1" t="n">
        <v>0</v>
      </c>
      <c r="D2" s="1" t="n">
        <v>36</v>
      </c>
      <c r="E2" s="1" t="n">
        <v>88</v>
      </c>
      <c r="F2" s="1" t="n">
        <v>145</v>
      </c>
      <c r="G2" s="1" t="n">
        <v>215</v>
      </c>
      <c r="H2" s="1" t="n">
        <v>300</v>
      </c>
      <c r="I2" s="1" t="n">
        <v>440</v>
      </c>
      <c r="J2" s="1" t="n">
        <v>630</v>
      </c>
      <c r="K2" s="1" t="n">
        <v>1040</v>
      </c>
      <c r="L2" s="1" t="n">
        <v>2500</v>
      </c>
    </row>
    <row r="3" customFormat="false" ht="15" hidden="false" customHeight="false" outlineLevel="0" collapsed="false">
      <c r="B3" s="2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</row>
    <row r="4" customFormat="false" ht="13.8" hidden="false" customHeight="false" outlineLevel="0" collapsed="false">
      <c r="B4" s="1"/>
      <c r="C4" s="1"/>
      <c r="D4" s="1"/>
      <c r="E4" s="1"/>
      <c r="F4" s="1"/>
      <c r="G4" s="1"/>
      <c r="H4" s="1"/>
      <c r="I4" s="1"/>
      <c r="J4" s="1"/>
      <c r="K4" s="1"/>
      <c r="L4" s="1"/>
      <c r="U4" s="0" t="n">
        <v>10</v>
      </c>
    </row>
    <row r="5" customFormat="false" ht="15" hidden="false" customHeight="false" outlineLevel="0" collapsed="false">
      <c r="B5" s="3"/>
      <c r="C5" s="4"/>
      <c r="D5" s="4"/>
      <c r="E5" s="4"/>
      <c r="F5" s="4"/>
      <c r="G5" s="4"/>
      <c r="H5" s="4"/>
      <c r="I5" s="4"/>
      <c r="J5" s="4"/>
      <c r="K5" s="4"/>
      <c r="L5" s="5"/>
    </row>
    <row r="6" customFormat="false" ht="14.9" hidden="false" customHeight="false" outlineLevel="0" collapsed="false">
      <c r="B6" s="2" t="s">
        <v>13</v>
      </c>
      <c r="C6" s="1" t="n">
        <f aca="false">C2/250</f>
        <v>0</v>
      </c>
      <c r="D6" s="1" t="n">
        <f aca="false">D2/250</f>
        <v>0.144</v>
      </c>
      <c r="E6" s="1" t="n">
        <f aca="false">E2/250</f>
        <v>0.352</v>
      </c>
      <c r="F6" s="1" t="n">
        <f aca="false">F2/250</f>
        <v>0.58</v>
      </c>
      <c r="G6" s="1" t="n">
        <f aca="false">G2/250</f>
        <v>0.86</v>
      </c>
      <c r="H6" s="1" t="n">
        <f aca="false">H2/250</f>
        <v>1.2</v>
      </c>
      <c r="I6" s="1" t="n">
        <f aca="false">I2/250</f>
        <v>1.76</v>
      </c>
      <c r="J6" s="1" t="n">
        <f aca="false">J2/250</f>
        <v>2.52</v>
      </c>
      <c r="K6" s="1" t="n">
        <f aca="false">K2/250</f>
        <v>4.16</v>
      </c>
      <c r="L6" s="1" t="n">
        <f aca="false">L2/250</f>
        <v>10</v>
      </c>
      <c r="V6" s="1" t="n">
        <v>0</v>
      </c>
      <c r="W6" s="1" t="s">
        <v>3</v>
      </c>
      <c r="X6" s="0" t="n">
        <f aca="false">V6+$U$4</f>
        <v>10</v>
      </c>
      <c r="Y6" s="1" t="n">
        <v>0.48</v>
      </c>
    </row>
    <row r="7" customFormat="false" ht="13.8" hidden="false" customHeight="false" outlineLevel="0" collapsed="false">
      <c r="B7" s="1" t="s">
        <v>14</v>
      </c>
      <c r="C7" s="1"/>
      <c r="D7" s="1"/>
      <c r="E7" s="1"/>
      <c r="F7" s="1"/>
      <c r="G7" s="1"/>
      <c r="H7" s="1"/>
      <c r="I7" s="1"/>
      <c r="J7" s="1"/>
      <c r="K7" s="1"/>
      <c r="L7" s="1"/>
      <c r="V7" s="1" t="n">
        <v>36</v>
      </c>
      <c r="W7" s="1" t="s">
        <v>4</v>
      </c>
      <c r="X7" s="0" t="n">
        <f aca="false">V7+$U$4</f>
        <v>46</v>
      </c>
      <c r="Y7" s="1" t="n">
        <v>0.45</v>
      </c>
      <c r="AA7" s="0" t="n">
        <f aca="false">1/(2*PI()*1220*X7*0.0000005)</f>
        <v>5.67195092986085</v>
      </c>
      <c r="AB7" s="0" t="n">
        <f aca="false">TAN(Y7*PI())</f>
        <v>6.31375151467504</v>
      </c>
    </row>
    <row r="8" customFormat="false" ht="13.8" hidden="false" customHeight="false" outlineLevel="0" collapsed="false">
      <c r="V8" s="1" t="n">
        <v>88</v>
      </c>
      <c r="W8" s="1" t="s">
        <v>5</v>
      </c>
      <c r="X8" s="0" t="n">
        <f aca="false">V8+$U$4</f>
        <v>98</v>
      </c>
      <c r="Y8" s="1" t="n">
        <v>0.4</v>
      </c>
      <c r="AA8" s="0" t="n">
        <f aca="false">1/(2*PI()*1220*X8*0.0000005)</f>
        <v>2.66234431401632</v>
      </c>
      <c r="AB8" s="0" t="n">
        <f aca="false">TAN(Y8*PI())</f>
        <v>3.07768353717525</v>
      </c>
    </row>
    <row r="9" customFormat="false" ht="13.8" hidden="false" customHeight="false" outlineLevel="0" collapsed="false">
      <c r="V9" s="1" t="n">
        <v>145</v>
      </c>
      <c r="W9" s="1" t="s">
        <v>6</v>
      </c>
      <c r="X9" s="0" t="n">
        <f aca="false">V9+$U$4</f>
        <v>155</v>
      </c>
      <c r="Y9" s="1" t="n">
        <v>0.35</v>
      </c>
      <c r="AA9" s="0" t="n">
        <f aca="false">1/(2*PI()*1220*X9*0.0000005)</f>
        <v>1.68328866305548</v>
      </c>
      <c r="AB9" s="0" t="n">
        <f aca="false">TAN(Y9*PI())</f>
        <v>1.96261050550515</v>
      </c>
    </row>
    <row r="10" customFormat="false" ht="13.8" hidden="false" customHeight="false" outlineLevel="0" collapsed="false">
      <c r="V10" s="1" t="n">
        <v>215</v>
      </c>
      <c r="W10" s="1" t="s">
        <v>7</v>
      </c>
      <c r="X10" s="0" t="n">
        <f aca="false">V10+$U$4</f>
        <v>225</v>
      </c>
      <c r="Y10" s="1" t="n">
        <v>0.3</v>
      </c>
      <c r="AA10" s="0" t="n">
        <f aca="false">1/(2*PI()*1220*X10*0.0000005)</f>
        <v>1.15959885677155</v>
      </c>
      <c r="AB10" s="0" t="n">
        <f aca="false">TAN(Y10*PI())</f>
        <v>1.37638192047117</v>
      </c>
    </row>
    <row r="11" customFormat="false" ht="13.8" hidden="false" customHeight="false" outlineLevel="0" collapsed="false">
      <c r="V11" s="1" t="n">
        <v>300</v>
      </c>
      <c r="W11" s="1" t="s">
        <v>8</v>
      </c>
      <c r="X11" s="0" t="n">
        <f aca="false">V11+$U$4</f>
        <v>310</v>
      </c>
      <c r="Y11" s="1" t="n">
        <v>0.25</v>
      </c>
      <c r="AA11" s="0" t="n">
        <f aca="false">1/(2*PI()*1220*X11*0.0000005)</f>
        <v>0.841644331527738</v>
      </c>
      <c r="AB11" s="0" t="n">
        <f aca="false">TAN(Y11*PI())</f>
        <v>1</v>
      </c>
    </row>
    <row r="12" customFormat="false" ht="13.8" hidden="false" customHeight="false" outlineLevel="0" collapsed="false">
      <c r="V12" s="1" t="n">
        <v>440</v>
      </c>
      <c r="W12" s="1" t="s">
        <v>9</v>
      </c>
      <c r="X12" s="0" t="n">
        <f aca="false">V12+$U$4</f>
        <v>450</v>
      </c>
      <c r="Y12" s="1" t="n">
        <v>0.2</v>
      </c>
      <c r="AA12" s="0" t="n">
        <f aca="false">1/(2*PI()*1220*X12*0.0000005)</f>
        <v>0.579799428385775</v>
      </c>
      <c r="AB12" s="0" t="n">
        <f aca="false">TAN(Y12*PI())</f>
        <v>0.726542528005361</v>
      </c>
    </row>
    <row r="13" customFormat="false" ht="13.8" hidden="false" customHeight="false" outlineLevel="0" collapsed="false">
      <c r="V13" s="1" t="n">
        <v>630</v>
      </c>
      <c r="W13" s="1" t="s">
        <v>10</v>
      </c>
      <c r="X13" s="0" t="n">
        <f aca="false">V13+$U$4</f>
        <v>640</v>
      </c>
      <c r="Y13" s="1" t="n">
        <v>0.15</v>
      </c>
      <c r="AA13" s="0" t="n">
        <f aca="false">1/(2*PI()*1220*X13*0.0000005)</f>
        <v>0.407671473083748</v>
      </c>
      <c r="AB13" s="0" t="n">
        <f aca="false">TAN(Y13*PI())</f>
        <v>0.509525449494429</v>
      </c>
    </row>
    <row r="14" customFormat="false" ht="13.8" hidden="false" customHeight="false" outlineLevel="0" collapsed="false">
      <c r="V14" s="1" t="n">
        <v>1040</v>
      </c>
      <c r="W14" s="1" t="s">
        <v>11</v>
      </c>
      <c r="X14" s="0" t="n">
        <f aca="false">V14+$U$4</f>
        <v>1050</v>
      </c>
      <c r="Y14" s="1" t="n">
        <v>0.1</v>
      </c>
      <c r="AA14" s="0" t="n">
        <f aca="false">1/(2*PI()*1220*X14*0.0000005)</f>
        <v>0.248485469308189</v>
      </c>
      <c r="AB14" s="0" t="n">
        <f aca="false">TAN(Y14*PI())</f>
        <v>0.324919696232906</v>
      </c>
    </row>
    <row r="15" customFormat="false" ht="13.8" hidden="false" customHeight="false" outlineLevel="0" collapsed="false">
      <c r="V15" s="1" t="n">
        <v>2500</v>
      </c>
      <c r="W15" s="1" t="s">
        <v>12</v>
      </c>
      <c r="X15" s="0" t="n">
        <f aca="false">V15+$U$4</f>
        <v>2510</v>
      </c>
      <c r="Y15" s="1" t="n">
        <v>0.05</v>
      </c>
      <c r="AA15" s="0" t="n">
        <f aca="false">1/(2*PI()*1220*X15*0.0000005)</f>
        <v>0.103948104690677</v>
      </c>
      <c r="AB15" s="0" t="n">
        <f aca="false">TAN(Y15*PI())</f>
        <v>0.158384440324536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A7" activeCellId="0" sqref="AA7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15</v>
      </c>
    </row>
    <row r="2" customFormat="false" ht="15" hidden="false" customHeight="false" outlineLevel="0" collapsed="false">
      <c r="B2" s="1" t="s">
        <v>1</v>
      </c>
      <c r="C2" s="1" t="n">
        <v>0</v>
      </c>
      <c r="D2" s="1" t="n">
        <v>10</v>
      </c>
      <c r="E2" s="1" t="n">
        <v>61</v>
      </c>
      <c r="F2" s="1" t="n">
        <v>115</v>
      </c>
      <c r="G2" s="1" t="n">
        <v>175</v>
      </c>
      <c r="H2" s="1" t="n">
        <v>260</v>
      </c>
      <c r="I2" s="1" t="n">
        <v>380</v>
      </c>
      <c r="J2" s="1" t="n">
        <v>560</v>
      </c>
      <c r="K2" s="1" t="n">
        <v>860</v>
      </c>
      <c r="L2" s="1" t="n">
        <v>1700</v>
      </c>
    </row>
    <row r="3" customFormat="false" ht="14.95" hidden="false" customHeight="false" outlineLevel="0" collapsed="false">
      <c r="B3" s="2" t="s">
        <v>2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20</v>
      </c>
      <c r="H3" s="1" t="s">
        <v>21</v>
      </c>
      <c r="I3" s="1" t="s">
        <v>22</v>
      </c>
      <c r="J3" s="1" t="s">
        <v>23</v>
      </c>
      <c r="K3" s="1" t="s">
        <v>24</v>
      </c>
      <c r="L3" s="1" t="s">
        <v>25</v>
      </c>
      <c r="U3" s="0" t="n">
        <v>10</v>
      </c>
      <c r="V3" s="0" t="n">
        <v>45.6</v>
      </c>
    </row>
    <row r="4" customFormat="false" ht="13.8" hidden="false" customHeight="false" outlineLevel="0" collapsed="false">
      <c r="B4" s="1"/>
      <c r="C4" s="1" t="n">
        <f aca="false">0.46*3.1415</f>
        <v>1.44509</v>
      </c>
      <c r="D4" s="1" t="n">
        <f aca="false">0.43*3.1415</f>
        <v>1.350845</v>
      </c>
      <c r="E4" s="1" t="n">
        <f aca="false">0.39*3.1415</f>
        <v>1.225185</v>
      </c>
      <c r="F4" s="1" t="n">
        <f aca="false">0.34*3.1415</f>
        <v>1.06811</v>
      </c>
      <c r="G4" s="1" t="n">
        <f aca="false">0.28*3.1415</f>
        <v>0.87962</v>
      </c>
      <c r="H4" s="1" t="n">
        <f aca="false">0.24*3.1415</f>
        <v>0.75396</v>
      </c>
      <c r="I4" s="1" t="n">
        <f aca="false">0.193*3.1415</f>
        <v>0.6063095</v>
      </c>
      <c r="J4" s="1" t="n">
        <f aca="false">0.145*3.1415</f>
        <v>0.4555175</v>
      </c>
      <c r="K4" s="1" t="n">
        <f aca="false">0.096*3.1415</f>
        <v>0.301584</v>
      </c>
      <c r="L4" s="1" t="n">
        <f aca="false">0.048*3.1415</f>
        <v>0.150792</v>
      </c>
      <c r="U4" s="0" t="n">
        <f aca="false">U3+V3</f>
        <v>55.6</v>
      </c>
    </row>
    <row r="5" customFormat="false" ht="15" hidden="false" customHeight="false" outlineLevel="0" collapsed="false">
      <c r="B5" s="3"/>
      <c r="C5" s="4"/>
      <c r="D5" s="4"/>
      <c r="E5" s="4"/>
      <c r="F5" s="4"/>
      <c r="G5" s="4"/>
      <c r="H5" s="4"/>
      <c r="I5" s="4"/>
      <c r="J5" s="4"/>
      <c r="K5" s="4"/>
      <c r="L5" s="5"/>
    </row>
    <row r="6" customFormat="false" ht="14.9" hidden="false" customHeight="false" outlineLevel="0" collapsed="false">
      <c r="B6" s="6" t="s">
        <v>26</v>
      </c>
      <c r="C6" s="1" t="n">
        <f aca="false">C2/383</f>
        <v>0</v>
      </c>
      <c r="D6" s="1" t="n">
        <f aca="false">D2/383</f>
        <v>0.0261096605744125</v>
      </c>
      <c r="E6" s="1" t="n">
        <f aca="false">E2/383</f>
        <v>0.159268929503916</v>
      </c>
      <c r="F6" s="1" t="n">
        <f aca="false">F2/383</f>
        <v>0.300261096605744</v>
      </c>
      <c r="G6" s="1" t="n">
        <f aca="false">G2/383</f>
        <v>0.456919060052219</v>
      </c>
      <c r="H6" s="1" t="n">
        <f aca="false">H2/383</f>
        <v>0.678851174934726</v>
      </c>
      <c r="I6" s="1" t="n">
        <f aca="false">I2/383</f>
        <v>0.992167101827676</v>
      </c>
      <c r="J6" s="1" t="n">
        <f aca="false">J2/383</f>
        <v>1.4621409921671</v>
      </c>
      <c r="K6" s="1" t="n">
        <f aca="false">K2/383</f>
        <v>2.24543080939948</v>
      </c>
      <c r="L6" s="1" t="n">
        <f aca="false">L2/383</f>
        <v>4.43864229765013</v>
      </c>
      <c r="V6" s="1" t="n">
        <v>0</v>
      </c>
      <c r="W6" s="1" t="s">
        <v>16</v>
      </c>
      <c r="X6" s="0" t="n">
        <f aca="false">V6+$U$4</f>
        <v>55.6</v>
      </c>
      <c r="Y6" s="1" t="n">
        <v>0.46</v>
      </c>
    </row>
    <row r="7" customFormat="false" ht="13.8" hidden="false" customHeight="false" outlineLevel="0" collapsed="false">
      <c r="B7" s="1" t="s">
        <v>14</v>
      </c>
      <c r="C7" s="1" t="n">
        <f aca="false">1/TAN(C4)</f>
        <v>0.126372679518324</v>
      </c>
      <c r="D7" s="1" t="n">
        <f aca="false">1/TAN(D4)</f>
        <v>0.22356831493475</v>
      </c>
      <c r="E7" s="1" t="n">
        <f aca="false">1/TAN(E4)</f>
        <v>0.360062972186244</v>
      </c>
      <c r="F7" s="1" t="n">
        <f aca="false">1/TAN(F4)</f>
        <v>0.54979567604549</v>
      </c>
      <c r="G7" s="1" t="n">
        <f aca="false">1/TAN(G4)</f>
        <v>0.827315644760098</v>
      </c>
      <c r="H7" s="1" t="n">
        <f aca="false">1/TAN(H4)</f>
        <v>1.06493929479169</v>
      </c>
      <c r="I7" s="1" t="n">
        <f aca="false">1/TAN(I4)</f>
        <v>1.44208644286166</v>
      </c>
      <c r="J7" s="1" t="n">
        <f aca="false">1/TAN(J4)</f>
        <v>2.04132338269277</v>
      </c>
      <c r="K7" s="1" t="n">
        <f aca="false">1/TAN(K4)</f>
        <v>3.21468289044215</v>
      </c>
      <c r="L7" s="1" t="n">
        <f aca="false">1/TAN(L4)</f>
        <v>6.58131118683923</v>
      </c>
      <c r="V7" s="1" t="n">
        <v>10</v>
      </c>
      <c r="W7" s="1" t="s">
        <v>17</v>
      </c>
      <c r="X7" s="0" t="n">
        <f aca="false">V7+$U$4</f>
        <v>65.6</v>
      </c>
      <c r="Y7" s="1" t="n">
        <v>0.43</v>
      </c>
      <c r="AA7" s="0" t="n">
        <f aca="false">1*2*PI()*1020*0.05/(X7)</f>
        <v>4.88479345527681</v>
      </c>
      <c r="AB7" s="0" t="n">
        <f aca="false">TAN(Y7*PI())</f>
        <v>4.47374282921155</v>
      </c>
    </row>
    <row r="8" customFormat="false" ht="13.8" hidden="false" customHeight="false" outlineLevel="0" collapsed="false">
      <c r="V8" s="1" t="n">
        <v>61</v>
      </c>
      <c r="W8" s="1" t="s">
        <v>18</v>
      </c>
      <c r="X8" s="0" t="n">
        <f aca="false">V8+$U$4</f>
        <v>116.6</v>
      </c>
      <c r="Y8" s="1" t="n">
        <v>0.39</v>
      </c>
      <c r="AA8" s="0" t="n">
        <f aca="false">1*2*PI()*1020*0.05/(X8)</f>
        <v>2.74821998856054</v>
      </c>
      <c r="AB8" s="0" t="n">
        <f aca="false">TAN(Y8*PI())</f>
        <v>2.77760685391497</v>
      </c>
    </row>
    <row r="9" customFormat="false" ht="13.8" hidden="false" customHeight="false" outlineLevel="0" collapsed="false">
      <c r="V9" s="1" t="n">
        <v>115</v>
      </c>
      <c r="W9" s="1" t="s">
        <v>19</v>
      </c>
      <c r="X9" s="0" t="n">
        <f aca="false">V9+$U$4</f>
        <v>170.6</v>
      </c>
      <c r="Y9" s="1" t="n">
        <v>0.34</v>
      </c>
      <c r="AA9" s="0" t="n">
        <f aca="false">1*2*PI()*1020*0.05/(X9)</f>
        <v>1.87832620554607</v>
      </c>
      <c r="AB9" s="0" t="n">
        <f aca="false">TAN(Y9*PI())</f>
        <v>1.81899324728107</v>
      </c>
    </row>
    <row r="10" customFormat="false" ht="13.8" hidden="false" customHeight="false" outlineLevel="0" collapsed="false">
      <c r="V10" s="1" t="n">
        <v>175</v>
      </c>
      <c r="W10" s="1" t="s">
        <v>20</v>
      </c>
      <c r="X10" s="0" t="n">
        <f aca="false">V10+$U$4</f>
        <v>230.6</v>
      </c>
      <c r="Y10" s="1" t="n">
        <v>0.28</v>
      </c>
      <c r="AA10" s="0" t="n">
        <f aca="false">1*2*PI()*1020*0.05/(X10)</f>
        <v>1.38960299508308</v>
      </c>
      <c r="AB10" s="0" t="n">
        <f aca="false">TAN(Y10*PI())</f>
        <v>1.20879235040961</v>
      </c>
    </row>
    <row r="11" customFormat="false" ht="13.8" hidden="false" customHeight="false" outlineLevel="0" collapsed="false">
      <c r="V11" s="1" t="n">
        <v>260</v>
      </c>
      <c r="W11" s="1" t="s">
        <v>21</v>
      </c>
      <c r="X11" s="0" t="n">
        <f aca="false">V11+$U$4</f>
        <v>315.6</v>
      </c>
      <c r="Y11" s="1" t="n">
        <v>0.24</v>
      </c>
      <c r="AA11" s="0" t="n">
        <f aca="false">1*2*PI()*1020*0.05/(X11)</f>
        <v>1.01534363328948</v>
      </c>
      <c r="AB11" s="0" t="n">
        <f aca="false">TAN(Y11*PI())</f>
        <v>0.939062505817492</v>
      </c>
    </row>
    <row r="12" customFormat="false" ht="13.8" hidden="false" customHeight="false" outlineLevel="0" collapsed="false">
      <c r="V12" s="1" t="n">
        <v>380</v>
      </c>
      <c r="W12" s="1" t="s">
        <v>22</v>
      </c>
      <c r="X12" s="0" t="n">
        <f aca="false">V12+$U$4</f>
        <v>435.6</v>
      </c>
      <c r="Y12" s="1" t="n">
        <v>0.193</v>
      </c>
      <c r="AA12" s="0" t="n">
        <f aca="false">1*2*PI()*1020*0.05/(X12)</f>
        <v>0.735634643402569</v>
      </c>
      <c r="AB12" s="0" t="n">
        <f aca="false">TAN(Y12*PI())</f>
        <v>0.693466187971855</v>
      </c>
    </row>
    <row r="13" customFormat="false" ht="13.8" hidden="false" customHeight="false" outlineLevel="0" collapsed="false">
      <c r="V13" s="1" t="n">
        <v>560</v>
      </c>
      <c r="W13" s="1" t="s">
        <v>23</v>
      </c>
      <c r="X13" s="0" t="n">
        <f aca="false">V13+$U$4</f>
        <v>615.6</v>
      </c>
      <c r="Y13" s="1" t="n">
        <v>0.145</v>
      </c>
      <c r="AA13" s="0" t="n">
        <f aca="false">1*2*PI()*1020*0.05/(X13)</f>
        <v>0.520536794454449</v>
      </c>
      <c r="AB13" s="0" t="n">
        <f aca="false">TAN(Y13*PI())</f>
        <v>0.489894945022477</v>
      </c>
    </row>
    <row r="14" customFormat="false" ht="13.8" hidden="false" customHeight="false" outlineLevel="0" collapsed="false">
      <c r="V14" s="1" t="n">
        <v>860</v>
      </c>
      <c r="W14" s="1" t="s">
        <v>24</v>
      </c>
      <c r="X14" s="0" t="n">
        <f aca="false">V14+$U$4</f>
        <v>915.6</v>
      </c>
      <c r="Y14" s="1" t="n">
        <v>0.096</v>
      </c>
      <c r="AA14" s="0" t="n">
        <f aca="false">1*2*PI()*1020*0.05/(X14)</f>
        <v>0.349980832968719</v>
      </c>
      <c r="AB14" s="0" t="n">
        <f aca="false">TAN(Y14*PI())</f>
        <v>0.311082428613841</v>
      </c>
    </row>
    <row r="15" customFormat="false" ht="13.8" hidden="false" customHeight="false" outlineLevel="0" collapsed="false">
      <c r="V15" s="1" t="n">
        <v>1700</v>
      </c>
      <c r="W15" s="1" t="s">
        <v>25</v>
      </c>
      <c r="X15" s="0" t="n">
        <f aca="false">V15+$U$4</f>
        <v>1755.6</v>
      </c>
      <c r="Y15" s="1" t="n">
        <v>0.048</v>
      </c>
      <c r="AA15" s="0" t="n">
        <f aca="false">1*2*PI()*1020*0.05/(X15)</f>
        <v>0.182525888964547</v>
      </c>
      <c r="AB15" s="0" t="n">
        <f aca="false">TAN(Y15*PI())</f>
        <v>0.151949956008605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Y15" activeCellId="0" sqref="Y15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27</v>
      </c>
    </row>
    <row r="2" customFormat="false" ht="15" hidden="false" customHeight="false" outlineLevel="0" collapsed="false">
      <c r="B2" s="1" t="s">
        <v>28</v>
      </c>
      <c r="C2" s="1" t="n">
        <v>1243</v>
      </c>
      <c r="D2" s="1" t="n">
        <v>1351</v>
      </c>
      <c r="E2" s="1" t="n">
        <v>1315</v>
      </c>
      <c r="F2" s="1" t="n">
        <v>1290</v>
      </c>
      <c r="G2" s="1" t="n">
        <v>1254</v>
      </c>
      <c r="H2" s="1" t="n">
        <v>1220</v>
      </c>
      <c r="I2" s="1" t="n">
        <v>1205</v>
      </c>
      <c r="J2" s="1" t="n">
        <v>1190</v>
      </c>
      <c r="K2" s="1" t="n">
        <v>1163</v>
      </c>
      <c r="L2" s="1" t="n">
        <v>1136</v>
      </c>
      <c r="O2" s="0" t="s">
        <v>29</v>
      </c>
      <c r="P2" s="0" t="n">
        <v>1250</v>
      </c>
    </row>
    <row r="3" customFormat="false" ht="15" hidden="false" customHeight="false" outlineLevel="0" collapsed="false">
      <c r="B3" s="2" t="s">
        <v>30</v>
      </c>
      <c r="C3" s="1" t="n">
        <f aca="false">C2/$P$2</f>
        <v>0.9944</v>
      </c>
      <c r="D3" s="1" t="n">
        <f aca="false">D2/$P$2</f>
        <v>1.0808</v>
      </c>
      <c r="E3" s="1" t="n">
        <f aca="false">E2/$P$2</f>
        <v>1.052</v>
      </c>
      <c r="F3" s="1" t="n">
        <f aca="false">F2/$P$2</f>
        <v>1.032</v>
      </c>
      <c r="G3" s="1" t="n">
        <f aca="false">G2/$P$2</f>
        <v>1.0032</v>
      </c>
      <c r="H3" s="1" t="n">
        <f aca="false">H2/$P$2</f>
        <v>0.976</v>
      </c>
      <c r="I3" s="1" t="n">
        <f aca="false">I2/$P$2</f>
        <v>0.964</v>
      </c>
      <c r="J3" s="1" t="n">
        <f aca="false">J2/$P$2</f>
        <v>0.952</v>
      </c>
      <c r="K3" s="1" t="n">
        <f aca="false">K2/$P$2</f>
        <v>0.9304</v>
      </c>
      <c r="L3" s="1" t="n">
        <f aca="false">L2/$P$2</f>
        <v>0.9088</v>
      </c>
    </row>
    <row r="4" customFormat="false" ht="15" hidden="false" customHeight="false" outlineLevel="0" collapsed="false">
      <c r="B4" s="2" t="s">
        <v>2</v>
      </c>
      <c r="C4" s="1" t="n">
        <v>0</v>
      </c>
      <c r="D4" s="1" t="s">
        <v>31</v>
      </c>
      <c r="E4" s="1" t="s">
        <v>32</v>
      </c>
      <c r="F4" s="1" t="s">
        <v>33</v>
      </c>
      <c r="G4" s="1" t="s">
        <v>34</v>
      </c>
      <c r="H4" s="2" t="s">
        <v>35</v>
      </c>
      <c r="I4" s="1" t="s">
        <v>36</v>
      </c>
      <c r="J4" s="1" t="s">
        <v>37</v>
      </c>
      <c r="K4" s="1" t="s">
        <v>38</v>
      </c>
      <c r="L4" s="1" t="s">
        <v>39</v>
      </c>
    </row>
    <row r="5" customFormat="false" ht="15" hidden="false" customHeight="false" outlineLevel="0" collapsed="false">
      <c r="B5" s="1"/>
      <c r="C5" s="1" t="n">
        <f aca="false">0*3.415</f>
        <v>0</v>
      </c>
      <c r="D5" s="1" t="n">
        <f aca="false">0.27*3.415</f>
        <v>0.92205</v>
      </c>
      <c r="E5" s="1" t="n">
        <f aca="false">0.21*3.415</f>
        <v>0.71715</v>
      </c>
      <c r="F5" s="1" t="n">
        <f aca="false">0.155*3.415</f>
        <v>0.529325</v>
      </c>
      <c r="G5" s="1" t="n">
        <f aca="false">0.025*3.415</f>
        <v>0.085375</v>
      </c>
      <c r="H5" s="1" t="n">
        <f aca="false">-0.095*3.415</f>
        <v>-0.324425</v>
      </c>
      <c r="I5" s="1" t="n">
        <f aca="false">-0.14*3.415</f>
        <v>-0.4781</v>
      </c>
      <c r="J5" s="1" t="n">
        <f aca="false">-0.19*3.415</f>
        <v>-0.64885</v>
      </c>
      <c r="K5" s="1" t="n">
        <f aca="false">-0.23*3.415</f>
        <v>-0.78545</v>
      </c>
      <c r="L5" s="1" t="n">
        <f aca="false">-0.27*3.415</f>
        <v>-0.92205</v>
      </c>
      <c r="O5" s="0" t="s">
        <v>40</v>
      </c>
      <c r="P5" s="0" t="n">
        <f aca="false">P2/(2*(P2-K2))</f>
        <v>7.18390804597701</v>
      </c>
    </row>
    <row r="6" customFormat="false" ht="13.8" hidden="false" customHeight="false" outlineLevel="0" collapsed="false">
      <c r="B6" s="1"/>
      <c r="C6" s="1" t="n">
        <f aca="false">0*3.415</f>
        <v>0</v>
      </c>
      <c r="D6" s="1" t="n">
        <f aca="false">0.27*3.415</f>
        <v>0.92205</v>
      </c>
      <c r="E6" s="1" t="n">
        <f aca="false">0.21*3.415</f>
        <v>0.71715</v>
      </c>
      <c r="F6" s="1" t="n">
        <f aca="false">0.155*3.415</f>
        <v>0.529325</v>
      </c>
      <c r="G6" s="1" t="n">
        <f aca="false">0.025*3.415</f>
        <v>0.085375</v>
      </c>
      <c r="H6" s="1" t="n">
        <f aca="false">0.095*3.415</f>
        <v>0.324425</v>
      </c>
      <c r="I6" s="1" t="n">
        <f aca="false">0.14*3.415</f>
        <v>0.4781</v>
      </c>
      <c r="J6" s="1" t="n">
        <f aca="false">0.19*3.415</f>
        <v>0.64885</v>
      </c>
      <c r="K6" s="1" t="n">
        <f aca="false">0.23*3.415</f>
        <v>0.78545</v>
      </c>
      <c r="L6" s="1" t="n">
        <f aca="false">0.27*3.415</f>
        <v>0.92205</v>
      </c>
      <c r="W6" s="0" t="n">
        <v>1243</v>
      </c>
      <c r="X6" s="0" t="n">
        <f aca="false">W6/1243</f>
        <v>1</v>
      </c>
      <c r="Y6" s="0" t="n">
        <v>0</v>
      </c>
    </row>
    <row r="7" customFormat="false" ht="13.8" hidden="false" customHeight="false" outlineLevel="0" collapsed="false">
      <c r="W7" s="0" t="n">
        <v>1351</v>
      </c>
      <c r="X7" s="0" t="n">
        <f aca="false">W7/1243</f>
        <v>1.08688656476267</v>
      </c>
      <c r="Y7" s="0" t="n">
        <v>0.27</v>
      </c>
    </row>
    <row r="8" customFormat="false" ht="13.8" hidden="false" customHeight="false" outlineLevel="0" collapsed="false">
      <c r="W8" s="0" t="n">
        <v>1315</v>
      </c>
      <c r="X8" s="0" t="n">
        <f aca="false">W8/1243</f>
        <v>1.05792437650845</v>
      </c>
      <c r="Y8" s="0" t="n">
        <v>0.21</v>
      </c>
    </row>
    <row r="9" customFormat="false" ht="13.8" hidden="false" customHeight="false" outlineLevel="0" collapsed="false">
      <c r="W9" s="0" t="n">
        <v>1290</v>
      </c>
      <c r="X9" s="0" t="n">
        <f aca="false">W9/1243</f>
        <v>1.03781174577635</v>
      </c>
      <c r="Y9" s="0" t="n">
        <v>0.155</v>
      </c>
    </row>
    <row r="10" customFormat="false" ht="13.8" hidden="false" customHeight="false" outlineLevel="0" collapsed="false">
      <c r="W10" s="0" t="n">
        <v>1264</v>
      </c>
      <c r="X10" s="0" t="n">
        <f aca="false">W10/1243</f>
        <v>1.01689460981496</v>
      </c>
      <c r="Y10" s="0" t="n">
        <v>0.085</v>
      </c>
    </row>
    <row r="11" customFormat="false" ht="14.95" hidden="false" customHeight="false" outlineLevel="0" collapsed="false">
      <c r="W11" s="0" t="n">
        <v>1220</v>
      </c>
      <c r="X11" s="0" t="n">
        <f aca="false">W11/1243</f>
        <v>0.981496379726468</v>
      </c>
      <c r="Y11" s="0" t="n">
        <v>-0.095</v>
      </c>
    </row>
    <row r="12" customFormat="false" ht="13.8" hidden="false" customHeight="false" outlineLevel="0" collapsed="false">
      <c r="W12" s="0" t="n">
        <v>1205</v>
      </c>
      <c r="X12" s="0" t="n">
        <f aca="false">W12/1243</f>
        <v>0.969428801287208</v>
      </c>
      <c r="Y12" s="0" t="n">
        <v>-0.14</v>
      </c>
    </row>
    <row r="13" customFormat="false" ht="13.8" hidden="false" customHeight="false" outlineLevel="0" collapsed="false">
      <c r="W13" s="0" t="n">
        <v>1190</v>
      </c>
      <c r="X13" s="0" t="n">
        <f aca="false">W13/1243</f>
        <v>0.957361222847949</v>
      </c>
      <c r="Y13" s="0" t="n">
        <v>-0.19</v>
      </c>
    </row>
    <row r="14" customFormat="false" ht="13.8" hidden="false" customHeight="false" outlineLevel="0" collapsed="false">
      <c r="W14" s="0" t="n">
        <v>1163</v>
      </c>
      <c r="X14" s="0" t="n">
        <f aca="false">W14/1243</f>
        <v>0.935639581657281</v>
      </c>
      <c r="Y14" s="0" t="n">
        <v>-0.23</v>
      </c>
    </row>
    <row r="15" customFormat="false" ht="13.8" hidden="false" customHeight="false" outlineLevel="0" collapsed="false">
      <c r="W15" s="0" t="n">
        <v>1136</v>
      </c>
      <c r="X15" s="0" t="n">
        <f aca="false">W15/1243</f>
        <v>0.913917940466613</v>
      </c>
      <c r="Y15" s="0" t="n">
        <v>-0.27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2016-09-29T00:42:44Z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