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 Code\vs2019\OwnerSpecReport\OwnerSpecReport\wwwroot\App_Data\"/>
    </mc:Choice>
  </mc:AlternateContent>
  <xr:revisionPtr revIDLastSave="0" documentId="13_ncr:1_{0145F5DF-23EC-4BCE-B38B-4EDA879CD962}" xr6:coauthVersionLast="47" xr6:coauthVersionMax="47" xr10:uidLastSave="{00000000-0000-0000-0000-000000000000}"/>
  <bookViews>
    <workbookView xWindow="-120" yWindow="-120" windowWidth="29040" windowHeight="15840" tabRatio="834" xr2:uid="{00000000-000D-0000-FFFF-FFFF00000000}"/>
  </bookViews>
  <sheets>
    <sheet name="Summary" sheetId="94" r:id="rId1"/>
    <sheet name="KPI Sheet" sheetId="74" r:id="rId2"/>
    <sheet name="CERES ONE" sheetId="60" r:id="rId3"/>
    <sheet name="CERES TWO" sheetId="95" r:id="rId4"/>
    <sheet name="CERES THREE" sheetId="96" r:id="rId5"/>
    <sheet name="BUDGET" sheetId="91" r:id="rId6"/>
    <sheet name="ACTUAL" sheetId="90" r:id="rId7"/>
    <sheet name="RUNNING DAYS" sheetId="97" r:id="rId8"/>
    <sheet name="YTD VARIANCE" sheetId="98" r:id="rId9"/>
  </sheets>
  <definedNames>
    <definedName name="_xlnm._FilterDatabase" localSheetId="8" hidden="1">'YTD VARIANCE'!$A$1:$E$37</definedName>
    <definedName name="accumcost" localSheetId="4">#REF!</definedName>
    <definedName name="accumcost" localSheetId="3">#REF!</definedName>
    <definedName name="accumcost" localSheetId="0">#REF!</definedName>
    <definedName name="accumcost">#REF!</definedName>
    <definedName name="CM_YTD_Budget">#REF!</definedName>
    <definedName name="Commitment">#REF!</definedName>
    <definedName name="FYBudget">#REF!</definedName>
    <definedName name="Month" localSheetId="4">#REF!</definedName>
    <definedName name="Month" localSheetId="3">#REF!</definedName>
    <definedName name="Month" localSheetId="0">#REF!</definedName>
    <definedName name="Month">#REF!</definedName>
    <definedName name="MONTHLYBUDGET">#REF!</definedName>
    <definedName name="PeriodActual">#REF!</definedName>
    <definedName name="_xlnm.Print_Area" localSheetId="2">'CERES ONE'!$B$1:$U$67</definedName>
    <definedName name="_xlnm.Print_Area" localSheetId="4">'CERES THREE'!$B$1:$U$68</definedName>
    <definedName name="_xlnm.Print_Area" localSheetId="3">'CERES TWO'!$B$1:$U$67</definedName>
    <definedName name="_xlnm.Print_Area" localSheetId="0">Summary!$A$11:$N$14</definedName>
    <definedName name="_xlnm.Print_Titles" localSheetId="0">Summary!$1:$1</definedName>
    <definedName name="prognosis" localSheetId="4">#REF!</definedName>
    <definedName name="prognosis" localSheetId="3">#REF!</definedName>
    <definedName name="prognosis" localSheetId="0">#REF!</definedName>
    <definedName name="prognosis">#REF!</definedName>
    <definedName name="project" localSheetId="4">#REF!</definedName>
    <definedName name="project" localSheetId="3">#REF!</definedName>
    <definedName name="project" localSheetId="0">#REF!</definedName>
    <definedName name="project">#REF!</definedName>
    <definedName name="Q1ACTUAL">#REF!</definedName>
    <definedName name="Q1DVOE">#REF!</definedName>
    <definedName name="Q2Actual">#REF!</definedName>
    <definedName name="Q2DVOE">#REF!</definedName>
    <definedName name="Q3Actual">#REF!</definedName>
    <definedName name="Q3DVOE">#REF!</definedName>
    <definedName name="Q4Actual">#REF!</definedName>
    <definedName name="Q4DVOE">#REF!</definedName>
    <definedName name="QTRLOOKUP">#REF!</definedName>
    <definedName name="QTRLYBUDGET">#REF!</definedName>
    <definedName name="RDate" localSheetId="4">#REF!</definedName>
    <definedName name="RDate" localSheetId="3">#REF!</definedName>
    <definedName name="RDate" localSheetId="0">#REF!</definedName>
    <definedName name="RDate">#REF!</definedName>
    <definedName name="REPMONTH">#REF!</definedName>
    <definedName name="reportdate" localSheetId="4">#REF!</definedName>
    <definedName name="reportdate" localSheetId="3">#REF!</definedName>
    <definedName name="reportdate" localSheetId="0">Summary!#REF!</definedName>
    <definedName name="reportdate">#REF!</definedName>
    <definedName name="Show" localSheetId="4">#REF!</definedName>
    <definedName name="Show" localSheetId="3">#REF!</definedName>
    <definedName name="Show" localSheetId="0">#REF!</definedName>
    <definedName name="Show">#REF!</definedName>
    <definedName name="sumrange" localSheetId="4">#REF!</definedName>
    <definedName name="sumrange" localSheetId="3">#REF!</definedName>
    <definedName name="sumrange" localSheetId="0">#REF!</definedName>
    <definedName name="sumrange">#REF!</definedName>
    <definedName name="totalbud" localSheetId="4">#REF!</definedName>
    <definedName name="totalbud" localSheetId="3">#REF!</definedName>
    <definedName name="totalbud" localSheetId="0">#REF!</definedName>
    <definedName name="totalbud">#REF!</definedName>
    <definedName name="TYPE">#REF!</definedName>
    <definedName name="undeliver" localSheetId="4">#REF!</definedName>
    <definedName name="undeliver" localSheetId="3">#REF!</definedName>
    <definedName name="undeliver" localSheetId="0">#REF!</definedName>
    <definedName name="undeliver">#REF!</definedName>
    <definedName name="var" localSheetId="4">#REF!</definedName>
    <definedName name="var" localSheetId="3">#REF!</definedName>
    <definedName name="var" localSheetId="0">#REF!</definedName>
    <definedName name="var">#REF!</definedName>
    <definedName name="Variance">#REF!</definedName>
    <definedName name="Year" localSheetId="4">#REF!</definedName>
    <definedName name="Year" localSheetId="3">#REF!</definedName>
    <definedName name="Year" localSheetId="0">#REF!</definedName>
    <definedName name="Year">#REF!</definedName>
    <definedName name="YTDActual">#REF!</definedName>
    <definedName name="ytdbud" localSheetId="4">#REF!</definedName>
    <definedName name="ytdbud" localSheetId="3">#REF!</definedName>
    <definedName name="ytdbud" localSheetId="0">#REF!</definedName>
    <definedName name="ytdbud">#REF!</definedName>
    <definedName name="YTDBudget" localSheetId="4">#REF!</definedName>
    <definedName name="YTDBudget" localSheetId="3">#REF!</definedName>
    <definedName name="YTDBudget" localSheetId="0">#REF!</definedName>
    <definedName name="YTDBudget">#REF!</definedName>
    <definedName name="YTDDVOE">#REF!</definedName>
    <definedName name="ytdvar" localSheetId="4">#REF!</definedName>
    <definedName name="ytdvar" localSheetId="3">#REF!</definedName>
    <definedName name="ytdvar" localSheetId="0">#REF!</definedName>
    <definedName name="ytdv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94" l="1"/>
  <c r="J5" i="94"/>
  <c r="J2" i="94"/>
  <c r="C27" i="60"/>
  <c r="A27" i="96" l="1"/>
  <c r="P27" i="96" l="1"/>
  <c r="T27" i="96"/>
  <c r="W27" i="96" a="1"/>
  <c r="W27" i="96" s="1"/>
  <c r="Z27" i="96" a="1"/>
  <c r="Z27" i="96" s="1"/>
  <c r="C27" i="96"/>
  <c r="X27" i="96" a="1"/>
  <c r="X27" i="96" s="1"/>
  <c r="Y27" i="96" a="1"/>
  <c r="Y27" i="96" s="1"/>
  <c r="A26" i="95"/>
  <c r="C26" i="95" s="1"/>
  <c r="A24" i="96"/>
  <c r="A26" i="60"/>
  <c r="C28" i="96" l="1"/>
  <c r="C27" i="95"/>
  <c r="C1" i="96"/>
  <c r="C1" i="95"/>
  <c r="B2" i="96"/>
  <c r="I2" i="96" s="1"/>
  <c r="I27" i="96" s="1"/>
  <c r="B2" i="95"/>
  <c r="I2" i="95" s="1"/>
  <c r="B2" i="60"/>
  <c r="A1" i="74"/>
  <c r="A2" i="74"/>
  <c r="A7" i="74"/>
  <c r="C1" i="60"/>
  <c r="D2" i="96" l="1"/>
  <c r="E2" i="96"/>
  <c r="J2" i="96"/>
  <c r="K2" i="96"/>
  <c r="L2" i="96"/>
  <c r="M2" i="96"/>
  <c r="N2" i="96"/>
  <c r="D2" i="95"/>
  <c r="D1" i="95" s="1"/>
  <c r="E2" i="95"/>
  <c r="J2" i="95"/>
  <c r="J1" i="95" s="1"/>
  <c r="K2" i="95"/>
  <c r="K1" i="95" s="1"/>
  <c r="D28" i="96"/>
  <c r="L2" i="95"/>
  <c r="L1" i="95" s="1"/>
  <c r="E28" i="96"/>
  <c r="M2" i="95"/>
  <c r="M27" i="95" s="1"/>
  <c r="N2" i="95"/>
  <c r="I1" i="96"/>
  <c r="I28" i="96"/>
  <c r="I1" i="95"/>
  <c r="I27" i="95"/>
  <c r="M1" i="95"/>
  <c r="J28" i="96"/>
  <c r="K28" i="96"/>
  <c r="F2" i="95"/>
  <c r="F2" i="96"/>
  <c r="F27" i="96" s="1"/>
  <c r="J27" i="95"/>
  <c r="G2" i="95"/>
  <c r="G2" i="96"/>
  <c r="K27" i="95"/>
  <c r="H2" i="95"/>
  <c r="H2" i="96"/>
  <c r="H27" i="96" s="1"/>
  <c r="K9" i="94"/>
  <c r="A9" i="94"/>
  <c r="A8" i="94"/>
  <c r="A5" i="74" s="1"/>
  <c r="A28" i="96"/>
  <c r="T24" i="96"/>
  <c r="A23" i="96"/>
  <c r="A22" i="96"/>
  <c r="T22" i="96" s="1"/>
  <c r="A21" i="96"/>
  <c r="A20" i="96"/>
  <c r="T20" i="96" s="1"/>
  <c r="A19" i="96"/>
  <c r="R18" i="96"/>
  <c r="K8" i="94" s="1"/>
  <c r="K10" i="94" s="1"/>
  <c r="A17" i="96"/>
  <c r="T17" i="96" s="1"/>
  <c r="A16" i="96"/>
  <c r="A15" i="96"/>
  <c r="T15" i="96" s="1"/>
  <c r="A14" i="96"/>
  <c r="A13" i="96"/>
  <c r="T13" i="96" s="1"/>
  <c r="A12" i="96"/>
  <c r="T12" i="96" s="1"/>
  <c r="A11" i="96"/>
  <c r="T11" i="96" s="1"/>
  <c r="A10" i="96"/>
  <c r="A9" i="96"/>
  <c r="T9" i="96" s="1"/>
  <c r="A8" i="96"/>
  <c r="Z1" i="96" a="1"/>
  <c r="Z1" i="96" s="1"/>
  <c r="Y1" i="96" a="1"/>
  <c r="Y1" i="96" s="1"/>
  <c r="X1" i="96" a="1"/>
  <c r="X1" i="96" s="1"/>
  <c r="W1" i="96" a="1"/>
  <c r="W1" i="96" s="1"/>
  <c r="A6" i="94"/>
  <c r="A5" i="94"/>
  <c r="A4" i="74" s="1"/>
  <c r="A27" i="95"/>
  <c r="T26" i="95"/>
  <c r="A23" i="95"/>
  <c r="A22" i="95"/>
  <c r="A21" i="95"/>
  <c r="T21" i="95" s="1"/>
  <c r="A20" i="95"/>
  <c r="A19" i="95"/>
  <c r="T19" i="95" s="1"/>
  <c r="R18" i="95"/>
  <c r="R24" i="95" s="1"/>
  <c r="A17" i="95"/>
  <c r="A16" i="95"/>
  <c r="T16" i="95" s="1"/>
  <c r="A15" i="95"/>
  <c r="T15" i="95" s="1"/>
  <c r="A14" i="95"/>
  <c r="A13" i="95"/>
  <c r="X13" i="95" s="1" a="1"/>
  <c r="X13" i="95" s="1"/>
  <c r="A12" i="95"/>
  <c r="T12" i="95" s="1"/>
  <c r="A11" i="95"/>
  <c r="T11" i="95" s="1"/>
  <c r="A10" i="95"/>
  <c r="A9" i="95"/>
  <c r="A8" i="95"/>
  <c r="Z1" i="95" a="1"/>
  <c r="Z1" i="95" s="1"/>
  <c r="Y1" i="95" a="1"/>
  <c r="Y1" i="95" s="1"/>
  <c r="X1" i="95" a="1"/>
  <c r="X1" i="95" s="1"/>
  <c r="W1" i="95" a="1"/>
  <c r="W1" i="95" s="1"/>
  <c r="B9" i="94"/>
  <c r="Q9" i="94" s="1"/>
  <c r="B6" i="94"/>
  <c r="Q6" i="94" s="1"/>
  <c r="B3" i="94"/>
  <c r="Q3" i="94" s="1"/>
  <c r="A3" i="94"/>
  <c r="A2" i="94"/>
  <c r="A3" i="74" s="1"/>
  <c r="A19" i="60"/>
  <c r="T19" i="60" s="1"/>
  <c r="R18" i="60"/>
  <c r="R24" i="60" s="1"/>
  <c r="N28" i="96" l="1"/>
  <c r="N27" i="96"/>
  <c r="M28" i="96"/>
  <c r="M27" i="96"/>
  <c r="L28" i="96"/>
  <c r="L27" i="96"/>
  <c r="K1" i="96"/>
  <c r="K27" i="96"/>
  <c r="M1" i="96"/>
  <c r="J1" i="96"/>
  <c r="J27" i="96"/>
  <c r="G10" i="96"/>
  <c r="G27" i="96"/>
  <c r="B3" i="74"/>
  <c r="E1" i="96"/>
  <c r="E27" i="96"/>
  <c r="L1" i="96"/>
  <c r="D1" i="96"/>
  <c r="D27" i="96"/>
  <c r="L27" i="95"/>
  <c r="D27" i="95"/>
  <c r="W16" i="96" a="1"/>
  <c r="W16" i="96" s="1"/>
  <c r="T16" i="96"/>
  <c r="Y13" i="95" a="1"/>
  <c r="Y13" i="95" s="1"/>
  <c r="Z13" i="95" a="1"/>
  <c r="Z13" i="95" s="1"/>
  <c r="Z10" i="96" a="1"/>
  <c r="Z10" i="96" s="1"/>
  <c r="T10" i="96"/>
  <c r="W13" i="95" a="1"/>
  <c r="W13" i="95" s="1"/>
  <c r="T13" i="95"/>
  <c r="W19" i="96" a="1"/>
  <c r="W19" i="96" s="1"/>
  <c r="T19" i="96"/>
  <c r="X8" i="96" a="1"/>
  <c r="X8" i="96" s="1"/>
  <c r="T8" i="96"/>
  <c r="C20" i="95"/>
  <c r="T20" i="95"/>
  <c r="K5" i="94"/>
  <c r="Y14" i="95" a="1"/>
  <c r="Y14" i="95" s="1"/>
  <c r="T14" i="95"/>
  <c r="P21" i="96"/>
  <c r="T21" i="96"/>
  <c r="X23" i="96" a="1"/>
  <c r="X23" i="96" s="1"/>
  <c r="T23" i="96"/>
  <c r="W17" i="95" a="1"/>
  <c r="W17" i="95" s="1"/>
  <c r="T17" i="95"/>
  <c r="Y8" i="95" a="1"/>
  <c r="Y8" i="95" s="1"/>
  <c r="T8" i="95"/>
  <c r="P9" i="95"/>
  <c r="T9" i="95"/>
  <c r="P22" i="95"/>
  <c r="T22" i="95"/>
  <c r="Y10" i="95" a="1"/>
  <c r="Y10" i="95" s="1"/>
  <c r="T10" i="95"/>
  <c r="Y23" i="95" a="1"/>
  <c r="Y23" i="95" s="1"/>
  <c r="T23" i="95"/>
  <c r="X14" i="96" a="1"/>
  <c r="X14" i="96" s="1"/>
  <c r="T14" i="96"/>
  <c r="N1" i="96"/>
  <c r="Z26" i="60" a="1"/>
  <c r="Z26" i="60" s="1"/>
  <c r="T26" i="60"/>
  <c r="N1" i="95"/>
  <c r="N27" i="95"/>
  <c r="E1" i="95"/>
  <c r="E27" i="95"/>
  <c r="Y13" i="96" a="1"/>
  <c r="Y13" i="96" s="1"/>
  <c r="C22" i="96"/>
  <c r="G1" i="95"/>
  <c r="G27" i="95"/>
  <c r="K2" i="94"/>
  <c r="F1" i="95"/>
  <c r="F27" i="95"/>
  <c r="X13" i="96" a="1"/>
  <c r="X13" i="96" s="1"/>
  <c r="Z13" i="96" a="1"/>
  <c r="Z13" i="96" s="1"/>
  <c r="B4" i="74"/>
  <c r="R25" i="96"/>
  <c r="B5" i="74"/>
  <c r="F1" i="96"/>
  <c r="F28" i="96"/>
  <c r="P9" i="96"/>
  <c r="P22" i="96"/>
  <c r="X10" i="95" a="1"/>
  <c r="X10" i="95" s="1"/>
  <c r="P17" i="96"/>
  <c r="H1" i="96"/>
  <c r="H28" i="96"/>
  <c r="W13" i="96" a="1"/>
  <c r="W13" i="96" s="1"/>
  <c r="W10" i="96" a="1"/>
  <c r="W10" i="96" s="1"/>
  <c r="X17" i="96" a="1"/>
  <c r="X17" i="96" s="1"/>
  <c r="H1" i="95"/>
  <c r="H27" i="95"/>
  <c r="X9" i="96" a="1"/>
  <c r="X9" i="96" s="1"/>
  <c r="X10" i="96" a="1"/>
  <c r="X10" i="96" s="1"/>
  <c r="Y17" i="96" a="1"/>
  <c r="Y17" i="96" s="1"/>
  <c r="C9" i="96"/>
  <c r="Z14" i="96" a="1"/>
  <c r="Z14" i="96" s="1"/>
  <c r="Z17" i="96" a="1"/>
  <c r="Z17" i="96" s="1"/>
  <c r="G1" i="96"/>
  <c r="G28" i="96"/>
  <c r="J20" i="96"/>
  <c r="K13" i="96"/>
  <c r="I17" i="96"/>
  <c r="M14" i="96"/>
  <c r="N19" i="96"/>
  <c r="S2" i="96"/>
  <c r="J8" i="95"/>
  <c r="S2" i="95"/>
  <c r="N14" i="96"/>
  <c r="I17" i="95"/>
  <c r="M11" i="95"/>
  <c r="N9" i="96"/>
  <c r="K20" i="95"/>
  <c r="L15" i="95"/>
  <c r="N23" i="95"/>
  <c r="B12" i="94"/>
  <c r="W23" i="96" a="1"/>
  <c r="W23" i="96" s="1"/>
  <c r="G12" i="96"/>
  <c r="L14" i="96"/>
  <c r="G20" i="96"/>
  <c r="Y23" i="96" a="1"/>
  <c r="Y23" i="96" s="1"/>
  <c r="G19" i="96"/>
  <c r="G11" i="96"/>
  <c r="P23" i="96"/>
  <c r="P11" i="96"/>
  <c r="G16" i="96"/>
  <c r="X19" i="96" a="1"/>
  <c r="X19" i="96" s="1"/>
  <c r="Z23" i="96" a="1"/>
  <c r="Z23" i="96" s="1"/>
  <c r="H16" i="96"/>
  <c r="W12" i="96" a="1"/>
  <c r="W12" i="96" s="1"/>
  <c r="X16" i="96" a="1"/>
  <c r="X16" i="96" s="1"/>
  <c r="K20" i="96"/>
  <c r="P8" i="96"/>
  <c r="P15" i="96"/>
  <c r="K14" i="96"/>
  <c r="L20" i="96"/>
  <c r="W8" i="96" a="1"/>
  <c r="W8" i="96" s="1"/>
  <c r="J14" i="96"/>
  <c r="Z8" i="96" a="1"/>
  <c r="Z8" i="96" s="1"/>
  <c r="X12" i="96" a="1"/>
  <c r="X12" i="96" s="1"/>
  <c r="P14" i="96"/>
  <c r="J23" i="96"/>
  <c r="Z12" i="96" a="1"/>
  <c r="Z12" i="96" s="1"/>
  <c r="G17" i="96"/>
  <c r="P20" i="96"/>
  <c r="P24" i="96"/>
  <c r="Y8" i="96" a="1"/>
  <c r="Y8" i="96" s="1"/>
  <c r="G13" i="96"/>
  <c r="Y14" i="96" a="1"/>
  <c r="Y14" i="96" s="1"/>
  <c r="W17" i="96" a="1"/>
  <c r="W17" i="96" s="1"/>
  <c r="W14" i="96" a="1"/>
  <c r="W14" i="96" s="1"/>
  <c r="P13" i="96"/>
  <c r="J13" i="96"/>
  <c r="L24" i="96"/>
  <c r="L22" i="96"/>
  <c r="L15" i="96"/>
  <c r="L9" i="96"/>
  <c r="L21" i="96"/>
  <c r="L19" i="96"/>
  <c r="L16" i="96"/>
  <c r="H12" i="96"/>
  <c r="M24" i="96"/>
  <c r="M22" i="96"/>
  <c r="M15" i="96"/>
  <c r="M9" i="96"/>
  <c r="M21" i="96"/>
  <c r="M19" i="96"/>
  <c r="M16" i="96"/>
  <c r="M12" i="96"/>
  <c r="M10" i="96"/>
  <c r="M20" i="96"/>
  <c r="M17" i="96"/>
  <c r="M13" i="96"/>
  <c r="M11" i="96"/>
  <c r="P10" i="96"/>
  <c r="Y10" i="96" a="1"/>
  <c r="Y10" i="96" s="1"/>
  <c r="L12" i="96"/>
  <c r="L13" i="96"/>
  <c r="C21" i="96"/>
  <c r="N11" i="96"/>
  <c r="C10" i="96"/>
  <c r="P1" i="96"/>
  <c r="P16" i="96"/>
  <c r="Z16" i="96" a="1"/>
  <c r="Z16" i="96" s="1"/>
  <c r="Y16" i="96" a="1"/>
  <c r="Y16" i="96" s="1"/>
  <c r="Y24" i="96" a="1"/>
  <c r="Y24" i="96" s="1"/>
  <c r="Z24" i="96" a="1"/>
  <c r="Z24" i="96" s="1"/>
  <c r="X24" i="96" a="1"/>
  <c r="X24" i="96" s="1"/>
  <c r="W24" i="96" a="1"/>
  <c r="W24" i="96" s="1"/>
  <c r="Z9" i="96" a="1"/>
  <c r="Z9" i="96" s="1"/>
  <c r="Y9" i="96" a="1"/>
  <c r="Y9" i="96" s="1"/>
  <c r="W9" i="96" a="1"/>
  <c r="W9" i="96" s="1"/>
  <c r="H11" i="96"/>
  <c r="C16" i="96"/>
  <c r="H17" i="96"/>
  <c r="C24" i="96"/>
  <c r="H13" i="96"/>
  <c r="I13" i="96"/>
  <c r="K24" i="96"/>
  <c r="K22" i="96"/>
  <c r="K15" i="96"/>
  <c r="K9" i="96"/>
  <c r="K21" i="96"/>
  <c r="K19" i="96"/>
  <c r="K16" i="96"/>
  <c r="K12" i="96"/>
  <c r="K10" i="96"/>
  <c r="H19" i="96"/>
  <c r="I11" i="96"/>
  <c r="G21" i="96"/>
  <c r="I23" i="96"/>
  <c r="I14" i="96"/>
  <c r="I8" i="96"/>
  <c r="I24" i="96"/>
  <c r="I22" i="96"/>
  <c r="I15" i="96"/>
  <c r="I9" i="96"/>
  <c r="I21" i="96"/>
  <c r="I19" i="96"/>
  <c r="I16" i="96"/>
  <c r="I12" i="96"/>
  <c r="I10" i="96"/>
  <c r="J17" i="96"/>
  <c r="H21" i="96"/>
  <c r="K8" i="96"/>
  <c r="H10" i="96"/>
  <c r="K11" i="96"/>
  <c r="K17" i="96"/>
  <c r="K23" i="96"/>
  <c r="L8" i="96"/>
  <c r="L10" i="96"/>
  <c r="L11" i="96"/>
  <c r="Z15" i="96" a="1"/>
  <c r="Z15" i="96" s="1"/>
  <c r="Y15" i="96" a="1"/>
  <c r="Y15" i="96" s="1"/>
  <c r="X15" i="96" a="1"/>
  <c r="X15" i="96" s="1"/>
  <c r="W15" i="96" a="1"/>
  <c r="W15" i="96" s="1"/>
  <c r="P19" i="96"/>
  <c r="Z19" i="96" a="1"/>
  <c r="Z19" i="96" s="1"/>
  <c r="Y19" i="96" a="1"/>
  <c r="Y19" i="96" s="1"/>
  <c r="H23" i="96"/>
  <c r="H14" i="96"/>
  <c r="H8" i="96"/>
  <c r="H15" i="96"/>
  <c r="H24" i="96"/>
  <c r="H22" i="96"/>
  <c r="J24" i="96"/>
  <c r="J22" i="96"/>
  <c r="J15" i="96"/>
  <c r="J9" i="96"/>
  <c r="J21" i="96"/>
  <c r="J19" i="96"/>
  <c r="J16" i="96"/>
  <c r="J12" i="96"/>
  <c r="J10" i="96"/>
  <c r="J8" i="96"/>
  <c r="J11" i="96"/>
  <c r="H9" i="96"/>
  <c r="L17" i="96"/>
  <c r="L23" i="96"/>
  <c r="M8" i="96"/>
  <c r="M23" i="96"/>
  <c r="N8" i="96"/>
  <c r="P12" i="96"/>
  <c r="Y12" i="96" a="1"/>
  <c r="Y12" i="96" s="1"/>
  <c r="C15" i="96"/>
  <c r="C19" i="96"/>
  <c r="H20" i="96"/>
  <c r="G23" i="96"/>
  <c r="G14" i="96"/>
  <c r="G8" i="96"/>
  <c r="G24" i="96"/>
  <c r="G22" i="96"/>
  <c r="G15" i="96"/>
  <c r="G9" i="96"/>
  <c r="C12" i="96"/>
  <c r="I20" i="96"/>
  <c r="C8" i="96"/>
  <c r="C14" i="96"/>
  <c r="C23" i="96"/>
  <c r="C13" i="96"/>
  <c r="C17" i="96"/>
  <c r="C20" i="96"/>
  <c r="C11" i="96"/>
  <c r="Y17" i="95" a="1"/>
  <c r="Y17" i="95" s="1"/>
  <c r="C16" i="95"/>
  <c r="C19" i="95"/>
  <c r="P23" i="95"/>
  <c r="W12" i="95" a="1"/>
  <c r="W12" i="95" s="1"/>
  <c r="H16" i="95"/>
  <c r="H19" i="95"/>
  <c r="Z23" i="95" a="1"/>
  <c r="Z23" i="95" s="1"/>
  <c r="P14" i="95"/>
  <c r="Z14" i="95" a="1"/>
  <c r="Z14" i="95" s="1"/>
  <c r="Z8" i="95" a="1"/>
  <c r="Z8" i="95" s="1"/>
  <c r="Z17" i="95" a="1"/>
  <c r="Z17" i="95" s="1"/>
  <c r="H17" i="95"/>
  <c r="C21" i="95"/>
  <c r="H11" i="95"/>
  <c r="X17" i="95" a="1"/>
  <c r="X17" i="95" s="1"/>
  <c r="P8" i="95"/>
  <c r="X12" i="95" a="1"/>
  <c r="X12" i="95" s="1"/>
  <c r="C10" i="95"/>
  <c r="Y12" i="95" a="1"/>
  <c r="Y12" i="95" s="1"/>
  <c r="W16" i="95" a="1"/>
  <c r="W16" i="95" s="1"/>
  <c r="W19" i="95" a="1"/>
  <c r="W19" i="95" s="1"/>
  <c r="P26" i="95"/>
  <c r="H21" i="95"/>
  <c r="C12" i="95"/>
  <c r="H12" i="95"/>
  <c r="X16" i="95" a="1"/>
  <c r="X16" i="95" s="1"/>
  <c r="X19" i="95" a="1"/>
  <c r="X19" i="95" s="1"/>
  <c r="W10" i="95" a="1"/>
  <c r="W10" i="95" s="1"/>
  <c r="Y16" i="95" a="1"/>
  <c r="Y16" i="95" s="1"/>
  <c r="Y19" i="95" a="1"/>
  <c r="Y19" i="95" s="1"/>
  <c r="Y15" i="95" a="1"/>
  <c r="Y15" i="95" s="1"/>
  <c r="W15" i="95" a="1"/>
  <c r="W15" i="95" s="1"/>
  <c r="Z15" i="95" a="1"/>
  <c r="Z15" i="95" s="1"/>
  <c r="X15" i="95" a="1"/>
  <c r="X15" i="95" s="1"/>
  <c r="C15" i="95"/>
  <c r="H23" i="95"/>
  <c r="H14" i="95"/>
  <c r="H8" i="95"/>
  <c r="H26" i="95"/>
  <c r="H22" i="95"/>
  <c r="H15" i="95"/>
  <c r="H9" i="95"/>
  <c r="H13" i="95"/>
  <c r="H20" i="95"/>
  <c r="C22" i="95"/>
  <c r="N26" i="95"/>
  <c r="N22" i="95"/>
  <c r="N15" i="95"/>
  <c r="N9" i="95"/>
  <c r="N21" i="95"/>
  <c r="N19" i="95"/>
  <c r="N16" i="95"/>
  <c r="N12" i="95"/>
  <c r="N10" i="95"/>
  <c r="N20" i="95"/>
  <c r="P15" i="95"/>
  <c r="N14" i="95"/>
  <c r="Z9" i="95" a="1"/>
  <c r="Z9" i="95" s="1"/>
  <c r="Y9" i="95" a="1"/>
  <c r="Y9" i="95" s="1"/>
  <c r="X9" i="95" a="1"/>
  <c r="X9" i="95" s="1"/>
  <c r="W9" i="95" a="1"/>
  <c r="W9" i="95" s="1"/>
  <c r="Y26" i="95" a="1"/>
  <c r="Y26" i="95" s="1"/>
  <c r="Z26" i="95" a="1"/>
  <c r="Z26" i="95" s="1"/>
  <c r="W26" i="95" a="1"/>
  <c r="W26" i="95" s="1"/>
  <c r="X26" i="95" a="1"/>
  <c r="X26" i="95" s="1"/>
  <c r="I26" i="95"/>
  <c r="I9" i="95"/>
  <c r="I21" i="95"/>
  <c r="H10" i="95"/>
  <c r="K10" i="95"/>
  <c r="C9" i="95"/>
  <c r="C8" i="95"/>
  <c r="C14" i="95"/>
  <c r="C23" i="95"/>
  <c r="Z10" i="95" a="1"/>
  <c r="Z10" i="95" s="1"/>
  <c r="P11" i="95"/>
  <c r="Z12" i="95" a="1"/>
  <c r="Z12" i="95" s="1"/>
  <c r="P13" i="95"/>
  <c r="Z16" i="95" a="1"/>
  <c r="Z16" i="95" s="1"/>
  <c r="P17" i="95"/>
  <c r="Z19" i="95" a="1"/>
  <c r="Z19" i="95" s="1"/>
  <c r="P20" i="95"/>
  <c r="W8" i="95" a="1"/>
  <c r="W8" i="95" s="1"/>
  <c r="C11" i="95"/>
  <c r="C17" i="95"/>
  <c r="X8" i="95" a="1"/>
  <c r="X8" i="95" s="1"/>
  <c r="P10" i="95"/>
  <c r="P12" i="95"/>
  <c r="X14" i="95" a="1"/>
  <c r="X14" i="95" s="1"/>
  <c r="P16" i="95"/>
  <c r="P19" i="95"/>
  <c r="P21" i="95"/>
  <c r="X23" i="95" a="1"/>
  <c r="X23" i="95" s="1"/>
  <c r="W14" i="95" a="1"/>
  <c r="W14" i="95" s="1"/>
  <c r="W23" i="95" a="1"/>
  <c r="W23" i="95" s="1"/>
  <c r="C13" i="95"/>
  <c r="C19" i="60"/>
  <c r="Y19" i="60" a="1"/>
  <c r="Y19" i="60" s="1"/>
  <c r="P19" i="60"/>
  <c r="W19" i="60" a="1"/>
  <c r="W19" i="60" s="1"/>
  <c r="X19" i="60" a="1"/>
  <c r="X19" i="60" s="1"/>
  <c r="Z19" i="60" a="1"/>
  <c r="Z19" i="60" s="1"/>
  <c r="P26" i="60"/>
  <c r="C26" i="60"/>
  <c r="W26" i="60" a="1"/>
  <c r="W26" i="60" s="1"/>
  <c r="X26" i="60" a="1"/>
  <c r="X26" i="60" s="1"/>
  <c r="Y26" i="60" a="1"/>
  <c r="Y26" i="60" s="1"/>
  <c r="O27" i="96" l="1"/>
  <c r="O1" i="96"/>
  <c r="M9" i="94"/>
  <c r="O1" i="95"/>
  <c r="F9" i="94"/>
  <c r="N13" i="96"/>
  <c r="N17" i="96"/>
  <c r="N20" i="96"/>
  <c r="N16" i="96"/>
  <c r="N23" i="96"/>
  <c r="N12" i="96"/>
  <c r="N21" i="96"/>
  <c r="L20" i="95"/>
  <c r="L13" i="95"/>
  <c r="M20" i="95"/>
  <c r="I13" i="95"/>
  <c r="L10" i="95"/>
  <c r="L8" i="95"/>
  <c r="L12" i="95"/>
  <c r="L16" i="95"/>
  <c r="L17" i="95"/>
  <c r="L26" i="95"/>
  <c r="L11" i="95"/>
  <c r="L9" i="95"/>
  <c r="L14" i="95"/>
  <c r="L22" i="95"/>
  <c r="P1" i="95"/>
  <c r="L23" i="95"/>
  <c r="X18" i="96"/>
  <c r="N10" i="96"/>
  <c r="I22" i="95"/>
  <c r="I14" i="95"/>
  <c r="I20" i="95"/>
  <c r="K23" i="95"/>
  <c r="I8" i="95"/>
  <c r="K13" i="95"/>
  <c r="K16" i="95"/>
  <c r="K19" i="95"/>
  <c r="M23" i="95"/>
  <c r="M21" i="95"/>
  <c r="M15" i="95"/>
  <c r="K8" i="95"/>
  <c r="N22" i="96"/>
  <c r="N24" i="96"/>
  <c r="N15" i="96"/>
  <c r="K12" i="95"/>
  <c r="M10" i="95"/>
  <c r="K21" i="95"/>
  <c r="I23" i="95"/>
  <c r="M12" i="95"/>
  <c r="K15" i="95"/>
  <c r="I15" i="95"/>
  <c r="K17" i="95"/>
  <c r="K9" i="95"/>
  <c r="K26" i="95"/>
  <c r="I10" i="95"/>
  <c r="M22" i="95"/>
  <c r="I12" i="95"/>
  <c r="M26" i="95"/>
  <c r="I11" i="95"/>
  <c r="K14" i="95"/>
  <c r="W18" i="96"/>
  <c r="K11" i="95"/>
  <c r="M16" i="95"/>
  <c r="K22" i="95"/>
  <c r="I16" i="95"/>
  <c r="M19" i="95"/>
  <c r="M9" i="95"/>
  <c r="I19" i="95"/>
  <c r="J14" i="95"/>
  <c r="J13" i="95"/>
  <c r="J11" i="95"/>
  <c r="J10" i="95"/>
  <c r="J12" i="95"/>
  <c r="J16" i="95"/>
  <c r="J21" i="95"/>
  <c r="J22" i="95"/>
  <c r="M14" i="95"/>
  <c r="J26" i="95"/>
  <c r="N11" i="95"/>
  <c r="M13" i="95"/>
  <c r="L19" i="95"/>
  <c r="J17" i="95"/>
  <c r="J23" i="95"/>
  <c r="N8" i="95"/>
  <c r="J19" i="95"/>
  <c r="N13" i="95"/>
  <c r="M17" i="95"/>
  <c r="L21" i="95"/>
  <c r="J9" i="95"/>
  <c r="M8" i="95"/>
  <c r="J15" i="95"/>
  <c r="N17" i="95"/>
  <c r="J20" i="95"/>
  <c r="Y18" i="96"/>
  <c r="Z18" i="96"/>
  <c r="T18" i="96"/>
  <c r="D20" i="96"/>
  <c r="D17" i="96"/>
  <c r="D13" i="96"/>
  <c r="D11" i="96"/>
  <c r="D23" i="96"/>
  <c r="D19" i="96"/>
  <c r="D15" i="96"/>
  <c r="D14" i="96"/>
  <c r="D9" i="96"/>
  <c r="D22" i="96"/>
  <c r="D24" i="96"/>
  <c r="D16" i="96"/>
  <c r="D8" i="96"/>
  <c r="D10" i="96"/>
  <c r="D21" i="96"/>
  <c r="D12" i="96"/>
  <c r="F23" i="96"/>
  <c r="F8" i="96"/>
  <c r="F14" i="96"/>
  <c r="F24" i="96"/>
  <c r="F22" i="96"/>
  <c r="F15" i="96"/>
  <c r="F9" i="96"/>
  <c r="F13" i="96"/>
  <c r="F20" i="96"/>
  <c r="F12" i="96"/>
  <c r="F16" i="96"/>
  <c r="F10" i="96"/>
  <c r="F19" i="96"/>
  <c r="F21" i="96"/>
  <c r="F17" i="96"/>
  <c r="F11" i="96"/>
  <c r="G18" i="96"/>
  <c r="G25" i="96" s="1"/>
  <c r="M18" i="96"/>
  <c r="M25" i="96" s="1"/>
  <c r="K18" i="96"/>
  <c r="K25" i="96" s="1"/>
  <c r="L18" i="96"/>
  <c r="L25" i="96" s="1"/>
  <c r="I18" i="96"/>
  <c r="I25" i="96" s="1"/>
  <c r="J18" i="96"/>
  <c r="J25" i="96" s="1"/>
  <c r="Y18" i="95"/>
  <c r="C18" i="96"/>
  <c r="C25" i="96" s="1"/>
  <c r="H18" i="96"/>
  <c r="H25" i="96" s="1"/>
  <c r="Z18" i="95"/>
  <c r="E20" i="96"/>
  <c r="E17" i="96"/>
  <c r="E13" i="96"/>
  <c r="E11" i="96"/>
  <c r="E23" i="96"/>
  <c r="E14" i="96"/>
  <c r="E8" i="96"/>
  <c r="E24" i="96"/>
  <c r="E22" i="96"/>
  <c r="E15" i="96"/>
  <c r="E9" i="96"/>
  <c r="E12" i="96"/>
  <c r="E19" i="96"/>
  <c r="E16" i="96"/>
  <c r="E10" i="96"/>
  <c r="E21" i="96"/>
  <c r="P18" i="96"/>
  <c r="W18" i="95"/>
  <c r="C18" i="95"/>
  <c r="C24" i="95" s="1"/>
  <c r="E8" i="95"/>
  <c r="E20" i="95"/>
  <c r="E17" i="95"/>
  <c r="E13" i="95"/>
  <c r="E11" i="95"/>
  <c r="E23" i="95"/>
  <c r="D5" i="94"/>
  <c r="E14" i="95"/>
  <c r="E26" i="95"/>
  <c r="E22" i="95"/>
  <c r="E15" i="95"/>
  <c r="E9" i="95"/>
  <c r="E19" i="95"/>
  <c r="E12" i="95"/>
  <c r="E16" i="95"/>
  <c r="E21" i="95"/>
  <c r="E10" i="95"/>
  <c r="D20" i="95"/>
  <c r="D17" i="95"/>
  <c r="D13" i="95"/>
  <c r="D11" i="95"/>
  <c r="D23" i="95"/>
  <c r="D14" i="95"/>
  <c r="D8" i="95"/>
  <c r="D26" i="95"/>
  <c r="D9" i="95"/>
  <c r="D19" i="95"/>
  <c r="D12" i="95"/>
  <c r="D10" i="95"/>
  <c r="D22" i="95"/>
  <c r="D21" i="95"/>
  <c r="D15" i="95"/>
  <c r="D16" i="95"/>
  <c r="H18" i="95"/>
  <c r="H24" i="95" s="1"/>
  <c r="X18" i="95"/>
  <c r="P18" i="95"/>
  <c r="P24" i="95" s="1"/>
  <c r="F20" i="95"/>
  <c r="F17" i="95"/>
  <c r="F13" i="95"/>
  <c r="F11" i="95"/>
  <c r="F14" i="95"/>
  <c r="F8" i="95"/>
  <c r="F26" i="95"/>
  <c r="F9" i="95"/>
  <c r="F23" i="95"/>
  <c r="F22" i="95"/>
  <c r="F15" i="95"/>
  <c r="F16" i="95"/>
  <c r="F10" i="95"/>
  <c r="F19" i="95"/>
  <c r="F12" i="95"/>
  <c r="F21" i="95"/>
  <c r="T18" i="95"/>
  <c r="T24" i="95" s="1"/>
  <c r="G23" i="95"/>
  <c r="G14" i="95"/>
  <c r="G8" i="95"/>
  <c r="G26" i="95"/>
  <c r="G22" i="95"/>
  <c r="G15" i="95"/>
  <c r="G9" i="95"/>
  <c r="G16" i="95"/>
  <c r="G13" i="95"/>
  <c r="G19" i="95"/>
  <c r="G12" i="95"/>
  <c r="G17" i="95"/>
  <c r="G20" i="95"/>
  <c r="G11" i="95"/>
  <c r="G10" i="95"/>
  <c r="G21" i="95"/>
  <c r="A23" i="60"/>
  <c r="T23" i="60" s="1"/>
  <c r="A22" i="60"/>
  <c r="T22" i="60" s="1"/>
  <c r="A21" i="60"/>
  <c r="T21" i="60" s="1"/>
  <c r="A20" i="60"/>
  <c r="T20" i="60" s="1"/>
  <c r="A17" i="60"/>
  <c r="T17" i="60" s="1"/>
  <c r="A16" i="60"/>
  <c r="T16" i="60" s="1"/>
  <c r="A15" i="60"/>
  <c r="T15" i="60" s="1"/>
  <c r="A14" i="60"/>
  <c r="T14" i="60" s="1"/>
  <c r="A13" i="60"/>
  <c r="T13" i="60" s="1"/>
  <c r="A12" i="60"/>
  <c r="T12" i="60" s="1"/>
  <c r="A11" i="60"/>
  <c r="T11" i="60" s="1"/>
  <c r="S27" i="96" l="1"/>
  <c r="U27" i="96" s="1"/>
  <c r="Q27" i="96"/>
  <c r="T25" i="96"/>
  <c r="M8" i="94"/>
  <c r="F5" i="94"/>
  <c r="P25" i="96"/>
  <c r="F8" i="94"/>
  <c r="M5" i="94"/>
  <c r="L18" i="95"/>
  <c r="L24" i="95" s="1"/>
  <c r="O22" i="96"/>
  <c r="N18" i="96"/>
  <c r="N25" i="96" s="1"/>
  <c r="I18" i="95"/>
  <c r="I24" i="95" s="1"/>
  <c r="J18" i="95"/>
  <c r="J24" i="95" s="1"/>
  <c r="O8" i="95"/>
  <c r="O26" i="95"/>
  <c r="O15" i="96"/>
  <c r="S15" i="96" s="1"/>
  <c r="U15" i="96" s="1"/>
  <c r="O24" i="96"/>
  <c r="S24" i="96" s="1"/>
  <c r="U24" i="96" s="1"/>
  <c r="M18" i="95"/>
  <c r="M24" i="95" s="1"/>
  <c r="O15" i="95"/>
  <c r="N18" i="95"/>
  <c r="N24" i="95" s="1"/>
  <c r="O13" i="95"/>
  <c r="S13" i="95" s="1"/>
  <c r="U13" i="95" s="1"/>
  <c r="K18" i="95"/>
  <c r="K24" i="95" s="1"/>
  <c r="O12" i="96"/>
  <c r="S12" i="96" s="1"/>
  <c r="U12" i="96" s="1"/>
  <c r="O23" i="96"/>
  <c r="O16" i="96"/>
  <c r="S16" i="96" s="1"/>
  <c r="U16" i="96" s="1"/>
  <c r="O14" i="96"/>
  <c r="S14" i="96" s="1"/>
  <c r="U14" i="96" s="1"/>
  <c r="O13" i="96"/>
  <c r="S13" i="96" s="1"/>
  <c r="U13" i="96" s="1"/>
  <c r="O9" i="96"/>
  <c r="E18" i="96"/>
  <c r="E25" i="96" s="1"/>
  <c r="O21" i="96"/>
  <c r="S21" i="96" s="1"/>
  <c r="U21" i="96" s="1"/>
  <c r="O11" i="96"/>
  <c r="O17" i="96"/>
  <c r="O20" i="96"/>
  <c r="O19" i="96"/>
  <c r="S19" i="96" s="1"/>
  <c r="U19" i="96" s="1"/>
  <c r="O10" i="96"/>
  <c r="S10" i="96" s="1"/>
  <c r="U10" i="96" s="1"/>
  <c r="D18" i="96"/>
  <c r="D25" i="96" s="1"/>
  <c r="O8" i="96"/>
  <c r="S8" i="96" s="1"/>
  <c r="U8" i="96" s="1"/>
  <c r="F18" i="96"/>
  <c r="F25" i="96" s="1"/>
  <c r="D8" i="94"/>
  <c r="O17" i="95"/>
  <c r="O23" i="95"/>
  <c r="S23" i="95" s="1"/>
  <c r="U23" i="95" s="1"/>
  <c r="O14" i="95"/>
  <c r="S14" i="95" s="1"/>
  <c r="U14" i="95" s="1"/>
  <c r="O22" i="95"/>
  <c r="O11" i="95"/>
  <c r="O9" i="95"/>
  <c r="S9" i="95" s="1"/>
  <c r="U9" i="95" s="1"/>
  <c r="E18" i="95"/>
  <c r="E24" i="95" s="1"/>
  <c r="O10" i="95"/>
  <c r="S10" i="95" s="1"/>
  <c r="U10" i="95" s="1"/>
  <c r="O19" i="95"/>
  <c r="S19" i="95" s="1"/>
  <c r="U19" i="95" s="1"/>
  <c r="O16" i="95"/>
  <c r="S16" i="95" s="1"/>
  <c r="U16" i="95" s="1"/>
  <c r="O12" i="95"/>
  <c r="S12" i="95" s="1"/>
  <c r="U12" i="95" s="1"/>
  <c r="F18" i="95"/>
  <c r="F24" i="95" s="1"/>
  <c r="D18" i="95"/>
  <c r="D24" i="95" s="1"/>
  <c r="G18" i="95"/>
  <c r="G24" i="95" s="1"/>
  <c r="O20" i="95"/>
  <c r="S20" i="95" s="1"/>
  <c r="U20" i="95" s="1"/>
  <c r="O21" i="95"/>
  <c r="S21" i="95" s="1"/>
  <c r="U21" i="95" s="1"/>
  <c r="C11" i="60"/>
  <c r="P11" i="60"/>
  <c r="C12" i="60"/>
  <c r="P12" i="60"/>
  <c r="C13" i="60"/>
  <c r="P13" i="60"/>
  <c r="C14" i="60"/>
  <c r="P14" i="60"/>
  <c r="C15" i="60"/>
  <c r="P15" i="60"/>
  <c r="C16" i="60"/>
  <c r="P16" i="60"/>
  <c r="C17" i="60"/>
  <c r="P17" i="60"/>
  <c r="P20" i="60"/>
  <c r="C20" i="60"/>
  <c r="P21" i="60"/>
  <c r="C21" i="60"/>
  <c r="P22" i="60"/>
  <c r="C22" i="60"/>
  <c r="C23" i="60"/>
  <c r="P23" i="60"/>
  <c r="Q26" i="95" l="1"/>
  <c r="S26" i="95"/>
  <c r="U26" i="95" s="1"/>
  <c r="Q22" i="96"/>
  <c r="S22" i="96"/>
  <c r="U22" i="96" s="1"/>
  <c r="Q17" i="96"/>
  <c r="S17" i="96"/>
  <c r="U17" i="96" s="1"/>
  <c r="Q11" i="96"/>
  <c r="S11" i="96"/>
  <c r="U11" i="96" s="1"/>
  <c r="Q8" i="95"/>
  <c r="S8" i="95"/>
  <c r="U8" i="95" s="1"/>
  <c r="Q11" i="95"/>
  <c r="S11" i="95"/>
  <c r="U11" i="95" s="1"/>
  <c r="Q22" i="95"/>
  <c r="S22" i="95"/>
  <c r="U22" i="95" s="1"/>
  <c r="Q9" i="96"/>
  <c r="S9" i="96"/>
  <c r="U9" i="96" s="1"/>
  <c r="Q17" i="95"/>
  <c r="S17" i="95"/>
  <c r="U17" i="95" s="1"/>
  <c r="Q23" i="96"/>
  <c r="S23" i="96"/>
  <c r="U23" i="96" s="1"/>
  <c r="Q15" i="95"/>
  <c r="S15" i="95"/>
  <c r="U15" i="95" s="1"/>
  <c r="Q20" i="96"/>
  <c r="S20" i="96"/>
  <c r="U20" i="96" s="1"/>
  <c r="H4" i="74"/>
  <c r="Q14" i="96"/>
  <c r="C5" i="74"/>
  <c r="F10" i="94"/>
  <c r="C4" i="74"/>
  <c r="H5" i="74"/>
  <c r="M10" i="94"/>
  <c r="Q24" i="96"/>
  <c r="Q15" i="96"/>
  <c r="Q12" i="96"/>
  <c r="Q13" i="96"/>
  <c r="Q13" i="95"/>
  <c r="Q21" i="96"/>
  <c r="Q14" i="95"/>
  <c r="Q23" i="95"/>
  <c r="Q16" i="96"/>
  <c r="Q19" i="96"/>
  <c r="E9" i="94"/>
  <c r="Q9" i="95"/>
  <c r="Q10" i="96"/>
  <c r="O18" i="96"/>
  <c r="Q8" i="96"/>
  <c r="Q12" i="95"/>
  <c r="Q19" i="95"/>
  <c r="Q21" i="95"/>
  <c r="Q20" i="95"/>
  <c r="Q16" i="95"/>
  <c r="Q10" i="95"/>
  <c r="O18" i="95"/>
  <c r="O24" i="95" s="1"/>
  <c r="L9" i="94" l="1"/>
  <c r="N9" i="94"/>
  <c r="Q18" i="96"/>
  <c r="Q25" i="96" s="1"/>
  <c r="Q18" i="95"/>
  <c r="Q24" i="95" s="1"/>
  <c r="E5" i="94"/>
  <c r="D4" i="74" s="1"/>
  <c r="E4" i="74" s="1"/>
  <c r="O25" i="96"/>
  <c r="E8" i="94"/>
  <c r="D5" i="74" s="1"/>
  <c r="E5" i="74" s="1"/>
  <c r="S18" i="96"/>
  <c r="U18" i="96"/>
  <c r="U25" i="96" s="1"/>
  <c r="U18" i="95"/>
  <c r="U24" i="95" s="1"/>
  <c r="S18" i="95"/>
  <c r="S24" i="95" s="1"/>
  <c r="Z17" i="60" a="1"/>
  <c r="Z17" i="60" s="1"/>
  <c r="S25" i="96" l="1"/>
  <c r="L8" i="94"/>
  <c r="G5" i="94"/>
  <c r="I5" i="94"/>
  <c r="G4" i="74" s="1"/>
  <c r="H5" i="94"/>
  <c r="L5" i="94"/>
  <c r="E10" i="94"/>
  <c r="G10" i="94" s="1"/>
  <c r="I8" i="94"/>
  <c r="G5" i="74" s="1"/>
  <c r="H8" i="94"/>
  <c r="G8" i="94"/>
  <c r="W17" i="60" a="1"/>
  <c r="W17" i="60" s="1"/>
  <c r="X17" i="60" a="1"/>
  <c r="X17" i="60" s="1"/>
  <c r="Y17" i="60" a="1"/>
  <c r="Y17" i="60" s="1"/>
  <c r="G9" i="94" l="1"/>
  <c r="N5" i="94"/>
  <c r="L10" i="94"/>
  <c r="N10" i="94" s="1"/>
  <c r="N8" i="94"/>
  <c r="A8" i="60" l="1"/>
  <c r="A9" i="60"/>
  <c r="T9" i="60" s="1"/>
  <c r="A10" i="60"/>
  <c r="T10" i="60" s="1"/>
  <c r="C8" i="60" l="1"/>
  <c r="P8" i="60"/>
  <c r="T8" i="60"/>
  <c r="C9" i="60"/>
  <c r="P9" i="60"/>
  <c r="S2" i="60"/>
  <c r="C10" i="60"/>
  <c r="P10" i="60"/>
  <c r="K2" i="60"/>
  <c r="J2" i="60"/>
  <c r="L2" i="60"/>
  <c r="I2" i="60"/>
  <c r="H2" i="60"/>
  <c r="D2" i="60"/>
  <c r="G2" i="60"/>
  <c r="N2" i="60"/>
  <c r="F2" i="60"/>
  <c r="M2" i="60"/>
  <c r="E2" i="60"/>
  <c r="W12" i="60" a="1"/>
  <c r="W12" i="60" s="1"/>
  <c r="Z16" i="60" a="1"/>
  <c r="Z16" i="60" s="1"/>
  <c r="Z14" i="60" a="1"/>
  <c r="Z14" i="60" s="1"/>
  <c r="W14" i="60" a="1"/>
  <c r="W14" i="60" s="1"/>
  <c r="X14" i="60" a="1"/>
  <c r="X14" i="60" s="1"/>
  <c r="X16" i="60" a="1"/>
  <c r="X16" i="60" s="1"/>
  <c r="W15" i="60" a="1"/>
  <c r="W15" i="60" s="1"/>
  <c r="Z15" i="60" a="1"/>
  <c r="Z15" i="60" s="1"/>
  <c r="X1" i="60" a="1"/>
  <c r="X1" i="60" s="1"/>
  <c r="Y15" i="60" a="1"/>
  <c r="Y15" i="60" s="1"/>
  <c r="Z9" i="60" a="1"/>
  <c r="Z9" i="60" s="1"/>
  <c r="Z12" i="60" a="1"/>
  <c r="Z12" i="60" s="1"/>
  <c r="Y14" i="60" a="1"/>
  <c r="Y14" i="60" s="1"/>
  <c r="X13" i="60" a="1"/>
  <c r="X13" i="60" s="1"/>
  <c r="Z10" i="60" a="1"/>
  <c r="Z10" i="60" s="1"/>
  <c r="W10" i="60" a="1"/>
  <c r="W10" i="60" s="1"/>
  <c r="W9" i="60" a="1"/>
  <c r="W9" i="60" s="1"/>
  <c r="W23" i="60" a="1"/>
  <c r="W23" i="60" s="1"/>
  <c r="Z23" i="60" a="1"/>
  <c r="Z23" i="60" s="1"/>
  <c r="W16" i="60" a="1"/>
  <c r="W16" i="60" s="1"/>
  <c r="Y16" i="60" a="1"/>
  <c r="Y16" i="60" s="1"/>
  <c r="X15" i="60" a="1"/>
  <c r="X15" i="60" s="1"/>
  <c r="X12" i="60" a="1"/>
  <c r="X12" i="60" s="1"/>
  <c r="Y10" i="60" a="1"/>
  <c r="Y10" i="60" s="1"/>
  <c r="X9" i="60" a="1"/>
  <c r="X9" i="60" s="1"/>
  <c r="Y8" i="60" a="1"/>
  <c r="Y8" i="60" s="1"/>
  <c r="Z1" i="60" a="1"/>
  <c r="Z1" i="60" s="1"/>
  <c r="Y23" i="60" a="1"/>
  <c r="Y23" i="60" s="1"/>
  <c r="Z13" i="60" a="1"/>
  <c r="Z13" i="60" s="1"/>
  <c r="Y12" i="60" a="1"/>
  <c r="Y12" i="60" s="1"/>
  <c r="X10" i="60" a="1"/>
  <c r="X10" i="60" s="1"/>
  <c r="Y9" i="60" a="1"/>
  <c r="Y9" i="60" s="1"/>
  <c r="X8" i="60" a="1"/>
  <c r="X8" i="60" s="1"/>
  <c r="W1" i="60" a="1"/>
  <c r="W1" i="60" s="1"/>
  <c r="Y1" i="60" a="1"/>
  <c r="Y1" i="60" s="1"/>
  <c r="X23" i="60" a="1"/>
  <c r="X23" i="60" s="1"/>
  <c r="W13" i="60" a="1"/>
  <c r="W13" i="60" s="1"/>
  <c r="Y13" i="60" a="1"/>
  <c r="Y13" i="60" s="1"/>
  <c r="Z8" i="60" a="1"/>
  <c r="Z8" i="60" s="1"/>
  <c r="W8" i="60" a="1"/>
  <c r="W8" i="60" s="1"/>
  <c r="D1" i="60" l="1"/>
  <c r="D27" i="60"/>
  <c r="H19" i="60"/>
  <c r="H27" i="60"/>
  <c r="H1" i="60"/>
  <c r="L19" i="60"/>
  <c r="L1" i="60"/>
  <c r="L27" i="60"/>
  <c r="K19" i="60"/>
  <c r="K27" i="60"/>
  <c r="K1" i="60"/>
  <c r="E19" i="60"/>
  <c r="E1" i="60"/>
  <c r="E27" i="60"/>
  <c r="M19" i="60"/>
  <c r="M27" i="60"/>
  <c r="M1" i="60"/>
  <c r="J19" i="60"/>
  <c r="J27" i="60"/>
  <c r="J1" i="60"/>
  <c r="F19" i="60"/>
  <c r="F27" i="60"/>
  <c r="F1" i="60"/>
  <c r="N19" i="60"/>
  <c r="N27" i="60"/>
  <c r="N1" i="60"/>
  <c r="I19" i="60"/>
  <c r="I27" i="60"/>
  <c r="I1" i="60"/>
  <c r="G19" i="60"/>
  <c r="G27" i="60"/>
  <c r="G1" i="60"/>
  <c r="D19" i="60"/>
  <c r="D8" i="60"/>
  <c r="T18" i="60"/>
  <c r="T24" i="60" s="1"/>
  <c r="P18" i="60"/>
  <c r="P24" i="60" s="1"/>
  <c r="C18" i="60"/>
  <c r="C24" i="60" s="1"/>
  <c r="F26" i="60"/>
  <c r="G26" i="60"/>
  <c r="D26" i="60"/>
  <c r="K26" i="60"/>
  <c r="H26" i="60"/>
  <c r="I26" i="60"/>
  <c r="E26" i="60"/>
  <c r="M26" i="60"/>
  <c r="N26" i="60"/>
  <c r="L26" i="60"/>
  <c r="J26" i="60"/>
  <c r="J22" i="60"/>
  <c r="J20" i="60"/>
  <c r="J23" i="60"/>
  <c r="J21" i="60"/>
  <c r="K23" i="60"/>
  <c r="K22" i="60"/>
  <c r="K20" i="60"/>
  <c r="K21" i="60"/>
  <c r="F21" i="60"/>
  <c r="F23" i="60"/>
  <c r="F22" i="60"/>
  <c r="F20" i="60"/>
  <c r="N23" i="60"/>
  <c r="N20" i="60"/>
  <c r="N21" i="60"/>
  <c r="N22" i="60"/>
  <c r="G21" i="60"/>
  <c r="G20" i="60"/>
  <c r="G23" i="60"/>
  <c r="G22" i="60"/>
  <c r="E23" i="60"/>
  <c r="E21" i="60"/>
  <c r="E22" i="60"/>
  <c r="E20" i="60"/>
  <c r="M20" i="60"/>
  <c r="M21" i="60"/>
  <c r="M23" i="60"/>
  <c r="M22" i="60"/>
  <c r="D20" i="60"/>
  <c r="D22" i="60"/>
  <c r="D21" i="60"/>
  <c r="D23" i="60"/>
  <c r="H21" i="60"/>
  <c r="H23" i="60"/>
  <c r="H22" i="60"/>
  <c r="H20" i="60"/>
  <c r="I22" i="60"/>
  <c r="I20" i="60"/>
  <c r="I23" i="60"/>
  <c r="I21" i="60"/>
  <c r="L22" i="60"/>
  <c r="L21" i="60"/>
  <c r="L20" i="60"/>
  <c r="L23" i="60"/>
  <c r="N9" i="60"/>
  <c r="N11" i="60"/>
  <c r="N13" i="60"/>
  <c r="N15" i="60"/>
  <c r="N17" i="60"/>
  <c r="N8" i="60"/>
  <c r="N10" i="60"/>
  <c r="N12" i="60"/>
  <c r="N14" i="60"/>
  <c r="N16" i="60"/>
  <c r="G9" i="60"/>
  <c r="G11" i="60"/>
  <c r="G13" i="60"/>
  <c r="G15" i="60"/>
  <c r="G17" i="60"/>
  <c r="G8" i="60"/>
  <c r="G10" i="60"/>
  <c r="G12" i="60"/>
  <c r="G14" i="60"/>
  <c r="G16" i="60"/>
  <c r="D10" i="60"/>
  <c r="D12" i="60"/>
  <c r="D14" i="60"/>
  <c r="D16" i="60"/>
  <c r="D9" i="60"/>
  <c r="D11" i="60"/>
  <c r="D13" i="60"/>
  <c r="D15" i="60"/>
  <c r="D17" i="60"/>
  <c r="H9" i="60"/>
  <c r="H11" i="60"/>
  <c r="H13" i="60"/>
  <c r="H15" i="60"/>
  <c r="H17" i="60"/>
  <c r="H10" i="60"/>
  <c r="H12" i="60"/>
  <c r="H14" i="60"/>
  <c r="H16" i="60"/>
  <c r="H8" i="60"/>
  <c r="I12" i="60"/>
  <c r="I16" i="60"/>
  <c r="I9" i="60"/>
  <c r="I11" i="60"/>
  <c r="I13" i="60"/>
  <c r="I15" i="60"/>
  <c r="I17" i="60"/>
  <c r="I10" i="60"/>
  <c r="I8" i="60"/>
  <c r="I14" i="60"/>
  <c r="E8" i="60"/>
  <c r="E13" i="60"/>
  <c r="E15" i="60"/>
  <c r="E9" i="60"/>
  <c r="E10" i="60"/>
  <c r="E12" i="60"/>
  <c r="E14" i="60"/>
  <c r="E16" i="60"/>
  <c r="E17" i="60"/>
  <c r="E11" i="60"/>
  <c r="L10" i="60"/>
  <c r="L12" i="60"/>
  <c r="L14" i="60"/>
  <c r="L16" i="60"/>
  <c r="L8" i="60"/>
  <c r="L9" i="60"/>
  <c r="L11" i="60"/>
  <c r="L13" i="60"/>
  <c r="L15" i="60"/>
  <c r="L17" i="60"/>
  <c r="M15" i="60"/>
  <c r="M8" i="60"/>
  <c r="M10" i="60"/>
  <c r="M12" i="60"/>
  <c r="M14" i="60"/>
  <c r="M16" i="60"/>
  <c r="M11" i="60"/>
  <c r="M13" i="60"/>
  <c r="M17" i="60"/>
  <c r="M9" i="60"/>
  <c r="J10" i="60"/>
  <c r="J12" i="60"/>
  <c r="J14" i="60"/>
  <c r="J16" i="60"/>
  <c r="J9" i="60"/>
  <c r="J11" i="60"/>
  <c r="J13" i="60"/>
  <c r="J15" i="60"/>
  <c r="J17" i="60"/>
  <c r="J8" i="60"/>
  <c r="F9" i="60"/>
  <c r="F11" i="60"/>
  <c r="F13" i="60"/>
  <c r="F15" i="60"/>
  <c r="F17" i="60"/>
  <c r="F8" i="60"/>
  <c r="F10" i="60"/>
  <c r="F12" i="60"/>
  <c r="F14" i="60"/>
  <c r="F16" i="60"/>
  <c r="K10" i="60"/>
  <c r="K12" i="60"/>
  <c r="K14" i="60"/>
  <c r="K16" i="60"/>
  <c r="K8" i="60"/>
  <c r="K9" i="60"/>
  <c r="K11" i="60"/>
  <c r="K13" i="60"/>
  <c r="K15" i="60"/>
  <c r="K17" i="60"/>
  <c r="B7" i="74"/>
  <c r="W18" i="60"/>
  <c r="Z18" i="60"/>
  <c r="X18" i="60"/>
  <c r="Y18" i="60"/>
  <c r="F2" i="94" l="1"/>
  <c r="M2" i="94"/>
  <c r="O19" i="60"/>
  <c r="S19" i="60" s="1"/>
  <c r="U19" i="60" s="1"/>
  <c r="H18" i="60"/>
  <c r="H24" i="60" s="1"/>
  <c r="M18" i="60"/>
  <c r="M24" i="60" s="1"/>
  <c r="F18" i="60"/>
  <c r="F24" i="60" s="1"/>
  <c r="G18" i="60"/>
  <c r="G24" i="60" s="1"/>
  <c r="N18" i="60"/>
  <c r="N24" i="60" s="1"/>
  <c r="E18" i="60"/>
  <c r="E24" i="60" s="1"/>
  <c r="L18" i="60"/>
  <c r="L24" i="60" s="1"/>
  <c r="J18" i="60"/>
  <c r="J24" i="60" s="1"/>
  <c r="I18" i="60"/>
  <c r="I24" i="60" s="1"/>
  <c r="K18" i="60"/>
  <c r="K24" i="60" s="1"/>
  <c r="D18" i="60"/>
  <c r="D24" i="60" s="1"/>
  <c r="O1" i="60"/>
  <c r="D2" i="94" s="1"/>
  <c r="O26" i="60"/>
  <c r="S26" i="60" s="1"/>
  <c r="O8" i="60"/>
  <c r="S8" i="60" s="1"/>
  <c r="U8" i="60" s="1"/>
  <c r="O9" i="60"/>
  <c r="S9" i="60" s="1"/>
  <c r="U9" i="60" s="1"/>
  <c r="O23" i="60"/>
  <c r="S23" i="60" s="1"/>
  <c r="U23" i="60" s="1"/>
  <c r="O21" i="60"/>
  <c r="S21" i="60" s="1"/>
  <c r="U21" i="60" s="1"/>
  <c r="O16" i="60"/>
  <c r="O22" i="60"/>
  <c r="S22" i="60" s="1"/>
  <c r="U22" i="60" s="1"/>
  <c r="O20" i="60"/>
  <c r="S20" i="60" s="1"/>
  <c r="U20" i="60" s="1"/>
  <c r="O13" i="60"/>
  <c r="O12" i="60"/>
  <c r="S12" i="60" s="1"/>
  <c r="U12" i="60" s="1"/>
  <c r="O15" i="60"/>
  <c r="S15" i="60" s="1"/>
  <c r="U15" i="60" s="1"/>
  <c r="O14" i="60"/>
  <c r="S14" i="60" s="1"/>
  <c r="U14" i="60" s="1"/>
  <c r="O17" i="60"/>
  <c r="S17" i="60" s="1"/>
  <c r="U17" i="60" s="1"/>
  <c r="O11" i="60"/>
  <c r="S11" i="60" s="1"/>
  <c r="U11" i="60" s="1"/>
  <c r="O10" i="60"/>
  <c r="S10" i="60" s="1"/>
  <c r="U10" i="60" s="1"/>
  <c r="Q19" i="60" l="1"/>
  <c r="Q13" i="60"/>
  <c r="S13" i="60"/>
  <c r="U13" i="60" s="1"/>
  <c r="Q16" i="60"/>
  <c r="S16" i="60"/>
  <c r="U16" i="60" s="1"/>
  <c r="Q26" i="60"/>
  <c r="U26" i="60"/>
  <c r="C3" i="74"/>
  <c r="D12" i="94"/>
  <c r="O18" i="60"/>
  <c r="O24" i="60" s="1"/>
  <c r="Q15" i="60"/>
  <c r="Q8" i="60"/>
  <c r="Q12" i="60"/>
  <c r="Q9" i="60"/>
  <c r="Q21" i="60"/>
  <c r="Q23" i="60"/>
  <c r="Q20" i="60"/>
  <c r="Q22" i="60"/>
  <c r="Q10" i="60"/>
  <c r="Q14" i="60"/>
  <c r="Q11" i="60"/>
  <c r="Q17" i="60"/>
  <c r="H3" i="74" l="1"/>
  <c r="J12" i="94"/>
  <c r="H7" i="74" s="1"/>
  <c r="E2" i="94"/>
  <c r="D3" i="74" s="1"/>
  <c r="E3" i="74" s="1"/>
  <c r="Q18" i="60"/>
  <c r="Q24" i="60" s="1"/>
  <c r="U18" i="60"/>
  <c r="U24" i="60" s="1"/>
  <c r="S18" i="60"/>
  <c r="L2" i="94" l="1"/>
  <c r="S24" i="60"/>
  <c r="H2" i="94"/>
  <c r="G2" i="94"/>
  <c r="I2" i="94"/>
  <c r="G3" i="74" s="1"/>
  <c r="N2" i="94" l="1"/>
  <c r="F3" i="94" l="1"/>
  <c r="F4" i="94" s="1"/>
  <c r="E3" i="94"/>
  <c r="E4" i="94" s="1"/>
  <c r="G4" i="94" l="1"/>
  <c r="G3" i="94" s="1"/>
  <c r="K3" i="94"/>
  <c r="M3" i="94"/>
  <c r="L3" i="94"/>
  <c r="L4" i="94" s="1"/>
  <c r="N3" i="94"/>
  <c r="K4" i="94" l="1"/>
  <c r="M4" i="94"/>
  <c r="N4" i="94" s="1"/>
  <c r="N6" i="94"/>
  <c r="K6" i="94"/>
  <c r="K7" i="94" s="1"/>
  <c r="M6" i="94"/>
  <c r="M7" i="94" s="1"/>
  <c r="L6" i="94"/>
  <c r="L7" i="94" s="1"/>
  <c r="F6" i="94"/>
  <c r="F7" i="94"/>
  <c r="E6" i="94"/>
  <c r="N7" i="94" l="1"/>
  <c r="N13" i="94"/>
  <c r="E7" i="94"/>
  <c r="G7" i="94" s="1"/>
  <c r="G6" i="94" s="1"/>
  <c r="G14" i="94" s="1"/>
  <c r="M12" i="94"/>
  <c r="K12" i="94"/>
  <c r="K13" i="94"/>
  <c r="N14" i="94"/>
  <c r="L14" i="94"/>
  <c r="K14" i="94"/>
  <c r="N12" i="94"/>
  <c r="G12" i="94"/>
  <c r="M13" i="94"/>
  <c r="E12" i="94"/>
  <c r="L12" i="94"/>
  <c r="E13" i="94"/>
  <c r="G13" i="94" l="1"/>
  <c r="L13" i="94"/>
  <c r="M14" i="94"/>
  <c r="F12" i="94"/>
  <c r="C7" i="74" s="1"/>
  <c r="E14" i="94"/>
  <c r="F14" i="94"/>
  <c r="F13" i="94"/>
  <c r="I12" i="94"/>
  <c r="G7" i="74" s="1"/>
  <c r="D7" i="74"/>
  <c r="H12" i="94" l="1"/>
  <c r="E7" i="74"/>
</calcChain>
</file>

<file path=xl/sharedStrings.xml><?xml version="1.0" encoding="utf-8"?>
<sst xmlns="http://schemas.openxmlformats.org/spreadsheetml/2006/main" count="210" uniqueCount="89">
  <si>
    <t xml:space="preserve">COST ANALYSIS AS AT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</si>
  <si>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</si>
  <si>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</si>
  <si>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</si>
  <si>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</si>
  <si>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</si>
  <si>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</si>
  <si>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</si>
  <si>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</si>
  <si>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</si>
  <si>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</si>
  <si>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</si>
  <si>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</si>
  <si>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PROJECTED COSTS FOR REMAINING PERIOD OF YEAR</t>
  </si>
  <si>
    <t>COST PROGNOSIS</t>
  </si>
  <si>
    <t>TOTAL BUDGET FOR THIS YEAR</t>
  </si>
  <si>
    <t>VARIANCE</t>
  </si>
  <si>
    <t>D=A+B+C</t>
  </si>
  <si>
    <t>E</t>
  </si>
  <si>
    <t>F=E-D</t>
  </si>
  <si>
    <t>VICTUALLING</t>
  </si>
  <si>
    <t>SPARES</t>
  </si>
  <si>
    <t>TOTAL RUNNING COSTS</t>
  </si>
  <si>
    <t>COST GROUPINGS</t>
  </si>
  <si>
    <t>ACCUMULATED COSTS</t>
  </si>
  <si>
    <t xml:space="preserve">A </t>
  </si>
  <si>
    <t>BUDGETTED YTD COSTS</t>
  </si>
  <si>
    <t>YTD VARIANCE</t>
  </si>
  <si>
    <t>Comments:</t>
  </si>
  <si>
    <t>Account Code</t>
  </si>
  <si>
    <t>[THIS IS A HIDDEN COLUMN]</t>
  </si>
  <si>
    <t>FY_Budget</t>
  </si>
  <si>
    <t xml:space="preserve">YTD VARIANCE % </t>
  </si>
  <si>
    <t>OPEX days</t>
  </si>
  <si>
    <t>YTD  Budget</t>
  </si>
  <si>
    <t>YTD Variance</t>
  </si>
  <si>
    <t>YTD Variance %</t>
  </si>
  <si>
    <t>Projected Expenses Balance Year</t>
  </si>
  <si>
    <t>Projected Year End Cost</t>
  </si>
  <si>
    <t>Total Yearly Budget</t>
  </si>
  <si>
    <t>Projected Year End Variance</t>
  </si>
  <si>
    <t>OPEX</t>
  </si>
  <si>
    <t>Others</t>
  </si>
  <si>
    <t>TOTAL</t>
  </si>
  <si>
    <t>Full Fleet</t>
  </si>
  <si>
    <t>Manager' DVOE Actual</t>
  </si>
  <si>
    <t>Manager' DVOE Budgeted</t>
  </si>
  <si>
    <t>Age</t>
  </si>
  <si>
    <t>YTD Budget Variance %</t>
  </si>
  <si>
    <t xml:space="preserve">Manager's DVOE </t>
  </si>
  <si>
    <t>Budget</t>
  </si>
  <si>
    <t>Actual</t>
  </si>
  <si>
    <t>REPAIRS &amp; MAINTENANCE</t>
  </si>
  <si>
    <t>MANAGEMENT FEES</t>
  </si>
  <si>
    <t>Built   Age</t>
  </si>
  <si>
    <t>YTD Expenses</t>
  </si>
  <si>
    <t>BJC</t>
  </si>
  <si>
    <t>CERES ONE</t>
  </si>
  <si>
    <t>WAGES/MISC CREW COSTS</t>
  </si>
  <si>
    <t>JOINING/REPATRIATION</t>
  </si>
  <si>
    <t>STORES &amp; SUPPLIES</t>
  </si>
  <si>
    <t>LUBOIL &amp; GREASE</t>
  </si>
  <si>
    <t>COMMUNICATION</t>
  </si>
  <si>
    <t>ADMIN EXPENSES</t>
  </si>
  <si>
    <t>SHIP OPERATING EXPENSES</t>
  </si>
  <si>
    <t>DOCKING</t>
  </si>
  <si>
    <t>INSURANCE PREMIUMS</t>
  </si>
  <si>
    <t>DEDUCTIBILE/NON RECOV. CLAIMS</t>
  </si>
  <si>
    <t>SPECIAL ITEMS</t>
  </si>
  <si>
    <t>VOYAGE CHARTER EXPENSES</t>
  </si>
  <si>
    <t>COST ANALYSIS</t>
  </si>
  <si>
    <t>MATCH</t>
  </si>
  <si>
    <t>YTD_Budget</t>
  </si>
  <si>
    <t>BKA</t>
  </si>
  <si>
    <t>CERES TWO</t>
  </si>
  <si>
    <t>CERES THREE</t>
  </si>
  <si>
    <t>BKB</t>
  </si>
  <si>
    <t>CurMth_Running_Days</t>
  </si>
  <si>
    <t>VC_MONTH</t>
  </si>
  <si>
    <t>AL SEER</t>
  </si>
  <si>
    <t>YTDVariance</t>
  </si>
  <si>
    <t>YTDVariance_Percent</t>
  </si>
  <si>
    <t>YTD Expense OPEX</t>
  </si>
  <si>
    <t>B</t>
  </si>
  <si>
    <t>C=A+B</t>
  </si>
  <si>
    <t>D</t>
  </si>
  <si>
    <t>E=D-C</t>
  </si>
  <si>
    <t>YTD_Actual</t>
  </si>
  <si>
    <t>PRE-OP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</si>
</sst>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d\,\ yyyy"/>
    <numFmt numFmtId="167" formatCode="0.0%"/>
    <numFmt numFmtId="168" formatCode="[$-409]mmm\-yy;@"/>
    <numFmt numFmtId="169" formatCode="0.0"/>
    <numFmt numFmtId="170" formatCode="General_)"/>
    <numFmt numFmtId="171" formatCode="dd\ mmmm\ yyyy"/>
  </numFmts>
  <fonts count="3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  <charset val="136"/>
    </font>
    <font>
      <sz val="11"/>
      <color rgb="FF000000"/>
      <name val="Arial"/>
      <family val="2"/>
      <charset val="136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5" fillId="0" borderId="0"/>
    <xf numFmtId="0" fontId="15" fillId="0" borderId="0"/>
    <xf numFmtId="0" fontId="13" fillId="0" borderId="0"/>
    <xf numFmtId="170" fontId="12" fillId="0" borderId="0"/>
    <xf numFmtId="0" fontId="4" fillId="0" borderId="0"/>
    <xf numFmtId="170" fontId="12" fillId="0" borderId="0"/>
    <xf numFmtId="0" fontId="16" fillId="0" borderId="0">
      <alignment vertical="center"/>
    </xf>
    <xf numFmtId="0" fontId="16" fillId="0" borderId="0">
      <alignment vertical="center"/>
    </xf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60">
    <xf numFmtId="0" fontId="0" fillId="0" borderId="0" xfId="0"/>
    <xf numFmtId="0" fontId="0" fillId="0" borderId="1" xfId="0" applyBorder="1"/>
    <xf numFmtId="165" fontId="2" fillId="0" borderId="0" xfId="1" applyNumberFormat="1" applyFont="1"/>
    <xf numFmtId="0" fontId="0" fillId="0" borderId="1" xfId="0" applyBorder="1" applyAlignment="1">
      <alignment horizontal="center" vertical="center" wrapText="1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2" fillId="0" borderId="0" xfId="0" applyFont="1"/>
    <xf numFmtId="0" fontId="0" fillId="0" borderId="1" xfId="0" applyBorder="1" applyAlignment="1">
      <alignment vertical="center" wrapText="1"/>
    </xf>
    <xf numFmtId="165" fontId="0" fillId="0" borderId="1" xfId="0" applyNumberFormat="1" applyBorder="1"/>
    <xf numFmtId="0" fontId="0" fillId="0" borderId="4" xfId="0" applyBorder="1"/>
    <xf numFmtId="165" fontId="0" fillId="0" borderId="4" xfId="0" applyNumberFormat="1" applyBorder="1"/>
    <xf numFmtId="0" fontId="2" fillId="0" borderId="2" xfId="0" applyFont="1" applyBorder="1"/>
    <xf numFmtId="0" fontId="2" fillId="0" borderId="3" xfId="0" applyFont="1" applyBorder="1"/>
    <xf numFmtId="165" fontId="1" fillId="0" borderId="0" xfId="1" applyNumberFormat="1"/>
    <xf numFmtId="165" fontId="1" fillId="0" borderId="1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/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165" fontId="0" fillId="0" borderId="6" xfId="0" applyNumberFormat="1" applyBorder="1"/>
    <xf numFmtId="165" fontId="1" fillId="0" borderId="7" xfId="1" applyNumberFormat="1" applyBorder="1" applyAlignment="1">
      <alignment horizontal="center" vertical="center" wrapText="1"/>
    </xf>
    <xf numFmtId="166" fontId="2" fillId="0" borderId="0" xfId="0" quotePrefix="1" applyNumberFormat="1" applyFont="1" applyAlignment="1">
      <alignment horizontal="left"/>
    </xf>
    <xf numFmtId="0" fontId="0" fillId="2" borderId="0" xfId="0" applyFill="1" applyProtection="1">
      <protection locked="0"/>
    </xf>
    <xf numFmtId="165" fontId="1" fillId="2" borderId="0" xfId="1" applyNumberFormat="1" applyFill="1" applyProtection="1">
      <protection locked="0"/>
    </xf>
    <xf numFmtId="0" fontId="0" fillId="2" borderId="1" xfId="0" applyFill="1" applyBorder="1" applyProtection="1">
      <protection locked="0"/>
    </xf>
    <xf numFmtId="0" fontId="7" fillId="0" borderId="0" xfId="0" applyFont="1"/>
    <xf numFmtId="0" fontId="8" fillId="0" borderId="0" xfId="0" applyFont="1"/>
    <xf numFmtId="0" fontId="0" fillId="0" borderId="9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165" fontId="8" fillId="0" borderId="0" xfId="1" applyNumberFormat="1" applyFont="1"/>
    <xf numFmtId="165" fontId="1" fillId="0" borderId="1" xfId="1" applyNumberFormat="1" applyBorder="1"/>
    <xf numFmtId="0" fontId="18" fillId="0" borderId="0" xfId="0" applyFont="1"/>
    <xf numFmtId="0" fontId="3" fillId="0" borderId="10" xfId="14" applyBorder="1" applyAlignment="1" applyProtection="1"/>
    <xf numFmtId="0" fontId="9" fillId="0" borderId="11" xfId="0" applyFont="1" applyBorder="1" applyAlignment="1">
      <alignment horizontal="left" vertical="center" wrapText="1"/>
    </xf>
    <xf numFmtId="0" fontId="21" fillId="0" borderId="0" xfId="0" applyFont="1"/>
    <xf numFmtId="0" fontId="24" fillId="0" borderId="15" xfId="0" applyFont="1" applyBorder="1"/>
    <xf numFmtId="167" fontId="26" fillId="0" borderId="16" xfId="38" applyNumberFormat="1" applyFont="1" applyBorder="1"/>
    <xf numFmtId="167" fontId="25" fillId="0" borderId="0" xfId="38" applyNumberFormat="1" applyFont="1"/>
    <xf numFmtId="169" fontId="25" fillId="0" borderId="1" xfId="0" applyNumberFormat="1" applyFont="1" applyBorder="1" applyAlignment="1">
      <alignment horizontal="center" vertical="center"/>
    </xf>
    <xf numFmtId="0" fontId="25" fillId="0" borderId="0" xfId="0" applyFont="1"/>
    <xf numFmtId="0" fontId="24" fillId="0" borderId="12" xfId="0" applyFont="1" applyBorder="1"/>
    <xf numFmtId="0" fontId="24" fillId="0" borderId="17" xfId="0" applyFont="1" applyBorder="1"/>
    <xf numFmtId="169" fontId="25" fillId="0" borderId="18" xfId="0" applyNumberFormat="1" applyFont="1" applyBorder="1" applyAlignment="1">
      <alignment horizontal="center" vertical="center"/>
    </xf>
    <xf numFmtId="0" fontId="24" fillId="0" borderId="0" xfId="0" applyFont="1"/>
    <xf numFmtId="168" fontId="20" fillId="0" borderId="21" xfId="27" applyNumberFormat="1" applyFont="1" applyBorder="1" applyAlignment="1">
      <alignment horizontal="left"/>
    </xf>
    <xf numFmtId="0" fontId="9" fillId="0" borderId="0" xfId="27" applyFont="1" applyAlignment="1">
      <alignment horizontal="center" vertical="center" wrapText="1"/>
    </xf>
    <xf numFmtId="0" fontId="13" fillId="0" borderId="0" xfId="27"/>
    <xf numFmtId="3" fontId="0" fillId="0" borderId="0" xfId="38" applyNumberFormat="1" applyFont="1"/>
    <xf numFmtId="38" fontId="2" fillId="0" borderId="22" xfId="27" applyNumberFormat="1" applyFont="1" applyBorder="1" applyAlignment="1">
      <alignment horizontal="center" vertical="center" wrapText="1"/>
    </xf>
    <xf numFmtId="0" fontId="2" fillId="0" borderId="24" xfId="27" applyFont="1" applyBorder="1" applyAlignment="1">
      <alignment horizontal="center" wrapText="1"/>
    </xf>
    <xf numFmtId="0" fontId="20" fillId="0" borderId="21" xfId="27" applyFont="1" applyBorder="1"/>
    <xf numFmtId="38" fontId="13" fillId="0" borderId="7" xfId="27" applyNumberFormat="1" applyBorder="1"/>
    <xf numFmtId="167" fontId="13" fillId="0" borderId="7" xfId="38" applyNumberFormat="1" applyBorder="1"/>
    <xf numFmtId="167" fontId="13" fillId="0" borderId="0" xfId="38" applyNumberFormat="1"/>
    <xf numFmtId="38" fontId="13" fillId="0" borderId="25" xfId="27" applyNumberFormat="1" applyBorder="1"/>
    <xf numFmtId="38" fontId="2" fillId="0" borderId="24" xfId="27" applyNumberFormat="1" applyFont="1" applyBorder="1" applyAlignment="1">
      <alignment horizontal="center" vertical="center" wrapText="1"/>
    </xf>
    <xf numFmtId="38" fontId="2" fillId="0" borderId="26" xfId="27" applyNumberFormat="1" applyFont="1" applyBorder="1" applyAlignment="1">
      <alignment horizontal="center" vertical="center" wrapText="1"/>
    </xf>
    <xf numFmtId="167" fontId="27" fillId="3" borderId="24" xfId="38" applyNumberFormat="1" applyFont="1" applyFill="1" applyBorder="1" applyAlignment="1">
      <alignment horizontal="center" vertical="center" wrapText="1"/>
    </xf>
    <xf numFmtId="167" fontId="13" fillId="0" borderId="25" xfId="38" applyNumberFormat="1" applyBorder="1"/>
    <xf numFmtId="167" fontId="27" fillId="3" borderId="26" xfId="38" applyNumberFormat="1" applyFont="1" applyFill="1" applyBorder="1" applyAlignment="1">
      <alignment horizontal="center" vertical="center" wrapText="1"/>
    </xf>
    <xf numFmtId="3" fontId="0" fillId="0" borderId="7" xfId="38" applyNumberFormat="1" applyFont="1" applyBorder="1"/>
    <xf numFmtId="167" fontId="13" fillId="0" borderId="27" xfId="38" applyNumberFormat="1" applyBorder="1"/>
    <xf numFmtId="0" fontId="20" fillId="0" borderId="23" xfId="27" applyFont="1" applyBorder="1"/>
    <xf numFmtId="0" fontId="20" fillId="0" borderId="27" xfId="27" applyFont="1" applyBorder="1"/>
    <xf numFmtId="167" fontId="21" fillId="0" borderId="27" xfId="38" applyNumberFormat="1" applyFont="1" applyBorder="1"/>
    <xf numFmtId="0" fontId="13" fillId="0" borderId="27" xfId="27" applyBorder="1" applyAlignment="1">
      <alignment horizontal="center"/>
    </xf>
    <xf numFmtId="38" fontId="13" fillId="0" borderId="27" xfId="27" applyNumberFormat="1" applyBorder="1"/>
    <xf numFmtId="0" fontId="2" fillId="0" borderId="28" xfId="27" applyFont="1" applyBorder="1"/>
    <xf numFmtId="0" fontId="2" fillId="0" borderId="27" xfId="27" applyFont="1" applyBorder="1"/>
    <xf numFmtId="3" fontId="0" fillId="0" borderId="27" xfId="38" applyNumberFormat="1" applyFont="1" applyBorder="1"/>
    <xf numFmtId="0" fontId="20" fillId="0" borderId="29" xfId="27" applyFont="1" applyBorder="1"/>
    <xf numFmtId="0" fontId="4" fillId="0" borderId="28" xfId="27" applyFont="1" applyBorder="1"/>
    <xf numFmtId="167" fontId="13" fillId="0" borderId="27" xfId="38" applyNumberFormat="1" applyBorder="1" applyProtection="1">
      <protection locked="0"/>
    </xf>
    <xf numFmtId="0" fontId="20" fillId="0" borderId="10" xfId="27" applyFont="1" applyBorder="1"/>
    <xf numFmtId="0" fontId="19" fillId="0" borderId="0" xfId="0" applyFont="1"/>
    <xf numFmtId="0" fontId="28" fillId="0" borderId="0" xfId="0" applyFont="1"/>
    <xf numFmtId="167" fontId="13" fillId="0" borderId="1" xfId="38" applyNumberFormat="1" applyBorder="1"/>
    <xf numFmtId="0" fontId="0" fillId="0" borderId="7" xfId="0" applyBorder="1"/>
    <xf numFmtId="38" fontId="0" fillId="0" borderId="7" xfId="0" applyNumberFormat="1" applyBorder="1"/>
    <xf numFmtId="169" fontId="20" fillId="0" borderId="27" xfId="27" applyNumberFormat="1" applyFont="1" applyBorder="1" applyAlignment="1">
      <alignment horizontal="center"/>
    </xf>
    <xf numFmtId="0" fontId="29" fillId="0" borderId="0" xfId="27" applyFont="1"/>
    <xf numFmtId="14" fontId="29" fillId="0" borderId="0" xfId="27" applyNumberFormat="1" applyFont="1"/>
    <xf numFmtId="169" fontId="4" fillId="0" borderId="0" xfId="0" applyNumberFormat="1" applyFont="1"/>
    <xf numFmtId="165" fontId="0" fillId="2" borderId="1" xfId="0" applyNumberFormat="1" applyFill="1" applyBorder="1" applyProtection="1"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65" fontId="1" fillId="2" borderId="0" xfId="1" applyNumberFormat="1" applyFill="1" applyBorder="1" applyProtection="1">
      <protection locked="0"/>
    </xf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/>
      <protection locked="0"/>
    </xf>
    <xf numFmtId="165" fontId="1" fillId="2" borderId="0" xfId="1" applyNumberForma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right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1" fillId="0" borderId="1" xfId="1" applyNumberFormat="1" applyBorder="1" applyAlignment="1">
      <alignment horizontal="center" vertical="center" wrapText="1"/>
    </xf>
    <xf numFmtId="0" fontId="1" fillId="0" borderId="1" xfId="0" applyFont="1" applyBorder="1"/>
    <xf numFmtId="165" fontId="19" fillId="0" borderId="0" xfId="1" applyNumberFormat="1" applyFont="1"/>
    <xf numFmtId="0" fontId="2" fillId="0" borderId="0" xfId="27" applyFont="1" applyBorder="1"/>
    <xf numFmtId="0" fontId="31" fillId="0" borderId="0" xfId="0" applyFont="1"/>
    <xf numFmtId="38" fontId="13" fillId="0" borderId="1" xfId="27" applyNumberFormat="1" applyBorder="1"/>
    <xf numFmtId="0" fontId="4" fillId="0" borderId="0" xfId="27" applyFont="1" applyBorder="1"/>
    <xf numFmtId="0" fontId="0" fillId="0" borderId="5" xfId="0" applyBorder="1"/>
    <xf numFmtId="0" fontId="2" fillId="0" borderId="8" xfId="27" applyFont="1" applyBorder="1"/>
    <xf numFmtId="38" fontId="13" fillId="0" borderId="8" xfId="27" applyNumberFormat="1" applyBorder="1"/>
    <xf numFmtId="167" fontId="13" fillId="0" borderId="8" xfId="38" applyNumberFormat="1" applyBorder="1"/>
    <xf numFmtId="167" fontId="13" fillId="0" borderId="33" xfId="38" applyNumberFormat="1" applyBorder="1"/>
    <xf numFmtId="38" fontId="13" fillId="0" borderId="4" xfId="27" applyNumberFormat="1" applyBorder="1"/>
    <xf numFmtId="0" fontId="2" fillId="0" borderId="33" xfId="27" applyFont="1" applyBorder="1"/>
    <xf numFmtId="0" fontId="3" fillId="0" borderId="4" xfId="14" applyBorder="1" applyAlignment="1" applyProtection="1"/>
    <xf numFmtId="0" fontId="20" fillId="0" borderId="7" xfId="27" applyFont="1" applyBorder="1"/>
    <xf numFmtId="168" fontId="20" fillId="0" borderId="5" xfId="27" applyNumberFormat="1" applyFont="1" applyBorder="1" applyAlignment="1">
      <alignment horizontal="left"/>
    </xf>
    <xf numFmtId="1" fontId="0" fillId="0" borderId="0" xfId="0" applyNumberFormat="1"/>
    <xf numFmtId="3" fontId="25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3" fontId="23" fillId="0" borderId="13" xfId="3" applyNumberFormat="1" applyFont="1" applyBorder="1" applyAlignment="1">
      <alignment horizontal="center" vertical="center"/>
    </xf>
    <xf numFmtId="3" fontId="23" fillId="0" borderId="14" xfId="3" applyNumberFormat="1" applyFont="1" applyBorder="1" applyAlignment="1">
      <alignment horizontal="center" vertical="center"/>
    </xf>
    <xf numFmtId="167" fontId="19" fillId="0" borderId="0" xfId="37" applyNumberFormat="1" applyFont="1"/>
    <xf numFmtId="165" fontId="19" fillId="0" borderId="0" xfId="0" applyNumberFormat="1" applyFont="1"/>
    <xf numFmtId="171" fontId="2" fillId="0" borderId="0" xfId="0" quotePrefix="1" applyNumberFormat="1" applyFont="1" applyAlignment="1">
      <alignment horizontal="left"/>
    </xf>
    <xf numFmtId="168" fontId="22" fillId="0" borderId="12" xfId="0" applyNumberFormat="1" applyFont="1" applyBorder="1" applyAlignment="1">
      <alignment horizontal="left" vertical="center" wrapText="1"/>
    </xf>
    <xf numFmtId="168" fontId="20" fillId="0" borderId="4" xfId="27" applyNumberFormat="1" applyFont="1" applyBorder="1" applyAlignment="1">
      <alignment horizontal="center"/>
    </xf>
    <xf numFmtId="169" fontId="20" fillId="0" borderId="1" xfId="0" applyNumberFormat="1" applyFont="1" applyBorder="1" applyAlignment="1">
      <alignment horizontal="center"/>
    </xf>
    <xf numFmtId="9" fontId="0" fillId="0" borderId="0" xfId="37" applyFont="1"/>
    <xf numFmtId="167" fontId="0" fillId="0" borderId="0" xfId="37" applyNumberFormat="1" applyFont="1"/>
    <xf numFmtId="0" fontId="27" fillId="3" borderId="22" xfId="27" applyFont="1" applyFill="1" applyBorder="1" applyAlignment="1">
      <alignment horizontal="center" vertical="center" wrapText="1"/>
    </xf>
    <xf numFmtId="168" fontId="22" fillId="0" borderId="1" xfId="27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/>
    <xf numFmtId="165" fontId="2" fillId="0" borderId="0" xfId="1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165" fontId="2" fillId="0" borderId="34" xfId="1" applyNumberFormat="1" applyFont="1" applyBorder="1"/>
    <xf numFmtId="165" fontId="0" fillId="2" borderId="3" xfId="0" applyNumberFormat="1" applyFill="1" applyBorder="1" applyProtection="1">
      <protection locked="0"/>
    </xf>
    <xf numFmtId="0" fontId="33" fillId="0" borderId="35" xfId="0" applyFont="1" applyBorder="1"/>
    <xf numFmtId="0" fontId="34" fillId="0" borderId="0" xfId="0" applyFont="1" applyFill="1" applyBorder="1"/>
    <xf numFmtId="0" fontId="30" fillId="0" borderId="36" xfId="0" applyFont="1" applyBorder="1"/>
    <xf numFmtId="0" fontId="30" fillId="0" borderId="37" xfId="0" applyFont="1" applyBorder="1"/>
    <xf numFmtId="0" fontId="32" fillId="0" borderId="0" xfId="0" applyFont="1" applyFill="1" applyBorder="1"/>
    <xf numFmtId="169" fontId="10" fillId="0" borderId="26" xfId="0" applyNumberFormat="1" applyFont="1" applyBorder="1" applyAlignment="1">
      <alignment horizontal="center" vertical="center" wrapText="1"/>
    </xf>
    <xf numFmtId="169" fontId="10" fillId="0" borderId="30" xfId="0" applyNumberFormat="1" applyFont="1" applyBorder="1" applyAlignment="1">
      <alignment horizontal="center" vertical="center" wrapText="1"/>
    </xf>
    <xf numFmtId="3" fontId="2" fillId="0" borderId="26" xfId="0" applyNumberFormat="1" applyFont="1" applyBorder="1" applyAlignment="1">
      <alignment horizontal="center" vertical="center" wrapText="1"/>
    </xf>
    <xf numFmtId="3" fontId="2" fillId="0" borderId="30" xfId="0" applyNumberFormat="1" applyFont="1" applyBorder="1" applyAlignment="1">
      <alignment horizontal="center" vertical="center" wrapText="1"/>
    </xf>
    <xf numFmtId="38" fontId="30" fillId="0" borderId="31" xfId="0" applyNumberFormat="1" applyFont="1" applyBorder="1" applyAlignment="1">
      <alignment horizontal="center" vertical="center" wrapText="1"/>
    </xf>
    <xf numFmtId="38" fontId="30" fillId="0" borderId="32" xfId="0" applyNumberFormat="1" applyFont="1" applyBorder="1" applyAlignment="1">
      <alignment horizontal="center" vertical="center" wrapText="1"/>
    </xf>
    <xf numFmtId="3" fontId="23" fillId="0" borderId="15" xfId="3" applyNumberFormat="1" applyFont="1" applyBorder="1" applyAlignment="1">
      <alignment horizontal="center" vertical="center"/>
    </xf>
    <xf numFmtId="3" fontId="23" fillId="0" borderId="16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5" fontId="1" fillId="0" borderId="4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 wrapText="1"/>
    </xf>
  </cellXfs>
  <cellStyles count="41">
    <cellStyle name="Comma" xfId="1" builtinId="3"/>
    <cellStyle name="Comma 10" xfId="2" xr:uid="{00000000-0005-0000-0000-000001000000}"/>
    <cellStyle name="Comma 11" xfId="3" xr:uid="{00000000-0005-0000-0000-000002000000}"/>
    <cellStyle name="Comma 11 2" xfId="4" xr:uid="{00000000-0005-0000-0000-000003000000}"/>
    <cellStyle name="Comma 12" xfId="5" xr:uid="{00000000-0005-0000-0000-000004000000}"/>
    <cellStyle name="Comma 13" xfId="6" xr:uid="{00000000-0005-0000-0000-000005000000}"/>
    <cellStyle name="Comma 2" xfId="7" xr:uid="{00000000-0005-0000-0000-000006000000}"/>
    <cellStyle name="Comma 2 2" xfId="8" xr:uid="{00000000-0005-0000-0000-000007000000}"/>
    <cellStyle name="Comma 3" xfId="9" xr:uid="{00000000-0005-0000-0000-000008000000}"/>
    <cellStyle name="Comma 3 3" xfId="10" xr:uid="{00000000-0005-0000-0000-000009000000}"/>
    <cellStyle name="Comma 4 2" xfId="11" xr:uid="{00000000-0005-0000-0000-00000A000000}"/>
    <cellStyle name="Comma 4 2 4" xfId="12" xr:uid="{00000000-0005-0000-0000-00000B000000}"/>
    <cellStyle name="Comma 4 2 4 2" xfId="13" xr:uid="{00000000-0005-0000-0000-00000C000000}"/>
    <cellStyle name="Hyperlink" xfId="14" builtinId="8"/>
    <cellStyle name="Hyperlink 2" xfId="15" xr:uid="{00000000-0005-0000-0000-00000E000000}"/>
    <cellStyle name="Normal" xfId="0" builtinId="0"/>
    <cellStyle name="Normal 10" xfId="16" xr:uid="{00000000-0005-0000-0000-000010000000}"/>
    <cellStyle name="Normal 10 2" xfId="17" xr:uid="{00000000-0005-0000-0000-000011000000}"/>
    <cellStyle name="Normal 10 3" xfId="18" xr:uid="{00000000-0005-0000-0000-000012000000}"/>
    <cellStyle name="Normal 11" xfId="19" xr:uid="{00000000-0005-0000-0000-000013000000}"/>
    <cellStyle name="Normal 13" xfId="20" xr:uid="{00000000-0005-0000-0000-000014000000}"/>
    <cellStyle name="Normal 14" xfId="21" xr:uid="{00000000-0005-0000-0000-000015000000}"/>
    <cellStyle name="Normal 2" xfId="22" xr:uid="{00000000-0005-0000-0000-000016000000}"/>
    <cellStyle name="Normal 2 2" xfId="23" xr:uid="{00000000-0005-0000-0000-000017000000}"/>
    <cellStyle name="Normal 2 4 2" xfId="24" xr:uid="{00000000-0005-0000-0000-000018000000}"/>
    <cellStyle name="Normal 3" xfId="25" xr:uid="{00000000-0005-0000-0000-000019000000}"/>
    <cellStyle name="Normal 3 2" xfId="26" xr:uid="{00000000-0005-0000-0000-00001A000000}"/>
    <cellStyle name="Normal 4" xfId="27" xr:uid="{00000000-0005-0000-0000-00001B000000}"/>
    <cellStyle name="Normal 4 2" xfId="28" xr:uid="{00000000-0005-0000-0000-00001C000000}"/>
    <cellStyle name="Normal 43" xfId="29" xr:uid="{00000000-0005-0000-0000-00001D000000}"/>
    <cellStyle name="Normal 44" xfId="30" xr:uid="{00000000-0005-0000-0000-00001E000000}"/>
    <cellStyle name="Normal 45" xfId="31" xr:uid="{00000000-0005-0000-0000-00001F000000}"/>
    <cellStyle name="Normal 5" xfId="32" xr:uid="{00000000-0005-0000-0000-000020000000}"/>
    <cellStyle name="Normal 6" xfId="33" xr:uid="{00000000-0005-0000-0000-000021000000}"/>
    <cellStyle name="Normal 7 2" xfId="34" xr:uid="{00000000-0005-0000-0000-000022000000}"/>
    <cellStyle name="Normal 8" xfId="35" xr:uid="{00000000-0005-0000-0000-000023000000}"/>
    <cellStyle name="Normal 9" xfId="36" xr:uid="{00000000-0005-0000-0000-000024000000}"/>
    <cellStyle name="Percent" xfId="37" builtinId="5"/>
    <cellStyle name="Percent 2" xfId="38" xr:uid="{00000000-0005-0000-0000-000026000000}"/>
    <cellStyle name="Percent 2 2" xfId="39" xr:uid="{00000000-0005-0000-0000-000027000000}"/>
    <cellStyle name="Percent 6" xfId="40" xr:uid="{00000000-0005-0000-0000-000028000000}"/>
  </cellStyles>
  <dxfs count="0"/>
  <tableStyles count="0" defaultTableStyle="TableStyleMedium2" defaultPivotStyle="PivotStyleLight16"/>
  <colors>
    <mruColors>
      <color rgb="FF99CCFF"/>
      <color rgb="FF6EE3FA"/>
      <color rgb="FF74D6F4"/>
      <color rgb="FF87B0E1"/>
      <color rgb="FFF6903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ONE'!$C$6:$N$6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ONE'!$C$27:$N$27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59680"/>
        <c:axId val="145161600"/>
      </c:barChart>
      <c:catAx>
        <c:axId val="14515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6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61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59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TWO'!$C$6:$N$6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TWO'!$C$27:$N$27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73344"/>
        <c:axId val="146475264"/>
      </c:barChart>
      <c:catAx>
        <c:axId val="14647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5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75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3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THREE'!$C$6:$N$6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THREE'!$C$28:$N$28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20</xdr:col>
      <xdr:colOff>790575</xdr:colOff>
      <xdr:row>50</xdr:row>
      <xdr:rowOff>85725</xdr:rowOff>
    </xdr:to>
    <xdr:graphicFrame macro="">
      <xdr:nvGraphicFramePr>
        <xdr:cNvPr id="357563" name="Chart 1">
          <a:extLst>
            <a:ext uri="{FF2B5EF4-FFF2-40B4-BE49-F238E27FC236}">
              <a16:creationId xmlns:a16="http://schemas.microsoft.com/office/drawing/2014/main" id="{00000000-0008-0000-0200-0000BB740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21</xdr:col>
      <xdr:colOff>790575</xdr:colOff>
      <xdr:row>50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14"/>
  <sheetViews>
    <sheetView showGridLines="0" tabSelected="1" zoomScaleNormal="100" workbookViewId="0">
      <pane ySplit="1" topLeftCell="A2" activePane="bottomLeft" state="frozen"/>
      <selection activeCell="L32" sqref="L32"/>
      <selection pane="bottomLeft"/>
    </sheetView>
  </sheetViews>
  <sheetFormatPr defaultRowHeight="12.75"/>
  <cols>
    <col min="1" max="1" width="25.28515625" bestFit="1" customWidth="1"/>
    <col min="2" max="2" width="9.7109375" customWidth="1"/>
    <col min="3" max="3" width="8.85546875" bestFit="1" customWidth="1"/>
    <col min="4" max="4" width="10.85546875" bestFit="1" customWidth="1"/>
    <col min="5" max="14" width="14.140625" customWidth="1"/>
    <col min="15" max="16" width="15.7109375" customWidth="1"/>
    <col min="17" max="17" width="9.28515625" style="18" hidden="1" customWidth="1"/>
    <col min="18" max="18" width="9.140625" style="18" customWidth="1"/>
    <col min="19" max="19" width="10.7109375" style="18" customWidth="1"/>
    <col min="20" max="21" width="9.140625" style="18"/>
  </cols>
  <sheetData>
    <row r="1" spans="1:21" ht="39" thickBot="1">
      <c r="A1" s="50" t="s">
        <v>79</v>
      </c>
      <c r="B1" s="54" t="s">
        <v>54</v>
      </c>
      <c r="C1" s="131">
        <v>44500</v>
      </c>
      <c r="D1" s="130" t="s">
        <v>33</v>
      </c>
      <c r="E1" s="61" t="s">
        <v>55</v>
      </c>
      <c r="F1" s="61" t="s">
        <v>34</v>
      </c>
      <c r="G1" s="60" t="s">
        <v>35</v>
      </c>
      <c r="H1" s="62" t="s">
        <v>36</v>
      </c>
      <c r="I1" s="64" t="s">
        <v>45</v>
      </c>
      <c r="J1" s="64" t="s">
        <v>46</v>
      </c>
      <c r="K1" s="53" t="s">
        <v>37</v>
      </c>
      <c r="L1" s="61" t="s">
        <v>38</v>
      </c>
      <c r="M1" s="61" t="s">
        <v>39</v>
      </c>
      <c r="N1" s="61" t="s">
        <v>40</v>
      </c>
      <c r="Q1" s="85"/>
      <c r="R1" s="85"/>
      <c r="S1" s="86"/>
    </row>
    <row r="2" spans="1:21" ht="15">
      <c r="A2" s="37" t="str">
        <f>'CERES ONE'!$B$3</f>
        <v>CERES ONE</v>
      </c>
      <c r="B2" s="126">
        <v>42736</v>
      </c>
      <c r="C2" s="103" t="s">
        <v>41</v>
      </c>
      <c r="D2" s="59" t="e">
        <f>'CERES ONE'!$O$1</f>
        <v>#N/A</v>
      </c>
      <c r="E2" s="56" t="e">
        <f>'CERES ONE'!$O$18</f>
        <v>#N/A</v>
      </c>
      <c r="F2" s="56">
        <f>'CERES ONE'!$P$18</f>
        <v>0</v>
      </c>
      <c r="G2" s="59" t="e">
        <f>F2-E2</f>
        <v>#N/A</v>
      </c>
      <c r="H2" s="63">
        <f>IF(F2=0,1,(F2-E2)/F2)</f>
        <v>1</v>
      </c>
      <c r="I2" s="65" t="e">
        <f>E2/D2</f>
        <v>#N/A</v>
      </c>
      <c r="J2" s="52">
        <f>M2/365</f>
        <v>0</v>
      </c>
      <c r="K2" s="112">
        <f>'CERES ONE'!$R$18</f>
        <v>0</v>
      </c>
      <c r="L2" s="112" t="e">
        <f>'CERES ONE'!$S$18</f>
        <v>#N/A</v>
      </c>
      <c r="M2" s="112">
        <f>'CERES ONE'!$T$18</f>
        <v>0</v>
      </c>
      <c r="N2" s="112" t="e">
        <f>M2-L2</f>
        <v>#N/A</v>
      </c>
      <c r="Q2" s="85"/>
      <c r="T2"/>
      <c r="U2"/>
    </row>
    <row r="3" spans="1:21" ht="15">
      <c r="A3" s="55" t="str">
        <f>'CERES ONE'!$C$3</f>
        <v>BJC</v>
      </c>
      <c r="B3" s="127">
        <f>($C$1-B2)/365</f>
        <v>4.8328767123287673</v>
      </c>
      <c r="C3" s="106" t="s">
        <v>42</v>
      </c>
      <c r="D3" s="59"/>
      <c r="E3" s="56" t="e">
        <f>SUM('CERES ONE'!$O$19:$O$26)</f>
        <v>#N/A</v>
      </c>
      <c r="F3" s="56">
        <f>SUM('CERES ONE'!$P$19:$P$26)</f>
        <v>0</v>
      </c>
      <c r="G3" s="59" t="e">
        <f>G4-G2</f>
        <v>#N/A</v>
      </c>
      <c r="H3" s="63"/>
      <c r="I3" s="57"/>
      <c r="J3" s="58"/>
      <c r="K3" s="56">
        <f>SUM('CERES ONE'!$R$19:$R$26)</f>
        <v>0</v>
      </c>
      <c r="L3" s="56" t="e">
        <f>SUM('CERES ONE'!$S$19:$S$26)</f>
        <v>#N/A</v>
      </c>
      <c r="M3" s="56">
        <f>SUM('CERES ONE'!$T$19:$T$26)</f>
        <v>0</v>
      </c>
      <c r="N3" s="56" t="e">
        <f>SUM('CERES ONE'!$U$19:$U$26)</f>
        <v>#N/A</v>
      </c>
      <c r="Q3" s="87">
        <f>B3</f>
        <v>4.8328767123287673</v>
      </c>
      <c r="T3"/>
      <c r="U3"/>
    </row>
    <row r="4" spans="1:21" ht="15.75" thickBot="1">
      <c r="A4" s="49"/>
      <c r="B4" s="82"/>
      <c r="C4" s="108" t="s">
        <v>43</v>
      </c>
      <c r="D4" s="109"/>
      <c r="E4" s="105" t="e">
        <f>E2+E3</f>
        <v>#N/A</v>
      </c>
      <c r="F4" s="105">
        <f>F2+F3</f>
        <v>0</v>
      </c>
      <c r="G4" s="109" t="e">
        <f>F4-E4</f>
        <v>#N/A</v>
      </c>
      <c r="H4" s="110"/>
      <c r="I4" s="81"/>
      <c r="J4" s="111"/>
      <c r="K4" s="105">
        <f>K2+K3</f>
        <v>0</v>
      </c>
      <c r="L4" s="105" t="e">
        <f>L2+L3</f>
        <v>#N/A</v>
      </c>
      <c r="M4" s="105">
        <f>M2+M3</f>
        <v>0</v>
      </c>
      <c r="N4" s="105" t="e">
        <f>M4-L4</f>
        <v>#N/A</v>
      </c>
      <c r="Q4" s="85"/>
      <c r="T4"/>
      <c r="U4"/>
    </row>
    <row r="5" spans="1:21" ht="15">
      <c r="A5" s="37" t="str">
        <f>'CERES TWO'!B3</f>
        <v>CERES TWO</v>
      </c>
      <c r="B5" s="126">
        <v>40245</v>
      </c>
      <c r="C5" s="103" t="s">
        <v>41</v>
      </c>
      <c r="D5" s="59" t="e">
        <f>'CERES TWO'!$O$1</f>
        <v>#N/A</v>
      </c>
      <c r="E5" s="56" t="e">
        <f>'CERES TWO'!$O$18</f>
        <v>#N/A</v>
      </c>
      <c r="F5" s="56">
        <f>'CERES TWO'!$P$18</f>
        <v>0</v>
      </c>
      <c r="G5" s="59" t="e">
        <f>F5-E5</f>
        <v>#N/A</v>
      </c>
      <c r="H5" s="63">
        <f>IF(F5=0,1,(F5-E5)/F5)</f>
        <v>1</v>
      </c>
      <c r="I5" s="65" t="e">
        <f>E5/D5</f>
        <v>#N/A</v>
      </c>
      <c r="J5" s="52">
        <f>M5/365</f>
        <v>0</v>
      </c>
      <c r="K5" s="112">
        <f>'CERES TWO'!$R$18</f>
        <v>0</v>
      </c>
      <c r="L5" s="112" t="e">
        <f>'CERES TWO'!$S$18</f>
        <v>#N/A</v>
      </c>
      <c r="M5" s="112">
        <f>'CERES TWO'!$T$18</f>
        <v>0</v>
      </c>
      <c r="N5" s="112" t="e">
        <f>M5-L5</f>
        <v>#N/A</v>
      </c>
      <c r="Q5" s="85"/>
      <c r="R5" s="85"/>
      <c r="S5" s="85"/>
      <c r="T5"/>
      <c r="U5"/>
    </row>
    <row r="6" spans="1:21" ht="15">
      <c r="A6" s="55" t="str">
        <f>'CERES TWO'!C3</f>
        <v>BKA</v>
      </c>
      <c r="B6" s="127">
        <f>($C$1-B5)/365</f>
        <v>11.657534246575343</v>
      </c>
      <c r="C6" s="106" t="s">
        <v>42</v>
      </c>
      <c r="D6" s="59"/>
      <c r="E6" s="56" t="e">
        <f>SUM('CERES TWO'!$O$19:$O$26)</f>
        <v>#N/A</v>
      </c>
      <c r="F6" s="56">
        <f>SUM('CERES TWO'!$P$19:$P$26)</f>
        <v>0</v>
      </c>
      <c r="G6" s="59" t="e">
        <f>G7-G5</f>
        <v>#N/A</v>
      </c>
      <c r="H6" s="63"/>
      <c r="I6" s="57"/>
      <c r="J6" s="58"/>
      <c r="K6" s="56">
        <f>SUM('CERES TWO'!$R$19:$R$26)</f>
        <v>0</v>
      </c>
      <c r="L6" s="56" t="e">
        <f>SUM('CERES TWO'!$S$19:$S$26)</f>
        <v>#N/A</v>
      </c>
      <c r="M6" s="56">
        <f>SUM('CERES TWO'!$T$19:$T$26)</f>
        <v>0</v>
      </c>
      <c r="N6" s="56" t="e">
        <f>SUM('CERES TWO'!$U$19:$U$26)</f>
        <v>#N/A</v>
      </c>
      <c r="Q6" s="87">
        <f>B6</f>
        <v>11.657534246575343</v>
      </c>
      <c r="R6" s="85"/>
      <c r="S6" s="85"/>
      <c r="T6"/>
      <c r="U6"/>
    </row>
    <row r="7" spans="1:21" ht="15">
      <c r="A7" s="49"/>
      <c r="B7" s="82"/>
      <c r="C7" s="108" t="s">
        <v>43</v>
      </c>
      <c r="D7" s="109"/>
      <c r="E7" s="105" t="e">
        <f>E5+E6</f>
        <v>#N/A</v>
      </c>
      <c r="F7" s="105">
        <f>F5+F6</f>
        <v>0</v>
      </c>
      <c r="G7" s="109" t="e">
        <f>F7-E7</f>
        <v>#N/A</v>
      </c>
      <c r="H7" s="110"/>
      <c r="I7" s="81"/>
      <c r="J7" s="111"/>
      <c r="K7" s="105">
        <f>K5+K6</f>
        <v>0</v>
      </c>
      <c r="L7" s="105" t="e">
        <f>L5+L6</f>
        <v>#N/A</v>
      </c>
      <c r="M7" s="105">
        <f>M5+M6</f>
        <v>0</v>
      </c>
      <c r="N7" s="105" t="e">
        <f>M7-L7</f>
        <v>#N/A</v>
      </c>
      <c r="Q7" s="85"/>
      <c r="R7" s="85"/>
      <c r="S7" s="85"/>
      <c r="T7"/>
      <c r="U7"/>
    </row>
    <row r="8" spans="1:21" ht="15">
      <c r="A8" s="114" t="str">
        <f>'CERES THREE'!B3</f>
        <v>CERES THREE</v>
      </c>
      <c r="B8" s="126">
        <v>39995</v>
      </c>
      <c r="C8" s="103" t="s">
        <v>41</v>
      </c>
      <c r="D8" s="59" t="e">
        <f>'CERES THREE'!$O$1</f>
        <v>#N/A</v>
      </c>
      <c r="E8" s="56" t="e">
        <f>'CERES THREE'!$O$18</f>
        <v>#N/A</v>
      </c>
      <c r="F8" s="56">
        <f>'CERES THREE'!$P$18</f>
        <v>0</v>
      </c>
      <c r="G8" s="59" t="e">
        <f>F8-E8</f>
        <v>#N/A</v>
      </c>
      <c r="H8" s="63">
        <f>IF(F8=0,1,(F8-E8)/F8)</f>
        <v>1</v>
      </c>
      <c r="I8" s="65" t="e">
        <f>E8/D8</f>
        <v>#N/A</v>
      </c>
      <c r="J8" s="52">
        <f>M8/365</f>
        <v>0</v>
      </c>
      <c r="K8" s="112">
        <f>'CERES THREE'!$R$18</f>
        <v>0</v>
      </c>
      <c r="L8" s="112" t="e">
        <f>'CERES THREE'!$S$18</f>
        <v>#N/A</v>
      </c>
      <c r="M8" s="112">
        <f>'CERES THREE'!$T$18</f>
        <v>0</v>
      </c>
      <c r="N8" s="112" t="e">
        <f>M8-L8</f>
        <v>#N/A</v>
      </c>
      <c r="Q8" s="85"/>
      <c r="T8"/>
      <c r="U8"/>
    </row>
    <row r="9" spans="1:21" ht="15">
      <c r="A9" s="115" t="str">
        <f>'CERES THREE'!C3</f>
        <v>BKB</v>
      </c>
      <c r="B9" s="127">
        <f>($C$1-B8)/365</f>
        <v>12.342465753424657</v>
      </c>
      <c r="C9" s="106" t="s">
        <v>42</v>
      </c>
      <c r="D9" s="59"/>
      <c r="E9" s="56" t="e">
        <f>SUM('CERES THREE'!$O$19:$O$24)</f>
        <v>#N/A</v>
      </c>
      <c r="F9" s="56">
        <f>SUM('CERES THREE'!$P$19:$P$24)</f>
        <v>0</v>
      </c>
      <c r="G9" s="59" t="e">
        <f>G10-G8</f>
        <v>#N/A</v>
      </c>
      <c r="H9" s="63"/>
      <c r="I9" s="57"/>
      <c r="J9" s="58"/>
      <c r="K9" s="56">
        <f>SUM('CERES THREE'!$R$19:$R$24)</f>
        <v>0</v>
      </c>
      <c r="L9" s="56" t="e">
        <f>SUM('CERES THREE'!$S$19:$S$24)</f>
        <v>#N/A</v>
      </c>
      <c r="M9" s="56">
        <f>SUM('CERES THREE'!$T$19:$T$24)</f>
        <v>0</v>
      </c>
      <c r="N9" s="56" t="e">
        <f>SUM('CERES THREE'!$U$19:$U$24)</f>
        <v>#N/A</v>
      </c>
      <c r="Q9" s="87">
        <f>B9</f>
        <v>12.342465753424657</v>
      </c>
      <c r="T9"/>
      <c r="U9"/>
    </row>
    <row r="10" spans="1:21" ht="15">
      <c r="A10" s="116"/>
      <c r="B10" s="107"/>
      <c r="C10" s="113" t="s">
        <v>43</v>
      </c>
      <c r="D10" s="109"/>
      <c r="E10" s="105" t="e">
        <f>E8+E9</f>
        <v>#N/A</v>
      </c>
      <c r="F10" s="105">
        <f>F8+F9</f>
        <v>0</v>
      </c>
      <c r="G10" s="109" t="e">
        <f>F10-E10</f>
        <v>#N/A</v>
      </c>
      <c r="H10" s="110"/>
      <c r="I10" s="81"/>
      <c r="J10" s="111"/>
      <c r="K10" s="105">
        <f>K8+K9</f>
        <v>0</v>
      </c>
      <c r="L10" s="105" t="e">
        <f>L8+L9</f>
        <v>#N/A</v>
      </c>
      <c r="M10" s="105">
        <f>M8+M9</f>
        <v>0</v>
      </c>
      <c r="N10" s="105" t="e">
        <f>M10-L10</f>
        <v>#N/A</v>
      </c>
      <c r="T10"/>
      <c r="U10"/>
    </row>
    <row r="11" spans="1:21" ht="15.75" thickBo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R11"/>
      <c r="S11"/>
      <c r="T11"/>
      <c r="U11"/>
    </row>
    <row r="12" spans="1:21" ht="15.75" thickBot="1">
      <c r="A12" s="68" t="s">
        <v>44</v>
      </c>
      <c r="B12" s="84">
        <f>AVERAGE(Q2:Q9)</f>
        <v>9.6109589041095891</v>
      </c>
      <c r="C12" s="73" t="s">
        <v>41</v>
      </c>
      <c r="D12" s="71" t="e">
        <f>SUM(D2:D10)</f>
        <v>#N/A</v>
      </c>
      <c r="E12" s="71" t="e">
        <f ca="1">SUMIF(C1:E10,"OPEX",E1:E10)</f>
        <v>#N/A</v>
      </c>
      <c r="F12" s="71">
        <f ca="1">SUMIF(C1:F10,"OPEX",F1:F10)</f>
        <v>0</v>
      </c>
      <c r="G12" s="71" t="e">
        <f ca="1">SUMIF($C1:$G10,"OPEX",$G1:$G10)</f>
        <v>#N/A</v>
      </c>
      <c r="H12" s="69">
        <f ca="1">IF(F12=0,1,G12/F12)</f>
        <v>1</v>
      </c>
      <c r="I12" s="74" t="e">
        <f ca="1">E12/D12</f>
        <v>#N/A</v>
      </c>
      <c r="J12" s="74">
        <f>AVERAGE(J2:J10)</f>
        <v>0</v>
      </c>
      <c r="K12" s="71">
        <f ca="1">SUMIF(C1:K10,"OPEX",K1:K10)</f>
        <v>0</v>
      </c>
      <c r="L12" s="71" t="e">
        <f ca="1">SUMIF(C1:L10,"OPEX",L1:L10)</f>
        <v>#N/A</v>
      </c>
      <c r="M12" s="71">
        <f ca="1">SUMIF(C1:M10,"OPEX",M1:M10)</f>
        <v>0</v>
      </c>
      <c r="N12" s="71" t="e">
        <f ca="1">SUMIF(C1:N10,"OPEX",N1:N10)</f>
        <v>#N/A</v>
      </c>
      <c r="R12"/>
      <c r="S12"/>
      <c r="T12"/>
      <c r="U12"/>
    </row>
    <row r="13" spans="1:21" ht="15.75" thickBot="1">
      <c r="A13" s="78"/>
      <c r="B13" s="67"/>
      <c r="C13" s="76" t="s">
        <v>42</v>
      </c>
      <c r="D13" s="70"/>
      <c r="E13" s="71" t="e">
        <f ca="1">SUMIF(C1:E10,"Others",E1:E10)</f>
        <v>#N/A</v>
      </c>
      <c r="F13" s="71">
        <f ca="1">SUMIF(C1:F10,"Others",F1:F10)</f>
        <v>0</v>
      </c>
      <c r="G13" s="83" t="e">
        <f ca="1">G14-G12</f>
        <v>#N/A</v>
      </c>
      <c r="H13" s="66"/>
      <c r="I13" s="77"/>
      <c r="J13" s="77"/>
      <c r="K13" s="71">
        <f ca="1">SUMIF(C1:K10,"Others",K1:K10)</f>
        <v>0</v>
      </c>
      <c r="L13" s="71" t="e">
        <f ca="1">SUMIF(C1:L10,"Others",L1:L10)</f>
        <v>#N/A</v>
      </c>
      <c r="M13" s="71">
        <f ca="1">SUMIF(C1:M10,"Others",M1:M10)</f>
        <v>0</v>
      </c>
      <c r="N13" s="71" t="e">
        <f ca="1">SUMIF(C1:N10,"Others",N1:N10)</f>
        <v>#N/A</v>
      </c>
      <c r="Q13"/>
      <c r="R13"/>
      <c r="S13"/>
      <c r="T13"/>
      <c r="U13"/>
    </row>
    <row r="14" spans="1:21" ht="15.75" thickBot="1">
      <c r="A14" s="55"/>
      <c r="B14" s="75"/>
      <c r="C14" s="72" t="s">
        <v>43</v>
      </c>
      <c r="D14" s="71"/>
      <c r="E14" s="71" t="e">
        <f ca="1">SUMIF(C1:E10,"TOTAL",E1:E10)</f>
        <v>#N/A</v>
      </c>
      <c r="F14" s="71">
        <f ca="1">SUMIF(C1:F10,"TOTAL",F1:F10)</f>
        <v>0</v>
      </c>
      <c r="G14" s="71" t="e">
        <f ca="1">SUMIF($C1:$G10,"TOTAL",$G1:$G10)</f>
        <v>#N/A</v>
      </c>
      <c r="H14" s="66"/>
      <c r="I14" s="77"/>
      <c r="J14" s="77"/>
      <c r="K14" s="71">
        <f ca="1">SUMIF(C1:K10,"TOTAL",K1:K10)</f>
        <v>0</v>
      </c>
      <c r="L14" s="71" t="e">
        <f ca="1">SUMIF(C1:L10,"TOTAL",L1:L10)</f>
        <v>#N/A</v>
      </c>
      <c r="M14" s="71">
        <f ca="1">SUMIF(C1:M10,"TOTAL",M1:M10)</f>
        <v>0</v>
      </c>
      <c r="N14" s="71" t="e">
        <f ca="1">SUMIF(C1:N10,"TOTAL",N1:N10)</f>
        <v>#N/A</v>
      </c>
      <c r="Q14"/>
      <c r="R14"/>
      <c r="S14"/>
      <c r="T14"/>
      <c r="U14"/>
    </row>
  </sheetData>
  <hyperlinks>
    <hyperlink ref="A5" location="'CERES TWO'!A1" display="'CERES TWO'!A1" xr:uid="{00000000-0004-0000-0000-000000000000}"/>
    <hyperlink ref="A2" location="'CERES ONE'!A1" display="'CERES ONE'!A1" xr:uid="{00000000-0004-0000-0000-000001000000}"/>
    <hyperlink ref="A8" location="'CERES THREE'!A1" display="'CERES THREE'!A1" xr:uid="{00000000-0004-0000-0000-000002000000}"/>
  </hyperlinks>
  <pageMargins left="0.7" right="0.45" top="0.75" bottom="0.5" header="0.3" footer="0.3"/>
  <pageSetup paperSize="9" scale="62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FF0000"/>
  </sheetPr>
  <dimension ref="A1:H8"/>
  <sheetViews>
    <sheetView workbookViewId="0">
      <selection activeCell="E20" sqref="E20"/>
    </sheetView>
  </sheetViews>
  <sheetFormatPr defaultRowHeight="12.75"/>
  <cols>
    <col min="1" max="1" width="25.7109375" customWidth="1"/>
    <col min="3" max="3" width="14.42578125" style="119" customWidth="1"/>
    <col min="4" max="4" width="14.28515625" style="119" customWidth="1"/>
    <col min="5" max="5" width="12.28515625" customWidth="1"/>
    <col min="7" max="8" width="11.42578125" style="119" customWidth="1"/>
  </cols>
  <sheetData>
    <row r="1" spans="1:8" ht="22.5" customHeight="1">
      <c r="A1" s="38" t="str">
        <f>Summary!A1</f>
        <v>AL SEER</v>
      </c>
      <c r="B1" s="144" t="s">
        <v>47</v>
      </c>
      <c r="C1" s="146" t="s">
        <v>34</v>
      </c>
      <c r="D1" s="146" t="s">
        <v>82</v>
      </c>
      <c r="E1" s="148" t="s">
        <v>48</v>
      </c>
      <c r="F1" s="39"/>
      <c r="G1" s="150" t="s">
        <v>49</v>
      </c>
      <c r="H1" s="151"/>
    </row>
    <row r="2" spans="1:8" ht="22.5" customHeight="1" thickBot="1">
      <c r="A2" s="125">
        <f>Summary!C1</f>
        <v>44500</v>
      </c>
      <c r="B2" s="145"/>
      <c r="C2" s="147"/>
      <c r="D2" s="147"/>
      <c r="E2" s="149"/>
      <c r="F2" s="39"/>
      <c r="G2" s="120" t="s">
        <v>51</v>
      </c>
      <c r="H2" s="121" t="s">
        <v>50</v>
      </c>
    </row>
    <row r="3" spans="1:8" ht="16.5" thickBot="1">
      <c r="A3" s="40" t="str">
        <f>Summary!A2</f>
        <v>CERES ONE</v>
      </c>
      <c r="B3" s="43">
        <f>Summary!B3</f>
        <v>4.8328767123287673</v>
      </c>
      <c r="C3" s="118">
        <f>Summary!F2</f>
        <v>0</v>
      </c>
      <c r="D3" s="118" t="e">
        <f>Summary!E2</f>
        <v>#N/A</v>
      </c>
      <c r="E3" s="41" t="e">
        <f>(C3-D3)/C3</f>
        <v>#N/A</v>
      </c>
      <c r="F3" s="42"/>
      <c r="G3" s="118" t="e">
        <f>Summary!I2</f>
        <v>#N/A</v>
      </c>
      <c r="H3" s="118">
        <f>Summary!J2</f>
        <v>0</v>
      </c>
    </row>
    <row r="4" spans="1:8" ht="16.5" thickBot="1">
      <c r="A4" s="40" t="str">
        <f>Summary!A5</f>
        <v>CERES TWO</v>
      </c>
      <c r="B4" s="43">
        <f>Summary!B6</f>
        <v>11.657534246575343</v>
      </c>
      <c r="C4" s="118">
        <f>Summary!F5</f>
        <v>0</v>
      </c>
      <c r="D4" s="118" t="e">
        <f>Summary!E5</f>
        <v>#N/A</v>
      </c>
      <c r="E4" s="41" t="e">
        <f t="shared" ref="E4:E7" si="0">(C4-D4)/C4</f>
        <v>#N/A</v>
      </c>
      <c r="F4" s="42"/>
      <c r="G4" s="118" t="e">
        <f>Summary!I5</f>
        <v>#N/A</v>
      </c>
      <c r="H4" s="118">
        <f>Summary!J5</f>
        <v>0</v>
      </c>
    </row>
    <row r="5" spans="1:8" ht="15.75">
      <c r="A5" s="40" t="str">
        <f>Summary!A8</f>
        <v>CERES THREE</v>
      </c>
      <c r="B5" s="43">
        <f>Summary!B9</f>
        <v>12.342465753424657</v>
      </c>
      <c r="C5" s="118">
        <f>Summary!F8</f>
        <v>0</v>
      </c>
      <c r="D5" s="118" t="e">
        <f>Summary!E8</f>
        <v>#N/A</v>
      </c>
      <c r="E5" s="41" t="e">
        <f t="shared" si="0"/>
        <v>#N/A</v>
      </c>
      <c r="F5" s="42"/>
      <c r="G5" s="118" t="e">
        <f>Summary!I8</f>
        <v>#N/A</v>
      </c>
      <c r="H5" s="118">
        <f>Summary!J8</f>
        <v>0</v>
      </c>
    </row>
    <row r="6" spans="1:8" ht="16.5" thickBot="1">
      <c r="A6" s="45"/>
    </row>
    <row r="7" spans="1:8" ht="16.5" thickBot="1">
      <c r="A7" s="46" t="str">
        <f>Summary!A12</f>
        <v>Full Fleet</v>
      </c>
      <c r="B7" s="47">
        <f>AVERAGE(B3:B5)</f>
        <v>9.6109589041095891</v>
      </c>
      <c r="C7" s="118">
        <f ca="1">Summary!F12</f>
        <v>0</v>
      </c>
      <c r="D7" s="118" t="e">
        <f ca="1">Summary!E12</f>
        <v>#N/A</v>
      </c>
      <c r="E7" s="41" t="e">
        <f t="shared" ca="1" si="0"/>
        <v>#N/A</v>
      </c>
      <c r="F7" s="44"/>
      <c r="G7" s="118" t="e">
        <f ca="1">Summary!I12</f>
        <v>#N/A</v>
      </c>
      <c r="H7" s="118">
        <f>Summary!J12</f>
        <v>0</v>
      </c>
    </row>
    <row r="8" spans="1:8" ht="15.75">
      <c r="A8" s="48"/>
    </row>
  </sheetData>
  <mergeCells count="5">
    <mergeCell ref="B1:B2"/>
    <mergeCell ref="C1:C2"/>
    <mergeCell ref="D1:D2"/>
    <mergeCell ref="E1:E2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3">
    <tabColor rgb="FF92D050"/>
    <pageSetUpPr fitToPage="1"/>
  </sheetPr>
  <dimension ref="A1:Z365"/>
  <sheetViews>
    <sheetView zoomScaleNormal="100" workbookViewId="0">
      <pane xSplit="2" ySplit="6" topLeftCell="C7" activePane="bottomRight" state="frozen"/>
      <selection activeCell="M31" sqref="M31"/>
      <selection pane="topRight" activeCell="M31" sqref="M31"/>
      <selection pane="bottomLeft" activeCell="M31" sqref="M31"/>
      <selection pane="bottomRight"/>
    </sheetView>
  </sheetViews>
  <sheetFormatPr defaultRowHeight="12.75"/>
  <cols>
    <col min="1" max="1" width="15.2851562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2" t="e">
        <f>VLOOKUP($C$3&amp;"01",'RUNNING DAYS'!$A:$B,2,FALSE)</f>
        <v>#N/A</v>
      </c>
      <c r="D1" s="102" t="e">
        <f>IF(D$2=1,VLOOKUP($C$3&amp;"02",'RUNNING DAYS'!$A:$B,2,FALSE),0)</f>
        <v>#N/A</v>
      </c>
      <c r="E1" s="102" t="e">
        <f>IF(E$2=1,VLOOKUP($C$3&amp;"03",'RUNNING DAYS'!$A:$B,2,FALSE),0)</f>
        <v>#N/A</v>
      </c>
      <c r="F1" s="102" t="e">
        <f>IF(F$2=1,VLOOKUP($C$3&amp;"04",'RUNNING DAYS'!$A:$B,2,FALSE),0)</f>
        <v>#N/A</v>
      </c>
      <c r="G1" s="102" t="e">
        <f>IF(G$2=1,VLOOKUP($C$3&amp;"05",'RUNNING DAYS'!$A:$B,2,FALSE),0)</f>
        <v>#N/A</v>
      </c>
      <c r="H1" s="102" t="e">
        <f>IF(H$2=1,VLOOKUP($C$3&amp;"06",'RUNNING DAYS'!$A:$B,2,FALSE),0)</f>
        <v>#N/A</v>
      </c>
      <c r="I1" s="102" t="e">
        <f>IF(I$2=1,VLOOKUP($C$3&amp;"07",'RUNNING DAYS'!$A:$B,2,FALSE),0)</f>
        <v>#N/A</v>
      </c>
      <c r="J1" s="102" t="e">
        <f>IF(J$2=1,VLOOKUP($C$3&amp;"08",'RUNNING DAYS'!$A:$B,2,FALSE),0)</f>
        <v>#N/A</v>
      </c>
      <c r="K1" s="102" t="e">
        <f>IF(K$2=1,VLOOKUP($C$3&amp;"09",'RUNNING DAYS'!$A:$B,2,FALSE),0)</f>
        <v>#N/A</v>
      </c>
      <c r="L1" s="102" t="e">
        <f>IF(L$2=1,VLOOKUP($C$3&amp;"10",'RUNNING DAYS'!$A:$B,2,FALSE),0)</f>
        <v>#N/A</v>
      </c>
      <c r="M1" s="102">
        <f>IF(M$2=1,VLOOKUP($C$3&amp;"11",'RUNNING DAYS'!$A:$B,2,FALSE),0)</f>
        <v>0</v>
      </c>
      <c r="N1" s="102">
        <f>IF(N$2=1,VLOOKUP($C$3&amp;"12",'RUNNING DAYS'!$A:$B,2,FALSE),0)</f>
        <v>0</v>
      </c>
      <c r="O1" s="123" t="e">
        <f>SUM(C1:L1)</f>
        <v>#N/A</v>
      </c>
      <c r="P1" s="79"/>
      <c r="Q1" s="79"/>
      <c r="R1" s="102"/>
      <c r="S1" s="79"/>
      <c r="T1" s="102"/>
      <c r="W1" s="79">
        <f t="array" ref="W1">IFERROR(SUM(VLOOKUP($A1,MONTHLYBUDGET,{4,5,6},FALSE)),0)</f>
        <v>0</v>
      </c>
      <c r="X1" s="79">
        <f t="array" ref="X1">IFERROR(SUM(VLOOKUP($A1,MONTHLYBUDGET,{7,8,9},FALSE)),0)</f>
        <v>0</v>
      </c>
      <c r="Y1" s="79">
        <f t="array" ref="Y1">IFERROR(SUM(VLOOKUP($A1,MONTHLYBUDGET,{10,11,12},FALSE)),0)</f>
        <v>0</v>
      </c>
      <c r="Z1" s="79">
        <f t="array" ref="Z1">IFERROR(SUM(VLOOKUP($A1,MONTHLYBUDGET,{13,14,15},FALSE)),0)</f>
        <v>0</v>
      </c>
    </row>
    <row r="2" spans="1:26" s="21" customFormat="1">
      <c r="A2" s="24"/>
      <c r="B2" s="124">
        <f>Summary!C1</f>
        <v>44500</v>
      </c>
      <c r="C2" s="102">
        <v>1</v>
      </c>
      <c r="D2" s="102">
        <f>IF(MONTH($B$2)&lt;2,0,1)</f>
        <v>1</v>
      </c>
      <c r="E2" s="102">
        <f>IF(MONTH($B$2)&lt;3,0,1)</f>
        <v>1</v>
      </c>
      <c r="F2" s="102">
        <f>IF(MONTH($B$2)&lt;4,0,1)</f>
        <v>1</v>
      </c>
      <c r="G2" s="102">
        <f>IF(MONTH($B$2)&lt;5,0,1)</f>
        <v>1</v>
      </c>
      <c r="H2" s="102">
        <f>IF(MONTH($B$2)&lt;6,0,1)</f>
        <v>1</v>
      </c>
      <c r="I2" s="102">
        <f>IF(MONTH($B$2)&lt;7,0,1)</f>
        <v>1</v>
      </c>
      <c r="J2" s="102">
        <f>IF(MONTH($B$2)&lt;8,0,1)</f>
        <v>1</v>
      </c>
      <c r="K2" s="102">
        <f>IF(MONTH($B$2)&lt;9,0,1)</f>
        <v>1</v>
      </c>
      <c r="L2" s="102">
        <f>IF(MONTH($B$2)&lt;10,0,1)</f>
        <v>1</v>
      </c>
      <c r="M2" s="102">
        <f>IF(MONTH($B$2)&lt;11,0,1)</f>
        <v>0</v>
      </c>
      <c r="N2" s="102">
        <f>IF(MONTH($B$2)&lt;12,0,1)</f>
        <v>0</v>
      </c>
      <c r="O2" s="79"/>
      <c r="P2" s="79"/>
      <c r="Q2" s="79"/>
      <c r="R2" s="102"/>
      <c r="S2" s="79">
        <f>DAY(EOMONTH(DATE(YEAR(B2),1,1),0))</f>
        <v>31</v>
      </c>
      <c r="T2" s="102"/>
    </row>
    <row r="3" spans="1:26" s="6" customFormat="1">
      <c r="B3" s="6" t="s">
        <v>57</v>
      </c>
      <c r="C3" s="2" t="s">
        <v>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53" t="s">
        <v>23</v>
      </c>
      <c r="C5" s="154" t="s">
        <v>70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R5" s="157" t="s">
        <v>13</v>
      </c>
      <c r="S5" s="152" t="s">
        <v>14</v>
      </c>
      <c r="T5" s="159" t="s">
        <v>15</v>
      </c>
      <c r="U5" s="152" t="s">
        <v>16</v>
      </c>
    </row>
    <row r="6" spans="1:26" ht="43.5" customHeight="1">
      <c r="A6" s="31" t="s">
        <v>30</v>
      </c>
      <c r="B6" s="153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3" t="s">
        <v>24</v>
      </c>
      <c r="P6" s="20" t="s">
        <v>26</v>
      </c>
      <c r="Q6" s="20" t="s">
        <v>27</v>
      </c>
      <c r="R6" s="158"/>
      <c r="S6" s="152"/>
      <c r="T6" s="159"/>
      <c r="U6" s="152"/>
    </row>
    <row r="7" spans="1:26">
      <c r="A7" s="28" t="s">
        <v>29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 t="s">
        <v>25</v>
      </c>
      <c r="P7" s="19"/>
      <c r="Q7" s="19"/>
      <c r="R7" s="23" t="s">
        <v>83</v>
      </c>
      <c r="S7" s="3" t="s">
        <v>84</v>
      </c>
      <c r="T7" s="14" t="s">
        <v>85</v>
      </c>
      <c r="U7" s="3" t="s">
        <v>86</v>
      </c>
    </row>
    <row r="8" spans="1:26">
      <c r="A8" s="28" t="str">
        <f>TRIM($C$3)&amp;"212111"</f>
        <v>BJC212111</v>
      </c>
      <c r="B8" s="1" t="s">
        <v>58</v>
      </c>
      <c r="C8" s="35" t="e">
        <f>IF(C$2=1,VLOOKUP($A8,ACTUAL!$A$2:$M$124,2,FALSE),0)</f>
        <v>#N/A</v>
      </c>
      <c r="D8" s="35" t="e">
        <f>IF(D$2=1,VLOOKUP($A8,ACTUAL!$A$2:$M$124,3,FALSE),0)</f>
        <v>#N/A</v>
      </c>
      <c r="E8" s="35" t="e">
        <f>IF(E$2=1,VLOOKUP($A8,ACTUAL!$A$2:$M$124,4,FALSE),0)</f>
        <v>#N/A</v>
      </c>
      <c r="F8" s="35" t="e">
        <f>IF(F$2=1,VLOOKUP($A8,ACTUAL!$A$2:$M$124,5,FALSE),0)</f>
        <v>#N/A</v>
      </c>
      <c r="G8" s="35" t="e">
        <f>IF(G$2=1,VLOOKUP($A8,ACTUAL!$A$2:$M$124,6,FALSE),0)</f>
        <v>#N/A</v>
      </c>
      <c r="H8" s="35" t="e">
        <f>IF(H$2=1,VLOOKUP($A8,ACTUAL!$A$2:$M$124,7,FALSE),0)</f>
        <v>#N/A</v>
      </c>
      <c r="I8" s="35" t="e">
        <f>IF(I$2=1,VLOOKUP($A8,ACTUAL!$A$2:$M$124,8,FALSE),0)</f>
        <v>#N/A</v>
      </c>
      <c r="J8" s="35" t="e">
        <f>IF(J$2=1,VLOOKUP($A8,ACTUAL!$A$2:$M$124,9,FALSE),0)</f>
        <v>#N/A</v>
      </c>
      <c r="K8" s="35" t="e">
        <f>IF(K$2=1,VLOOKUP($A8,ACTUAL!$A$2:$M$124,10,FALSE),0)</f>
        <v>#N/A</v>
      </c>
      <c r="L8" s="35" t="e">
        <f>IF(L$2=1,VLOOKUP($A8,ACTUAL!$A$2:$M$124,11,FALSE),0)</f>
        <v>#N/A</v>
      </c>
      <c r="M8" s="35">
        <f>IF(M$2=1,VLOOKUP($A8,ACTUAL!$A$2:$M$124,12,FALSE),0)</f>
        <v>0</v>
      </c>
      <c r="N8" s="35">
        <f>IF(N$2=1,VLOOKUP($A8,ACTUAL!$A$2:$M$124,13,FALSE),0)</f>
        <v>0</v>
      </c>
      <c r="O8" s="8" t="e">
        <f t="shared" ref="O8:O15" si="0">SUM(C8:N8)</f>
        <v>#N/A</v>
      </c>
      <c r="P8" s="35">
        <f>IF(ISNA(VLOOKUP($A8,BUDGET!$A$1:$C$67,2,FALSE)),0,VLOOKUP($A8,BUDGET!$A$1:$C$67,2,FALSE))</f>
        <v>0</v>
      </c>
      <c r="Q8" s="8" t="e">
        <f t="shared" ref="Q8:Q15" si="1">P8-O8</f>
        <v>#N/A</v>
      </c>
      <c r="R8" s="88"/>
      <c r="S8" s="22" t="e">
        <f>R8+O8</f>
        <v>#N/A</v>
      </c>
      <c r="T8" s="35">
        <f>IF(ISNA(VLOOKUP($A8,BUDGET!$A$1:$C$67,3,FALSE)),0,VLOOKUP($A8,BUDGET!$A$1:$C$67,3,FALSE))</f>
        <v>0</v>
      </c>
      <c r="U8" s="8" t="e">
        <f>T8-S8</f>
        <v>#N/A</v>
      </c>
      <c r="W8" s="79">
        <f t="array" ref="W8">IFERROR(SUM(VLOOKUP($A8,MONTHLYBUDGET,{4,5,6},FALSE)),0)</f>
        <v>0</v>
      </c>
      <c r="X8" s="79">
        <f t="array" ref="X8">IFERROR(SUM(VLOOKUP($A8,MONTHLYBUDGET,{7,8,9},FALSE)),0)</f>
        <v>0</v>
      </c>
      <c r="Y8" s="79">
        <f t="array" ref="Y8">IFERROR(SUM(VLOOKUP($A8,MONTHLYBUDGET,{10,11,12},FALSE)),0)</f>
        <v>0</v>
      </c>
      <c r="Z8" s="79">
        <f t="array" ref="Z8">IFERROR(SUM(VLOOKUP($A8,MONTHLYBUDGET,{13,14,15},FALSE)),0)</f>
        <v>0</v>
      </c>
    </row>
    <row r="9" spans="1:26">
      <c r="A9" s="28" t="str">
        <f>TRIM($C$3)&amp;"212112"</f>
        <v>BJC212112</v>
      </c>
      <c r="B9" s="1" t="s">
        <v>59</v>
      </c>
      <c r="C9" s="35" t="e">
        <f>IF(C$2=1,VLOOKUP($A9,ACTUAL!$A$2:$M$124,2,FALSE),0)</f>
        <v>#N/A</v>
      </c>
      <c r="D9" s="35" t="e">
        <f>IF(D$2=1,VLOOKUP($A9,ACTUAL!$A$2:$M$124,3,FALSE),0)</f>
        <v>#N/A</v>
      </c>
      <c r="E9" s="35" t="e">
        <f>IF(E$2=1,VLOOKUP($A9,ACTUAL!$A$2:$M$124,4,FALSE),0)</f>
        <v>#N/A</v>
      </c>
      <c r="F9" s="35" t="e">
        <f>IF(F$2=1,VLOOKUP($A9,ACTUAL!$A$2:$M$124,5,FALSE),0)</f>
        <v>#N/A</v>
      </c>
      <c r="G9" s="35" t="e">
        <f>IF(G$2=1,VLOOKUP($A9,ACTUAL!$A$2:$M$124,6,FALSE),0)</f>
        <v>#N/A</v>
      </c>
      <c r="H9" s="35" t="e">
        <f>IF(H$2=1,VLOOKUP($A9,ACTUAL!$A$2:$M$124,7,FALSE),0)</f>
        <v>#N/A</v>
      </c>
      <c r="I9" s="35" t="e">
        <f>IF(I$2=1,VLOOKUP($A9,ACTUAL!$A$2:$M$124,8,FALSE),0)</f>
        <v>#N/A</v>
      </c>
      <c r="J9" s="35" t="e">
        <f>IF(J$2=1,VLOOKUP($A9,ACTUAL!$A$2:$M$124,9,FALSE),0)</f>
        <v>#N/A</v>
      </c>
      <c r="K9" s="35" t="e">
        <f>IF(K$2=1,VLOOKUP($A9,ACTUAL!$A$2:$M$124,10,FALSE),0)</f>
        <v>#N/A</v>
      </c>
      <c r="L9" s="35" t="e">
        <f>IF(L$2=1,VLOOKUP($A9,ACTUAL!$A$2:$M$124,11,FALSE),0)</f>
        <v>#N/A</v>
      </c>
      <c r="M9" s="35">
        <f>IF(M$2=1,VLOOKUP($A9,ACTUAL!$A$2:$M$124,12,FALSE),0)</f>
        <v>0</v>
      </c>
      <c r="N9" s="35">
        <f>IF(N$2=1,VLOOKUP($A9,ACTUAL!$A$2:$M$124,13,FALSE),0)</f>
        <v>0</v>
      </c>
      <c r="O9" s="8" t="e">
        <f t="shared" si="0"/>
        <v>#N/A</v>
      </c>
      <c r="P9" s="35">
        <f>IF(ISNA(VLOOKUP($A9,BUDGET!$A$1:$C$67,2,FALSE)),0,VLOOKUP($A9,BUDGET!$A$1:$C$67,2,FALSE))</f>
        <v>0</v>
      </c>
      <c r="Q9" s="8" t="e">
        <f t="shared" si="1"/>
        <v>#N/A</v>
      </c>
      <c r="R9" s="88"/>
      <c r="S9" s="22" t="e">
        <f t="shared" ref="S9:S17" si="2">R9+O9</f>
        <v>#N/A</v>
      </c>
      <c r="T9" s="35">
        <f>IF(ISNA(VLOOKUP($A9,BUDGET!$A$1:$C$67,3,FALSE)),0,VLOOKUP($A9,BUDGET!$A$1:$C$67,3,FALSE))</f>
        <v>0</v>
      </c>
      <c r="U9" s="8" t="e">
        <f t="shared" ref="U9:U17" si="3">T9-S9</f>
        <v>#N/A</v>
      </c>
      <c r="W9" s="79">
        <f t="array" ref="W9">IFERROR(SUM(VLOOKUP($A9,MONTHLYBUDGET,{4,5,6},FALSE)),0)</f>
        <v>0</v>
      </c>
      <c r="X9" s="79">
        <f t="array" ref="X9">IFERROR(SUM(VLOOKUP($A9,MONTHLYBUDGET,{7,8,9},FALSE)),0)</f>
        <v>0</v>
      </c>
      <c r="Y9" s="79">
        <f t="array" ref="Y9">IFERROR(SUM(VLOOKUP($A9,MONTHLYBUDGET,{10,11,12},FALSE)),0)</f>
        <v>0</v>
      </c>
      <c r="Z9" s="79">
        <f t="array" ref="Z9">IFERROR(SUM(VLOOKUP($A9,MONTHLYBUDGET,{13,14,15},FALSE)),0)</f>
        <v>0</v>
      </c>
    </row>
    <row r="10" spans="1:26">
      <c r="A10" s="28" t="str">
        <f>TRIM($C$3)&amp;"212113"</f>
        <v>BJC212113</v>
      </c>
      <c r="B10" s="1" t="s">
        <v>20</v>
      </c>
      <c r="C10" s="35" t="e">
        <f>IF(C$2=1,VLOOKUP($A10,ACTUAL!$A$2:$M$124,2,FALSE),0)</f>
        <v>#N/A</v>
      </c>
      <c r="D10" s="35" t="e">
        <f>IF(D$2=1,VLOOKUP($A10,ACTUAL!$A$2:$M$124,3,FALSE),0)</f>
        <v>#N/A</v>
      </c>
      <c r="E10" s="35" t="e">
        <f>IF(E$2=1,VLOOKUP($A10,ACTUAL!$A$2:$M$124,4,FALSE),0)</f>
        <v>#N/A</v>
      </c>
      <c r="F10" s="35" t="e">
        <f>IF(F$2=1,VLOOKUP($A10,ACTUAL!$A$2:$M$124,5,FALSE),0)</f>
        <v>#N/A</v>
      </c>
      <c r="G10" s="35" t="e">
        <f>IF(G$2=1,VLOOKUP($A10,ACTUAL!$A$2:$M$124,6,FALSE),0)</f>
        <v>#N/A</v>
      </c>
      <c r="H10" s="35" t="e">
        <f>IF(H$2=1,VLOOKUP($A10,ACTUAL!$A$2:$M$124,7,FALSE),0)</f>
        <v>#N/A</v>
      </c>
      <c r="I10" s="35" t="e">
        <f>IF(I$2=1,VLOOKUP($A10,ACTUAL!$A$2:$M$124,8,FALSE),0)</f>
        <v>#N/A</v>
      </c>
      <c r="J10" s="35" t="e">
        <f>IF(J$2=1,VLOOKUP($A10,ACTUAL!$A$2:$M$124,9,FALSE),0)</f>
        <v>#N/A</v>
      </c>
      <c r="K10" s="35" t="e">
        <f>IF(K$2=1,VLOOKUP($A10,ACTUAL!$A$2:$M$124,10,FALSE),0)</f>
        <v>#N/A</v>
      </c>
      <c r="L10" s="35" t="e">
        <f>IF(L$2=1,VLOOKUP($A10,ACTUAL!$A$2:$M$124,11,FALSE),0)</f>
        <v>#N/A</v>
      </c>
      <c r="M10" s="35">
        <f>IF(M$2=1,VLOOKUP($A10,ACTUAL!$A$2:$M$124,12,FALSE),0)</f>
        <v>0</v>
      </c>
      <c r="N10" s="35">
        <f>IF(N$2=1,VLOOKUP($A10,ACTUAL!$A$2:$M$124,13,FALSE),0)</f>
        <v>0</v>
      </c>
      <c r="O10" s="8" t="e">
        <f t="shared" si="0"/>
        <v>#N/A</v>
      </c>
      <c r="P10" s="35">
        <f>IF(ISNA(VLOOKUP($A10,BUDGET!$A$1:$C$67,2,FALSE)),0,VLOOKUP($A10,BUDGET!$A$1:$C$67,2,FALSE))</f>
        <v>0</v>
      </c>
      <c r="Q10" s="8" t="e">
        <f t="shared" si="1"/>
        <v>#N/A</v>
      </c>
      <c r="R10" s="88"/>
      <c r="S10" s="22" t="e">
        <f t="shared" si="2"/>
        <v>#N/A</v>
      </c>
      <c r="T10" s="35">
        <f>IF(ISNA(VLOOKUP($A10,BUDGET!$A$1:$C$67,3,FALSE)),0,VLOOKUP($A10,BUDGET!$A$1:$C$67,3,FALSE))</f>
        <v>0</v>
      </c>
      <c r="U10" s="8" t="e">
        <f t="shared" si="3"/>
        <v>#N/A</v>
      </c>
      <c r="W10" s="79">
        <f t="array" ref="W10">IFERROR(SUM(VLOOKUP($A10,MONTHLYBUDGET,{4,5,6},FALSE)),0)</f>
        <v>0</v>
      </c>
      <c r="X10" s="79">
        <f t="array" ref="X10">IFERROR(SUM(VLOOKUP($A10,MONTHLYBUDGET,{7,8,9},FALSE)),0)</f>
        <v>0</v>
      </c>
      <c r="Y10" s="79">
        <f t="array" ref="Y10">IFERROR(SUM(VLOOKUP($A10,MONTHLYBUDGET,{10,11,12},FALSE)),0)</f>
        <v>0</v>
      </c>
      <c r="Z10" s="79">
        <f t="array" ref="Z10">IFERROR(SUM(VLOOKUP($A10,MONTHLYBUDGET,{13,14,15},FALSE)),0)</f>
        <v>0</v>
      </c>
    </row>
    <row r="11" spans="1:26">
      <c r="A11" s="28" t="str">
        <f>TRIM($C$3)&amp;"212120"</f>
        <v>BJC212120</v>
      </c>
      <c r="B11" s="1" t="s">
        <v>60</v>
      </c>
      <c r="C11" s="35" t="e">
        <f>IF(C$2=1,VLOOKUP($A11,ACTUAL!$A$2:$M$124,2,FALSE),0)</f>
        <v>#N/A</v>
      </c>
      <c r="D11" s="35" t="e">
        <f>IF(D$2=1,VLOOKUP($A11,ACTUAL!$A$2:$M$124,3,FALSE),0)</f>
        <v>#N/A</v>
      </c>
      <c r="E11" s="35" t="e">
        <f>IF(E$2=1,VLOOKUP($A11,ACTUAL!$A$2:$M$124,4,FALSE),0)</f>
        <v>#N/A</v>
      </c>
      <c r="F11" s="35" t="e">
        <f>IF(F$2=1,VLOOKUP($A11,ACTUAL!$A$2:$M$124,5,FALSE),0)</f>
        <v>#N/A</v>
      </c>
      <c r="G11" s="35" t="e">
        <f>IF(G$2=1,VLOOKUP($A11,ACTUAL!$A$2:$M$124,6,FALSE),0)</f>
        <v>#N/A</v>
      </c>
      <c r="H11" s="35" t="e">
        <f>IF(H$2=1,VLOOKUP($A11,ACTUAL!$A$2:$M$124,7,FALSE),0)</f>
        <v>#N/A</v>
      </c>
      <c r="I11" s="35" t="e">
        <f>IF(I$2=1,VLOOKUP($A11,ACTUAL!$A$2:$M$124,8,FALSE),0)</f>
        <v>#N/A</v>
      </c>
      <c r="J11" s="35" t="e">
        <f>IF(J$2=1,VLOOKUP($A11,ACTUAL!$A$2:$M$124,9,FALSE),0)</f>
        <v>#N/A</v>
      </c>
      <c r="K11" s="35" t="e">
        <f>IF(K$2=1,VLOOKUP($A11,ACTUAL!$A$2:$M$124,10,FALSE),0)</f>
        <v>#N/A</v>
      </c>
      <c r="L11" s="35" t="e">
        <f>IF(L$2=1,VLOOKUP($A11,ACTUAL!$A$2:$M$124,11,FALSE),0)</f>
        <v>#N/A</v>
      </c>
      <c r="M11" s="35">
        <f>IF(M$2=1,VLOOKUP($A11,ACTUAL!$A$2:$M$124,12,FALSE),0)</f>
        <v>0</v>
      </c>
      <c r="N11" s="35">
        <f>IF(N$2=1,VLOOKUP($A11,ACTUAL!$A$2:$M$124,13,FALSE),0)</f>
        <v>0</v>
      </c>
      <c r="O11" s="8" t="e">
        <f t="shared" si="0"/>
        <v>#N/A</v>
      </c>
      <c r="P11" s="35">
        <f>IF(ISNA(VLOOKUP($A11,BUDGET!$A$1:$C$67,2,FALSE)),0,VLOOKUP($A11,BUDGET!$A$1:$C$67,2,FALSE))</f>
        <v>0</v>
      </c>
      <c r="Q11" s="8" t="e">
        <f t="shared" si="1"/>
        <v>#N/A</v>
      </c>
      <c r="R11" s="88"/>
      <c r="S11" s="22" t="e">
        <f t="shared" si="2"/>
        <v>#N/A</v>
      </c>
      <c r="T11" s="35">
        <f>IF(ISNA(VLOOKUP($A11,BUDGET!$A$1:$C$67,3,FALSE)),0,VLOOKUP($A11,BUDGET!$A$1:$C$67,3,FALSE))</f>
        <v>0</v>
      </c>
      <c r="U11" s="8" t="e">
        <f t="shared" si="3"/>
        <v>#N/A</v>
      </c>
      <c r="W11" s="79"/>
      <c r="X11" s="79"/>
      <c r="Y11" s="79"/>
      <c r="Z11" s="79"/>
    </row>
    <row r="12" spans="1:26">
      <c r="A12" s="28" t="str">
        <f>TRIM($C$3)&amp;"212130"</f>
        <v>BJC212130</v>
      </c>
      <c r="B12" s="1" t="s">
        <v>21</v>
      </c>
      <c r="C12" s="35" t="e">
        <f>IF(C$2=1,VLOOKUP($A12,ACTUAL!$A$2:$M$124,2,FALSE),0)</f>
        <v>#N/A</v>
      </c>
      <c r="D12" s="35" t="e">
        <f>IF(D$2=1,VLOOKUP($A12,ACTUAL!$A$2:$M$124,3,FALSE),0)</f>
        <v>#N/A</v>
      </c>
      <c r="E12" s="35" t="e">
        <f>IF(E$2=1,VLOOKUP($A12,ACTUAL!$A$2:$M$124,4,FALSE),0)</f>
        <v>#N/A</v>
      </c>
      <c r="F12" s="35" t="e">
        <f>IF(F$2=1,VLOOKUP($A12,ACTUAL!$A$2:$M$124,5,FALSE),0)</f>
        <v>#N/A</v>
      </c>
      <c r="G12" s="35" t="e">
        <f>IF(G$2=1,VLOOKUP($A12,ACTUAL!$A$2:$M$124,6,FALSE),0)</f>
        <v>#N/A</v>
      </c>
      <c r="H12" s="35" t="e">
        <f>IF(H$2=1,VLOOKUP($A12,ACTUAL!$A$2:$M$124,7,FALSE),0)</f>
        <v>#N/A</v>
      </c>
      <c r="I12" s="35" t="e">
        <f>IF(I$2=1,VLOOKUP($A12,ACTUAL!$A$2:$M$124,8,FALSE),0)</f>
        <v>#N/A</v>
      </c>
      <c r="J12" s="35" t="e">
        <f>IF(J$2=1,VLOOKUP($A12,ACTUAL!$A$2:$M$124,9,FALSE),0)</f>
        <v>#N/A</v>
      </c>
      <c r="K12" s="35" t="e">
        <f>IF(K$2=1,VLOOKUP($A12,ACTUAL!$A$2:$M$124,10,FALSE),0)</f>
        <v>#N/A</v>
      </c>
      <c r="L12" s="35" t="e">
        <f>IF(L$2=1,VLOOKUP($A12,ACTUAL!$A$2:$M$124,11,FALSE),0)</f>
        <v>#N/A</v>
      </c>
      <c r="M12" s="35">
        <f>IF(M$2=1,VLOOKUP($A12,ACTUAL!$A$2:$M$124,12,FALSE),0)</f>
        <v>0</v>
      </c>
      <c r="N12" s="35">
        <f>IF(N$2=1,VLOOKUP($A12,ACTUAL!$A$2:$M$124,13,FALSE),0)</f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8"/>
      <c r="S12" s="22" t="e">
        <f t="shared" si="2"/>
        <v>#N/A</v>
      </c>
      <c r="T12" s="35">
        <f>IF(ISNA(VLOOKUP($A12,BUDGET!$A$1:$C$67,3,FALSE)),0,VLOOKUP($A12,BUDGET!$A$1:$C$67,3,FALSE))</f>
        <v>0</v>
      </c>
      <c r="U12" s="8" t="e">
        <f t="shared" si="3"/>
        <v>#N/A</v>
      </c>
      <c r="W12" s="79">
        <f t="array" ref="W12">IFERROR(SUM(VLOOKUP($A12,MONTHLYBUDGET,{4,5,6},FALSE)),0)</f>
        <v>0</v>
      </c>
      <c r="X12" s="79">
        <f t="array" ref="X12">IFERROR(SUM(VLOOKUP($A12,MONTHLYBUDGET,{7,8,9},FALSE)),0)</f>
        <v>0</v>
      </c>
      <c r="Y12" s="79">
        <f t="array" ref="Y12">IFERROR(SUM(VLOOKUP($A12,MONTHLYBUDGET,{10,11,12},FALSE)),0)</f>
        <v>0</v>
      </c>
      <c r="Z12" s="79">
        <f t="array" ref="Z12">IFERROR(SUM(VLOOKUP($A12,MONTHLYBUDGET,{13,14,15},FALSE)),0)</f>
        <v>0</v>
      </c>
    </row>
    <row r="13" spans="1:26">
      <c r="A13" s="28" t="str">
        <f>TRIM($C$3)&amp;"212140"</f>
        <v>BJC212140</v>
      </c>
      <c r="B13" s="1" t="s">
        <v>61</v>
      </c>
      <c r="C13" s="35" t="e">
        <f>IF(C$2=1,VLOOKUP($A13,ACTUAL!$A$2:$M$124,2,FALSE),0)</f>
        <v>#N/A</v>
      </c>
      <c r="D13" s="35" t="e">
        <f>IF(D$2=1,VLOOKUP($A13,ACTUAL!$A$2:$M$124,3,FALSE),0)</f>
        <v>#N/A</v>
      </c>
      <c r="E13" s="35" t="e">
        <f>IF(E$2=1,VLOOKUP($A13,ACTUAL!$A$2:$M$124,4,FALSE),0)</f>
        <v>#N/A</v>
      </c>
      <c r="F13" s="35" t="e">
        <f>IF(F$2=1,VLOOKUP($A13,ACTUAL!$A$2:$M$124,5,FALSE),0)</f>
        <v>#N/A</v>
      </c>
      <c r="G13" s="35" t="e">
        <f>IF(G$2=1,VLOOKUP($A13,ACTUAL!$A$2:$M$124,6,FALSE),0)</f>
        <v>#N/A</v>
      </c>
      <c r="H13" s="35" t="e">
        <f>IF(H$2=1,VLOOKUP($A13,ACTUAL!$A$2:$M$124,7,FALSE),0)</f>
        <v>#N/A</v>
      </c>
      <c r="I13" s="35" t="e">
        <f>IF(I$2=1,VLOOKUP($A13,ACTUAL!$A$2:$M$124,8,FALSE),0)</f>
        <v>#N/A</v>
      </c>
      <c r="J13" s="35" t="e">
        <f>IF(J$2=1,VLOOKUP($A13,ACTUAL!$A$2:$M$124,9,FALSE),0)</f>
        <v>#N/A</v>
      </c>
      <c r="K13" s="35" t="e">
        <f>IF(K$2=1,VLOOKUP($A13,ACTUAL!$A$2:$M$124,10,FALSE),0)</f>
        <v>#N/A</v>
      </c>
      <c r="L13" s="35" t="e">
        <f>IF(L$2=1,VLOOKUP($A13,ACTUAL!$A$2:$M$124,11,FALSE),0)</f>
        <v>#N/A</v>
      </c>
      <c r="M13" s="35">
        <f>IF(M$2=1,VLOOKUP($A13,ACTUAL!$A$2:$M$124,12,FALSE),0)</f>
        <v>0</v>
      </c>
      <c r="N13" s="35">
        <f>IF(N$2=1,VLOOKUP($A13,ACTUAL!$A$2:$M$124,13,FALSE),0)</f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8"/>
      <c r="S13" s="22" t="e">
        <f t="shared" si="2"/>
        <v>#N/A</v>
      </c>
      <c r="T13" s="35">
        <f>IF(ISNA(VLOOKUP($A13,BUDGET!$A$1:$C$67,3,FALSE)),0,VLOOKUP($A13,BUDGET!$A$1:$C$67,3,FALSE))</f>
        <v>0</v>
      </c>
      <c r="U13" s="8" t="e">
        <f t="shared" si="3"/>
        <v>#N/A</v>
      </c>
      <c r="W13" s="79">
        <f t="array" ref="W13">IFERROR(SUM(VLOOKUP($A13,MONTHLYBUDGET,{4,5,6},FALSE)),0)</f>
        <v>0</v>
      </c>
      <c r="X13" s="79">
        <f t="array" ref="X13">IFERROR(SUM(VLOOKUP($A13,MONTHLYBUDGET,{7,8,9},FALSE)),0)</f>
        <v>0</v>
      </c>
      <c r="Y13" s="79">
        <f t="array" ref="Y13">IFERROR(SUM(VLOOKUP($A13,MONTHLYBUDGET,{10,11,12},FALSE)),0)</f>
        <v>0</v>
      </c>
      <c r="Z13" s="79">
        <f t="array" ref="Z13">IFERROR(SUM(VLOOKUP($A13,MONTHLYBUDGET,{13,14,15},FALSE)),0)</f>
        <v>0</v>
      </c>
    </row>
    <row r="14" spans="1:26">
      <c r="A14" s="28" t="str">
        <f>TRIM($C$3)&amp;"212150"</f>
        <v>BJC212150</v>
      </c>
      <c r="B14" s="1" t="s">
        <v>52</v>
      </c>
      <c r="C14" s="35" t="e">
        <f>IF(C$2=1,VLOOKUP($A14,ACTUAL!$A$2:$M$124,2,FALSE),0)</f>
        <v>#N/A</v>
      </c>
      <c r="D14" s="35" t="e">
        <f>IF(D$2=1,VLOOKUP($A14,ACTUAL!$A$2:$M$124,3,FALSE),0)</f>
        <v>#N/A</v>
      </c>
      <c r="E14" s="35" t="e">
        <f>IF(E$2=1,VLOOKUP($A14,ACTUAL!$A$2:$M$124,4,FALSE),0)</f>
        <v>#N/A</v>
      </c>
      <c r="F14" s="35" t="e">
        <f>IF(F$2=1,VLOOKUP($A14,ACTUAL!$A$2:$M$124,5,FALSE),0)</f>
        <v>#N/A</v>
      </c>
      <c r="G14" s="35" t="e">
        <f>IF(G$2=1,VLOOKUP($A14,ACTUAL!$A$2:$M$124,6,FALSE),0)</f>
        <v>#N/A</v>
      </c>
      <c r="H14" s="35" t="e">
        <f>IF(H$2=1,VLOOKUP($A14,ACTUAL!$A$2:$M$124,7,FALSE),0)</f>
        <v>#N/A</v>
      </c>
      <c r="I14" s="35" t="e">
        <f>IF(I$2=1,VLOOKUP($A14,ACTUAL!$A$2:$M$124,8,FALSE),0)</f>
        <v>#N/A</v>
      </c>
      <c r="J14" s="35" t="e">
        <f>IF(J$2=1,VLOOKUP($A14,ACTUAL!$A$2:$M$124,9,FALSE),0)</f>
        <v>#N/A</v>
      </c>
      <c r="K14" s="35" t="e">
        <f>IF(K$2=1,VLOOKUP($A14,ACTUAL!$A$2:$M$124,10,FALSE),0)</f>
        <v>#N/A</v>
      </c>
      <c r="L14" s="35" t="e">
        <f>IF(L$2=1,VLOOKUP($A14,ACTUAL!$A$2:$M$124,11,FALSE),0)</f>
        <v>#N/A</v>
      </c>
      <c r="M14" s="35">
        <f>IF(M$2=1,VLOOKUP($A14,ACTUAL!$A$2:$M$124,12,FALSE),0)</f>
        <v>0</v>
      </c>
      <c r="N14" s="35">
        <f>IF(N$2=1,VLOOKUP($A14,ACTUAL!$A$2:$M$124,13,FALSE),0)</f>
        <v>0</v>
      </c>
      <c r="O14" s="8" t="e">
        <f t="shared" si="0"/>
        <v>#N/A</v>
      </c>
      <c r="P14" s="35">
        <f>IF(ISNA(VLOOKUP($A14,BUDGET!$A$1:$C$67,2,FALSE)),0,VLOOKUP($A14,BUDGET!$A$1:$C$67,2,FALSE))</f>
        <v>0</v>
      </c>
      <c r="Q14" s="8" t="e">
        <f t="shared" si="1"/>
        <v>#N/A</v>
      </c>
      <c r="R14" s="88"/>
      <c r="S14" s="22" t="e">
        <f t="shared" si="2"/>
        <v>#N/A</v>
      </c>
      <c r="T14" s="35">
        <f>IF(ISNA(VLOOKUP($A14,BUDGET!$A$1:$C$67,3,FALSE)),0,VLOOKUP($A14,BUDGET!$A$1:$C$67,3,FALSE))</f>
        <v>0</v>
      </c>
      <c r="U14" s="8" t="e">
        <f t="shared" si="3"/>
        <v>#N/A</v>
      </c>
      <c r="W14" s="79">
        <f t="array" ref="W14">IFERROR(SUM(VLOOKUP($A14,MONTHLYBUDGET,{4,5,6},FALSE)),0)</f>
        <v>0</v>
      </c>
      <c r="X14" s="79">
        <f t="array" ref="X14">IFERROR(SUM(VLOOKUP($A14,MONTHLYBUDGET,{7,8,9},FALSE)),0)</f>
        <v>0</v>
      </c>
      <c r="Y14" s="79">
        <f t="array" ref="Y14">IFERROR(SUM(VLOOKUP($A14,MONTHLYBUDGET,{10,11,12},FALSE)),0)</f>
        <v>0</v>
      </c>
      <c r="Z14" s="79">
        <f t="array" ref="Z14">IFERROR(SUM(VLOOKUP($A14,MONTHLYBUDGET,{13,14,15},FALSE)),0)</f>
        <v>0</v>
      </c>
    </row>
    <row r="15" spans="1:26">
      <c r="A15" s="28" t="str">
        <f>TRIM($C$3)&amp;"212160"</f>
        <v>BJC212160</v>
      </c>
      <c r="B15" s="1" t="s">
        <v>53</v>
      </c>
      <c r="C15" s="35" t="e">
        <f>IF(C$2=1,VLOOKUP($A15,ACTUAL!$A$2:$M$124,2,FALSE),0)</f>
        <v>#N/A</v>
      </c>
      <c r="D15" s="35" t="e">
        <f>IF(D$2=1,VLOOKUP($A15,ACTUAL!$A$2:$M$124,3,FALSE),0)</f>
        <v>#N/A</v>
      </c>
      <c r="E15" s="35" t="e">
        <f>IF(E$2=1,VLOOKUP($A15,ACTUAL!$A$2:$M$124,4,FALSE),0)</f>
        <v>#N/A</v>
      </c>
      <c r="F15" s="35" t="e">
        <f>IF(F$2=1,VLOOKUP($A15,ACTUAL!$A$2:$M$124,5,FALSE),0)</f>
        <v>#N/A</v>
      </c>
      <c r="G15" s="35" t="e">
        <f>IF(G$2=1,VLOOKUP($A15,ACTUAL!$A$2:$M$124,6,FALSE),0)</f>
        <v>#N/A</v>
      </c>
      <c r="H15" s="35" t="e">
        <f>IF(H$2=1,VLOOKUP($A15,ACTUAL!$A$2:$M$124,7,FALSE),0)</f>
        <v>#N/A</v>
      </c>
      <c r="I15" s="35" t="e">
        <f>IF(I$2=1,VLOOKUP($A15,ACTUAL!$A$2:$M$124,8,FALSE),0)</f>
        <v>#N/A</v>
      </c>
      <c r="J15" s="35" t="e">
        <f>IF(J$2=1,VLOOKUP($A15,ACTUAL!$A$2:$M$124,9,FALSE),0)</f>
        <v>#N/A</v>
      </c>
      <c r="K15" s="35" t="e">
        <f>IF(K$2=1,VLOOKUP($A15,ACTUAL!$A$2:$M$124,10,FALSE),0)</f>
        <v>#N/A</v>
      </c>
      <c r="L15" s="35" t="e">
        <f>IF(L$2=1,VLOOKUP($A15,ACTUAL!$A$2:$M$124,11,FALSE),0)</f>
        <v>#N/A</v>
      </c>
      <c r="M15" s="35">
        <f>IF(M$2=1,VLOOKUP($A15,ACTUAL!$A$2:$M$124,12,FALSE),0)</f>
        <v>0</v>
      </c>
      <c r="N15" s="35">
        <f>IF(N$2=1,VLOOKUP($A15,ACTUAL!$A$2:$M$124,13,FALSE),0)</f>
        <v>0</v>
      </c>
      <c r="O15" s="8" t="e">
        <f t="shared" si="0"/>
        <v>#N/A</v>
      </c>
      <c r="P15" s="35">
        <f>IF(ISNA(VLOOKUP($A15,BUDGET!$A$1:$C$67,2,FALSE)),0,VLOOKUP($A15,BUDGET!$A$1:$C$67,2,FALSE))</f>
        <v>0</v>
      </c>
      <c r="Q15" s="8" t="e">
        <f t="shared" si="1"/>
        <v>#N/A</v>
      </c>
      <c r="R15" s="88"/>
      <c r="S15" s="22" t="e">
        <f t="shared" si="2"/>
        <v>#N/A</v>
      </c>
      <c r="T15" s="35">
        <f>IF(ISNA(VLOOKUP($A15,BUDGET!$A$1:$C$67,3,FALSE)),0,VLOOKUP($A15,BUDGET!$A$1:$C$67,3,FALSE))</f>
        <v>0</v>
      </c>
      <c r="U15" s="8" t="e">
        <f t="shared" si="3"/>
        <v>#N/A</v>
      </c>
      <c r="W15" s="79">
        <f t="array" ref="W15">IFERROR(SUM(VLOOKUP($A15,MONTHLYBUDGET,{4,5,6},FALSE)),0)</f>
        <v>0</v>
      </c>
      <c r="X15" s="79">
        <f t="array" ref="X15">IFERROR(SUM(VLOOKUP($A15,MONTHLYBUDGET,{7,8,9},FALSE)),0)</f>
        <v>0</v>
      </c>
      <c r="Y15" s="79">
        <f t="array" ref="Y15">IFERROR(SUM(VLOOKUP($A15,MONTHLYBUDGET,{10,11,12},FALSE)),0)</f>
        <v>0</v>
      </c>
      <c r="Z15" s="79">
        <f t="array" ref="Z15">IFERROR(SUM(VLOOKUP($A15,MONTHLYBUDGET,{13,14,15},FALSE)),0)</f>
        <v>0</v>
      </c>
    </row>
    <row r="16" spans="1:26">
      <c r="A16" s="28" t="str">
        <f>TRIM($C$3)&amp;"2121710"</f>
        <v>BJC2121710</v>
      </c>
      <c r="B16" s="9" t="s">
        <v>62</v>
      </c>
      <c r="C16" s="35" t="e">
        <f>IF(C$2=1,VLOOKUP($A16,ACTUAL!$A$2:$M$124,2,FALSE),0)</f>
        <v>#N/A</v>
      </c>
      <c r="D16" s="35" t="e">
        <f>IF(D$2=1,VLOOKUP($A16,ACTUAL!$A$2:$M$124,3,FALSE),0)</f>
        <v>#N/A</v>
      </c>
      <c r="E16" s="35" t="e">
        <f>IF(E$2=1,VLOOKUP($A16,ACTUAL!$A$2:$M$124,4,FALSE),0)</f>
        <v>#N/A</v>
      </c>
      <c r="F16" s="35" t="e">
        <f>IF(F$2=1,VLOOKUP($A16,ACTUAL!$A$2:$M$124,5,FALSE),0)</f>
        <v>#N/A</v>
      </c>
      <c r="G16" s="35" t="e">
        <f>IF(G$2=1,VLOOKUP($A16,ACTUAL!$A$2:$M$124,6,FALSE),0)</f>
        <v>#N/A</v>
      </c>
      <c r="H16" s="35" t="e">
        <f>IF(H$2=1,VLOOKUP($A16,ACTUAL!$A$2:$M$124,7,FALSE),0)</f>
        <v>#N/A</v>
      </c>
      <c r="I16" s="35" t="e">
        <f>IF(I$2=1,VLOOKUP($A16,ACTUAL!$A$2:$M$124,8,FALSE),0)</f>
        <v>#N/A</v>
      </c>
      <c r="J16" s="35" t="e">
        <f>IF(J$2=1,VLOOKUP($A16,ACTUAL!$A$2:$M$124,9,FALSE),0)</f>
        <v>#N/A</v>
      </c>
      <c r="K16" s="35" t="e">
        <f>IF(K$2=1,VLOOKUP($A16,ACTUAL!$A$2:$M$124,10,FALSE),0)</f>
        <v>#N/A</v>
      </c>
      <c r="L16" s="35" t="e">
        <f>IF(L$2=1,VLOOKUP($A16,ACTUAL!$A$2:$M$124,11,FALSE),0)</f>
        <v>#N/A</v>
      </c>
      <c r="M16" s="35">
        <f>IF(M$2=1,VLOOKUP($A16,ACTUAL!$A$2:$M$124,12,FALSE),0)</f>
        <v>0</v>
      </c>
      <c r="N16" s="35">
        <f>IF(N$2=1,VLOOKUP($A16,ACTUAL!$A$2:$M$124,13,FALSE),0)</f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8"/>
      <c r="S16" s="22" t="e">
        <f t="shared" si="2"/>
        <v>#N/A</v>
      </c>
      <c r="T16" s="35">
        <f>IF(ISNA(VLOOKUP($A16,BUDGET!$A$1:$C$67,3,FALSE)),0,VLOOKUP($A16,BUDGET!$A$1:$C$67,3,FALSE))</f>
        <v>0</v>
      </c>
      <c r="U16" s="8" t="e">
        <f t="shared" si="3"/>
        <v>#N/A</v>
      </c>
      <c r="W16" s="79">
        <f t="array" ref="W16">IFERROR(SUM(VLOOKUP($A16,MONTHLYBUDGET,{4,5,6},FALSE)),0)</f>
        <v>0</v>
      </c>
      <c r="X16" s="79">
        <f t="array" ref="X16">IFERROR(SUM(VLOOKUP($A16,MONTHLYBUDGET,{7,8,9},FALSE)),0)</f>
        <v>0</v>
      </c>
      <c r="Y16" s="79">
        <f t="array" ref="Y16">IFERROR(SUM(VLOOKUP($A16,MONTHLYBUDGET,{10,11,12},FALSE)),0)</f>
        <v>0</v>
      </c>
      <c r="Z16" s="79">
        <f t="array" ref="Z16">IFERROR(SUM(VLOOKUP($A16,MONTHLYBUDGET,{13,14,15},FALSE)),0)</f>
        <v>0</v>
      </c>
    </row>
    <row r="17" spans="1:26" ht="13.5" thickBot="1">
      <c r="A17" s="28" t="str">
        <f>TRIM($C$3)&amp;"2121711"</f>
        <v>BJC2121711</v>
      </c>
      <c r="B17" s="101" t="s">
        <v>63</v>
      </c>
      <c r="C17" s="35" t="e">
        <f>IF(C$2=1,VLOOKUP($A17,ACTUAL!$A$2:$M$124,2,FALSE),0)</f>
        <v>#N/A</v>
      </c>
      <c r="D17" s="35" t="e">
        <f>IF(D$2=1,VLOOKUP($A17,ACTUAL!$A$2:$M$124,3,FALSE),0)</f>
        <v>#N/A</v>
      </c>
      <c r="E17" s="35" t="e">
        <f>IF(E$2=1,VLOOKUP($A17,ACTUAL!$A$2:$M$124,4,FALSE),0)</f>
        <v>#N/A</v>
      </c>
      <c r="F17" s="35" t="e">
        <f>IF(F$2=1,VLOOKUP($A17,ACTUAL!$A$2:$M$124,5,FALSE),0)</f>
        <v>#N/A</v>
      </c>
      <c r="G17" s="35" t="e">
        <f>IF(G$2=1,VLOOKUP($A17,ACTUAL!$A$2:$M$124,6,FALSE),0)</f>
        <v>#N/A</v>
      </c>
      <c r="H17" s="35" t="e">
        <f>IF(H$2=1,VLOOKUP($A17,ACTUAL!$A$2:$M$124,7,FALSE),0)</f>
        <v>#N/A</v>
      </c>
      <c r="I17" s="35" t="e">
        <f>IF(I$2=1,VLOOKUP($A17,ACTUAL!$A$2:$M$124,8,FALSE),0)</f>
        <v>#N/A</v>
      </c>
      <c r="J17" s="35" t="e">
        <f>IF(J$2=1,VLOOKUP($A17,ACTUAL!$A$2:$M$124,9,FALSE),0)</f>
        <v>#N/A</v>
      </c>
      <c r="K17" s="35" t="e">
        <f>IF(K$2=1,VLOOKUP($A17,ACTUAL!$A$2:$M$124,10,FALSE),0)</f>
        <v>#N/A</v>
      </c>
      <c r="L17" s="35" t="e">
        <f>IF(L$2=1,VLOOKUP($A17,ACTUAL!$A$2:$M$124,11,FALSE),0)</f>
        <v>#N/A</v>
      </c>
      <c r="M17" s="35">
        <f>IF(M$2=1,VLOOKUP($A17,ACTUAL!$A$2:$M$124,12,FALSE),0)</f>
        <v>0</v>
      </c>
      <c r="N17" s="35">
        <f>IF(N$2=1,VLOOKUP($A17,ACTUAL!$A$2:$M$124,13,FALSE),0)</f>
        <v>0</v>
      </c>
      <c r="O17" s="8" t="e">
        <f t="shared" ref="O17" si="4">SUM(C17:N17)</f>
        <v>#N/A</v>
      </c>
      <c r="P17" s="35">
        <f>IF(ISNA(VLOOKUP($A17,BUDGET!$A$1:$C$67,2,FALSE)),0,VLOOKUP($A17,BUDGET!$A$1:$C$67,2,FALSE))</f>
        <v>0</v>
      </c>
      <c r="Q17" s="8" t="e">
        <f t="shared" ref="Q17" si="5">P17-O17</f>
        <v>#N/A</v>
      </c>
      <c r="R17" s="27"/>
      <c r="S17" s="22" t="e">
        <f t="shared" si="2"/>
        <v>#N/A</v>
      </c>
      <c r="T17" s="35">
        <f>IF(ISNA(VLOOKUP($A17,BUDGET!$A$1:$C$67,3,FALSE)),0,VLOOKUP($A17,BUDGET!$A$1:$C$67,3,FALSE))</f>
        <v>0</v>
      </c>
      <c r="U17" s="8" t="e">
        <f t="shared" si="3"/>
        <v>#N/A</v>
      </c>
      <c r="W17" s="79">
        <f t="array" ref="W17">IFERROR(SUM(VLOOKUP($A17,MONTHLYBUDGET,{4,5,6},FALSE)),0)</f>
        <v>0</v>
      </c>
      <c r="X17" s="79">
        <f t="array" ref="X17">IFERROR(SUM(VLOOKUP($A17,MONTHLYBUDGET,{7,8,9},FALSE)),0)</f>
        <v>0</v>
      </c>
      <c r="Y17" s="79">
        <f t="array" ref="Y17">IFERROR(SUM(VLOOKUP($A17,MONTHLYBUDGET,{10,11,12},FALSE)),0)</f>
        <v>0</v>
      </c>
      <c r="Z17" s="79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64</v>
      </c>
      <c r="C18" s="4" t="e">
        <f>SUM(C8:C17)</f>
        <v>#N/A</v>
      </c>
      <c r="D18" s="4" t="e">
        <f t="shared" ref="D18:U18" si="6">SUM(D8:D17)</f>
        <v>#N/A</v>
      </c>
      <c r="E18" s="4" t="e">
        <f t="shared" si="6"/>
        <v>#N/A</v>
      </c>
      <c r="F18" s="4" t="e">
        <f t="shared" si="6"/>
        <v>#N/A</v>
      </c>
      <c r="G18" s="4" t="e">
        <f t="shared" si="6"/>
        <v>#N/A</v>
      </c>
      <c r="H18" s="4" t="e">
        <f t="shared" si="6"/>
        <v>#N/A</v>
      </c>
      <c r="I18" s="4" t="e">
        <f t="shared" si="6"/>
        <v>#N/A</v>
      </c>
      <c r="J18" s="4" t="e">
        <f t="shared" si="6"/>
        <v>#N/A</v>
      </c>
      <c r="K18" s="4" t="e">
        <f t="shared" si="6"/>
        <v>#N/A</v>
      </c>
      <c r="L18" s="4" t="e">
        <f t="shared" si="6"/>
        <v>#N/A</v>
      </c>
      <c r="M18" s="4">
        <f t="shared" si="6"/>
        <v>0</v>
      </c>
      <c r="N18" s="4">
        <f t="shared" si="6"/>
        <v>0</v>
      </c>
      <c r="O18" s="4" t="e">
        <f t="shared" si="6"/>
        <v>#N/A</v>
      </c>
      <c r="P18" s="4">
        <f t="shared" si="6"/>
        <v>0</v>
      </c>
      <c r="Q18" s="4" t="e">
        <f t="shared" si="6"/>
        <v>#N/A</v>
      </c>
      <c r="R18" s="4">
        <f t="shared" si="6"/>
        <v>0</v>
      </c>
      <c r="S18" s="4" t="e">
        <f t="shared" si="6"/>
        <v>#N/A</v>
      </c>
      <c r="T18" s="4">
        <f t="shared" si="6"/>
        <v>0</v>
      </c>
      <c r="U18" s="4" t="e">
        <f t="shared" si="6"/>
        <v>#N/A</v>
      </c>
      <c r="W18" s="80">
        <f>SUM(W8:W17)</f>
        <v>0</v>
      </c>
      <c r="X18" s="80">
        <f>SUM(X8:X17)</f>
        <v>0</v>
      </c>
      <c r="Y18" s="80">
        <f>SUM(Y8:Y17)</f>
        <v>0</v>
      </c>
      <c r="Z18" s="80">
        <f>SUM(Z8:Z17)</f>
        <v>0</v>
      </c>
    </row>
    <row r="19" spans="1:26">
      <c r="A19" s="28" t="str">
        <f>TRIM($C$3)&amp;"21220"</f>
        <v>BJC21220</v>
      </c>
      <c r="B19" s="99" t="s">
        <v>65</v>
      </c>
      <c r="C19" s="35" t="e">
        <f>IF(C$2=1,VLOOKUP($A19,ACTUAL!$A$2:$M$124,2,FALSE),0)</f>
        <v>#N/A</v>
      </c>
      <c r="D19" s="35" t="e">
        <f>IF(D$2=1,VLOOKUP($A19,ACTUAL!$A$2:$M$124,3,FALSE),0)</f>
        <v>#N/A</v>
      </c>
      <c r="E19" s="35" t="e">
        <f>IF(E$2=1,VLOOKUP($A19,ACTUAL!$A$2:$M$124,4,FALSE),0)</f>
        <v>#N/A</v>
      </c>
      <c r="F19" s="35" t="e">
        <f>IF(F$2=1,VLOOKUP($A19,ACTUAL!$A$2:$M$124,5,FALSE),0)</f>
        <v>#N/A</v>
      </c>
      <c r="G19" s="35" t="e">
        <f>IF(G$2=1,VLOOKUP($A19,ACTUAL!$A$2:$M$124,6,FALSE),0)</f>
        <v>#N/A</v>
      </c>
      <c r="H19" s="35" t="e">
        <f>IF(H$2=1,VLOOKUP($A19,ACTUAL!$A$2:$M$124,7,FALSE),0)</f>
        <v>#N/A</v>
      </c>
      <c r="I19" s="35" t="e">
        <f>IF(I$2=1,VLOOKUP($A19,ACTUAL!$A$2:$M$124,8,FALSE),0)</f>
        <v>#N/A</v>
      </c>
      <c r="J19" s="35" t="e">
        <f>IF(J$2=1,VLOOKUP($A19,ACTUAL!$A$2:$M$124,9,FALSE),0)</f>
        <v>#N/A</v>
      </c>
      <c r="K19" s="35" t="e">
        <f>IF(K$2=1,VLOOKUP($A19,ACTUAL!$A$2:$M$124,10,FALSE),0)</f>
        <v>#N/A</v>
      </c>
      <c r="L19" s="35" t="e">
        <f>IF(L$2=1,VLOOKUP($A19,ACTUAL!$A$2:$M$124,11,FALSE),0)</f>
        <v>#N/A</v>
      </c>
      <c r="M19" s="35">
        <f>IF(M$2=1,VLOOKUP($A19,ACTUAL!$A$2:$M$124,12,FALSE),0)</f>
        <v>0</v>
      </c>
      <c r="N19" s="35">
        <f>IF(N$2=1,VLOOKUP($A19,ACTUAL!$A$2:$M$124,13,FALSE),0)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3" si="7">R19+O19</f>
        <v>#N/A</v>
      </c>
      <c r="T19" s="35">
        <f>IF(ISNA(VLOOKUP($A19,BUDGET!$A$1:$C$67,3,FALSE)),0,VLOOKUP($A19,BUDGET!$A$1:$C$67,3,FALSE))</f>
        <v>0</v>
      </c>
      <c r="U19" s="8" t="e">
        <f t="shared" ref="U19:U23" si="8">T19-S19</f>
        <v>#N/A</v>
      </c>
      <c r="W19" s="79">
        <f t="array" ref="W19">IFERROR(SUM(VLOOKUP($A19,MONTHLYBUDGET,{4,5,6},FALSE)),0)</f>
        <v>0</v>
      </c>
      <c r="X19" s="79">
        <f t="array" ref="X19">IFERROR(SUM(VLOOKUP($A19,MONTHLYBUDGET,{7,8,9},FALSE)),0)</f>
        <v>0</v>
      </c>
      <c r="Y19" s="79">
        <f t="array" ref="Y19">IFERROR(SUM(VLOOKUP($A19,MONTHLYBUDGET,{10,11,12},FALSE)),0)</f>
        <v>0</v>
      </c>
      <c r="Z19" s="79">
        <f t="array" ref="Z19">IFERROR(SUM(VLOOKUP($A19,MONTHLYBUDGET,{13,14,15},FALSE)),0)</f>
        <v>0</v>
      </c>
    </row>
    <row r="20" spans="1:26">
      <c r="A20" s="28" t="str">
        <f>TRIM($C$3)&amp;"21230"</f>
        <v>BJC21230</v>
      </c>
      <c r="B20" s="94" t="s">
        <v>66</v>
      </c>
      <c r="C20" s="35" t="e">
        <f>IF(C$2=1,VLOOKUP($A20,ACTUAL!$A$2:$M$124,2,FALSE),0)</f>
        <v>#N/A</v>
      </c>
      <c r="D20" s="35" t="e">
        <f>IF(D$2=1,VLOOKUP($A20,ACTUAL!$A$2:$M$124,3,FALSE),0)</f>
        <v>#N/A</v>
      </c>
      <c r="E20" s="35" t="e">
        <f>IF(E$2=1,VLOOKUP($A20,ACTUAL!$A$2:$M$124,4,FALSE),0)</f>
        <v>#N/A</v>
      </c>
      <c r="F20" s="35" t="e">
        <f>IF(F$2=1,VLOOKUP($A20,ACTUAL!$A$2:$M$124,5,FALSE),0)</f>
        <v>#N/A</v>
      </c>
      <c r="G20" s="35" t="e">
        <f>IF(G$2=1,VLOOKUP($A20,ACTUAL!$A$2:$M$124,6,FALSE),0)</f>
        <v>#N/A</v>
      </c>
      <c r="H20" s="35" t="e">
        <f>IF(H$2=1,VLOOKUP($A20,ACTUAL!$A$2:$M$124,7,FALSE),0)</f>
        <v>#N/A</v>
      </c>
      <c r="I20" s="35" t="e">
        <f>IF(I$2=1,VLOOKUP($A20,ACTUAL!$A$2:$M$124,8,FALSE),0)</f>
        <v>#N/A</v>
      </c>
      <c r="J20" s="35" t="e">
        <f>IF(J$2=1,VLOOKUP($A20,ACTUAL!$A$2:$M$124,9,FALSE),0)</f>
        <v>#N/A</v>
      </c>
      <c r="K20" s="35" t="e">
        <f>IF(K$2=1,VLOOKUP($A20,ACTUAL!$A$2:$M$124,10,FALSE),0)</f>
        <v>#N/A</v>
      </c>
      <c r="L20" s="35" t="e">
        <f>IF(L$2=1,VLOOKUP($A20,ACTUAL!$A$2:$M$124,11,FALSE),0)</f>
        <v>#N/A</v>
      </c>
      <c r="M20" s="35">
        <f>IF(M$2=1,VLOOKUP($A20,ACTUAL!$A$2:$M$124,12,FALSE),0)</f>
        <v>0</v>
      </c>
      <c r="N20" s="35">
        <f>IF(N$2=1,VLOOKUP($A20,ACTUAL!$A$2:$M$124,13,FALSE),0)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7"/>
        <v>#N/A</v>
      </c>
      <c r="T20" s="35">
        <f>IF(ISNA(VLOOKUP($A20,BUDGET!$A$1:$C$67,3,FALSE)),0,VLOOKUP($A20,BUDGET!$A$1:$C$67,3,FALSE))</f>
        <v>0</v>
      </c>
      <c r="U20" s="8" t="e">
        <f t="shared" si="8"/>
        <v>#N/A</v>
      </c>
      <c r="W20" s="79"/>
      <c r="X20" s="79"/>
      <c r="Y20" s="79"/>
      <c r="Z20" s="79"/>
    </row>
    <row r="21" spans="1:26" ht="25.5">
      <c r="A21" s="28" t="str">
        <f>TRIM($C$3)&amp;"21240"</f>
        <v>BJC21240</v>
      </c>
      <c r="B21" s="94" t="s">
        <v>67</v>
      </c>
      <c r="C21" s="35" t="e">
        <f>IF(C$2=1,VLOOKUP($A21,ACTUAL!$A$2:$M$124,2,FALSE),0)</f>
        <v>#N/A</v>
      </c>
      <c r="D21" s="35" t="e">
        <f>IF(D$2=1,VLOOKUP($A21,ACTUAL!$A$2:$M$124,3,FALSE),0)</f>
        <v>#N/A</v>
      </c>
      <c r="E21" s="35" t="e">
        <f>IF(E$2=1,VLOOKUP($A21,ACTUAL!$A$2:$M$124,4,FALSE),0)</f>
        <v>#N/A</v>
      </c>
      <c r="F21" s="35" t="e">
        <f>IF(F$2=1,VLOOKUP($A21,ACTUAL!$A$2:$M$124,5,FALSE),0)</f>
        <v>#N/A</v>
      </c>
      <c r="G21" s="35" t="e">
        <f>IF(G$2=1,VLOOKUP($A21,ACTUAL!$A$2:$M$124,6,FALSE),0)</f>
        <v>#N/A</v>
      </c>
      <c r="H21" s="35" t="e">
        <f>IF(H$2=1,VLOOKUP($A21,ACTUAL!$A$2:$M$124,7,FALSE),0)</f>
        <v>#N/A</v>
      </c>
      <c r="I21" s="35" t="e">
        <f>IF(I$2=1,VLOOKUP($A21,ACTUAL!$A$2:$M$124,8,FALSE),0)</f>
        <v>#N/A</v>
      </c>
      <c r="J21" s="35" t="e">
        <f>IF(J$2=1,VLOOKUP($A21,ACTUAL!$A$2:$M$124,9,FALSE),0)</f>
        <v>#N/A</v>
      </c>
      <c r="K21" s="35" t="e">
        <f>IF(K$2=1,VLOOKUP($A21,ACTUAL!$A$2:$M$124,10,FALSE),0)</f>
        <v>#N/A</v>
      </c>
      <c r="L21" s="35" t="e">
        <f>IF(L$2=1,VLOOKUP($A21,ACTUAL!$A$2:$M$124,11,FALSE),0)</f>
        <v>#N/A</v>
      </c>
      <c r="M21" s="35">
        <f>IF(M$2=1,VLOOKUP($A21,ACTUAL!$A$2:$M$124,12,FALSE),0)</f>
        <v>0</v>
      </c>
      <c r="N21" s="35">
        <f>IF(N$2=1,VLOOKUP($A21,ACTUAL!$A$2:$M$124,13,FALSE),0)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7"/>
        <v>#N/A</v>
      </c>
      <c r="T21" s="35">
        <f>IF(ISNA(VLOOKUP($A21,BUDGET!$A$1:$C$67,3,FALSE)),0,VLOOKUP($A21,BUDGET!$A$1:$C$67,3,FALSE))</f>
        <v>0</v>
      </c>
      <c r="U21" s="8" t="e">
        <f t="shared" si="8"/>
        <v>#N/A</v>
      </c>
      <c r="W21" s="79"/>
      <c r="X21" s="79"/>
      <c r="Y21" s="79"/>
      <c r="Z21" s="79"/>
    </row>
    <row r="22" spans="1:26">
      <c r="A22" s="28" t="str">
        <f>TRIM($C$3)&amp;"21250"</f>
        <v>BJC21250</v>
      </c>
      <c r="B22" s="94" t="s">
        <v>68</v>
      </c>
      <c r="C22" s="35" t="e">
        <f>IF(C$2=1,VLOOKUP($A22,ACTUAL!$A$2:$M$124,2,FALSE),0)</f>
        <v>#N/A</v>
      </c>
      <c r="D22" s="35" t="e">
        <f>IF(D$2=1,VLOOKUP($A22,ACTUAL!$A$2:$M$124,3,FALSE),0)</f>
        <v>#N/A</v>
      </c>
      <c r="E22" s="35" t="e">
        <f>IF(E$2=1,VLOOKUP($A22,ACTUAL!$A$2:$M$124,4,FALSE),0)</f>
        <v>#N/A</v>
      </c>
      <c r="F22" s="35" t="e">
        <f>IF(F$2=1,VLOOKUP($A22,ACTUAL!$A$2:$M$124,5,FALSE),0)</f>
        <v>#N/A</v>
      </c>
      <c r="G22" s="35" t="e">
        <f>IF(G$2=1,VLOOKUP($A22,ACTUAL!$A$2:$M$124,6,FALSE),0)</f>
        <v>#N/A</v>
      </c>
      <c r="H22" s="35" t="e">
        <f>IF(H$2=1,VLOOKUP($A22,ACTUAL!$A$2:$M$124,7,FALSE),0)</f>
        <v>#N/A</v>
      </c>
      <c r="I22" s="35" t="e">
        <f>IF(I$2=1,VLOOKUP($A22,ACTUAL!$A$2:$M$124,8,FALSE),0)</f>
        <v>#N/A</v>
      </c>
      <c r="J22" s="35" t="e">
        <f>IF(J$2=1,VLOOKUP($A22,ACTUAL!$A$2:$M$124,9,FALSE),0)</f>
        <v>#N/A</v>
      </c>
      <c r="K22" s="35" t="e">
        <f>IF(K$2=1,VLOOKUP($A22,ACTUAL!$A$2:$M$124,10,FALSE),0)</f>
        <v>#N/A</v>
      </c>
      <c r="L22" s="35" t="e">
        <f>IF(L$2=1,VLOOKUP($A22,ACTUAL!$A$2:$M$124,11,FALSE),0)</f>
        <v>#N/A</v>
      </c>
      <c r="M22" s="35">
        <f>IF(M$2=1,VLOOKUP($A22,ACTUAL!$A$2:$M$124,12,FALSE),0)</f>
        <v>0</v>
      </c>
      <c r="N22" s="35">
        <f>IF(N$2=1,VLOOKUP($A22,ACTUAL!$A$2:$M$124,13,FALSE),0)</f>
        <v>0</v>
      </c>
      <c r="O22" s="8" t="e">
        <f t="shared" ref="O22:O23" si="9">SUM(C22:N22)</f>
        <v>#N/A</v>
      </c>
      <c r="P22" s="35">
        <f>IF(ISNA(VLOOKUP($A22,BUDGET!$A$1:$C$67,2,FALSE)),0,VLOOKUP($A22,BUDGET!$A$1:$C$67,2,FALSE))</f>
        <v>0</v>
      </c>
      <c r="Q22" s="8" t="e">
        <f t="shared" ref="Q22:Q23" si="10">P22-O22</f>
        <v>#N/A</v>
      </c>
      <c r="R22" s="27"/>
      <c r="S22" s="22" t="e">
        <f t="shared" si="7"/>
        <v>#N/A</v>
      </c>
      <c r="T22" s="35">
        <f>IF(ISNA(VLOOKUP($A22,BUDGET!$A$1:$C$67,3,FALSE)),0,VLOOKUP($A22,BUDGET!$A$1:$C$67,3,FALSE))</f>
        <v>0</v>
      </c>
      <c r="U22" s="8" t="e">
        <f t="shared" si="8"/>
        <v>#N/A</v>
      </c>
      <c r="W22" s="79"/>
      <c r="X22" s="79"/>
      <c r="Y22" s="79"/>
      <c r="Z22" s="79"/>
    </row>
    <row r="23" spans="1:26" ht="13.5" thickBot="1">
      <c r="A23" s="28" t="str">
        <f>TRIM($C$3)&amp;"21260"</f>
        <v>BJC21260</v>
      </c>
      <c r="B23" s="7" t="s">
        <v>69</v>
      </c>
      <c r="C23" s="35" t="e">
        <f>IF(C$2=1,VLOOKUP($A23,ACTUAL!$A$2:$M$124,2,FALSE),0)</f>
        <v>#N/A</v>
      </c>
      <c r="D23" s="35" t="e">
        <f>IF(D$2=1,VLOOKUP($A23,ACTUAL!$A$2:$M$124,3,FALSE),0)</f>
        <v>#N/A</v>
      </c>
      <c r="E23" s="35" t="e">
        <f>IF(E$2=1,VLOOKUP($A23,ACTUAL!$A$2:$M$124,4,FALSE),0)</f>
        <v>#N/A</v>
      </c>
      <c r="F23" s="35" t="e">
        <f>IF(F$2=1,VLOOKUP($A23,ACTUAL!$A$2:$M$124,5,FALSE),0)</f>
        <v>#N/A</v>
      </c>
      <c r="G23" s="35" t="e">
        <f>IF(G$2=1,VLOOKUP($A23,ACTUAL!$A$2:$M$124,6,FALSE),0)</f>
        <v>#N/A</v>
      </c>
      <c r="H23" s="35" t="e">
        <f>IF(H$2=1,VLOOKUP($A23,ACTUAL!$A$2:$M$124,7,FALSE),0)</f>
        <v>#N/A</v>
      </c>
      <c r="I23" s="35" t="e">
        <f>IF(I$2=1,VLOOKUP($A23,ACTUAL!$A$2:$M$124,8,FALSE),0)</f>
        <v>#N/A</v>
      </c>
      <c r="J23" s="35" t="e">
        <f>IF(J$2=1,VLOOKUP($A23,ACTUAL!$A$2:$M$124,9,FALSE),0)</f>
        <v>#N/A</v>
      </c>
      <c r="K23" s="35" t="e">
        <f>IF(K$2=1,VLOOKUP($A23,ACTUAL!$A$2:$M$124,10,FALSE),0)</f>
        <v>#N/A</v>
      </c>
      <c r="L23" s="35" t="e">
        <f>IF(L$2=1,VLOOKUP($A23,ACTUAL!$A$2:$M$124,11,FALSE),0)</f>
        <v>#N/A</v>
      </c>
      <c r="M23" s="35">
        <f>IF(M$2=1,VLOOKUP($A23,ACTUAL!$A$2:$M$124,12,FALSE),0)</f>
        <v>0</v>
      </c>
      <c r="N23" s="35">
        <f>IF(N$2=1,VLOOKUP($A23,ACTUAL!$A$2:$M$124,13,FALSE),0)</f>
        <v>0</v>
      </c>
      <c r="O23" s="8" t="e">
        <f t="shared" si="9"/>
        <v>#N/A</v>
      </c>
      <c r="P23" s="35">
        <f>IF(ISNA(VLOOKUP($A23,BUDGET!$A$1:$C$67,2,FALSE)),0,VLOOKUP($A23,BUDGET!$A$1:$C$67,2,FALSE))</f>
        <v>0</v>
      </c>
      <c r="Q23" s="8" t="e">
        <f t="shared" si="10"/>
        <v>#N/A</v>
      </c>
      <c r="R23" s="27"/>
      <c r="S23" s="22" t="e">
        <f t="shared" si="7"/>
        <v>#N/A</v>
      </c>
      <c r="T23" s="35">
        <f>IF(ISNA(VLOOKUP($A23,BUDGET!$A$1:$C$67,3,FALSE)),0,VLOOKUP($A23,BUDGET!$A$1:$C$67,3,FALSE))</f>
        <v>0</v>
      </c>
      <c r="U23" s="8" t="e">
        <f t="shared" si="8"/>
        <v>#N/A</v>
      </c>
      <c r="W23" s="79">
        <f t="array" ref="W23">IFERROR(SUM(VLOOKUP($A23,MONTHLYBUDGET,{4,5,6},FALSE)),0)</f>
        <v>0</v>
      </c>
      <c r="X23" s="79">
        <f t="array" ref="X23">IFERROR(SUM(VLOOKUP($A23,MONTHLYBUDGET,{7,8,9},FALSE)),0)</f>
        <v>0</v>
      </c>
      <c r="Y23" s="79">
        <f t="array" ref="Y23">IFERROR(SUM(VLOOKUP($A23,MONTHLYBUDGET,{10,11,12},FALSE)),0)</f>
        <v>0</v>
      </c>
      <c r="Z23" s="79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22</v>
      </c>
      <c r="C24" s="5" t="e">
        <f>SUM(C18:C23)</f>
        <v>#N/A</v>
      </c>
      <c r="D24" s="5" t="e">
        <f t="shared" ref="D24:Q24" si="11">SUM(D18:D23)</f>
        <v>#N/A</v>
      </c>
      <c r="E24" s="5" t="e">
        <f t="shared" si="11"/>
        <v>#N/A</v>
      </c>
      <c r="F24" s="5" t="e">
        <f t="shared" si="11"/>
        <v>#N/A</v>
      </c>
      <c r="G24" s="5" t="e">
        <f t="shared" si="11"/>
        <v>#N/A</v>
      </c>
      <c r="H24" s="5" t="e">
        <f t="shared" si="11"/>
        <v>#N/A</v>
      </c>
      <c r="I24" s="5" t="e">
        <f t="shared" si="11"/>
        <v>#N/A</v>
      </c>
      <c r="J24" s="5" t="e">
        <f t="shared" si="11"/>
        <v>#N/A</v>
      </c>
      <c r="K24" s="5" t="e">
        <f t="shared" si="11"/>
        <v>#N/A</v>
      </c>
      <c r="L24" s="5" t="e">
        <f t="shared" si="11"/>
        <v>#N/A</v>
      </c>
      <c r="M24" s="5">
        <f t="shared" si="11"/>
        <v>0</v>
      </c>
      <c r="N24" s="5">
        <f t="shared" si="11"/>
        <v>0</v>
      </c>
      <c r="O24" s="5" t="e">
        <f t="shared" si="11"/>
        <v>#N/A</v>
      </c>
      <c r="P24" s="5">
        <f t="shared" si="11"/>
        <v>0</v>
      </c>
      <c r="Q24" s="5" t="e">
        <f t="shared" si="11"/>
        <v>#N/A</v>
      </c>
      <c r="R24" s="5">
        <f>SUM(R18:R23)</f>
        <v>0</v>
      </c>
      <c r="S24" s="5" t="e">
        <f t="shared" ref="S24" si="12">SUM(S18:S23)</f>
        <v>#N/A</v>
      </c>
      <c r="T24" s="5">
        <f t="shared" ref="T24" si="13">SUM(T18:T23)</f>
        <v>0</v>
      </c>
      <c r="U24" s="5" t="e">
        <f t="shared" ref="U24" si="14">SUM(U18:U23)</f>
        <v>#N/A</v>
      </c>
    </row>
    <row r="25" spans="1:26" s="6" customFormat="1" ht="14.25" thickTop="1" thickBot="1">
      <c r="A25" s="28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7"/>
      <c r="T25" s="136"/>
      <c r="U25" s="136"/>
    </row>
    <row r="26" spans="1:26" ht="13.5" thickBot="1">
      <c r="A26" s="28" t="str">
        <f>TRIM($C$3)&amp;"11120"</f>
        <v>BJC11120</v>
      </c>
      <c r="B26" s="12" t="s">
        <v>88</v>
      </c>
      <c r="C26" s="5" t="e">
        <f>IF(C$2=1,VLOOKUP($A26,ACTUAL!$A$2:$M$124,2,FALSE),0)</f>
        <v>#N/A</v>
      </c>
      <c r="D26" s="5" t="e">
        <f>IF(D$2=1,VLOOKUP($A26,ACTUAL!$A$2:$M$124,3,FALSE),0)</f>
        <v>#N/A</v>
      </c>
      <c r="E26" s="5" t="e">
        <f>IF(E$2=1,VLOOKUP($A26,ACTUAL!$A$2:$M$124,4,FALSE),0)</f>
        <v>#N/A</v>
      </c>
      <c r="F26" s="5" t="e">
        <f>IF(F$2=1,VLOOKUP($A26,ACTUAL!$A$2:$M$124,5,FALSE),0)</f>
        <v>#N/A</v>
      </c>
      <c r="G26" s="5" t="e">
        <f>IF(G$2=1,VLOOKUP($A26,ACTUAL!$A$2:$M$124,6,FALSE),0)</f>
        <v>#N/A</v>
      </c>
      <c r="H26" s="5" t="e">
        <f>IF(H$2=1,VLOOKUP($A26,ACTUAL!$A$2:$M$124,7,FALSE),0)</f>
        <v>#N/A</v>
      </c>
      <c r="I26" s="5" t="e">
        <f>IF(I$2=1,VLOOKUP($A26,ACTUAL!$A$2:$M$124,8,FALSE),0)</f>
        <v>#N/A</v>
      </c>
      <c r="J26" s="5" t="e">
        <f>IF(J$2=1,VLOOKUP($A26,ACTUAL!$A$2:$M$124,9,FALSE),0)</f>
        <v>#N/A</v>
      </c>
      <c r="K26" s="5" t="e">
        <f>IF(K$2=1,VLOOKUP($A26,ACTUAL!$A$2:$M$124,10,FALSE),0)</f>
        <v>#N/A</v>
      </c>
      <c r="L26" s="5" t="e">
        <f>IF(L$2=1,VLOOKUP($A26,ACTUAL!$A$2:$M$124,11,FALSE),0)</f>
        <v>#N/A</v>
      </c>
      <c r="M26" s="5">
        <f>IF(M$2=1,VLOOKUP($A26,ACTUAL!$A$2:$M$124,12,FALSE),0)</f>
        <v>0</v>
      </c>
      <c r="N26" s="5">
        <f>IF(N$2=1,VLOOKUP($A26,ACTUAL!$A$2:$M$124,13,FALSE),0)</f>
        <v>0</v>
      </c>
      <c r="O26" s="5" t="e">
        <f t="shared" ref="O26" si="15">SUM(C26:N26)</f>
        <v>#N/A</v>
      </c>
      <c r="P26" s="5">
        <f>IF(ISNA(VLOOKUP($A26,BUDGET!$A$1:$C$67,2,FALSE)),0,VLOOKUP($A26,BUDGET!$A$1:$C$67,2,FALSE))</f>
        <v>0</v>
      </c>
      <c r="Q26" s="5" t="e">
        <f t="shared" ref="Q26" si="16">P26-O26</f>
        <v>#N/A</v>
      </c>
      <c r="R26" s="138"/>
      <c r="S26" s="5" t="e">
        <f>R26+O26</f>
        <v>#N/A</v>
      </c>
      <c r="T26" s="5">
        <f>IF(ISNA(VLOOKUP($A26,BUDGET!$A$1:$C$67,3,FALSE)),0,VLOOKUP($A26,BUDGET!$A$1:$C$67,3,FALSE))</f>
        <v>0</v>
      </c>
      <c r="U26" s="5" t="e">
        <f>T26-S26</f>
        <v>#N/A</v>
      </c>
      <c r="W26" s="79">
        <f t="array" ref="W26">IFERROR(SUM(VLOOKUP($A26,MONTHLYBUDGET,{4,5,6},FALSE)),0)</f>
        <v>0</v>
      </c>
      <c r="X26" s="79">
        <f t="array" ref="X26">IFERROR(SUM(VLOOKUP($A26,MONTHLYBUDGET,{7,8,9},FALSE)),0)</f>
        <v>0</v>
      </c>
      <c r="Y26" s="79">
        <f t="array" ref="Y26">IFERROR(SUM(VLOOKUP($A26,MONTHLYBUDGET,{10,11,12},FALSE)),0)</f>
        <v>0</v>
      </c>
      <c r="Z26" s="79">
        <f t="array" ref="Z26">IFERROR(SUM(VLOOKUP($A26,MONTHLYBUDGET,{13,14,15},FALSE)),0)</f>
        <v>0</v>
      </c>
    </row>
    <row r="27" spans="1:26" s="29" customFormat="1" ht="13.5" thickTop="1">
      <c r="A27" s="79"/>
      <c r="B27" s="79" t="s">
        <v>32</v>
      </c>
      <c r="C27" s="122" t="e">
        <f>VLOOKUP($C$3&amp;"01",'YTD VARIANCE'!$A:$E,5,FALSE)</f>
        <v>#N/A</v>
      </c>
      <c r="D27" s="122" t="e">
        <f>IF(D$2=1,VLOOKUP($C$3&amp;"02",'YTD VARIANCE'!$A:$E,5,FALSE),0)</f>
        <v>#N/A</v>
      </c>
      <c r="E27" s="122" t="e">
        <f>IF(E2=1,VLOOKUP($C$3&amp;"03",'YTD VARIANCE'!$A:$E,5,FALSE),0)</f>
        <v>#N/A</v>
      </c>
      <c r="F27" s="122" t="e">
        <f>IF(F2=1,VLOOKUP($C$3&amp;"04",'YTD VARIANCE'!$A:$E,5,FALSE),0)</f>
        <v>#N/A</v>
      </c>
      <c r="G27" s="122" t="e">
        <f>IF(G2=1,VLOOKUP($C$3&amp;"05",'YTD VARIANCE'!$A:$E,5,FALSE),0)</f>
        <v>#N/A</v>
      </c>
      <c r="H27" s="122" t="e">
        <f>IF(H2=1,VLOOKUP($C$3&amp;"06",'YTD VARIANCE'!$A:$E,5,FALSE),0)</f>
        <v>#N/A</v>
      </c>
      <c r="I27" s="122" t="e">
        <f>IF(I2=1,VLOOKUP($C$3&amp;"07",'YTD VARIANCE'!$A:$E,5,FALSE),0)</f>
        <v>#N/A</v>
      </c>
      <c r="J27" s="122" t="e">
        <f>IF(J2=1,VLOOKUP($C$3&amp;"08",'YTD VARIANCE'!$A:$E,5,FALSE),0)</f>
        <v>#N/A</v>
      </c>
      <c r="K27" s="122" t="e">
        <f>IF(K2=1,VLOOKUP($C$3&amp;"09",'YTD VARIANCE'!$A:$E,5,FALSE),0)</f>
        <v>#N/A</v>
      </c>
      <c r="L27" s="122" t="e">
        <f>IF(L2=1,VLOOKUP($C$3&amp;"10",'YTD VARIANCE'!$A:$E,5,FALSE),0)</f>
        <v>#N/A</v>
      </c>
      <c r="M27" s="122">
        <f>IF(M2=1,VLOOKUP($C$3&amp;"11",'YTD VARIANCE'!$A:$E,5,FALSE),0)</f>
        <v>0</v>
      </c>
      <c r="N27" s="122">
        <f>IF(N2=1,VLOOKUP($C$3&amp;"12",'YTD VARIANCE'!$A:$E,5,FALSE),0)</f>
        <v>0</v>
      </c>
      <c r="O27" s="104"/>
      <c r="P27" s="104"/>
      <c r="Q27" s="34"/>
      <c r="R27" s="34"/>
      <c r="T27" s="34"/>
    </row>
    <row r="28" spans="1:26">
      <c r="A28" s="6"/>
      <c r="B28" s="6" t="s">
        <v>28</v>
      </c>
    </row>
    <row r="29" spans="1:26">
      <c r="A29" s="32"/>
      <c r="B29" s="9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90"/>
      <c r="P30" s="90"/>
      <c r="R30" s="17"/>
      <c r="T30" s="17"/>
    </row>
    <row r="31" spans="1:26" s="18" customFormat="1">
      <c r="A31" s="32"/>
      <c r="B31" s="9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0"/>
      <c r="P31" s="90"/>
      <c r="R31" s="17"/>
      <c r="T31" s="17"/>
    </row>
    <row r="32" spans="1:26" s="18" customFormat="1">
      <c r="A32" s="33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0"/>
      <c r="P32" s="90"/>
      <c r="R32" s="17"/>
      <c r="T32" s="17"/>
    </row>
    <row r="33" spans="1:20" s="18" customFormat="1">
      <c r="A33" s="32"/>
      <c r="B33" s="95"/>
      <c r="C33" s="93"/>
      <c r="D33" s="93"/>
      <c r="E33" s="93"/>
      <c r="F33" s="93"/>
      <c r="G33" s="93"/>
      <c r="H33" s="93"/>
      <c r="I33" s="96"/>
      <c r="J33" s="96"/>
      <c r="K33" s="93"/>
      <c r="L33" s="93"/>
      <c r="M33" s="93"/>
      <c r="N33" s="93"/>
      <c r="O33" s="93"/>
      <c r="P33" s="90"/>
      <c r="R33" s="17"/>
      <c r="T33" s="17"/>
    </row>
    <row r="34" spans="1:20" s="18" customFormat="1">
      <c r="A34" s="33"/>
      <c r="B34" s="95"/>
      <c r="C34" s="93"/>
      <c r="D34" s="93"/>
      <c r="E34" s="93"/>
      <c r="F34" s="93"/>
      <c r="G34" s="93"/>
      <c r="H34" s="93"/>
      <c r="I34" s="96"/>
      <c r="J34" s="96"/>
      <c r="K34" s="93"/>
      <c r="L34" s="93"/>
      <c r="M34" s="93"/>
      <c r="N34" s="93"/>
      <c r="O34" s="93"/>
      <c r="P34" s="90"/>
      <c r="R34" s="17"/>
      <c r="T34" s="17"/>
    </row>
    <row r="35" spans="1:20" s="18" customFormat="1">
      <c r="A35" s="32"/>
      <c r="B35" s="97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0"/>
      <c r="R35" s="17"/>
      <c r="T35" s="17"/>
    </row>
    <row r="36" spans="1:20" s="18" customFormat="1">
      <c r="A36" s="33"/>
      <c r="B36" s="95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0"/>
      <c r="R36" s="17"/>
      <c r="T36" s="17"/>
    </row>
    <row r="37" spans="1:20" s="18" customFormat="1">
      <c r="A37" s="32"/>
      <c r="B37" s="95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0"/>
      <c r="R37" s="17"/>
      <c r="T37" s="17"/>
    </row>
    <row r="38" spans="1:20" s="18" customFormat="1">
      <c r="A38" s="33"/>
      <c r="B38" s="95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0"/>
      <c r="R38" s="17"/>
      <c r="T38" s="17"/>
    </row>
    <row r="39" spans="1:20" s="18" customFormat="1">
      <c r="A39" s="32"/>
      <c r="B39" s="95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0"/>
      <c r="R39" s="17"/>
      <c r="T39" s="17"/>
    </row>
    <row r="40" spans="1:20" s="18" customFormat="1">
      <c r="A40" s="33"/>
      <c r="B40" s="95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0"/>
      <c r="R40" s="17"/>
      <c r="T40" s="17"/>
    </row>
    <row r="41" spans="1:20" s="18" customFormat="1">
      <c r="A41" s="32"/>
      <c r="B41" s="95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0"/>
      <c r="R41" s="17"/>
      <c r="T41" s="17"/>
    </row>
    <row r="42" spans="1:20" s="18" customFormat="1">
      <c r="A42" s="33"/>
      <c r="B42" s="95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0"/>
      <c r="R42" s="17"/>
      <c r="T42" s="17"/>
    </row>
    <row r="43" spans="1:20" s="18" customFormat="1">
      <c r="A43" s="32"/>
      <c r="B43" s="95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0"/>
      <c r="R43" s="17"/>
      <c r="T43" s="17"/>
    </row>
    <row r="44" spans="1:20" s="18" customFormat="1">
      <c r="A44" s="33"/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0"/>
      <c r="R44" s="17"/>
      <c r="T44" s="17"/>
    </row>
    <row r="45" spans="1:20" s="18" customFormat="1">
      <c r="A45" s="32"/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0"/>
      <c r="R45" s="17"/>
      <c r="T45" s="17"/>
    </row>
    <row r="46" spans="1:20" s="18" customFormat="1">
      <c r="A46" s="33"/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0"/>
      <c r="R46" s="17"/>
      <c r="T46" s="17"/>
    </row>
    <row r="47" spans="1:20" s="18" customFormat="1">
      <c r="A47" s="32"/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0"/>
      <c r="R47" s="17"/>
      <c r="T47" s="17"/>
    </row>
    <row r="48" spans="1:20" s="18" customFormat="1">
      <c r="A48" s="33"/>
      <c r="B48" s="8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90"/>
      <c r="P48" s="90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0"/>
      <c r="P49" s="90"/>
      <c r="R49" s="17"/>
      <c r="T49" s="17"/>
    </row>
    <row r="50" spans="1:20" s="18" customFormat="1">
      <c r="A50" s="33"/>
      <c r="B50" s="8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90"/>
      <c r="P50" s="90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90"/>
      <c r="P51" s="90"/>
      <c r="R51" s="17"/>
      <c r="T51" s="17"/>
    </row>
    <row r="52" spans="1:20" s="18" customFormat="1">
      <c r="A52" s="33"/>
      <c r="B52" s="89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90"/>
      <c r="P52" s="90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0"/>
      <c r="P53" s="90"/>
      <c r="R53" s="17"/>
      <c r="T53" s="17"/>
    </row>
    <row r="54" spans="1:20" s="18" customFormat="1">
      <c r="A54" s="33"/>
      <c r="B54" s="89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0"/>
      <c r="P54" s="90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0"/>
      <c r="P55" s="90"/>
      <c r="R55" s="17"/>
      <c r="T55" s="17"/>
    </row>
    <row r="56" spans="1:20" s="18" customFormat="1">
      <c r="A56" s="33"/>
      <c r="B56" s="89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0"/>
      <c r="P56" s="90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0"/>
      <c r="P57" s="90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90"/>
      <c r="P58" s="90"/>
      <c r="R58" s="17"/>
      <c r="T58" s="17"/>
    </row>
    <row r="59" spans="1:20" s="18" customFormat="1">
      <c r="A59" s="33"/>
      <c r="B59" s="8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90"/>
      <c r="P59" s="90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90"/>
      <c r="P60" s="90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0"/>
      <c r="P61" s="90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0"/>
      <c r="P62" s="90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0"/>
      <c r="P63" s="90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0"/>
      <c r="P64" s="90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0"/>
      <c r="P65" s="90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90"/>
      <c r="P66" s="90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90"/>
      <c r="P67" s="90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0"/>
      <c r="P68" s="90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0"/>
      <c r="P69" s="90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90"/>
      <c r="P70" s="90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90"/>
      <c r="P71" s="90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0"/>
      <c r="P72" s="90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0"/>
      <c r="P73" s="90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90"/>
      <c r="P74" s="90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90"/>
      <c r="P75" s="90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0"/>
      <c r="P76" s="90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0"/>
      <c r="P77" s="90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90"/>
      <c r="P78" s="90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90"/>
      <c r="P79" s="90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0"/>
      <c r="P80" s="90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0"/>
      <c r="P81" s="90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90"/>
      <c r="P82" s="90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90"/>
      <c r="P83" s="90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0"/>
      <c r="P84" s="90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0"/>
      <c r="P85" s="90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Z365"/>
  <sheetViews>
    <sheetView zoomScaleNormal="100" workbookViewId="0">
      <pane xSplit="2" ySplit="6" topLeftCell="I7" activePane="bottomRight" state="frozen"/>
      <selection activeCell="A25" sqref="A25"/>
      <selection pane="topRight" activeCell="A25" sqref="A25"/>
      <selection pane="bottomLeft" activeCell="A25" sqref="A25"/>
      <selection pane="bottomRight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2" t="e">
        <f>VLOOKUP($C$3&amp;"01",'RUNNING DAYS'!$A:$B,2,FALSE)</f>
        <v>#N/A</v>
      </c>
      <c r="D1" s="102" t="e">
        <f>IF(D$2=1,VLOOKUP($C$3&amp;"02",'RUNNING DAYS'!$A:$B,2,FALSE),0)</f>
        <v>#N/A</v>
      </c>
      <c r="E1" s="102" t="e">
        <f>IF(E$2=1,VLOOKUP($C$3&amp;"03",'RUNNING DAYS'!$A:$B,2,FALSE),0)</f>
        <v>#N/A</v>
      </c>
      <c r="F1" s="102" t="e">
        <f>IF(F$2=1,VLOOKUP($C$3&amp;"04",'RUNNING DAYS'!$A:$B,2,FALSE),0)</f>
        <v>#N/A</v>
      </c>
      <c r="G1" s="102" t="e">
        <f>IF(G$2=1,VLOOKUP($C$3&amp;"05",'RUNNING DAYS'!$A:$B,2,FALSE),0)</f>
        <v>#N/A</v>
      </c>
      <c r="H1" s="102" t="e">
        <f>IF(H$2=1,VLOOKUP($C$3&amp;"06",'RUNNING DAYS'!$A:$B,2,FALSE),0)</f>
        <v>#N/A</v>
      </c>
      <c r="I1" s="102" t="e">
        <f>IF(I$2=1,VLOOKUP($C$3&amp;"07",'RUNNING DAYS'!$A:$B,2,FALSE),0)</f>
        <v>#N/A</v>
      </c>
      <c r="J1" s="102" t="e">
        <f>IF(J$2=1,VLOOKUP($C$3&amp;"08",'RUNNING DAYS'!$A:$B,2,FALSE),0)</f>
        <v>#N/A</v>
      </c>
      <c r="K1" s="102" t="e">
        <f>IF(K$2=1,VLOOKUP($C$3&amp;"09",'RUNNING DAYS'!$A:$B,2,FALSE),0)</f>
        <v>#N/A</v>
      </c>
      <c r="L1" s="102" t="e">
        <f>IF(L$2=1,VLOOKUP($C$3&amp;"10",'RUNNING DAYS'!$A:$B,2,FALSE),0)</f>
        <v>#N/A</v>
      </c>
      <c r="M1" s="102">
        <f>IF(M$2=1,VLOOKUP($C$3&amp;"11",'RUNNING DAYS'!$A:$B,2,FALSE),0)</f>
        <v>0</v>
      </c>
      <c r="N1" s="102">
        <f>IF(N$2=1,VLOOKUP($C$3&amp;"12",'RUNNING DAYS'!$A:$B,2,FALSE),0)</f>
        <v>0</v>
      </c>
      <c r="O1" s="123" t="e">
        <f>SUM(C1:L1)</f>
        <v>#N/A</v>
      </c>
      <c r="P1" s="79">
        <f t="shared" ref="P1" si="0">DAY(EOMONTH(DATE(YEAR(L2),1,1),0))</f>
        <v>31</v>
      </c>
      <c r="Q1" s="79"/>
      <c r="R1" s="102"/>
      <c r="S1" s="79"/>
      <c r="T1" s="102"/>
      <c r="W1" s="79">
        <f t="array" ref="W1">IFERROR(SUM(VLOOKUP($A1,MONTHLYBUDGET,{4,5,6},FALSE)),0)</f>
        <v>0</v>
      </c>
      <c r="X1" s="79">
        <f t="array" ref="X1">IFERROR(SUM(VLOOKUP($A1,MONTHLYBUDGET,{7,8,9},FALSE)),0)</f>
        <v>0</v>
      </c>
      <c r="Y1" s="79">
        <f t="array" ref="Y1">IFERROR(SUM(VLOOKUP($A1,MONTHLYBUDGET,{10,11,12},FALSE)),0)</f>
        <v>0</v>
      </c>
      <c r="Z1" s="79">
        <f t="array" ref="Z1">IFERROR(SUM(VLOOKUP($A1,MONTHLYBUDGET,{13,14,15},FALSE)),0)</f>
        <v>0</v>
      </c>
    </row>
    <row r="2" spans="1:26" s="21" customFormat="1">
      <c r="A2" s="24"/>
      <c r="B2" s="124">
        <f>Summary!C1</f>
        <v>44500</v>
      </c>
      <c r="C2" s="102">
        <v>1</v>
      </c>
      <c r="D2" s="102">
        <f>IF(MONTH($B$2)&lt;2,0,1)</f>
        <v>1</v>
      </c>
      <c r="E2" s="102">
        <f>IF(MONTH($B$2)&lt;3,0,1)</f>
        <v>1</v>
      </c>
      <c r="F2" s="102">
        <f>IF(MONTH($B$2)&lt;4,0,1)</f>
        <v>1</v>
      </c>
      <c r="G2" s="102">
        <f>IF(MONTH($B$2)&lt;5,0,1)</f>
        <v>1</v>
      </c>
      <c r="H2" s="102">
        <f>IF(MONTH($B$2)&lt;6,0,1)</f>
        <v>1</v>
      </c>
      <c r="I2" s="102">
        <f>IF(MONTH($B$2)&lt;7,0,1)</f>
        <v>1</v>
      </c>
      <c r="J2" s="102">
        <f>IF(MONTH($B$2)&lt;8,0,1)</f>
        <v>1</v>
      </c>
      <c r="K2" s="102">
        <f>IF(MONTH($B$2)&lt;9,0,1)</f>
        <v>1</v>
      </c>
      <c r="L2" s="102">
        <f>IF(MONTH($B$2)&lt;10,0,1)</f>
        <v>1</v>
      </c>
      <c r="M2" s="102">
        <f>IF(MONTH($B$2)&lt;11,0,1)</f>
        <v>0</v>
      </c>
      <c r="N2" s="102">
        <f>IF(MONTH($B$2)&lt;12,0,1)</f>
        <v>0</v>
      </c>
      <c r="O2" s="79"/>
      <c r="P2" s="79"/>
      <c r="Q2" s="79"/>
      <c r="R2" s="102"/>
      <c r="S2" s="79">
        <f>DAY(EOMONTH(DATE(YEAR(B2),1,1),0))</f>
        <v>31</v>
      </c>
      <c r="T2" s="102"/>
    </row>
    <row r="3" spans="1:26" s="6" customFormat="1">
      <c r="B3" s="6" t="s">
        <v>74</v>
      </c>
      <c r="C3" s="2" t="s">
        <v>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53" t="s">
        <v>23</v>
      </c>
      <c r="C5" s="154" t="s">
        <v>70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R5" s="157" t="s">
        <v>13</v>
      </c>
      <c r="S5" s="152" t="s">
        <v>14</v>
      </c>
      <c r="T5" s="159" t="s">
        <v>15</v>
      </c>
      <c r="U5" s="152" t="s">
        <v>16</v>
      </c>
    </row>
    <row r="6" spans="1:26" ht="43.5" customHeight="1">
      <c r="A6" s="31" t="s">
        <v>30</v>
      </c>
      <c r="B6" s="153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8" t="s">
        <v>24</v>
      </c>
      <c r="P6" s="20" t="s">
        <v>26</v>
      </c>
      <c r="Q6" s="20" t="s">
        <v>27</v>
      </c>
      <c r="R6" s="158"/>
      <c r="S6" s="152"/>
      <c r="T6" s="159"/>
      <c r="U6" s="152"/>
    </row>
    <row r="7" spans="1:26">
      <c r="A7" s="28" t="s">
        <v>29</v>
      </c>
      <c r="B7" s="9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8" t="s">
        <v>25</v>
      </c>
      <c r="P7" s="19"/>
      <c r="Q7" s="19"/>
      <c r="R7" s="23" t="s">
        <v>83</v>
      </c>
      <c r="S7" s="98" t="s">
        <v>17</v>
      </c>
      <c r="T7" s="100" t="s">
        <v>18</v>
      </c>
      <c r="U7" s="98" t="s">
        <v>19</v>
      </c>
    </row>
    <row r="8" spans="1:26">
      <c r="A8" s="28" t="str">
        <f>TRIM($C$3)&amp;"212111"</f>
        <v>BKA212111</v>
      </c>
      <c r="B8" s="1" t="s">
        <v>58</v>
      </c>
      <c r="C8" s="35" t="e">
        <f>IF(C$2=1,VLOOKUP($A8,ACTUAL!$A$2:$M$124,2,FALSE),0)</f>
        <v>#N/A</v>
      </c>
      <c r="D8" s="35" t="e">
        <f>IF(D$2=1,VLOOKUP($A8,ACTUAL!$A$2:$M$124,3,FALSE),0)</f>
        <v>#N/A</v>
      </c>
      <c r="E8" s="35" t="e">
        <f>IF(E$2=1,VLOOKUP($A8,ACTUAL!$A$2:$M$124,4,FALSE),0)</f>
        <v>#N/A</v>
      </c>
      <c r="F8" s="35" t="e">
        <f>IF(F$2=1,VLOOKUP($A8,ACTUAL!$A$2:$M$124,5,FALSE),0)</f>
        <v>#N/A</v>
      </c>
      <c r="G8" s="35" t="e">
        <f>IF(G$2=1,VLOOKUP($A8,ACTUAL!$A$2:$M$124,6,FALSE),0)</f>
        <v>#N/A</v>
      </c>
      <c r="H8" s="35" t="e">
        <f>IF(H$2=1,VLOOKUP($A8,ACTUAL!$A$2:$M$124,7,FALSE),0)</f>
        <v>#N/A</v>
      </c>
      <c r="I8" s="35" t="e">
        <f>IF(I$2=1,VLOOKUP($A8,ACTUAL!$A$2:$M$124,8,FALSE),0)</f>
        <v>#N/A</v>
      </c>
      <c r="J8" s="35" t="e">
        <f>IF(J$2=1,VLOOKUP($A8,ACTUAL!$A$2:$M$124,9,FALSE),0)</f>
        <v>#N/A</v>
      </c>
      <c r="K8" s="35" t="e">
        <f>IF(K$2=1,VLOOKUP($A8,ACTUAL!$A$2:$M$124,10,FALSE),0)</f>
        <v>#N/A</v>
      </c>
      <c r="L8" s="35" t="e">
        <f>IF(L$2=1,VLOOKUP($A8,ACTUAL!$A$2:$M$124,11,FALSE),0)</f>
        <v>#N/A</v>
      </c>
      <c r="M8" s="35">
        <f>IF(M$2=1,VLOOKUP($A8,ACTUAL!$A$2:$M$124,12,FALSE),0)</f>
        <v>0</v>
      </c>
      <c r="N8" s="35">
        <f>IF(N$2=1,VLOOKUP($A8,ACTUAL!$A$2:$M$124,13,FALSE),0)</f>
        <v>0</v>
      </c>
      <c r="O8" s="8" t="e">
        <f t="shared" ref="O8:O11" si="1">SUM(C8:N8)</f>
        <v>#N/A</v>
      </c>
      <c r="P8" s="35">
        <f>IF(ISNA(VLOOKUP($A8,BUDGET!$A$1:$C$67,2,FALSE)),0,VLOOKUP($A8,BUDGET!$A$1:$C$67,2,FALSE))</f>
        <v>0</v>
      </c>
      <c r="Q8" s="8" t="e">
        <f t="shared" ref="Q8:Q11" si="2">P8-O8</f>
        <v>#N/A</v>
      </c>
      <c r="R8" s="88"/>
      <c r="S8" s="22" t="e">
        <f>R8+O8</f>
        <v>#N/A</v>
      </c>
      <c r="T8" s="35">
        <f>IF(ISNA(VLOOKUP($A8,BUDGET!$A$1:$C$67,3,FALSE)),0,VLOOKUP($A8,BUDGET!$A$1:$C$67,3,FALSE))</f>
        <v>0</v>
      </c>
      <c r="U8" s="8" t="e">
        <f>T8-S8</f>
        <v>#N/A</v>
      </c>
      <c r="W8" s="79">
        <f t="array" ref="W8">IFERROR(SUM(VLOOKUP($A8,MONTHLYBUDGET,{4,5,6},FALSE)),0)</f>
        <v>0</v>
      </c>
      <c r="X8" s="79">
        <f t="array" ref="X8">IFERROR(SUM(VLOOKUP($A8,MONTHLYBUDGET,{7,8,9},FALSE)),0)</f>
        <v>0</v>
      </c>
      <c r="Y8" s="79">
        <f t="array" ref="Y8">IFERROR(SUM(VLOOKUP($A8,MONTHLYBUDGET,{10,11,12},FALSE)),0)</f>
        <v>0</v>
      </c>
      <c r="Z8" s="79">
        <f t="array" ref="Z8">IFERROR(SUM(VLOOKUP($A8,MONTHLYBUDGET,{13,14,15},FALSE)),0)</f>
        <v>0</v>
      </c>
    </row>
    <row r="9" spans="1:26">
      <c r="A9" s="28" t="str">
        <f>TRIM($C$3)&amp;"212112"</f>
        <v>BKA212112</v>
      </c>
      <c r="B9" s="1" t="s">
        <v>59</v>
      </c>
      <c r="C9" s="35" t="e">
        <f>IF(C$2=1,VLOOKUP($A9,ACTUAL!$A$2:$M$124,2,FALSE),0)</f>
        <v>#N/A</v>
      </c>
      <c r="D9" s="35" t="e">
        <f>IF(D$2=1,VLOOKUP($A9,ACTUAL!$A$2:$M$124,3,FALSE),0)</f>
        <v>#N/A</v>
      </c>
      <c r="E9" s="35" t="e">
        <f>IF(E$2=1,VLOOKUP($A9,ACTUAL!$A$2:$M$124,4,FALSE),0)</f>
        <v>#N/A</v>
      </c>
      <c r="F9" s="35" t="e">
        <f>IF(F$2=1,VLOOKUP($A9,ACTUAL!$A$2:$M$124,5,FALSE),0)</f>
        <v>#N/A</v>
      </c>
      <c r="G9" s="35" t="e">
        <f>IF(G$2=1,VLOOKUP($A9,ACTUAL!$A$2:$M$124,6,FALSE),0)</f>
        <v>#N/A</v>
      </c>
      <c r="H9" s="35" t="e">
        <f>IF(H$2=1,VLOOKUP($A9,ACTUAL!$A$2:$M$124,7,FALSE),0)</f>
        <v>#N/A</v>
      </c>
      <c r="I9" s="35" t="e">
        <f>IF(I$2=1,VLOOKUP($A9,ACTUAL!$A$2:$M$124,8,FALSE),0)</f>
        <v>#N/A</v>
      </c>
      <c r="J9" s="35" t="e">
        <f>IF(J$2=1,VLOOKUP($A9,ACTUAL!$A$2:$M$124,9,FALSE),0)</f>
        <v>#N/A</v>
      </c>
      <c r="K9" s="35" t="e">
        <f>IF(K$2=1,VLOOKUP($A9,ACTUAL!$A$2:$M$124,10,FALSE),0)</f>
        <v>#N/A</v>
      </c>
      <c r="L9" s="35" t="e">
        <f>IF(L$2=1,VLOOKUP($A9,ACTUAL!$A$2:$M$124,11,FALSE),0)</f>
        <v>#N/A</v>
      </c>
      <c r="M9" s="35">
        <f>IF(M$2=1,VLOOKUP($A9,ACTUAL!$A$2:$M$124,12,FALSE),0)</f>
        <v>0</v>
      </c>
      <c r="N9" s="35">
        <f>IF(N$2=1,VLOOKUP($A9,ACTUAL!$A$2:$M$124,13,FALSE),0)</f>
        <v>0</v>
      </c>
      <c r="O9" s="8" t="e">
        <f t="shared" si="1"/>
        <v>#N/A</v>
      </c>
      <c r="P9" s="35">
        <f>IF(ISNA(VLOOKUP($A9,BUDGET!$A$1:$C$67,2,FALSE)),0,VLOOKUP($A9,BUDGET!$A$1:$C$67,2,FALSE))</f>
        <v>0</v>
      </c>
      <c r="Q9" s="8" t="e">
        <f t="shared" si="2"/>
        <v>#N/A</v>
      </c>
      <c r="R9" s="88"/>
      <c r="S9" s="22" t="e">
        <f t="shared" ref="S9:S17" si="3">R9+O9</f>
        <v>#N/A</v>
      </c>
      <c r="T9" s="35">
        <f>IF(ISNA(VLOOKUP($A9,BUDGET!$A$1:$C$67,3,FALSE)),0,VLOOKUP($A9,BUDGET!$A$1:$C$67,3,FALSE))</f>
        <v>0</v>
      </c>
      <c r="U9" s="8" t="e">
        <f t="shared" ref="U9:U17" si="4">T9-S9</f>
        <v>#N/A</v>
      </c>
      <c r="W9" s="79">
        <f t="array" ref="W9">IFERROR(SUM(VLOOKUP($A9,MONTHLYBUDGET,{4,5,6},FALSE)),0)</f>
        <v>0</v>
      </c>
      <c r="X9" s="79">
        <f t="array" ref="X9">IFERROR(SUM(VLOOKUP($A9,MONTHLYBUDGET,{7,8,9},FALSE)),0)</f>
        <v>0</v>
      </c>
      <c r="Y9" s="79">
        <f t="array" ref="Y9">IFERROR(SUM(VLOOKUP($A9,MONTHLYBUDGET,{10,11,12},FALSE)),0)</f>
        <v>0</v>
      </c>
      <c r="Z9" s="79">
        <f t="array" ref="Z9">IFERROR(SUM(VLOOKUP($A9,MONTHLYBUDGET,{13,14,15},FALSE)),0)</f>
        <v>0</v>
      </c>
    </row>
    <row r="10" spans="1:26">
      <c r="A10" s="28" t="str">
        <f>TRIM($C$3)&amp;"212113"</f>
        <v>BKA212113</v>
      </c>
      <c r="B10" s="1" t="s">
        <v>20</v>
      </c>
      <c r="C10" s="35" t="e">
        <f>IF(C$2=1,VLOOKUP($A10,ACTUAL!$A$2:$M$124,2,FALSE),0)</f>
        <v>#N/A</v>
      </c>
      <c r="D10" s="35" t="e">
        <f>IF(D$2=1,VLOOKUP($A10,ACTUAL!$A$2:$M$124,3,FALSE),0)</f>
        <v>#N/A</v>
      </c>
      <c r="E10" s="35" t="e">
        <f>IF(E$2=1,VLOOKUP($A10,ACTUAL!$A$2:$M$124,4,FALSE),0)</f>
        <v>#N/A</v>
      </c>
      <c r="F10" s="35" t="e">
        <f>IF(F$2=1,VLOOKUP($A10,ACTUAL!$A$2:$M$124,5,FALSE),0)</f>
        <v>#N/A</v>
      </c>
      <c r="G10" s="35" t="e">
        <f>IF(G$2=1,VLOOKUP($A10,ACTUAL!$A$2:$M$124,6,FALSE),0)</f>
        <v>#N/A</v>
      </c>
      <c r="H10" s="35" t="e">
        <f>IF(H$2=1,VLOOKUP($A10,ACTUAL!$A$2:$M$124,7,FALSE),0)</f>
        <v>#N/A</v>
      </c>
      <c r="I10" s="35" t="e">
        <f>IF(I$2=1,VLOOKUP($A10,ACTUAL!$A$2:$M$124,8,FALSE),0)</f>
        <v>#N/A</v>
      </c>
      <c r="J10" s="35" t="e">
        <f>IF(J$2=1,VLOOKUP($A10,ACTUAL!$A$2:$M$124,9,FALSE),0)</f>
        <v>#N/A</v>
      </c>
      <c r="K10" s="35" t="e">
        <f>IF(K$2=1,VLOOKUP($A10,ACTUAL!$A$2:$M$124,10,FALSE),0)</f>
        <v>#N/A</v>
      </c>
      <c r="L10" s="35" t="e">
        <f>IF(L$2=1,VLOOKUP($A10,ACTUAL!$A$2:$M$124,11,FALSE),0)</f>
        <v>#N/A</v>
      </c>
      <c r="M10" s="35">
        <f>IF(M$2=1,VLOOKUP($A10,ACTUAL!$A$2:$M$124,12,FALSE),0)</f>
        <v>0</v>
      </c>
      <c r="N10" s="35">
        <f>IF(N$2=1,VLOOKUP($A10,ACTUAL!$A$2:$M$124,13,FALSE),0)</f>
        <v>0</v>
      </c>
      <c r="O10" s="8" t="e">
        <f t="shared" si="1"/>
        <v>#N/A</v>
      </c>
      <c r="P10" s="35">
        <f>IF(ISNA(VLOOKUP($A10,BUDGET!$A$1:$C$67,2,FALSE)),0,VLOOKUP($A10,BUDGET!$A$1:$C$67,2,FALSE))</f>
        <v>0</v>
      </c>
      <c r="Q10" s="8" t="e">
        <f t="shared" si="2"/>
        <v>#N/A</v>
      </c>
      <c r="R10" s="88"/>
      <c r="S10" s="22" t="e">
        <f t="shared" si="3"/>
        <v>#N/A</v>
      </c>
      <c r="T10" s="35">
        <f>IF(ISNA(VLOOKUP($A10,BUDGET!$A$1:$C$67,3,FALSE)),0,VLOOKUP($A10,BUDGET!$A$1:$C$67,3,FALSE))</f>
        <v>0</v>
      </c>
      <c r="U10" s="8" t="e">
        <f t="shared" si="4"/>
        <v>#N/A</v>
      </c>
      <c r="W10" s="79">
        <f t="array" ref="W10">IFERROR(SUM(VLOOKUP($A10,MONTHLYBUDGET,{4,5,6},FALSE)),0)</f>
        <v>0</v>
      </c>
      <c r="X10" s="79">
        <f t="array" ref="X10">IFERROR(SUM(VLOOKUP($A10,MONTHLYBUDGET,{7,8,9},FALSE)),0)</f>
        <v>0</v>
      </c>
      <c r="Y10" s="79">
        <f t="array" ref="Y10">IFERROR(SUM(VLOOKUP($A10,MONTHLYBUDGET,{10,11,12},FALSE)),0)</f>
        <v>0</v>
      </c>
      <c r="Z10" s="79">
        <f t="array" ref="Z10">IFERROR(SUM(VLOOKUP($A10,MONTHLYBUDGET,{13,14,15},FALSE)),0)</f>
        <v>0</v>
      </c>
    </row>
    <row r="11" spans="1:26">
      <c r="A11" s="28" t="str">
        <f>TRIM($C$3)&amp;"212120"</f>
        <v>BKA212120</v>
      </c>
      <c r="B11" s="1" t="s">
        <v>60</v>
      </c>
      <c r="C11" s="35" t="e">
        <f>IF(C$2=1,VLOOKUP($A11,ACTUAL!$A$2:$M$124,2,FALSE),0)</f>
        <v>#N/A</v>
      </c>
      <c r="D11" s="35" t="e">
        <f>IF(D$2=1,VLOOKUP($A11,ACTUAL!$A$2:$M$124,3,FALSE),0)</f>
        <v>#N/A</v>
      </c>
      <c r="E11" s="35" t="e">
        <f>IF(E$2=1,VLOOKUP($A11,ACTUAL!$A$2:$M$124,4,FALSE),0)</f>
        <v>#N/A</v>
      </c>
      <c r="F11" s="35" t="e">
        <f>IF(F$2=1,VLOOKUP($A11,ACTUAL!$A$2:$M$124,5,FALSE),0)</f>
        <v>#N/A</v>
      </c>
      <c r="G11" s="35" t="e">
        <f>IF(G$2=1,VLOOKUP($A11,ACTUAL!$A$2:$M$124,6,FALSE),0)</f>
        <v>#N/A</v>
      </c>
      <c r="H11" s="35" t="e">
        <f>IF(H$2=1,VLOOKUP($A11,ACTUAL!$A$2:$M$124,7,FALSE),0)</f>
        <v>#N/A</v>
      </c>
      <c r="I11" s="35" t="e">
        <f>IF(I$2=1,VLOOKUP($A11,ACTUAL!$A$2:$M$124,8,FALSE),0)</f>
        <v>#N/A</v>
      </c>
      <c r="J11" s="35" t="e">
        <f>IF(J$2=1,VLOOKUP($A11,ACTUAL!$A$2:$M$124,9,FALSE),0)</f>
        <v>#N/A</v>
      </c>
      <c r="K11" s="35" t="e">
        <f>IF(K$2=1,VLOOKUP($A11,ACTUAL!$A$2:$M$124,10,FALSE),0)</f>
        <v>#N/A</v>
      </c>
      <c r="L11" s="35" t="e">
        <f>IF(L$2=1,VLOOKUP($A11,ACTUAL!$A$2:$M$124,11,FALSE),0)</f>
        <v>#N/A</v>
      </c>
      <c r="M11" s="35">
        <f>IF(M$2=1,VLOOKUP($A11,ACTUAL!$A$2:$M$124,12,FALSE),0)</f>
        <v>0</v>
      </c>
      <c r="N11" s="35">
        <f>IF(N$2=1,VLOOKUP($A11,ACTUAL!$A$2:$M$124,13,FALSE),0)</f>
        <v>0</v>
      </c>
      <c r="O11" s="8" t="e">
        <f t="shared" si="1"/>
        <v>#N/A</v>
      </c>
      <c r="P11" s="35">
        <f>IF(ISNA(VLOOKUP($A11,BUDGET!$A$1:$C$67,2,FALSE)),0,VLOOKUP($A11,BUDGET!$A$1:$C$67,2,FALSE))</f>
        <v>0</v>
      </c>
      <c r="Q11" s="8" t="e">
        <f t="shared" si="2"/>
        <v>#N/A</v>
      </c>
      <c r="R11" s="88"/>
      <c r="S11" s="22" t="e">
        <f t="shared" si="3"/>
        <v>#N/A</v>
      </c>
      <c r="T11" s="35">
        <f>IF(ISNA(VLOOKUP($A11,BUDGET!$A$1:$C$67,3,FALSE)),0,VLOOKUP($A11,BUDGET!$A$1:$C$67,3,FALSE))</f>
        <v>0</v>
      </c>
      <c r="U11" s="8" t="e">
        <f t="shared" si="4"/>
        <v>#N/A</v>
      </c>
      <c r="W11" s="79"/>
      <c r="X11" s="79"/>
      <c r="Y11" s="79"/>
      <c r="Z11" s="79"/>
    </row>
    <row r="12" spans="1:26">
      <c r="A12" s="28" t="str">
        <f>TRIM($C$3)&amp;"212130"</f>
        <v>BKA212130</v>
      </c>
      <c r="B12" s="1" t="s">
        <v>21</v>
      </c>
      <c r="C12" s="35" t="e">
        <f>IF(C$2=1,VLOOKUP($A12,ACTUAL!$A$2:$M$124,2,FALSE),0)</f>
        <v>#N/A</v>
      </c>
      <c r="D12" s="35" t="e">
        <f>IF(D$2=1,VLOOKUP($A12,ACTUAL!$A$2:$M$124,3,FALSE),0)</f>
        <v>#N/A</v>
      </c>
      <c r="E12" s="35" t="e">
        <f>IF(E$2=1,VLOOKUP($A12,ACTUAL!$A$2:$M$124,4,FALSE),0)</f>
        <v>#N/A</v>
      </c>
      <c r="F12" s="35" t="e">
        <f>IF(F$2=1,VLOOKUP($A12,ACTUAL!$A$2:$M$124,5,FALSE),0)</f>
        <v>#N/A</v>
      </c>
      <c r="G12" s="35" t="e">
        <f>IF(G$2=1,VLOOKUP($A12,ACTUAL!$A$2:$M$124,6,FALSE),0)</f>
        <v>#N/A</v>
      </c>
      <c r="H12" s="35" t="e">
        <f>IF(H$2=1,VLOOKUP($A12,ACTUAL!$A$2:$M$124,7,FALSE),0)</f>
        <v>#N/A</v>
      </c>
      <c r="I12" s="35" t="e">
        <f>IF(I$2=1,VLOOKUP($A12,ACTUAL!$A$2:$M$124,8,FALSE),0)</f>
        <v>#N/A</v>
      </c>
      <c r="J12" s="35" t="e">
        <f>IF(J$2=1,VLOOKUP($A12,ACTUAL!$A$2:$M$124,9,FALSE),0)</f>
        <v>#N/A</v>
      </c>
      <c r="K12" s="35" t="e">
        <f>IF(K$2=1,VLOOKUP($A12,ACTUAL!$A$2:$M$124,10,FALSE),0)</f>
        <v>#N/A</v>
      </c>
      <c r="L12" s="35" t="e">
        <f>IF(L$2=1,VLOOKUP($A12,ACTUAL!$A$2:$M$124,11,FALSE),0)</f>
        <v>#N/A</v>
      </c>
      <c r="M12" s="35">
        <f>IF(M$2=1,VLOOKUP($A12,ACTUAL!$A$2:$M$124,12,FALSE),0)</f>
        <v>0</v>
      </c>
      <c r="N12" s="35">
        <f>IF(N$2=1,VLOOKUP($A12,ACTUAL!$A$2:$M$124,13,FALSE),0)</f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8"/>
      <c r="S12" s="22" t="e">
        <f t="shared" si="3"/>
        <v>#N/A</v>
      </c>
      <c r="T12" s="35">
        <f>IF(ISNA(VLOOKUP($A12,BUDGET!$A$1:$C$67,3,FALSE)),0,VLOOKUP($A12,BUDGET!$A$1:$C$67,3,FALSE))</f>
        <v>0</v>
      </c>
      <c r="U12" s="8" t="e">
        <f t="shared" si="4"/>
        <v>#N/A</v>
      </c>
      <c r="W12" s="79">
        <f t="array" ref="W12">IFERROR(SUM(VLOOKUP($A12,MONTHLYBUDGET,{4,5,6},FALSE)),0)</f>
        <v>0</v>
      </c>
      <c r="X12" s="79">
        <f t="array" ref="X12">IFERROR(SUM(VLOOKUP($A12,MONTHLYBUDGET,{7,8,9},FALSE)),0)</f>
        <v>0</v>
      </c>
      <c r="Y12" s="79">
        <f t="array" ref="Y12">IFERROR(SUM(VLOOKUP($A12,MONTHLYBUDGET,{10,11,12},FALSE)),0)</f>
        <v>0</v>
      </c>
      <c r="Z12" s="79">
        <f t="array" ref="Z12">IFERROR(SUM(VLOOKUP($A12,MONTHLYBUDGET,{13,14,15},FALSE)),0)</f>
        <v>0</v>
      </c>
    </row>
    <row r="13" spans="1:26">
      <c r="A13" s="28" t="str">
        <f>TRIM($C$3)&amp;"212140"</f>
        <v>BKA212140</v>
      </c>
      <c r="B13" s="1" t="s">
        <v>61</v>
      </c>
      <c r="C13" s="35" t="e">
        <f>IF(C$2=1,VLOOKUP($A13,ACTUAL!$A$2:$M$124,2,FALSE),0)</f>
        <v>#N/A</v>
      </c>
      <c r="D13" s="35" t="e">
        <f>IF(D$2=1,VLOOKUP($A13,ACTUAL!$A$2:$M$124,3,FALSE),0)</f>
        <v>#N/A</v>
      </c>
      <c r="E13" s="35" t="e">
        <f>IF(E$2=1,VLOOKUP($A13,ACTUAL!$A$2:$M$124,4,FALSE),0)</f>
        <v>#N/A</v>
      </c>
      <c r="F13" s="35" t="e">
        <f>IF(F$2=1,VLOOKUP($A13,ACTUAL!$A$2:$M$124,5,FALSE),0)</f>
        <v>#N/A</v>
      </c>
      <c r="G13" s="35" t="e">
        <f>IF(G$2=1,VLOOKUP($A13,ACTUAL!$A$2:$M$124,6,FALSE),0)</f>
        <v>#N/A</v>
      </c>
      <c r="H13" s="35" t="e">
        <f>IF(H$2=1,VLOOKUP($A13,ACTUAL!$A$2:$M$124,7,FALSE),0)</f>
        <v>#N/A</v>
      </c>
      <c r="I13" s="35" t="e">
        <f>IF(I$2=1,VLOOKUP($A13,ACTUAL!$A$2:$M$124,8,FALSE),0)</f>
        <v>#N/A</v>
      </c>
      <c r="J13" s="35" t="e">
        <f>IF(J$2=1,VLOOKUP($A13,ACTUAL!$A$2:$M$124,9,FALSE),0)</f>
        <v>#N/A</v>
      </c>
      <c r="K13" s="35" t="e">
        <f>IF(K$2=1,VLOOKUP($A13,ACTUAL!$A$2:$M$124,10,FALSE),0)</f>
        <v>#N/A</v>
      </c>
      <c r="L13" s="35" t="e">
        <f>IF(L$2=1,VLOOKUP($A13,ACTUAL!$A$2:$M$124,11,FALSE),0)</f>
        <v>#N/A</v>
      </c>
      <c r="M13" s="35">
        <f>IF(M$2=1,VLOOKUP($A13,ACTUAL!$A$2:$M$124,12,FALSE),0)</f>
        <v>0</v>
      </c>
      <c r="N13" s="35">
        <f>IF(N$2=1,VLOOKUP($A13,ACTUAL!$A$2:$M$124,13,FALSE),0)</f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8"/>
      <c r="S13" s="22" t="e">
        <f t="shared" si="3"/>
        <v>#N/A</v>
      </c>
      <c r="T13" s="35">
        <f>IF(ISNA(VLOOKUP($A13,BUDGET!$A$1:$C$67,3,FALSE)),0,VLOOKUP($A13,BUDGET!$A$1:$C$67,3,FALSE))</f>
        <v>0</v>
      </c>
      <c r="U13" s="8" t="e">
        <f t="shared" si="4"/>
        <v>#N/A</v>
      </c>
      <c r="W13" s="79">
        <f t="array" ref="W13">IFERROR(SUM(VLOOKUP($A13,MONTHLYBUDGET,{4,5,6},FALSE)),0)</f>
        <v>0</v>
      </c>
      <c r="X13" s="79">
        <f t="array" ref="X13">IFERROR(SUM(VLOOKUP($A13,MONTHLYBUDGET,{7,8,9},FALSE)),0)</f>
        <v>0</v>
      </c>
      <c r="Y13" s="79">
        <f t="array" ref="Y13">IFERROR(SUM(VLOOKUP($A13,MONTHLYBUDGET,{10,11,12},FALSE)),0)</f>
        <v>0</v>
      </c>
      <c r="Z13" s="79">
        <f t="array" ref="Z13">IFERROR(SUM(VLOOKUP($A13,MONTHLYBUDGET,{13,14,15},FALSE)),0)</f>
        <v>0</v>
      </c>
    </row>
    <row r="14" spans="1:26">
      <c r="A14" s="28" t="str">
        <f>TRIM($C$3)&amp;"212150"</f>
        <v>BKA212150</v>
      </c>
      <c r="B14" s="1" t="s">
        <v>52</v>
      </c>
      <c r="C14" s="35" t="e">
        <f>IF(C$2=1,VLOOKUP($A14,ACTUAL!$A$2:$M$124,2,FALSE),0)</f>
        <v>#N/A</v>
      </c>
      <c r="D14" s="35" t="e">
        <f>IF(D$2=1,VLOOKUP($A14,ACTUAL!$A$2:$M$124,3,FALSE),0)</f>
        <v>#N/A</v>
      </c>
      <c r="E14" s="35" t="e">
        <f>IF(E$2=1,VLOOKUP($A14,ACTUAL!$A$2:$M$124,4,FALSE),0)</f>
        <v>#N/A</v>
      </c>
      <c r="F14" s="35" t="e">
        <f>IF(F$2=1,VLOOKUP($A14,ACTUAL!$A$2:$M$124,5,FALSE),0)</f>
        <v>#N/A</v>
      </c>
      <c r="G14" s="35" t="e">
        <f>IF(G$2=1,VLOOKUP($A14,ACTUAL!$A$2:$M$124,6,FALSE),0)</f>
        <v>#N/A</v>
      </c>
      <c r="H14" s="35" t="e">
        <f>IF(H$2=1,VLOOKUP($A14,ACTUAL!$A$2:$M$124,7,FALSE),0)</f>
        <v>#N/A</v>
      </c>
      <c r="I14" s="35" t="e">
        <f>IF(I$2=1,VLOOKUP($A14,ACTUAL!$A$2:$M$124,8,FALSE),0)</f>
        <v>#N/A</v>
      </c>
      <c r="J14" s="35" t="e">
        <f>IF(J$2=1,VLOOKUP($A14,ACTUAL!$A$2:$M$124,9,FALSE),0)</f>
        <v>#N/A</v>
      </c>
      <c r="K14" s="35" t="e">
        <f>IF(K$2=1,VLOOKUP($A14,ACTUAL!$A$2:$M$124,10,FALSE),0)</f>
        <v>#N/A</v>
      </c>
      <c r="L14" s="35" t="e">
        <f>IF(L$2=1,VLOOKUP($A14,ACTUAL!$A$2:$M$124,11,FALSE),0)</f>
        <v>#N/A</v>
      </c>
      <c r="M14" s="35">
        <f>IF(M$2=1,VLOOKUP($A14,ACTUAL!$A$2:$M$124,12,FALSE),0)</f>
        <v>0</v>
      </c>
      <c r="N14" s="35">
        <f>IF(N$2=1,VLOOKUP($A14,ACTUAL!$A$2:$M$124,13,FALSE),0)</f>
        <v>0</v>
      </c>
      <c r="O14" s="8" t="e">
        <f t="shared" ref="O14:O15" si="5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6">P14-O14</f>
        <v>#N/A</v>
      </c>
      <c r="R14" s="88"/>
      <c r="S14" s="22" t="e">
        <f t="shared" si="3"/>
        <v>#N/A</v>
      </c>
      <c r="T14" s="35">
        <f>IF(ISNA(VLOOKUP($A14,BUDGET!$A$1:$C$67,3,FALSE)),0,VLOOKUP($A14,BUDGET!$A$1:$C$67,3,FALSE))</f>
        <v>0</v>
      </c>
      <c r="U14" s="8" t="e">
        <f t="shared" si="4"/>
        <v>#N/A</v>
      </c>
      <c r="W14" s="79">
        <f t="array" ref="W14">IFERROR(SUM(VLOOKUP($A14,MONTHLYBUDGET,{4,5,6},FALSE)),0)</f>
        <v>0</v>
      </c>
      <c r="X14" s="79">
        <f t="array" ref="X14">IFERROR(SUM(VLOOKUP($A14,MONTHLYBUDGET,{7,8,9},FALSE)),0)</f>
        <v>0</v>
      </c>
      <c r="Y14" s="79">
        <f t="array" ref="Y14">IFERROR(SUM(VLOOKUP($A14,MONTHLYBUDGET,{10,11,12},FALSE)),0)</f>
        <v>0</v>
      </c>
      <c r="Z14" s="79">
        <f t="array" ref="Z14">IFERROR(SUM(VLOOKUP($A14,MONTHLYBUDGET,{13,14,15},FALSE)),0)</f>
        <v>0</v>
      </c>
    </row>
    <row r="15" spans="1:26">
      <c r="A15" s="28" t="str">
        <f>TRIM($C$3)&amp;"212160"</f>
        <v>BKA212160</v>
      </c>
      <c r="B15" s="1" t="s">
        <v>53</v>
      </c>
      <c r="C15" s="35" t="e">
        <f>IF(C$2=1,VLOOKUP($A15,ACTUAL!$A$2:$M$124,2,FALSE),0)</f>
        <v>#N/A</v>
      </c>
      <c r="D15" s="35" t="e">
        <f>IF(D$2=1,VLOOKUP($A15,ACTUAL!$A$2:$M$124,3,FALSE),0)</f>
        <v>#N/A</v>
      </c>
      <c r="E15" s="35" t="e">
        <f>IF(E$2=1,VLOOKUP($A15,ACTUAL!$A$2:$M$124,4,FALSE),0)</f>
        <v>#N/A</v>
      </c>
      <c r="F15" s="35" t="e">
        <f>IF(F$2=1,VLOOKUP($A15,ACTUAL!$A$2:$M$124,5,FALSE),0)</f>
        <v>#N/A</v>
      </c>
      <c r="G15" s="35" t="e">
        <f>IF(G$2=1,VLOOKUP($A15,ACTUAL!$A$2:$M$124,6,FALSE),0)</f>
        <v>#N/A</v>
      </c>
      <c r="H15" s="35" t="e">
        <f>IF(H$2=1,VLOOKUP($A15,ACTUAL!$A$2:$M$124,7,FALSE),0)</f>
        <v>#N/A</v>
      </c>
      <c r="I15" s="35" t="e">
        <f>IF(I$2=1,VLOOKUP($A15,ACTUAL!$A$2:$M$124,8,FALSE),0)</f>
        <v>#N/A</v>
      </c>
      <c r="J15" s="35" t="e">
        <f>IF(J$2=1,VLOOKUP($A15,ACTUAL!$A$2:$M$124,9,FALSE),0)</f>
        <v>#N/A</v>
      </c>
      <c r="K15" s="35" t="e">
        <f>IF(K$2=1,VLOOKUP($A15,ACTUAL!$A$2:$M$124,10,FALSE),0)</f>
        <v>#N/A</v>
      </c>
      <c r="L15" s="35" t="e">
        <f>IF(L$2=1,VLOOKUP($A15,ACTUAL!$A$2:$M$124,11,FALSE),0)</f>
        <v>#N/A</v>
      </c>
      <c r="M15" s="35">
        <f>IF(M$2=1,VLOOKUP($A15,ACTUAL!$A$2:$M$124,12,FALSE),0)</f>
        <v>0</v>
      </c>
      <c r="N15" s="35">
        <f>IF(N$2=1,VLOOKUP($A15,ACTUAL!$A$2:$M$124,13,FALSE),0)</f>
        <v>0</v>
      </c>
      <c r="O15" s="8" t="e">
        <f t="shared" si="5"/>
        <v>#N/A</v>
      </c>
      <c r="P15" s="35">
        <f>IF(ISNA(VLOOKUP($A15,BUDGET!$A$1:$C$67,2,FALSE)),0,VLOOKUP($A15,BUDGET!$A$1:$C$67,2,FALSE))</f>
        <v>0</v>
      </c>
      <c r="Q15" s="8" t="e">
        <f t="shared" si="6"/>
        <v>#N/A</v>
      </c>
      <c r="R15" s="88"/>
      <c r="S15" s="22" t="e">
        <f t="shared" si="3"/>
        <v>#N/A</v>
      </c>
      <c r="T15" s="35">
        <f>IF(ISNA(VLOOKUP($A15,BUDGET!$A$1:$C$67,3,FALSE)),0,VLOOKUP($A15,BUDGET!$A$1:$C$67,3,FALSE))</f>
        <v>0</v>
      </c>
      <c r="U15" s="8" t="e">
        <f t="shared" si="4"/>
        <v>#N/A</v>
      </c>
      <c r="W15" s="79">
        <f t="array" ref="W15">IFERROR(SUM(VLOOKUP($A15,MONTHLYBUDGET,{4,5,6},FALSE)),0)</f>
        <v>0</v>
      </c>
      <c r="X15" s="79">
        <f t="array" ref="X15">IFERROR(SUM(VLOOKUP($A15,MONTHLYBUDGET,{7,8,9},FALSE)),0)</f>
        <v>0</v>
      </c>
      <c r="Y15" s="79">
        <f t="array" ref="Y15">IFERROR(SUM(VLOOKUP($A15,MONTHLYBUDGET,{10,11,12},FALSE)),0)</f>
        <v>0</v>
      </c>
      <c r="Z15" s="79">
        <f t="array" ref="Z15">IFERROR(SUM(VLOOKUP($A15,MONTHLYBUDGET,{13,14,15},FALSE)),0)</f>
        <v>0</v>
      </c>
    </row>
    <row r="16" spans="1:26">
      <c r="A16" s="28" t="str">
        <f>TRIM($C$3)&amp;"2121710"</f>
        <v>BKA2121710</v>
      </c>
      <c r="B16" s="9" t="s">
        <v>62</v>
      </c>
      <c r="C16" s="35" t="e">
        <f>IF(C$2=1,VLOOKUP($A16,ACTUAL!$A$2:$M$124,2,FALSE),0)</f>
        <v>#N/A</v>
      </c>
      <c r="D16" s="35" t="e">
        <f>IF(D$2=1,VLOOKUP($A16,ACTUAL!$A$2:$M$124,3,FALSE),0)</f>
        <v>#N/A</v>
      </c>
      <c r="E16" s="35" t="e">
        <f>IF(E$2=1,VLOOKUP($A16,ACTUAL!$A$2:$M$124,4,FALSE),0)</f>
        <v>#N/A</v>
      </c>
      <c r="F16" s="35" t="e">
        <f>IF(F$2=1,VLOOKUP($A16,ACTUAL!$A$2:$M$124,5,FALSE),0)</f>
        <v>#N/A</v>
      </c>
      <c r="G16" s="35" t="e">
        <f>IF(G$2=1,VLOOKUP($A16,ACTUAL!$A$2:$M$124,6,FALSE),0)</f>
        <v>#N/A</v>
      </c>
      <c r="H16" s="35" t="e">
        <f>IF(H$2=1,VLOOKUP($A16,ACTUAL!$A$2:$M$124,7,FALSE),0)</f>
        <v>#N/A</v>
      </c>
      <c r="I16" s="35" t="e">
        <f>IF(I$2=1,VLOOKUP($A16,ACTUAL!$A$2:$M$124,8,FALSE),0)</f>
        <v>#N/A</v>
      </c>
      <c r="J16" s="35" t="e">
        <f>IF(J$2=1,VLOOKUP($A16,ACTUAL!$A$2:$M$124,9,FALSE),0)</f>
        <v>#N/A</v>
      </c>
      <c r="K16" s="35" t="e">
        <f>IF(K$2=1,VLOOKUP($A16,ACTUAL!$A$2:$M$124,10,FALSE),0)</f>
        <v>#N/A</v>
      </c>
      <c r="L16" s="35" t="e">
        <f>IF(L$2=1,VLOOKUP($A16,ACTUAL!$A$2:$M$124,11,FALSE),0)</f>
        <v>#N/A</v>
      </c>
      <c r="M16" s="35">
        <f>IF(M$2=1,VLOOKUP($A16,ACTUAL!$A$2:$M$124,12,FALSE),0)</f>
        <v>0</v>
      </c>
      <c r="N16" s="35">
        <f>IF(N$2=1,VLOOKUP($A16,ACTUAL!$A$2:$M$124,13,FALSE),0)</f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8"/>
      <c r="S16" s="22" t="e">
        <f t="shared" si="3"/>
        <v>#N/A</v>
      </c>
      <c r="T16" s="35">
        <f>IF(ISNA(VLOOKUP($A16,BUDGET!$A$1:$C$67,3,FALSE)),0,VLOOKUP($A16,BUDGET!$A$1:$C$67,3,FALSE))</f>
        <v>0</v>
      </c>
      <c r="U16" s="8" t="e">
        <f t="shared" si="4"/>
        <v>#N/A</v>
      </c>
      <c r="W16" s="79">
        <f t="array" ref="W16">IFERROR(SUM(VLOOKUP($A16,MONTHLYBUDGET,{4,5,6},FALSE)),0)</f>
        <v>0</v>
      </c>
      <c r="X16" s="79">
        <f t="array" ref="X16">IFERROR(SUM(VLOOKUP($A16,MONTHLYBUDGET,{7,8,9},FALSE)),0)</f>
        <v>0</v>
      </c>
      <c r="Y16" s="79">
        <f t="array" ref="Y16">IFERROR(SUM(VLOOKUP($A16,MONTHLYBUDGET,{10,11,12},FALSE)),0)</f>
        <v>0</v>
      </c>
      <c r="Z16" s="79">
        <f t="array" ref="Z16">IFERROR(SUM(VLOOKUP($A16,MONTHLYBUDGET,{13,14,15},FALSE)),0)</f>
        <v>0</v>
      </c>
    </row>
    <row r="17" spans="1:26" ht="13.5" thickBot="1">
      <c r="A17" s="28" t="str">
        <f>TRIM($C$3)&amp;"2121711"</f>
        <v>BKA2121711</v>
      </c>
      <c r="B17" s="101" t="s">
        <v>63</v>
      </c>
      <c r="C17" s="35" t="e">
        <f>IF(C$2=1,VLOOKUP($A17,ACTUAL!$A$2:$M$124,2,FALSE),0)</f>
        <v>#N/A</v>
      </c>
      <c r="D17" s="35" t="e">
        <f>IF(D$2=1,VLOOKUP($A17,ACTUAL!$A$2:$M$124,3,FALSE),0)</f>
        <v>#N/A</v>
      </c>
      <c r="E17" s="35" t="e">
        <f>IF(E$2=1,VLOOKUP($A17,ACTUAL!$A$2:$M$124,4,FALSE),0)</f>
        <v>#N/A</v>
      </c>
      <c r="F17" s="35" t="e">
        <f>IF(F$2=1,VLOOKUP($A17,ACTUAL!$A$2:$M$124,5,FALSE),0)</f>
        <v>#N/A</v>
      </c>
      <c r="G17" s="35" t="e">
        <f>IF(G$2=1,VLOOKUP($A17,ACTUAL!$A$2:$M$124,6,FALSE),0)</f>
        <v>#N/A</v>
      </c>
      <c r="H17" s="35" t="e">
        <f>IF(H$2=1,VLOOKUP($A17,ACTUAL!$A$2:$M$124,7,FALSE),0)</f>
        <v>#N/A</v>
      </c>
      <c r="I17" s="35" t="e">
        <f>IF(I$2=1,VLOOKUP($A17,ACTUAL!$A$2:$M$124,8,FALSE),0)</f>
        <v>#N/A</v>
      </c>
      <c r="J17" s="35" t="e">
        <f>IF(J$2=1,VLOOKUP($A17,ACTUAL!$A$2:$M$124,9,FALSE),0)</f>
        <v>#N/A</v>
      </c>
      <c r="K17" s="35" t="e">
        <f>IF(K$2=1,VLOOKUP($A17,ACTUAL!$A$2:$M$124,10,FALSE),0)</f>
        <v>#N/A</v>
      </c>
      <c r="L17" s="35" t="e">
        <f>IF(L$2=1,VLOOKUP($A17,ACTUAL!$A$2:$M$124,11,FALSE),0)</f>
        <v>#N/A</v>
      </c>
      <c r="M17" s="35">
        <f>IF(M$2=1,VLOOKUP($A17,ACTUAL!$A$2:$M$124,12,FALSE),0)</f>
        <v>0</v>
      </c>
      <c r="N17" s="35">
        <f>IF(N$2=1,VLOOKUP($A17,ACTUAL!$A$2:$M$124,13,FALSE),0)</f>
        <v>0</v>
      </c>
      <c r="O17" s="8" t="e">
        <f t="shared" ref="O17" si="7">SUM(C17:N17)</f>
        <v>#N/A</v>
      </c>
      <c r="P17" s="35">
        <f>IF(ISNA(VLOOKUP($A17,BUDGET!$A$1:$C$67,2,FALSE)),0,VLOOKUP($A17,BUDGET!$A$1:$C$67,2,FALSE))</f>
        <v>0</v>
      </c>
      <c r="Q17" s="8" t="e">
        <f t="shared" ref="Q17" si="8">P17-O17</f>
        <v>#N/A</v>
      </c>
      <c r="R17" s="27"/>
      <c r="S17" s="22" t="e">
        <f t="shared" si="3"/>
        <v>#N/A</v>
      </c>
      <c r="T17" s="35">
        <f>IF(ISNA(VLOOKUP($A17,BUDGET!$A$1:$C$67,3,FALSE)),0,VLOOKUP($A17,BUDGET!$A$1:$C$67,3,FALSE))</f>
        <v>0</v>
      </c>
      <c r="U17" s="8" t="e">
        <f t="shared" si="4"/>
        <v>#N/A</v>
      </c>
      <c r="W17" s="79">
        <f t="array" ref="W17">IFERROR(SUM(VLOOKUP($A17,MONTHLYBUDGET,{4,5,6},FALSE)),0)</f>
        <v>0</v>
      </c>
      <c r="X17" s="79">
        <f t="array" ref="X17">IFERROR(SUM(VLOOKUP($A17,MONTHLYBUDGET,{7,8,9},FALSE)),0)</f>
        <v>0</v>
      </c>
      <c r="Y17" s="79">
        <f t="array" ref="Y17">IFERROR(SUM(VLOOKUP($A17,MONTHLYBUDGET,{10,11,12},FALSE)),0)</f>
        <v>0</v>
      </c>
      <c r="Z17" s="79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64</v>
      </c>
      <c r="C18" s="4" t="e">
        <f>SUM(C8:C17)</f>
        <v>#N/A</v>
      </c>
      <c r="D18" s="4" t="e">
        <f t="shared" ref="D18:U18" si="9">SUM(D8:D17)</f>
        <v>#N/A</v>
      </c>
      <c r="E18" s="4" t="e">
        <f t="shared" si="9"/>
        <v>#N/A</v>
      </c>
      <c r="F18" s="4" t="e">
        <f t="shared" si="9"/>
        <v>#N/A</v>
      </c>
      <c r="G18" s="4" t="e">
        <f t="shared" si="9"/>
        <v>#N/A</v>
      </c>
      <c r="H18" s="4" t="e">
        <f t="shared" si="9"/>
        <v>#N/A</v>
      </c>
      <c r="I18" s="4" t="e">
        <f t="shared" si="9"/>
        <v>#N/A</v>
      </c>
      <c r="J18" s="4" t="e">
        <f t="shared" si="9"/>
        <v>#N/A</v>
      </c>
      <c r="K18" s="4" t="e">
        <f t="shared" si="9"/>
        <v>#N/A</v>
      </c>
      <c r="L18" s="4" t="e">
        <f t="shared" si="9"/>
        <v>#N/A</v>
      </c>
      <c r="M18" s="4">
        <f t="shared" si="9"/>
        <v>0</v>
      </c>
      <c r="N18" s="4">
        <f t="shared" si="9"/>
        <v>0</v>
      </c>
      <c r="O18" s="4" t="e">
        <f t="shared" si="9"/>
        <v>#N/A</v>
      </c>
      <c r="P18" s="4">
        <f t="shared" si="9"/>
        <v>0</v>
      </c>
      <c r="Q18" s="4" t="e">
        <f t="shared" si="9"/>
        <v>#N/A</v>
      </c>
      <c r="R18" s="4">
        <f t="shared" si="9"/>
        <v>0</v>
      </c>
      <c r="S18" s="4" t="e">
        <f t="shared" si="9"/>
        <v>#N/A</v>
      </c>
      <c r="T18" s="4">
        <f t="shared" si="9"/>
        <v>0</v>
      </c>
      <c r="U18" s="4" t="e">
        <f t="shared" si="9"/>
        <v>#N/A</v>
      </c>
      <c r="W18" s="80">
        <f>SUM(W8:W17)</f>
        <v>0</v>
      </c>
      <c r="X18" s="80">
        <f>SUM(X8:X17)</f>
        <v>0</v>
      </c>
      <c r="Y18" s="80">
        <f>SUM(Y8:Y17)</f>
        <v>0</v>
      </c>
      <c r="Z18" s="80">
        <f>SUM(Z8:Z17)</f>
        <v>0</v>
      </c>
    </row>
    <row r="19" spans="1:26">
      <c r="A19" s="28" t="str">
        <f>TRIM($C$3)&amp;"21220"</f>
        <v>BKA21220</v>
      </c>
      <c r="B19" s="99" t="s">
        <v>65</v>
      </c>
      <c r="C19" s="35" t="e">
        <f>IF(C$2=1,VLOOKUP($A19,ACTUAL!$A$2:$M$124,2,FALSE),0)</f>
        <v>#N/A</v>
      </c>
      <c r="D19" s="35" t="e">
        <f>IF(D$2=1,VLOOKUP($A19,ACTUAL!$A$2:$M$124,3,FALSE),0)</f>
        <v>#N/A</v>
      </c>
      <c r="E19" s="35" t="e">
        <f>IF(E$2=1,VLOOKUP($A19,ACTUAL!$A$2:$M$124,4,FALSE),0)</f>
        <v>#N/A</v>
      </c>
      <c r="F19" s="35" t="e">
        <f>IF(F$2=1,VLOOKUP($A19,ACTUAL!$A$2:$M$124,5,FALSE),0)</f>
        <v>#N/A</v>
      </c>
      <c r="G19" s="35" t="e">
        <f>IF(G$2=1,VLOOKUP($A19,ACTUAL!$A$2:$M$124,6,FALSE),0)</f>
        <v>#N/A</v>
      </c>
      <c r="H19" s="35" t="e">
        <f>IF(H$2=1,VLOOKUP($A19,ACTUAL!$A$2:$M$124,7,FALSE),0)</f>
        <v>#N/A</v>
      </c>
      <c r="I19" s="35" t="e">
        <f>IF(I$2=1,VLOOKUP($A19,ACTUAL!$A$2:$M$124,8,FALSE),0)</f>
        <v>#N/A</v>
      </c>
      <c r="J19" s="35" t="e">
        <f>IF(J$2=1,VLOOKUP($A19,ACTUAL!$A$2:$M$124,9,FALSE),0)</f>
        <v>#N/A</v>
      </c>
      <c r="K19" s="35" t="e">
        <f>IF(K$2=1,VLOOKUP($A19,ACTUAL!$A$2:$M$124,10,FALSE),0)</f>
        <v>#N/A</v>
      </c>
      <c r="L19" s="35" t="e">
        <f>IF(L$2=1,VLOOKUP($A19,ACTUAL!$A$2:$M$124,11,FALSE),0)</f>
        <v>#N/A</v>
      </c>
      <c r="M19" s="35">
        <f>IF(M$2=1,VLOOKUP($A19,ACTUAL!$A$2:$M$124,12,FALSE),0)</f>
        <v>0</v>
      </c>
      <c r="N19" s="35">
        <f>IF(N$2=1,VLOOKUP($A19,ACTUAL!$A$2:$M$124,13,FALSE),0)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3" si="10">R19+O19</f>
        <v>#N/A</v>
      </c>
      <c r="T19" s="35">
        <f>IF(ISNA(VLOOKUP($A19,BUDGET!$A$1:$C$67,3,FALSE)),0,VLOOKUP($A19,BUDGET!$A$1:$C$67,3,FALSE))</f>
        <v>0</v>
      </c>
      <c r="U19" s="8" t="e">
        <f t="shared" ref="U19:U23" si="11">T19-S19</f>
        <v>#N/A</v>
      </c>
      <c r="W19" s="79">
        <f t="array" ref="W19">IFERROR(SUM(VLOOKUP($A19,MONTHLYBUDGET,{4,5,6},FALSE)),0)</f>
        <v>0</v>
      </c>
      <c r="X19" s="79">
        <f t="array" ref="X19">IFERROR(SUM(VLOOKUP($A19,MONTHLYBUDGET,{7,8,9},FALSE)),0)</f>
        <v>0</v>
      </c>
      <c r="Y19" s="79">
        <f t="array" ref="Y19">IFERROR(SUM(VLOOKUP($A19,MONTHLYBUDGET,{10,11,12},FALSE)),0)</f>
        <v>0</v>
      </c>
      <c r="Z19" s="79">
        <f t="array" ref="Z19">IFERROR(SUM(VLOOKUP($A19,MONTHLYBUDGET,{13,14,15},FALSE)),0)</f>
        <v>0</v>
      </c>
    </row>
    <row r="20" spans="1:26">
      <c r="A20" s="28" t="str">
        <f>TRIM($C$3)&amp;"21230"</f>
        <v>BKA21230</v>
      </c>
      <c r="B20" s="99" t="s">
        <v>66</v>
      </c>
      <c r="C20" s="35" t="e">
        <f>IF(C$2=1,VLOOKUP($A20,ACTUAL!$A$2:$M$124,2,FALSE),0)</f>
        <v>#N/A</v>
      </c>
      <c r="D20" s="35" t="e">
        <f>IF(D$2=1,VLOOKUP($A20,ACTUAL!$A$2:$M$124,3,FALSE),0)</f>
        <v>#N/A</v>
      </c>
      <c r="E20" s="35" t="e">
        <f>IF(E$2=1,VLOOKUP($A20,ACTUAL!$A$2:$M$124,4,FALSE),0)</f>
        <v>#N/A</v>
      </c>
      <c r="F20" s="35" t="e">
        <f>IF(F$2=1,VLOOKUP($A20,ACTUAL!$A$2:$M$124,5,FALSE),0)</f>
        <v>#N/A</v>
      </c>
      <c r="G20" s="35" t="e">
        <f>IF(G$2=1,VLOOKUP($A20,ACTUAL!$A$2:$M$124,6,FALSE),0)</f>
        <v>#N/A</v>
      </c>
      <c r="H20" s="35" t="e">
        <f>IF(H$2=1,VLOOKUP($A20,ACTUAL!$A$2:$M$124,7,FALSE),0)</f>
        <v>#N/A</v>
      </c>
      <c r="I20" s="35" t="e">
        <f>IF(I$2=1,VLOOKUP($A20,ACTUAL!$A$2:$M$124,8,FALSE),0)</f>
        <v>#N/A</v>
      </c>
      <c r="J20" s="35" t="e">
        <f>IF(J$2=1,VLOOKUP($A20,ACTUAL!$A$2:$M$124,9,FALSE),0)</f>
        <v>#N/A</v>
      </c>
      <c r="K20" s="35" t="e">
        <f>IF(K$2=1,VLOOKUP($A20,ACTUAL!$A$2:$M$124,10,FALSE),0)</f>
        <v>#N/A</v>
      </c>
      <c r="L20" s="35" t="e">
        <f>IF(L$2=1,VLOOKUP($A20,ACTUAL!$A$2:$M$124,11,FALSE),0)</f>
        <v>#N/A</v>
      </c>
      <c r="M20" s="35">
        <f>IF(M$2=1,VLOOKUP($A20,ACTUAL!$A$2:$M$124,12,FALSE),0)</f>
        <v>0</v>
      </c>
      <c r="N20" s="35">
        <f>IF(N$2=1,VLOOKUP($A20,ACTUAL!$A$2:$M$124,13,FALSE),0)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10"/>
        <v>#N/A</v>
      </c>
      <c r="T20" s="35">
        <f>IF(ISNA(VLOOKUP($A20,BUDGET!$A$1:$C$67,3,FALSE)),0,VLOOKUP($A20,BUDGET!$A$1:$C$67,3,FALSE))</f>
        <v>0</v>
      </c>
      <c r="U20" s="8" t="e">
        <f t="shared" si="11"/>
        <v>#N/A</v>
      </c>
      <c r="W20" s="79"/>
      <c r="X20" s="79"/>
      <c r="Y20" s="79"/>
      <c r="Z20" s="79"/>
    </row>
    <row r="21" spans="1:26" ht="25.5">
      <c r="A21" s="28" t="str">
        <f>TRIM($C$3)&amp;"21240"</f>
        <v>BKA21240</v>
      </c>
      <c r="B21" s="99" t="s">
        <v>67</v>
      </c>
      <c r="C21" s="35" t="e">
        <f>IF(C$2=1,VLOOKUP($A21,ACTUAL!$A$2:$M$124,2,FALSE),0)</f>
        <v>#N/A</v>
      </c>
      <c r="D21" s="35" t="e">
        <f>IF(D$2=1,VLOOKUP($A21,ACTUAL!$A$2:$M$124,3,FALSE),0)</f>
        <v>#N/A</v>
      </c>
      <c r="E21" s="35" t="e">
        <f>IF(E$2=1,VLOOKUP($A21,ACTUAL!$A$2:$M$124,4,FALSE),0)</f>
        <v>#N/A</v>
      </c>
      <c r="F21" s="35" t="e">
        <f>IF(F$2=1,VLOOKUP($A21,ACTUAL!$A$2:$M$124,5,FALSE),0)</f>
        <v>#N/A</v>
      </c>
      <c r="G21" s="35" t="e">
        <f>IF(G$2=1,VLOOKUP($A21,ACTUAL!$A$2:$M$124,6,FALSE),0)</f>
        <v>#N/A</v>
      </c>
      <c r="H21" s="35" t="e">
        <f>IF(H$2=1,VLOOKUP($A21,ACTUAL!$A$2:$M$124,7,FALSE),0)</f>
        <v>#N/A</v>
      </c>
      <c r="I21" s="35" t="e">
        <f>IF(I$2=1,VLOOKUP($A21,ACTUAL!$A$2:$M$124,8,FALSE),0)</f>
        <v>#N/A</v>
      </c>
      <c r="J21" s="35" t="e">
        <f>IF(J$2=1,VLOOKUP($A21,ACTUAL!$A$2:$M$124,9,FALSE),0)</f>
        <v>#N/A</v>
      </c>
      <c r="K21" s="35" t="e">
        <f>IF(K$2=1,VLOOKUP($A21,ACTUAL!$A$2:$M$124,10,FALSE),0)</f>
        <v>#N/A</v>
      </c>
      <c r="L21" s="35" t="e">
        <f>IF(L$2=1,VLOOKUP($A21,ACTUAL!$A$2:$M$124,11,FALSE),0)</f>
        <v>#N/A</v>
      </c>
      <c r="M21" s="35">
        <f>IF(M$2=1,VLOOKUP($A21,ACTUAL!$A$2:$M$124,12,FALSE),0)</f>
        <v>0</v>
      </c>
      <c r="N21" s="35">
        <f>IF(N$2=1,VLOOKUP($A21,ACTUAL!$A$2:$M$124,13,FALSE),0)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10"/>
        <v>#N/A</v>
      </c>
      <c r="T21" s="35">
        <f>IF(ISNA(VLOOKUP($A21,BUDGET!$A$1:$C$67,3,FALSE)),0,VLOOKUP($A21,BUDGET!$A$1:$C$67,3,FALSE))</f>
        <v>0</v>
      </c>
      <c r="U21" s="8" t="e">
        <f t="shared" si="11"/>
        <v>#N/A</v>
      </c>
      <c r="W21" s="79"/>
      <c r="X21" s="79"/>
      <c r="Y21" s="79"/>
      <c r="Z21" s="79"/>
    </row>
    <row r="22" spans="1:26">
      <c r="A22" s="28" t="str">
        <f>TRIM($C$3)&amp;"21250"</f>
        <v>BKA21250</v>
      </c>
      <c r="B22" s="99" t="s">
        <v>68</v>
      </c>
      <c r="C22" s="35" t="e">
        <f>IF(C$2=1,VLOOKUP($A22,ACTUAL!$A$2:$M$124,2,FALSE),0)</f>
        <v>#N/A</v>
      </c>
      <c r="D22" s="35" t="e">
        <f>IF(D$2=1,VLOOKUP($A22,ACTUAL!$A$2:$M$124,3,FALSE),0)</f>
        <v>#N/A</v>
      </c>
      <c r="E22" s="35" t="e">
        <f>IF(E$2=1,VLOOKUP($A22,ACTUAL!$A$2:$M$124,4,FALSE),0)</f>
        <v>#N/A</v>
      </c>
      <c r="F22" s="35" t="e">
        <f>IF(F$2=1,VLOOKUP($A22,ACTUAL!$A$2:$M$124,5,FALSE),0)</f>
        <v>#N/A</v>
      </c>
      <c r="G22" s="35" t="e">
        <f>IF(G$2=1,VLOOKUP($A22,ACTUAL!$A$2:$M$124,6,FALSE),0)</f>
        <v>#N/A</v>
      </c>
      <c r="H22" s="35" t="e">
        <f>IF(H$2=1,VLOOKUP($A22,ACTUAL!$A$2:$M$124,7,FALSE),0)</f>
        <v>#N/A</v>
      </c>
      <c r="I22" s="35" t="e">
        <f>IF(I$2=1,VLOOKUP($A22,ACTUAL!$A$2:$M$124,8,FALSE),0)</f>
        <v>#N/A</v>
      </c>
      <c r="J22" s="35" t="e">
        <f>IF(J$2=1,VLOOKUP($A22,ACTUAL!$A$2:$M$124,9,FALSE),0)</f>
        <v>#N/A</v>
      </c>
      <c r="K22" s="35" t="e">
        <f>IF(K$2=1,VLOOKUP($A22,ACTUAL!$A$2:$M$124,10,FALSE),0)</f>
        <v>#N/A</v>
      </c>
      <c r="L22" s="35" t="e">
        <f>IF(L$2=1,VLOOKUP($A22,ACTUAL!$A$2:$M$124,11,FALSE),0)</f>
        <v>#N/A</v>
      </c>
      <c r="M22" s="35">
        <f>IF(M$2=1,VLOOKUP($A22,ACTUAL!$A$2:$M$124,12,FALSE),0)</f>
        <v>0</v>
      </c>
      <c r="N22" s="35">
        <f>IF(N$2=1,VLOOKUP($A22,ACTUAL!$A$2:$M$124,13,FALSE),0)</f>
        <v>0</v>
      </c>
      <c r="O22" s="8" t="e">
        <f t="shared" ref="O22:O23" si="12">SUM(C22:N22)</f>
        <v>#N/A</v>
      </c>
      <c r="P22" s="35">
        <f>IF(ISNA(VLOOKUP($A22,BUDGET!$A$1:$C$67,2,FALSE)),0,VLOOKUP($A22,BUDGET!$A$1:$C$67,2,FALSE))</f>
        <v>0</v>
      </c>
      <c r="Q22" s="8" t="e">
        <f t="shared" ref="Q22:Q23" si="13">P22-O22</f>
        <v>#N/A</v>
      </c>
      <c r="R22" s="27"/>
      <c r="S22" s="22" t="e">
        <f t="shared" si="10"/>
        <v>#N/A</v>
      </c>
      <c r="T22" s="35">
        <f>IF(ISNA(VLOOKUP($A22,BUDGET!$A$1:$C$67,3,FALSE)),0,VLOOKUP($A22,BUDGET!$A$1:$C$67,3,FALSE))</f>
        <v>0</v>
      </c>
      <c r="U22" s="8" t="e">
        <f t="shared" si="11"/>
        <v>#N/A</v>
      </c>
      <c r="W22" s="79"/>
      <c r="X22" s="79"/>
      <c r="Y22" s="79"/>
      <c r="Z22" s="79"/>
    </row>
    <row r="23" spans="1:26" ht="13.5" thickBot="1">
      <c r="A23" s="28" t="str">
        <f>TRIM($C$3)&amp;"21260"</f>
        <v>BKA21260</v>
      </c>
      <c r="B23" s="99" t="s">
        <v>69</v>
      </c>
      <c r="C23" s="35" t="e">
        <f>IF(C$2=1,VLOOKUP($A23,ACTUAL!$A$2:$M$124,2,FALSE),0)</f>
        <v>#N/A</v>
      </c>
      <c r="D23" s="35" t="e">
        <f>IF(D$2=1,VLOOKUP($A23,ACTUAL!$A$2:$M$124,3,FALSE),0)</f>
        <v>#N/A</v>
      </c>
      <c r="E23" s="35" t="e">
        <f>IF(E$2=1,VLOOKUP($A23,ACTUAL!$A$2:$M$124,4,FALSE),0)</f>
        <v>#N/A</v>
      </c>
      <c r="F23" s="35" t="e">
        <f>IF(F$2=1,VLOOKUP($A23,ACTUAL!$A$2:$M$124,5,FALSE),0)</f>
        <v>#N/A</v>
      </c>
      <c r="G23" s="35" t="e">
        <f>IF(G$2=1,VLOOKUP($A23,ACTUAL!$A$2:$M$124,6,FALSE),0)</f>
        <v>#N/A</v>
      </c>
      <c r="H23" s="35" t="e">
        <f>IF(H$2=1,VLOOKUP($A23,ACTUAL!$A$2:$M$124,7,FALSE),0)</f>
        <v>#N/A</v>
      </c>
      <c r="I23" s="35" t="e">
        <f>IF(I$2=1,VLOOKUP($A23,ACTUAL!$A$2:$M$124,8,FALSE),0)</f>
        <v>#N/A</v>
      </c>
      <c r="J23" s="35" t="e">
        <f>IF(J$2=1,VLOOKUP($A23,ACTUAL!$A$2:$M$124,9,FALSE),0)</f>
        <v>#N/A</v>
      </c>
      <c r="K23" s="35" t="e">
        <f>IF(K$2=1,VLOOKUP($A23,ACTUAL!$A$2:$M$124,10,FALSE),0)</f>
        <v>#N/A</v>
      </c>
      <c r="L23" s="35" t="e">
        <f>IF(L$2=1,VLOOKUP($A23,ACTUAL!$A$2:$M$124,11,FALSE),0)</f>
        <v>#N/A</v>
      </c>
      <c r="M23" s="35">
        <f>IF(M$2=1,VLOOKUP($A23,ACTUAL!$A$2:$M$124,12,FALSE),0)</f>
        <v>0</v>
      </c>
      <c r="N23" s="35">
        <f>IF(N$2=1,VLOOKUP($A23,ACTUAL!$A$2:$M$124,13,FALSE),0)</f>
        <v>0</v>
      </c>
      <c r="O23" s="8" t="e">
        <f t="shared" si="12"/>
        <v>#N/A</v>
      </c>
      <c r="P23" s="35">
        <f>IF(ISNA(VLOOKUP($A23,BUDGET!$A$1:$C$67,2,FALSE)),0,VLOOKUP($A23,BUDGET!$A$1:$C$67,2,FALSE))</f>
        <v>0</v>
      </c>
      <c r="Q23" s="8" t="e">
        <f t="shared" si="13"/>
        <v>#N/A</v>
      </c>
      <c r="R23" s="27"/>
      <c r="S23" s="22" t="e">
        <f t="shared" si="10"/>
        <v>#N/A</v>
      </c>
      <c r="T23" s="35">
        <f>IF(ISNA(VLOOKUP($A23,BUDGET!$A$1:$C$67,3,FALSE)),0,VLOOKUP($A23,BUDGET!$A$1:$C$67,3,FALSE))</f>
        <v>0</v>
      </c>
      <c r="U23" s="8" t="e">
        <f t="shared" si="11"/>
        <v>#N/A</v>
      </c>
      <c r="W23" s="79">
        <f t="array" ref="W23">IFERROR(SUM(VLOOKUP($A23,MONTHLYBUDGET,{4,5,6},FALSE)),0)</f>
        <v>0</v>
      </c>
      <c r="X23" s="79">
        <f t="array" ref="X23">IFERROR(SUM(VLOOKUP($A23,MONTHLYBUDGET,{7,8,9},FALSE)),0)</f>
        <v>0</v>
      </c>
      <c r="Y23" s="79">
        <f t="array" ref="Y23">IFERROR(SUM(VLOOKUP($A23,MONTHLYBUDGET,{10,11,12},FALSE)),0)</f>
        <v>0</v>
      </c>
      <c r="Z23" s="79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22</v>
      </c>
      <c r="C24" s="5" t="e">
        <f>SUM(C18:C23)</f>
        <v>#N/A</v>
      </c>
      <c r="D24" s="5" t="e">
        <f t="shared" ref="D24:U24" si="14">SUM(D18:D23)</f>
        <v>#N/A</v>
      </c>
      <c r="E24" s="5" t="e">
        <f t="shared" si="14"/>
        <v>#N/A</v>
      </c>
      <c r="F24" s="5" t="e">
        <f t="shared" si="14"/>
        <v>#N/A</v>
      </c>
      <c r="G24" s="5" t="e">
        <f t="shared" si="14"/>
        <v>#N/A</v>
      </c>
      <c r="H24" s="5" t="e">
        <f t="shared" si="14"/>
        <v>#N/A</v>
      </c>
      <c r="I24" s="5" t="e">
        <f t="shared" si="14"/>
        <v>#N/A</v>
      </c>
      <c r="J24" s="5" t="e">
        <f t="shared" si="14"/>
        <v>#N/A</v>
      </c>
      <c r="K24" s="5" t="e">
        <f t="shared" si="14"/>
        <v>#N/A</v>
      </c>
      <c r="L24" s="5" t="e">
        <f t="shared" si="14"/>
        <v>#N/A</v>
      </c>
      <c r="M24" s="5">
        <f t="shared" si="14"/>
        <v>0</v>
      </c>
      <c r="N24" s="5">
        <f t="shared" si="14"/>
        <v>0</v>
      </c>
      <c r="O24" s="5" t="e">
        <f t="shared" si="14"/>
        <v>#N/A</v>
      </c>
      <c r="P24" s="5">
        <f t="shared" si="14"/>
        <v>0</v>
      </c>
      <c r="Q24" s="5" t="e">
        <f t="shared" si="14"/>
        <v>#N/A</v>
      </c>
      <c r="R24" s="5">
        <f t="shared" si="14"/>
        <v>0</v>
      </c>
      <c r="S24" s="5" t="e">
        <f t="shared" si="14"/>
        <v>#N/A</v>
      </c>
      <c r="T24" s="5">
        <f t="shared" si="14"/>
        <v>0</v>
      </c>
      <c r="U24" s="5" t="e">
        <f t="shared" si="14"/>
        <v>#N/A</v>
      </c>
    </row>
    <row r="25" spans="1:26" s="6" customFormat="1" ht="14.25" thickTop="1" thickBot="1">
      <c r="A25" s="28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7"/>
      <c r="T25" s="136"/>
      <c r="U25" s="136"/>
    </row>
    <row r="26" spans="1:26" ht="13.5" thickBot="1">
      <c r="A26" s="28" t="str">
        <f>TRIM($C$3)&amp;"11120"</f>
        <v>BKA11120</v>
      </c>
      <c r="B26" s="12" t="s">
        <v>88</v>
      </c>
      <c r="C26" s="5" t="e">
        <f>IF(C$2=1,VLOOKUP($A26,ACTUAL!$A$2:$M$124,2,FALSE),0)</f>
        <v>#N/A</v>
      </c>
      <c r="D26" s="5" t="e">
        <f>IF(D$2=1,VLOOKUP($A26,ACTUAL!$A$2:$M$124,3,FALSE),0)</f>
        <v>#N/A</v>
      </c>
      <c r="E26" s="5" t="e">
        <f>IF(E$2=1,VLOOKUP($A26,ACTUAL!$A$2:$M$124,4,FALSE),0)</f>
        <v>#N/A</v>
      </c>
      <c r="F26" s="5" t="e">
        <f>IF(F$2=1,VLOOKUP($A26,ACTUAL!$A$2:$M$124,5,FALSE),0)</f>
        <v>#N/A</v>
      </c>
      <c r="G26" s="5" t="e">
        <f>IF(G$2=1,VLOOKUP($A26,ACTUAL!$A$2:$M$124,6,FALSE),0)</f>
        <v>#N/A</v>
      </c>
      <c r="H26" s="5" t="e">
        <f>IF(H$2=1,VLOOKUP($A26,ACTUAL!$A$2:$M$124,7,FALSE),0)</f>
        <v>#N/A</v>
      </c>
      <c r="I26" s="5" t="e">
        <f>IF(I$2=1,VLOOKUP($A26,ACTUAL!$A$2:$M$124,8,FALSE),0)</f>
        <v>#N/A</v>
      </c>
      <c r="J26" s="5" t="e">
        <f>IF(J$2=1,VLOOKUP($A26,ACTUAL!$A$2:$M$124,9,FALSE),0)</f>
        <v>#N/A</v>
      </c>
      <c r="K26" s="5" t="e">
        <f>IF(K$2=1,VLOOKUP($A26,ACTUAL!$A$2:$M$124,10,FALSE),0)</f>
        <v>#N/A</v>
      </c>
      <c r="L26" s="5" t="e">
        <f>IF(L$2=1,VLOOKUP($A26,ACTUAL!$A$2:$M$124,11,FALSE),0)</f>
        <v>#N/A</v>
      </c>
      <c r="M26" s="5">
        <f>IF(M$2=1,VLOOKUP($A26,ACTUAL!$A$2:$M$124,12,FALSE),0)</f>
        <v>0</v>
      </c>
      <c r="N26" s="5">
        <f>IF(N$2=1,VLOOKUP($A26,ACTUAL!$A$2:$M$124,13,FALSE),0)</f>
        <v>0</v>
      </c>
      <c r="O26" s="5" t="e">
        <f>SUM(C26:N26)</f>
        <v>#N/A</v>
      </c>
      <c r="P26" s="5">
        <f>IF(ISNA(VLOOKUP($A26,BUDGET!$A$1:$C$67,2,FALSE)),0,VLOOKUP($A26,BUDGET!$A$1:$C$67,2,FALSE))</f>
        <v>0</v>
      </c>
      <c r="Q26" s="5" t="e">
        <f>P26-O26</f>
        <v>#N/A</v>
      </c>
      <c r="R26" s="138"/>
      <c r="S26" s="5" t="e">
        <f>R26+O26</f>
        <v>#N/A</v>
      </c>
      <c r="T26" s="5">
        <f>IF(ISNA(VLOOKUP($A26,BUDGET!$A$1:$C$67,3,FALSE)),0,VLOOKUP($A26,BUDGET!$A$1:$C$67,3,FALSE))</f>
        <v>0</v>
      </c>
      <c r="U26" s="5" t="e">
        <f>T26-S26</f>
        <v>#N/A</v>
      </c>
      <c r="W26" s="79">
        <f t="array" ref="W26">IFERROR(SUM(VLOOKUP($A26,MONTHLYBUDGET,{4,5,6},FALSE)),0)</f>
        <v>0</v>
      </c>
      <c r="X26" s="79">
        <f t="array" ref="X26">IFERROR(SUM(VLOOKUP($A26,MONTHLYBUDGET,{7,8,9},FALSE)),0)</f>
        <v>0</v>
      </c>
      <c r="Y26" s="79">
        <f t="array" ref="Y26">IFERROR(SUM(VLOOKUP($A26,MONTHLYBUDGET,{10,11,12},FALSE)),0)</f>
        <v>0</v>
      </c>
      <c r="Z26" s="79">
        <f t="array" ref="Z26">IFERROR(SUM(VLOOKUP($A26,MONTHLYBUDGET,{13,14,15},FALSE)),0)</f>
        <v>0</v>
      </c>
    </row>
    <row r="27" spans="1:26" s="29" customFormat="1" ht="13.5" thickTop="1">
      <c r="A27" s="29" t="str">
        <f>TRIM($C$3)&amp;"21210"</f>
        <v>BKA21210</v>
      </c>
      <c r="B27" s="29" t="s">
        <v>32</v>
      </c>
      <c r="C27" s="122" t="e">
        <f>VLOOKUP($C$3&amp;"01",'YTD VARIANCE'!$A:$E,5,FALSE)</f>
        <v>#N/A</v>
      </c>
      <c r="D27" s="122" t="e">
        <f>IF(D$2=1,VLOOKUP($C$3&amp;"02",'YTD VARIANCE'!$A:$E,5,FALSE),0)</f>
        <v>#N/A</v>
      </c>
      <c r="E27" s="122" t="e">
        <f>IF(E2=1,VLOOKUP($C$3&amp;"03",'YTD VARIANCE'!$A:$E,5,FALSE),0)</f>
        <v>#N/A</v>
      </c>
      <c r="F27" s="122" t="e">
        <f>IF(F2=1,VLOOKUP($C$3&amp;"04",'YTD VARIANCE'!$A:$E,5,FALSE),0)</f>
        <v>#N/A</v>
      </c>
      <c r="G27" s="122" t="e">
        <f>IF(G2=1,VLOOKUP($C$3&amp;"05",'YTD VARIANCE'!$A:$E,5,FALSE),0)</f>
        <v>#N/A</v>
      </c>
      <c r="H27" s="122" t="e">
        <f>IF(H2=1,VLOOKUP($C$3&amp;"06",'YTD VARIANCE'!$A:$E,5,FALSE),0)</f>
        <v>#N/A</v>
      </c>
      <c r="I27" s="122" t="e">
        <f>IF(I2=1,VLOOKUP($C$3&amp;"07",'YTD VARIANCE'!$A:$E,5,FALSE),0)</f>
        <v>#N/A</v>
      </c>
      <c r="J27" s="122" t="e">
        <f>IF(J2=1,VLOOKUP($C$3&amp;"08",'YTD VARIANCE'!$A:$E,5,FALSE),0)</f>
        <v>#N/A</v>
      </c>
      <c r="K27" s="122" t="e">
        <f>IF(K2=1,VLOOKUP($C$3&amp;"09",'YTD VARIANCE'!$A:$E,5,FALSE),0)</f>
        <v>#N/A</v>
      </c>
      <c r="L27" s="122" t="e">
        <f>IF(L2=1,VLOOKUP($C$3&amp;"10",'YTD VARIANCE'!$A:$E,5,FALSE),0)</f>
        <v>#N/A</v>
      </c>
      <c r="M27" s="122">
        <f>IF(M2=1,VLOOKUP($C$3&amp;"11",'YTD VARIANCE'!$A:$E,5,FALSE),0)</f>
        <v>0</v>
      </c>
      <c r="N27" s="122">
        <f>IF(N2=1,VLOOKUP($C$3&amp;"12",'YTD VARIANCE'!$A:$E,5,FALSE),0)</f>
        <v>0</v>
      </c>
      <c r="R27" s="34"/>
      <c r="T27" s="34"/>
    </row>
    <row r="28" spans="1:26">
      <c r="A28" s="6"/>
      <c r="B28" s="6" t="s">
        <v>28</v>
      </c>
    </row>
    <row r="29" spans="1:26">
      <c r="A29" s="32"/>
      <c r="B29" s="9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90"/>
      <c r="P30" s="90"/>
      <c r="R30" s="17"/>
      <c r="T30" s="17"/>
    </row>
    <row r="31" spans="1:26" s="18" customFormat="1">
      <c r="A31" s="32"/>
      <c r="B31" s="9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0"/>
      <c r="P31" s="90"/>
      <c r="R31" s="17"/>
      <c r="T31" s="17"/>
    </row>
    <row r="32" spans="1:26" s="18" customFormat="1">
      <c r="A32" s="33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0"/>
      <c r="P32" s="90"/>
      <c r="R32" s="17"/>
      <c r="T32" s="17"/>
    </row>
    <row r="33" spans="1:20" s="18" customFormat="1">
      <c r="A33" s="32"/>
      <c r="B33" s="95"/>
      <c r="C33" s="93"/>
      <c r="D33" s="93"/>
      <c r="E33" s="93"/>
      <c r="F33" s="93"/>
      <c r="G33" s="93"/>
      <c r="H33" s="93"/>
      <c r="I33" s="96"/>
      <c r="J33" s="96"/>
      <c r="K33" s="93"/>
      <c r="L33" s="93"/>
      <c r="M33" s="93"/>
      <c r="N33" s="93"/>
      <c r="O33" s="93"/>
      <c r="P33" s="90"/>
      <c r="R33" s="17"/>
      <c r="T33" s="17"/>
    </row>
    <row r="34" spans="1:20" s="18" customFormat="1">
      <c r="A34" s="33"/>
      <c r="B34" s="95"/>
      <c r="C34" s="93"/>
      <c r="D34" s="93"/>
      <c r="E34" s="93"/>
      <c r="F34" s="93"/>
      <c r="G34" s="93"/>
      <c r="H34" s="93"/>
      <c r="I34" s="96"/>
      <c r="J34" s="96"/>
      <c r="K34" s="93"/>
      <c r="L34" s="93"/>
      <c r="M34" s="93"/>
      <c r="N34" s="93"/>
      <c r="O34" s="93"/>
      <c r="P34" s="90"/>
      <c r="R34" s="17"/>
      <c r="T34" s="17"/>
    </row>
    <row r="35" spans="1:20" s="18" customFormat="1">
      <c r="A35" s="32"/>
      <c r="B35" s="97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0"/>
      <c r="R35" s="17"/>
      <c r="T35" s="17"/>
    </row>
    <row r="36" spans="1:20" s="18" customFormat="1">
      <c r="A36" s="33"/>
      <c r="B36" s="95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0"/>
      <c r="R36" s="17"/>
      <c r="T36" s="17"/>
    </row>
    <row r="37" spans="1:20" s="18" customFormat="1">
      <c r="A37" s="32"/>
      <c r="B37" s="95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0"/>
      <c r="R37" s="17"/>
      <c r="T37" s="17"/>
    </row>
    <row r="38" spans="1:20" s="18" customFormat="1">
      <c r="A38" s="33"/>
      <c r="B38" s="95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0"/>
      <c r="R38" s="17"/>
      <c r="T38" s="17"/>
    </row>
    <row r="39" spans="1:20" s="18" customFormat="1">
      <c r="A39" s="32"/>
      <c r="B39" s="95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0"/>
      <c r="R39" s="17"/>
      <c r="T39" s="17"/>
    </row>
    <row r="40" spans="1:20" s="18" customFormat="1">
      <c r="A40" s="33"/>
      <c r="B40" s="95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0"/>
      <c r="R40" s="17"/>
      <c r="T40" s="17"/>
    </row>
    <row r="41" spans="1:20" s="18" customFormat="1">
      <c r="A41" s="32"/>
      <c r="B41" s="95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0"/>
      <c r="R41" s="17"/>
      <c r="T41" s="17"/>
    </row>
    <row r="42" spans="1:20" s="18" customFormat="1">
      <c r="A42" s="33"/>
      <c r="B42" s="95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0"/>
      <c r="R42" s="17"/>
      <c r="T42" s="17"/>
    </row>
    <row r="43" spans="1:20" s="18" customFormat="1">
      <c r="A43" s="32"/>
      <c r="B43" s="95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0"/>
      <c r="R43" s="17"/>
      <c r="T43" s="17"/>
    </row>
    <row r="44" spans="1:20" s="18" customFormat="1">
      <c r="A44" s="33"/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0"/>
      <c r="R44" s="17"/>
      <c r="T44" s="17"/>
    </row>
    <row r="45" spans="1:20" s="18" customFormat="1">
      <c r="A45" s="32"/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0"/>
      <c r="R45" s="17"/>
      <c r="T45" s="17"/>
    </row>
    <row r="46" spans="1:20" s="18" customFormat="1">
      <c r="A46" s="33"/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0"/>
      <c r="R46" s="17"/>
      <c r="T46" s="17"/>
    </row>
    <row r="47" spans="1:20" s="18" customFormat="1">
      <c r="A47" s="32"/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0"/>
      <c r="R47" s="17"/>
      <c r="T47" s="17"/>
    </row>
    <row r="48" spans="1:20" s="18" customFormat="1">
      <c r="A48" s="33"/>
      <c r="B48" s="8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90"/>
      <c r="P48" s="90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0"/>
      <c r="P49" s="90"/>
      <c r="R49" s="17"/>
      <c r="T49" s="17"/>
    </row>
    <row r="50" spans="1:20" s="18" customFormat="1">
      <c r="A50" s="33"/>
      <c r="B50" s="8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90"/>
      <c r="P50" s="90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90"/>
      <c r="P51" s="90"/>
      <c r="R51" s="17"/>
      <c r="T51" s="17"/>
    </row>
    <row r="52" spans="1:20" s="18" customFormat="1">
      <c r="A52" s="33"/>
      <c r="B52" s="89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90"/>
      <c r="P52" s="90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0"/>
      <c r="P53" s="90"/>
      <c r="R53" s="17"/>
      <c r="T53" s="17"/>
    </row>
    <row r="54" spans="1:20" s="18" customFormat="1">
      <c r="A54" s="33"/>
      <c r="B54" s="89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0"/>
      <c r="P54" s="90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0"/>
      <c r="P55" s="90"/>
      <c r="R55" s="17"/>
      <c r="T55" s="17"/>
    </row>
    <row r="56" spans="1:20" s="18" customFormat="1">
      <c r="A56" s="33"/>
      <c r="B56" s="89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0"/>
      <c r="P56" s="90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0"/>
      <c r="P57" s="90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90"/>
      <c r="P58" s="90"/>
      <c r="R58" s="17"/>
      <c r="T58" s="17"/>
    </row>
    <row r="59" spans="1:20" s="18" customFormat="1">
      <c r="A59" s="33"/>
      <c r="B59" s="8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90"/>
      <c r="P59" s="90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90"/>
      <c r="P60" s="90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0"/>
      <c r="P61" s="90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0"/>
      <c r="P62" s="90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0"/>
      <c r="P63" s="90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0"/>
      <c r="P64" s="90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0"/>
      <c r="P65" s="90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90"/>
      <c r="P66" s="90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90"/>
      <c r="P67" s="90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0"/>
      <c r="P68" s="90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0"/>
      <c r="P69" s="90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90"/>
      <c r="P70" s="90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90"/>
      <c r="P71" s="90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0"/>
      <c r="P72" s="90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0"/>
      <c r="P73" s="90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90"/>
      <c r="P74" s="90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90"/>
      <c r="P75" s="90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0"/>
      <c r="P76" s="90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0"/>
      <c r="P77" s="90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90"/>
      <c r="P78" s="90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90"/>
      <c r="P79" s="90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0"/>
      <c r="P80" s="90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0"/>
      <c r="P81" s="90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90"/>
      <c r="P82" s="90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90"/>
      <c r="P83" s="90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0"/>
      <c r="P84" s="90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0"/>
      <c r="P85" s="90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2" t="e">
        <f>VLOOKUP($C$3&amp;"01",'RUNNING DAYS'!$A:$B,2,FALSE)</f>
        <v>#N/A</v>
      </c>
      <c r="D1" s="102" t="e">
        <f>IF(D$2=1,VLOOKUP($C$3&amp;"02",'RUNNING DAYS'!$A:$B,2,FALSE),0)</f>
        <v>#N/A</v>
      </c>
      <c r="E1" s="102" t="e">
        <f>IF(E$2=1,VLOOKUP($C$3&amp;"03",'RUNNING DAYS'!$A:$B,2,FALSE),0)</f>
        <v>#N/A</v>
      </c>
      <c r="F1" s="102" t="e">
        <f>IF(F$2=1,VLOOKUP($C$3&amp;"04",'RUNNING DAYS'!$A:$B,2,FALSE),0)</f>
        <v>#N/A</v>
      </c>
      <c r="G1" s="102" t="e">
        <f>IF(G$2=1,VLOOKUP($C$3&amp;"05",'RUNNING DAYS'!$A:$B,2,FALSE),0)</f>
        <v>#N/A</v>
      </c>
      <c r="H1" s="102" t="e">
        <f>IF(H$2=1,VLOOKUP($C$3&amp;"06",'RUNNING DAYS'!$A:$B,2,FALSE),0)</f>
        <v>#N/A</v>
      </c>
      <c r="I1" s="102" t="e">
        <f>IF(I$2=1,VLOOKUP($C$3&amp;"07",'RUNNING DAYS'!$A:$B,2,FALSE),0)</f>
        <v>#N/A</v>
      </c>
      <c r="J1" s="102" t="e">
        <f>IF(J$2=1,VLOOKUP($C$3&amp;"08",'RUNNING DAYS'!$A:$B,2,FALSE),0)</f>
        <v>#N/A</v>
      </c>
      <c r="K1" s="102" t="e">
        <f>IF(K$2=1,VLOOKUP($C$3&amp;"09",'RUNNING DAYS'!$A:$B,2,FALSE),0)</f>
        <v>#N/A</v>
      </c>
      <c r="L1" s="102" t="e">
        <f>IF(L$2=1,VLOOKUP($C$3&amp;"10",'RUNNING DAYS'!$A:$B,2,FALSE),0)</f>
        <v>#N/A</v>
      </c>
      <c r="M1" s="102">
        <f>IF(M$2=1,VLOOKUP($C$3&amp;"11",'RUNNING DAYS'!$A:$B,2,FALSE),0)</f>
        <v>0</v>
      </c>
      <c r="N1" s="102">
        <f>IF(N$2=1,VLOOKUP($C$3&amp;"12",'RUNNING DAYS'!$A:$B,2,FALSE),0)</f>
        <v>0</v>
      </c>
      <c r="O1" s="123" t="e">
        <f>SUM(C1:L1)</f>
        <v>#N/A</v>
      </c>
      <c r="P1" s="79">
        <f t="shared" ref="P1" si="0">DAY(EOMONTH(DATE(YEAR(L2),1,1),0))</f>
        <v>31</v>
      </c>
      <c r="Q1" s="79"/>
      <c r="R1" s="102"/>
      <c r="S1" s="79"/>
      <c r="T1" s="102"/>
      <c r="W1" s="79">
        <f t="array" ref="W1">IFERROR(SUM(VLOOKUP($A1,MONTHLYBUDGET,{4,5,6},FALSE)),0)</f>
        <v>0</v>
      </c>
      <c r="X1" s="79">
        <f t="array" ref="X1">IFERROR(SUM(VLOOKUP($A1,MONTHLYBUDGET,{7,8,9},FALSE)),0)</f>
        <v>0</v>
      </c>
      <c r="Y1" s="79">
        <f t="array" ref="Y1">IFERROR(SUM(VLOOKUP($A1,MONTHLYBUDGET,{10,11,12},FALSE)),0)</f>
        <v>0</v>
      </c>
      <c r="Z1" s="79">
        <f t="array" ref="Z1">IFERROR(SUM(VLOOKUP($A1,MONTHLYBUDGET,{13,14,15},FALSE)),0)</f>
        <v>0</v>
      </c>
    </row>
    <row r="2" spans="1:26" s="21" customFormat="1">
      <c r="A2" s="24"/>
      <c r="B2" s="124">
        <f>Summary!C1</f>
        <v>44500</v>
      </c>
      <c r="C2" s="102">
        <v>1</v>
      </c>
      <c r="D2" s="102">
        <f>IF(MONTH($B$2)&lt;2,0,1)</f>
        <v>1</v>
      </c>
      <c r="E2" s="102">
        <f>IF(MONTH($B$2)&lt;3,0,1)</f>
        <v>1</v>
      </c>
      <c r="F2" s="102">
        <f>IF(MONTH($B$2)&lt;4,0,1)</f>
        <v>1</v>
      </c>
      <c r="G2" s="102">
        <f>IF(MONTH($B$2)&lt;5,0,1)</f>
        <v>1</v>
      </c>
      <c r="H2" s="102">
        <f>IF(MONTH($B$2)&lt;6,0,1)</f>
        <v>1</v>
      </c>
      <c r="I2" s="102">
        <f>IF(MONTH($B$2)&lt;7,0,1)</f>
        <v>1</v>
      </c>
      <c r="J2" s="102">
        <f>IF(MONTH($B$2)&lt;8,0,1)</f>
        <v>1</v>
      </c>
      <c r="K2" s="102">
        <f>IF(MONTH($B$2)&lt;9,0,1)</f>
        <v>1</v>
      </c>
      <c r="L2" s="102">
        <f>IF(MONTH($B$2)&lt;10,0,1)</f>
        <v>1</v>
      </c>
      <c r="M2" s="102">
        <f>IF(MONTH($B$2)&lt;11,0,1)</f>
        <v>0</v>
      </c>
      <c r="N2" s="102">
        <f>IF(MONTH($B$2)&lt;12,0,1)</f>
        <v>0</v>
      </c>
      <c r="O2" s="79"/>
      <c r="P2" s="79"/>
      <c r="Q2" s="79"/>
      <c r="R2" s="102"/>
      <c r="S2" s="79">
        <f>DAY(EOMONTH(DATE(YEAR(B2),1,1),0))</f>
        <v>31</v>
      </c>
      <c r="T2" s="102"/>
    </row>
    <row r="3" spans="1:26" s="6" customFormat="1">
      <c r="B3" s="6" t="s">
        <v>75</v>
      </c>
      <c r="C3" s="2" t="s">
        <v>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53" t="s">
        <v>23</v>
      </c>
      <c r="C5" s="154" t="s">
        <v>70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R5" s="157" t="s">
        <v>13</v>
      </c>
      <c r="S5" s="152" t="s">
        <v>14</v>
      </c>
      <c r="T5" s="159" t="s">
        <v>15</v>
      </c>
      <c r="U5" s="152" t="s">
        <v>16</v>
      </c>
    </row>
    <row r="6" spans="1:26" ht="43.5" customHeight="1">
      <c r="A6" s="31" t="s">
        <v>30</v>
      </c>
      <c r="B6" s="153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8" t="s">
        <v>24</v>
      </c>
      <c r="P6" s="20" t="s">
        <v>26</v>
      </c>
      <c r="Q6" s="20" t="s">
        <v>27</v>
      </c>
      <c r="R6" s="158"/>
      <c r="S6" s="152"/>
      <c r="T6" s="159"/>
      <c r="U6" s="152"/>
    </row>
    <row r="7" spans="1:26">
      <c r="A7" s="28" t="s">
        <v>29</v>
      </c>
      <c r="B7" s="9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8" t="s">
        <v>25</v>
      </c>
      <c r="P7" s="19"/>
      <c r="Q7" s="19"/>
      <c r="R7" s="23" t="s">
        <v>83</v>
      </c>
      <c r="S7" s="98" t="s">
        <v>17</v>
      </c>
      <c r="T7" s="100" t="s">
        <v>18</v>
      </c>
      <c r="U7" s="98" t="s">
        <v>19</v>
      </c>
    </row>
    <row r="8" spans="1:26">
      <c r="A8" s="28" t="str">
        <f>TRIM($C$3)&amp;"212111"</f>
        <v>BKB212111</v>
      </c>
      <c r="B8" s="1" t="s">
        <v>58</v>
      </c>
      <c r="C8" s="35" t="e">
        <f>IF(C$2=1,VLOOKUP($A8,ACTUAL!$A$2:$M$124,2,FALSE),0)</f>
        <v>#N/A</v>
      </c>
      <c r="D8" s="35" t="e">
        <f>IF(D$2=1,VLOOKUP($A8,ACTUAL!$A$2:$M$124,3,FALSE),0)</f>
        <v>#N/A</v>
      </c>
      <c r="E8" s="35" t="e">
        <f>IF(E$2=1,VLOOKUP($A8,ACTUAL!$A$2:$M$124,4,FALSE),0)</f>
        <v>#N/A</v>
      </c>
      <c r="F8" s="35" t="e">
        <f>IF(F$2=1,VLOOKUP($A8,ACTUAL!$A$2:$M$124,5,FALSE),0)</f>
        <v>#N/A</v>
      </c>
      <c r="G8" s="35" t="e">
        <f>IF(G$2=1,VLOOKUP($A8,ACTUAL!$A$2:$M$124,6,FALSE),0)</f>
        <v>#N/A</v>
      </c>
      <c r="H8" s="35" t="e">
        <f>IF(H$2=1,VLOOKUP($A8,ACTUAL!$A$2:$M$124,7,FALSE),0)</f>
        <v>#N/A</v>
      </c>
      <c r="I8" s="35" t="e">
        <f>IF(I$2=1,VLOOKUP($A8,ACTUAL!$A$2:$M$124,8,FALSE),0)</f>
        <v>#N/A</v>
      </c>
      <c r="J8" s="35" t="e">
        <f>IF(J$2=1,VLOOKUP($A8,ACTUAL!$A$2:$M$124,9,FALSE),0)</f>
        <v>#N/A</v>
      </c>
      <c r="K8" s="35" t="e">
        <f>IF(K$2=1,VLOOKUP($A8,ACTUAL!$A$2:$M$124,10,FALSE),0)</f>
        <v>#N/A</v>
      </c>
      <c r="L8" s="35" t="e">
        <f>IF(L$2=1,VLOOKUP($A8,ACTUAL!$A$2:$M$124,11,FALSE),0)</f>
        <v>#N/A</v>
      </c>
      <c r="M8" s="35">
        <f>IF(M$2=1,VLOOKUP($A8,ACTUAL!$A$2:$M$124,12,FALSE),0)</f>
        <v>0</v>
      </c>
      <c r="N8" s="35">
        <f>IF(N$2=1,VLOOKUP($A8,ACTUAL!$A$2:$M$124,13,FALSE),0)</f>
        <v>0</v>
      </c>
      <c r="O8" s="8" t="e">
        <f t="shared" ref="O8:O11" si="1">SUM(C8:N8)</f>
        <v>#N/A</v>
      </c>
      <c r="P8" s="35">
        <f>IF(ISNA(VLOOKUP($A8,BUDGET!$A$1:$C$67,2,FALSE)),0,VLOOKUP($A8,BUDGET!$A$1:$C$67,2,FALSE))</f>
        <v>0</v>
      </c>
      <c r="Q8" s="8" t="e">
        <f t="shared" ref="Q8:Q11" si="2">P8-O8</f>
        <v>#N/A</v>
      </c>
      <c r="R8" s="88"/>
      <c r="S8" s="22" t="e">
        <f t="shared" ref="S8" si="3">R8+O8</f>
        <v>#N/A</v>
      </c>
      <c r="T8" s="35">
        <f>IF(ISNA(VLOOKUP($A8,BUDGET!$A$1:$C$67,3,FALSE)),0,VLOOKUP($A8,BUDGET!$A$1:$C$67,3,FALSE))</f>
        <v>0</v>
      </c>
      <c r="U8" s="8" t="e">
        <f t="shared" ref="U8" si="4">T8-S8</f>
        <v>#N/A</v>
      </c>
      <c r="W8" s="79">
        <f t="array" ref="W8">IFERROR(SUM(VLOOKUP($A8,MONTHLYBUDGET,{4,5,6},FALSE)),0)</f>
        <v>0</v>
      </c>
      <c r="X8" s="79">
        <f t="array" ref="X8">IFERROR(SUM(VLOOKUP($A8,MONTHLYBUDGET,{7,8,9},FALSE)),0)</f>
        <v>0</v>
      </c>
      <c r="Y8" s="79">
        <f t="array" ref="Y8">IFERROR(SUM(VLOOKUP($A8,MONTHLYBUDGET,{10,11,12},FALSE)),0)</f>
        <v>0</v>
      </c>
      <c r="Z8" s="79">
        <f t="array" ref="Z8">IFERROR(SUM(VLOOKUP($A8,MONTHLYBUDGET,{13,14,15},FALSE)),0)</f>
        <v>0</v>
      </c>
    </row>
    <row r="9" spans="1:26">
      <c r="A9" s="28" t="str">
        <f>TRIM($C$3)&amp;"212112"</f>
        <v>BKB212112</v>
      </c>
      <c r="B9" s="1" t="s">
        <v>59</v>
      </c>
      <c r="C9" s="35" t="e">
        <f>IF(C$2=1,VLOOKUP($A9,ACTUAL!$A$2:$M$124,2,FALSE),0)</f>
        <v>#N/A</v>
      </c>
      <c r="D9" s="35" t="e">
        <f>IF(D$2=1,VLOOKUP($A9,ACTUAL!$A$2:$M$124,3,FALSE),0)</f>
        <v>#N/A</v>
      </c>
      <c r="E9" s="35" t="e">
        <f>IF(E$2=1,VLOOKUP($A9,ACTUAL!$A$2:$M$124,4,FALSE),0)</f>
        <v>#N/A</v>
      </c>
      <c r="F9" s="35" t="e">
        <f>IF(F$2=1,VLOOKUP($A9,ACTUAL!$A$2:$M$124,5,FALSE),0)</f>
        <v>#N/A</v>
      </c>
      <c r="G9" s="35" t="e">
        <f>IF(G$2=1,VLOOKUP($A9,ACTUAL!$A$2:$M$124,6,FALSE),0)</f>
        <v>#N/A</v>
      </c>
      <c r="H9" s="35" t="e">
        <f>IF(H$2=1,VLOOKUP($A9,ACTUAL!$A$2:$M$124,7,FALSE),0)</f>
        <v>#N/A</v>
      </c>
      <c r="I9" s="35" t="e">
        <f>IF(I$2=1,VLOOKUP($A9,ACTUAL!$A$2:$M$124,8,FALSE),0)</f>
        <v>#N/A</v>
      </c>
      <c r="J9" s="35" t="e">
        <f>IF(J$2=1,VLOOKUP($A9,ACTUAL!$A$2:$M$124,9,FALSE),0)</f>
        <v>#N/A</v>
      </c>
      <c r="K9" s="35" t="e">
        <f>IF(K$2=1,VLOOKUP($A9,ACTUAL!$A$2:$M$124,10,FALSE),0)</f>
        <v>#N/A</v>
      </c>
      <c r="L9" s="35" t="e">
        <f>IF(L$2=1,VLOOKUP($A9,ACTUAL!$A$2:$M$124,11,FALSE),0)</f>
        <v>#N/A</v>
      </c>
      <c r="M9" s="35">
        <f>IF(M$2=1,VLOOKUP($A9,ACTUAL!$A$2:$M$124,12,FALSE),0)</f>
        <v>0</v>
      </c>
      <c r="N9" s="35">
        <f>IF(N$2=1,VLOOKUP($A9,ACTUAL!$A$2:$M$124,13,FALSE),0)</f>
        <v>0</v>
      </c>
      <c r="O9" s="8" t="e">
        <f t="shared" si="1"/>
        <v>#N/A</v>
      </c>
      <c r="P9" s="35">
        <f>IF(ISNA(VLOOKUP($A9,BUDGET!$A$1:$C$67,2,FALSE)),0,VLOOKUP($A9,BUDGET!$A$1:$C$67,2,FALSE))</f>
        <v>0</v>
      </c>
      <c r="Q9" s="8" t="e">
        <f t="shared" si="2"/>
        <v>#N/A</v>
      </c>
      <c r="R9" s="88"/>
      <c r="S9" s="22" t="e">
        <f t="shared" ref="S9:S17" si="5">R9+O9</f>
        <v>#N/A</v>
      </c>
      <c r="T9" s="35">
        <f>IF(ISNA(VLOOKUP($A9,BUDGET!$A$1:$C$67,3,FALSE)),0,VLOOKUP($A9,BUDGET!$A$1:$C$67,3,FALSE))</f>
        <v>0</v>
      </c>
      <c r="U9" s="8" t="e">
        <f t="shared" ref="U9:U17" si="6">T9-S9</f>
        <v>#N/A</v>
      </c>
      <c r="W9" s="79">
        <f t="array" ref="W9">IFERROR(SUM(VLOOKUP($A9,MONTHLYBUDGET,{4,5,6},FALSE)),0)</f>
        <v>0</v>
      </c>
      <c r="X9" s="79">
        <f t="array" ref="X9">IFERROR(SUM(VLOOKUP($A9,MONTHLYBUDGET,{7,8,9},FALSE)),0)</f>
        <v>0</v>
      </c>
      <c r="Y9" s="79">
        <f t="array" ref="Y9">IFERROR(SUM(VLOOKUP($A9,MONTHLYBUDGET,{10,11,12},FALSE)),0)</f>
        <v>0</v>
      </c>
      <c r="Z9" s="79">
        <f t="array" ref="Z9">IFERROR(SUM(VLOOKUP($A9,MONTHLYBUDGET,{13,14,15},FALSE)),0)</f>
        <v>0</v>
      </c>
    </row>
    <row r="10" spans="1:26">
      <c r="A10" s="28" t="str">
        <f>TRIM($C$3)&amp;"212113"</f>
        <v>BKB212113</v>
      </c>
      <c r="B10" s="1" t="s">
        <v>20</v>
      </c>
      <c r="C10" s="35" t="e">
        <f>IF(C$2=1,VLOOKUP($A10,ACTUAL!$A$2:$M$124,2,FALSE),0)</f>
        <v>#N/A</v>
      </c>
      <c r="D10" s="35" t="e">
        <f>IF(D$2=1,VLOOKUP($A10,ACTUAL!$A$2:$M$124,3,FALSE),0)</f>
        <v>#N/A</v>
      </c>
      <c r="E10" s="35" t="e">
        <f>IF(E$2=1,VLOOKUP($A10,ACTUAL!$A$2:$M$124,4,FALSE),0)</f>
        <v>#N/A</v>
      </c>
      <c r="F10" s="35" t="e">
        <f>IF(F$2=1,VLOOKUP($A10,ACTUAL!$A$2:$M$124,5,FALSE),0)</f>
        <v>#N/A</v>
      </c>
      <c r="G10" s="35" t="e">
        <f>IF(G$2=1,VLOOKUP($A10,ACTUAL!$A$2:$M$124,6,FALSE),0)</f>
        <v>#N/A</v>
      </c>
      <c r="H10" s="35" t="e">
        <f>IF(H$2=1,VLOOKUP($A10,ACTUAL!$A$2:$M$124,7,FALSE),0)</f>
        <v>#N/A</v>
      </c>
      <c r="I10" s="35" t="e">
        <f>IF(I$2=1,VLOOKUP($A10,ACTUAL!$A$2:$M$124,8,FALSE),0)</f>
        <v>#N/A</v>
      </c>
      <c r="J10" s="35" t="e">
        <f>IF(J$2=1,VLOOKUP($A10,ACTUAL!$A$2:$M$124,9,FALSE),0)</f>
        <v>#N/A</v>
      </c>
      <c r="K10" s="35" t="e">
        <f>IF(K$2=1,VLOOKUP($A10,ACTUAL!$A$2:$M$124,10,FALSE),0)</f>
        <v>#N/A</v>
      </c>
      <c r="L10" s="35" t="e">
        <f>IF(L$2=1,VLOOKUP($A10,ACTUAL!$A$2:$M$124,11,FALSE),0)</f>
        <v>#N/A</v>
      </c>
      <c r="M10" s="35">
        <f>IF(M$2=1,VLOOKUP($A10,ACTUAL!$A$2:$M$124,12,FALSE),0)</f>
        <v>0</v>
      </c>
      <c r="N10" s="35">
        <f>IF(N$2=1,VLOOKUP($A10,ACTUAL!$A$2:$M$124,13,FALSE),0)</f>
        <v>0</v>
      </c>
      <c r="O10" s="8" t="e">
        <f t="shared" si="1"/>
        <v>#N/A</v>
      </c>
      <c r="P10" s="35">
        <f>IF(ISNA(VLOOKUP($A10,BUDGET!$A$1:$C$67,2,FALSE)),0,VLOOKUP($A10,BUDGET!$A$1:$C$67,2,FALSE))</f>
        <v>0</v>
      </c>
      <c r="Q10" s="8" t="e">
        <f t="shared" si="2"/>
        <v>#N/A</v>
      </c>
      <c r="R10" s="88"/>
      <c r="S10" s="22" t="e">
        <f t="shared" si="5"/>
        <v>#N/A</v>
      </c>
      <c r="T10" s="35">
        <f>IF(ISNA(VLOOKUP($A10,BUDGET!$A$1:$C$67,3,FALSE)),0,VLOOKUP($A10,BUDGET!$A$1:$C$67,3,FALSE))</f>
        <v>0</v>
      </c>
      <c r="U10" s="8" t="e">
        <f t="shared" si="6"/>
        <v>#N/A</v>
      </c>
      <c r="W10" s="79">
        <f t="array" ref="W10">IFERROR(SUM(VLOOKUP($A10,MONTHLYBUDGET,{4,5,6},FALSE)),0)</f>
        <v>0</v>
      </c>
      <c r="X10" s="79">
        <f t="array" ref="X10">IFERROR(SUM(VLOOKUP($A10,MONTHLYBUDGET,{7,8,9},FALSE)),0)</f>
        <v>0</v>
      </c>
      <c r="Y10" s="79">
        <f t="array" ref="Y10">IFERROR(SUM(VLOOKUP($A10,MONTHLYBUDGET,{10,11,12},FALSE)),0)</f>
        <v>0</v>
      </c>
      <c r="Z10" s="79">
        <f t="array" ref="Z10">IFERROR(SUM(VLOOKUP($A10,MONTHLYBUDGET,{13,14,15},FALSE)),0)</f>
        <v>0</v>
      </c>
    </row>
    <row r="11" spans="1:26">
      <c r="A11" s="28" t="str">
        <f>TRIM($C$3)&amp;"212120"</f>
        <v>BKB212120</v>
      </c>
      <c r="B11" s="1" t="s">
        <v>60</v>
      </c>
      <c r="C11" s="35" t="e">
        <f>IF(C$2=1,VLOOKUP($A11,ACTUAL!$A$2:$M$124,2,FALSE),0)</f>
        <v>#N/A</v>
      </c>
      <c r="D11" s="35" t="e">
        <f>IF(D$2=1,VLOOKUP($A11,ACTUAL!$A$2:$M$124,3,FALSE),0)</f>
        <v>#N/A</v>
      </c>
      <c r="E11" s="35" t="e">
        <f>IF(E$2=1,VLOOKUP($A11,ACTUAL!$A$2:$M$124,4,FALSE),0)</f>
        <v>#N/A</v>
      </c>
      <c r="F11" s="35" t="e">
        <f>IF(F$2=1,VLOOKUP($A11,ACTUAL!$A$2:$M$124,5,FALSE),0)</f>
        <v>#N/A</v>
      </c>
      <c r="G11" s="35" t="e">
        <f>IF(G$2=1,VLOOKUP($A11,ACTUAL!$A$2:$M$124,6,FALSE),0)</f>
        <v>#N/A</v>
      </c>
      <c r="H11" s="35" t="e">
        <f>IF(H$2=1,VLOOKUP($A11,ACTUAL!$A$2:$M$124,7,FALSE),0)</f>
        <v>#N/A</v>
      </c>
      <c r="I11" s="35" t="e">
        <f>IF(I$2=1,VLOOKUP($A11,ACTUAL!$A$2:$M$124,8,FALSE),0)</f>
        <v>#N/A</v>
      </c>
      <c r="J11" s="35" t="e">
        <f>IF(J$2=1,VLOOKUP($A11,ACTUAL!$A$2:$M$124,9,FALSE),0)</f>
        <v>#N/A</v>
      </c>
      <c r="K11" s="35" t="e">
        <f>IF(K$2=1,VLOOKUP($A11,ACTUAL!$A$2:$M$124,10,FALSE),0)</f>
        <v>#N/A</v>
      </c>
      <c r="L11" s="35" t="e">
        <f>IF(L$2=1,VLOOKUP($A11,ACTUAL!$A$2:$M$124,11,FALSE),0)</f>
        <v>#N/A</v>
      </c>
      <c r="M11" s="35">
        <f>IF(M$2=1,VLOOKUP($A11,ACTUAL!$A$2:$M$124,12,FALSE),0)</f>
        <v>0</v>
      </c>
      <c r="N11" s="35">
        <f>IF(N$2=1,VLOOKUP($A11,ACTUAL!$A$2:$M$124,13,FALSE),0)</f>
        <v>0</v>
      </c>
      <c r="O11" s="8" t="e">
        <f t="shared" si="1"/>
        <v>#N/A</v>
      </c>
      <c r="P11" s="35">
        <f>IF(ISNA(VLOOKUP($A11,BUDGET!$A$1:$C$67,2,FALSE)),0,VLOOKUP($A11,BUDGET!$A$1:$C$67,2,FALSE))</f>
        <v>0</v>
      </c>
      <c r="Q11" s="8" t="e">
        <f t="shared" si="2"/>
        <v>#N/A</v>
      </c>
      <c r="R11" s="88"/>
      <c r="S11" s="22" t="e">
        <f t="shared" si="5"/>
        <v>#N/A</v>
      </c>
      <c r="T11" s="35">
        <f>IF(ISNA(VLOOKUP($A11,BUDGET!$A$1:$C$67,3,FALSE)),0,VLOOKUP($A11,BUDGET!$A$1:$C$67,3,FALSE))</f>
        <v>0</v>
      </c>
      <c r="U11" s="8" t="e">
        <f t="shared" si="6"/>
        <v>#N/A</v>
      </c>
      <c r="W11" s="79"/>
      <c r="X11" s="79"/>
      <c r="Y11" s="79"/>
      <c r="Z11" s="79"/>
    </row>
    <row r="12" spans="1:26">
      <c r="A12" s="28" t="str">
        <f>TRIM($C$3)&amp;"212130"</f>
        <v>BKB212130</v>
      </c>
      <c r="B12" s="1" t="s">
        <v>21</v>
      </c>
      <c r="C12" s="35" t="e">
        <f>IF(C$2=1,VLOOKUP($A12,ACTUAL!$A$2:$M$124,2,FALSE),0)</f>
        <v>#N/A</v>
      </c>
      <c r="D12" s="35" t="e">
        <f>IF(D$2=1,VLOOKUP($A12,ACTUAL!$A$2:$M$124,3,FALSE),0)</f>
        <v>#N/A</v>
      </c>
      <c r="E12" s="35" t="e">
        <f>IF(E$2=1,VLOOKUP($A12,ACTUAL!$A$2:$M$124,4,FALSE),0)</f>
        <v>#N/A</v>
      </c>
      <c r="F12" s="35" t="e">
        <f>IF(F$2=1,VLOOKUP($A12,ACTUAL!$A$2:$M$124,5,FALSE),0)</f>
        <v>#N/A</v>
      </c>
      <c r="G12" s="35" t="e">
        <f>IF(G$2=1,VLOOKUP($A12,ACTUAL!$A$2:$M$124,6,FALSE),0)</f>
        <v>#N/A</v>
      </c>
      <c r="H12" s="35" t="e">
        <f>IF(H$2=1,VLOOKUP($A12,ACTUAL!$A$2:$M$124,7,FALSE),0)</f>
        <v>#N/A</v>
      </c>
      <c r="I12" s="35" t="e">
        <f>IF(I$2=1,VLOOKUP($A12,ACTUAL!$A$2:$M$124,8,FALSE),0)</f>
        <v>#N/A</v>
      </c>
      <c r="J12" s="35" t="e">
        <f>IF(J$2=1,VLOOKUP($A12,ACTUAL!$A$2:$M$124,9,FALSE),0)</f>
        <v>#N/A</v>
      </c>
      <c r="K12" s="35" t="e">
        <f>IF(K$2=1,VLOOKUP($A12,ACTUAL!$A$2:$M$124,10,FALSE),0)</f>
        <v>#N/A</v>
      </c>
      <c r="L12" s="35" t="e">
        <f>IF(L$2=1,VLOOKUP($A12,ACTUAL!$A$2:$M$124,11,FALSE),0)</f>
        <v>#N/A</v>
      </c>
      <c r="M12" s="35">
        <f>IF(M$2=1,VLOOKUP($A12,ACTUAL!$A$2:$M$124,12,FALSE),0)</f>
        <v>0</v>
      </c>
      <c r="N12" s="35">
        <f>IF(N$2=1,VLOOKUP($A12,ACTUAL!$A$2:$M$124,13,FALSE),0)</f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8"/>
      <c r="S12" s="22" t="e">
        <f t="shared" si="5"/>
        <v>#N/A</v>
      </c>
      <c r="T12" s="35">
        <f>IF(ISNA(VLOOKUP($A12,BUDGET!$A$1:$C$67,3,FALSE)),0,VLOOKUP($A12,BUDGET!$A$1:$C$67,3,FALSE))</f>
        <v>0</v>
      </c>
      <c r="U12" s="8" t="e">
        <f t="shared" si="6"/>
        <v>#N/A</v>
      </c>
      <c r="W12" s="79">
        <f t="array" ref="W12">IFERROR(SUM(VLOOKUP($A12,MONTHLYBUDGET,{4,5,6},FALSE)),0)</f>
        <v>0</v>
      </c>
      <c r="X12" s="79">
        <f t="array" ref="X12">IFERROR(SUM(VLOOKUP($A12,MONTHLYBUDGET,{7,8,9},FALSE)),0)</f>
        <v>0</v>
      </c>
      <c r="Y12" s="79">
        <f t="array" ref="Y12">IFERROR(SUM(VLOOKUP($A12,MONTHLYBUDGET,{10,11,12},FALSE)),0)</f>
        <v>0</v>
      </c>
      <c r="Z12" s="79">
        <f t="array" ref="Z12">IFERROR(SUM(VLOOKUP($A12,MONTHLYBUDGET,{13,14,15},FALSE)),0)</f>
        <v>0</v>
      </c>
    </row>
    <row r="13" spans="1:26">
      <c r="A13" s="28" t="str">
        <f>TRIM($C$3)&amp;"212140"</f>
        <v>BKB212140</v>
      </c>
      <c r="B13" s="1" t="s">
        <v>61</v>
      </c>
      <c r="C13" s="35" t="e">
        <f>IF(C$2=1,VLOOKUP($A13,ACTUAL!$A$2:$M$124,2,FALSE),0)</f>
        <v>#N/A</v>
      </c>
      <c r="D13" s="35" t="e">
        <f>IF(D$2=1,VLOOKUP($A13,ACTUAL!$A$2:$M$124,3,FALSE),0)</f>
        <v>#N/A</v>
      </c>
      <c r="E13" s="35" t="e">
        <f>IF(E$2=1,VLOOKUP($A13,ACTUAL!$A$2:$M$124,4,FALSE),0)</f>
        <v>#N/A</v>
      </c>
      <c r="F13" s="35" t="e">
        <f>IF(F$2=1,VLOOKUP($A13,ACTUAL!$A$2:$M$124,5,FALSE),0)</f>
        <v>#N/A</v>
      </c>
      <c r="G13" s="35" t="e">
        <f>IF(G$2=1,VLOOKUP($A13,ACTUAL!$A$2:$M$124,6,FALSE),0)</f>
        <v>#N/A</v>
      </c>
      <c r="H13" s="35" t="e">
        <f>IF(H$2=1,VLOOKUP($A13,ACTUAL!$A$2:$M$124,7,FALSE),0)</f>
        <v>#N/A</v>
      </c>
      <c r="I13" s="35" t="e">
        <f>IF(I$2=1,VLOOKUP($A13,ACTUAL!$A$2:$M$124,8,FALSE),0)</f>
        <v>#N/A</v>
      </c>
      <c r="J13" s="35" t="e">
        <f>IF(J$2=1,VLOOKUP($A13,ACTUAL!$A$2:$M$124,9,FALSE),0)</f>
        <v>#N/A</v>
      </c>
      <c r="K13" s="35" t="e">
        <f>IF(K$2=1,VLOOKUP($A13,ACTUAL!$A$2:$M$124,10,FALSE),0)</f>
        <v>#N/A</v>
      </c>
      <c r="L13" s="35" t="e">
        <f>IF(L$2=1,VLOOKUP($A13,ACTUAL!$A$2:$M$124,11,FALSE),0)</f>
        <v>#N/A</v>
      </c>
      <c r="M13" s="35">
        <f>IF(M$2=1,VLOOKUP($A13,ACTUAL!$A$2:$M$124,12,FALSE),0)</f>
        <v>0</v>
      </c>
      <c r="N13" s="35">
        <f>IF(N$2=1,VLOOKUP($A13,ACTUAL!$A$2:$M$124,13,FALSE),0)</f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8"/>
      <c r="S13" s="22" t="e">
        <f t="shared" si="5"/>
        <v>#N/A</v>
      </c>
      <c r="T13" s="35">
        <f>IF(ISNA(VLOOKUP($A13,BUDGET!$A$1:$C$67,3,FALSE)),0,VLOOKUP($A13,BUDGET!$A$1:$C$67,3,FALSE))</f>
        <v>0</v>
      </c>
      <c r="U13" s="8" t="e">
        <f t="shared" si="6"/>
        <v>#N/A</v>
      </c>
      <c r="W13" s="79">
        <f t="array" ref="W13">IFERROR(SUM(VLOOKUP($A13,MONTHLYBUDGET,{4,5,6},FALSE)),0)</f>
        <v>0</v>
      </c>
      <c r="X13" s="79">
        <f t="array" ref="X13">IFERROR(SUM(VLOOKUP($A13,MONTHLYBUDGET,{7,8,9},FALSE)),0)</f>
        <v>0</v>
      </c>
      <c r="Y13" s="79">
        <f t="array" ref="Y13">IFERROR(SUM(VLOOKUP($A13,MONTHLYBUDGET,{10,11,12},FALSE)),0)</f>
        <v>0</v>
      </c>
      <c r="Z13" s="79">
        <f t="array" ref="Z13">IFERROR(SUM(VLOOKUP($A13,MONTHLYBUDGET,{13,14,15},FALSE)),0)</f>
        <v>0</v>
      </c>
    </row>
    <row r="14" spans="1:26">
      <c r="A14" s="28" t="str">
        <f>TRIM($C$3)&amp;"212150"</f>
        <v>BKB212150</v>
      </c>
      <c r="B14" s="1" t="s">
        <v>52</v>
      </c>
      <c r="C14" s="35" t="e">
        <f>IF(C$2=1,VLOOKUP($A14,ACTUAL!$A$2:$M$124,2,FALSE),0)</f>
        <v>#N/A</v>
      </c>
      <c r="D14" s="35" t="e">
        <f>IF(D$2=1,VLOOKUP($A14,ACTUAL!$A$2:$M$124,3,FALSE),0)</f>
        <v>#N/A</v>
      </c>
      <c r="E14" s="35" t="e">
        <f>IF(E$2=1,VLOOKUP($A14,ACTUAL!$A$2:$M$124,4,FALSE),0)</f>
        <v>#N/A</v>
      </c>
      <c r="F14" s="35" t="e">
        <f>IF(F$2=1,VLOOKUP($A14,ACTUAL!$A$2:$M$124,5,FALSE),0)</f>
        <v>#N/A</v>
      </c>
      <c r="G14" s="35" t="e">
        <f>IF(G$2=1,VLOOKUP($A14,ACTUAL!$A$2:$M$124,6,FALSE),0)</f>
        <v>#N/A</v>
      </c>
      <c r="H14" s="35" t="e">
        <f>IF(H$2=1,VLOOKUP($A14,ACTUAL!$A$2:$M$124,7,FALSE),0)</f>
        <v>#N/A</v>
      </c>
      <c r="I14" s="35" t="e">
        <f>IF(I$2=1,VLOOKUP($A14,ACTUAL!$A$2:$M$124,8,FALSE),0)</f>
        <v>#N/A</v>
      </c>
      <c r="J14" s="35" t="e">
        <f>IF(J$2=1,VLOOKUP($A14,ACTUAL!$A$2:$M$124,9,FALSE),0)</f>
        <v>#N/A</v>
      </c>
      <c r="K14" s="35" t="e">
        <f>IF(K$2=1,VLOOKUP($A14,ACTUAL!$A$2:$M$124,10,FALSE),0)</f>
        <v>#N/A</v>
      </c>
      <c r="L14" s="35" t="e">
        <f>IF(L$2=1,VLOOKUP($A14,ACTUAL!$A$2:$M$124,11,FALSE),0)</f>
        <v>#N/A</v>
      </c>
      <c r="M14" s="35">
        <f>IF(M$2=1,VLOOKUP($A14,ACTUAL!$A$2:$M$124,12,FALSE),0)</f>
        <v>0</v>
      </c>
      <c r="N14" s="35">
        <f>IF(N$2=1,VLOOKUP($A14,ACTUAL!$A$2:$M$124,13,FALSE),0)</f>
        <v>0</v>
      </c>
      <c r="O14" s="8" t="e">
        <f t="shared" ref="O14:O15" si="7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8">P14-O14</f>
        <v>#N/A</v>
      </c>
      <c r="R14" s="88"/>
      <c r="S14" s="22" t="e">
        <f t="shared" si="5"/>
        <v>#N/A</v>
      </c>
      <c r="T14" s="35">
        <f>IF(ISNA(VLOOKUP($A14,BUDGET!$A$1:$C$67,3,FALSE)),0,VLOOKUP($A14,BUDGET!$A$1:$C$67,3,FALSE))</f>
        <v>0</v>
      </c>
      <c r="U14" s="8" t="e">
        <f t="shared" si="6"/>
        <v>#N/A</v>
      </c>
      <c r="W14" s="79">
        <f t="array" ref="W14">IFERROR(SUM(VLOOKUP($A14,MONTHLYBUDGET,{4,5,6},FALSE)),0)</f>
        <v>0</v>
      </c>
      <c r="X14" s="79">
        <f t="array" ref="X14">IFERROR(SUM(VLOOKUP($A14,MONTHLYBUDGET,{7,8,9},FALSE)),0)</f>
        <v>0</v>
      </c>
      <c r="Y14" s="79">
        <f t="array" ref="Y14">IFERROR(SUM(VLOOKUP($A14,MONTHLYBUDGET,{10,11,12},FALSE)),0)</f>
        <v>0</v>
      </c>
      <c r="Z14" s="79">
        <f t="array" ref="Z14">IFERROR(SUM(VLOOKUP($A14,MONTHLYBUDGET,{13,14,15},FALSE)),0)</f>
        <v>0</v>
      </c>
    </row>
    <row r="15" spans="1:26">
      <c r="A15" s="28" t="str">
        <f>TRIM($C$3)&amp;"212160"</f>
        <v>BKB212160</v>
      </c>
      <c r="B15" s="1" t="s">
        <v>53</v>
      </c>
      <c r="C15" s="35" t="e">
        <f>IF(C$2=1,VLOOKUP($A15,ACTUAL!$A$2:$M$124,2,FALSE),0)</f>
        <v>#N/A</v>
      </c>
      <c r="D15" s="35" t="e">
        <f>IF(D$2=1,VLOOKUP($A15,ACTUAL!$A$2:$M$124,3,FALSE),0)</f>
        <v>#N/A</v>
      </c>
      <c r="E15" s="35" t="e">
        <f>IF(E$2=1,VLOOKUP($A15,ACTUAL!$A$2:$M$124,4,FALSE),0)</f>
        <v>#N/A</v>
      </c>
      <c r="F15" s="35" t="e">
        <f>IF(F$2=1,VLOOKUP($A15,ACTUAL!$A$2:$M$124,5,FALSE),0)</f>
        <v>#N/A</v>
      </c>
      <c r="G15" s="35" t="e">
        <f>IF(G$2=1,VLOOKUP($A15,ACTUAL!$A$2:$M$124,6,FALSE),0)</f>
        <v>#N/A</v>
      </c>
      <c r="H15" s="35" t="e">
        <f>IF(H$2=1,VLOOKUP($A15,ACTUAL!$A$2:$M$124,7,FALSE),0)</f>
        <v>#N/A</v>
      </c>
      <c r="I15" s="35" t="e">
        <f>IF(I$2=1,VLOOKUP($A15,ACTUAL!$A$2:$M$124,8,FALSE),0)</f>
        <v>#N/A</v>
      </c>
      <c r="J15" s="35" t="e">
        <f>IF(J$2=1,VLOOKUP($A15,ACTUAL!$A$2:$M$124,9,FALSE),0)</f>
        <v>#N/A</v>
      </c>
      <c r="K15" s="35" t="e">
        <f>IF(K$2=1,VLOOKUP($A15,ACTUAL!$A$2:$M$124,10,FALSE),0)</f>
        <v>#N/A</v>
      </c>
      <c r="L15" s="35" t="e">
        <f>IF(L$2=1,VLOOKUP($A15,ACTUAL!$A$2:$M$124,11,FALSE),0)</f>
        <v>#N/A</v>
      </c>
      <c r="M15" s="35">
        <f>IF(M$2=1,VLOOKUP($A15,ACTUAL!$A$2:$M$124,12,FALSE),0)</f>
        <v>0</v>
      </c>
      <c r="N15" s="35">
        <f>IF(N$2=1,VLOOKUP($A15,ACTUAL!$A$2:$M$124,13,FALSE),0)</f>
        <v>0</v>
      </c>
      <c r="O15" s="8" t="e">
        <f t="shared" si="7"/>
        <v>#N/A</v>
      </c>
      <c r="P15" s="35">
        <f>IF(ISNA(VLOOKUP($A15,BUDGET!$A$1:$C$67,2,FALSE)),0,VLOOKUP($A15,BUDGET!$A$1:$C$67,2,FALSE))</f>
        <v>0</v>
      </c>
      <c r="Q15" s="8" t="e">
        <f t="shared" si="8"/>
        <v>#N/A</v>
      </c>
      <c r="R15" s="88"/>
      <c r="S15" s="22" t="e">
        <f t="shared" si="5"/>
        <v>#N/A</v>
      </c>
      <c r="T15" s="35">
        <f>IF(ISNA(VLOOKUP($A15,BUDGET!$A$1:$C$67,3,FALSE)),0,VLOOKUP($A15,BUDGET!$A$1:$C$67,3,FALSE))</f>
        <v>0</v>
      </c>
      <c r="U15" s="8" t="e">
        <f t="shared" si="6"/>
        <v>#N/A</v>
      </c>
      <c r="W15" s="79">
        <f t="array" ref="W15">IFERROR(SUM(VLOOKUP($A15,MONTHLYBUDGET,{4,5,6},FALSE)),0)</f>
        <v>0</v>
      </c>
      <c r="X15" s="79">
        <f t="array" ref="X15">IFERROR(SUM(VLOOKUP($A15,MONTHLYBUDGET,{7,8,9},FALSE)),0)</f>
        <v>0</v>
      </c>
      <c r="Y15" s="79">
        <f t="array" ref="Y15">IFERROR(SUM(VLOOKUP($A15,MONTHLYBUDGET,{10,11,12},FALSE)),0)</f>
        <v>0</v>
      </c>
      <c r="Z15" s="79">
        <f t="array" ref="Z15">IFERROR(SUM(VLOOKUP($A15,MONTHLYBUDGET,{13,14,15},FALSE)),0)</f>
        <v>0</v>
      </c>
    </row>
    <row r="16" spans="1:26">
      <c r="A16" s="28" t="str">
        <f>TRIM($C$3)&amp;"2121710"</f>
        <v>BKB2121710</v>
      </c>
      <c r="B16" s="9" t="s">
        <v>62</v>
      </c>
      <c r="C16" s="35" t="e">
        <f>IF(C$2=1,VLOOKUP($A16,ACTUAL!$A$2:$M$124,2,FALSE),0)</f>
        <v>#N/A</v>
      </c>
      <c r="D16" s="35" t="e">
        <f>IF(D$2=1,VLOOKUP($A16,ACTUAL!$A$2:$M$124,3,FALSE),0)</f>
        <v>#N/A</v>
      </c>
      <c r="E16" s="35" t="e">
        <f>IF(E$2=1,VLOOKUP($A16,ACTUAL!$A$2:$M$124,4,FALSE),0)</f>
        <v>#N/A</v>
      </c>
      <c r="F16" s="35" t="e">
        <f>IF(F$2=1,VLOOKUP($A16,ACTUAL!$A$2:$M$124,5,FALSE),0)</f>
        <v>#N/A</v>
      </c>
      <c r="G16" s="35" t="e">
        <f>IF(G$2=1,VLOOKUP($A16,ACTUAL!$A$2:$M$124,6,FALSE),0)</f>
        <v>#N/A</v>
      </c>
      <c r="H16" s="35" t="e">
        <f>IF(H$2=1,VLOOKUP($A16,ACTUAL!$A$2:$M$124,7,FALSE),0)</f>
        <v>#N/A</v>
      </c>
      <c r="I16" s="35" t="e">
        <f>IF(I$2=1,VLOOKUP($A16,ACTUAL!$A$2:$M$124,8,FALSE),0)</f>
        <v>#N/A</v>
      </c>
      <c r="J16" s="35" t="e">
        <f>IF(J$2=1,VLOOKUP($A16,ACTUAL!$A$2:$M$124,9,FALSE),0)</f>
        <v>#N/A</v>
      </c>
      <c r="K16" s="35" t="e">
        <f>IF(K$2=1,VLOOKUP($A16,ACTUAL!$A$2:$M$124,10,FALSE),0)</f>
        <v>#N/A</v>
      </c>
      <c r="L16" s="35" t="e">
        <f>IF(L$2=1,VLOOKUP($A16,ACTUAL!$A$2:$M$124,11,FALSE),0)</f>
        <v>#N/A</v>
      </c>
      <c r="M16" s="35">
        <f>IF(M$2=1,VLOOKUP($A16,ACTUAL!$A$2:$M$124,12,FALSE),0)</f>
        <v>0</v>
      </c>
      <c r="N16" s="35">
        <f>IF(N$2=1,VLOOKUP($A16,ACTUAL!$A$2:$M$124,13,FALSE),0)</f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8"/>
      <c r="S16" s="22" t="e">
        <f t="shared" si="5"/>
        <v>#N/A</v>
      </c>
      <c r="T16" s="35">
        <f>IF(ISNA(VLOOKUP($A16,BUDGET!$A$1:$C$67,3,FALSE)),0,VLOOKUP($A16,BUDGET!$A$1:$C$67,3,FALSE))</f>
        <v>0</v>
      </c>
      <c r="U16" s="8" t="e">
        <f t="shared" si="6"/>
        <v>#N/A</v>
      </c>
      <c r="W16" s="79">
        <f t="array" ref="W16">IFERROR(SUM(VLOOKUP($A16,MONTHLYBUDGET,{4,5,6},FALSE)),0)</f>
        <v>0</v>
      </c>
      <c r="X16" s="79">
        <f t="array" ref="X16">IFERROR(SUM(VLOOKUP($A16,MONTHLYBUDGET,{7,8,9},FALSE)),0)</f>
        <v>0</v>
      </c>
      <c r="Y16" s="79">
        <f t="array" ref="Y16">IFERROR(SUM(VLOOKUP($A16,MONTHLYBUDGET,{10,11,12},FALSE)),0)</f>
        <v>0</v>
      </c>
      <c r="Z16" s="79">
        <f t="array" ref="Z16">IFERROR(SUM(VLOOKUP($A16,MONTHLYBUDGET,{13,14,15},FALSE)),0)</f>
        <v>0</v>
      </c>
    </row>
    <row r="17" spans="1:26" ht="13.5" thickBot="1">
      <c r="A17" s="28" t="str">
        <f>TRIM($C$3)&amp;"2121711"</f>
        <v>BKB2121711</v>
      </c>
      <c r="B17" s="101" t="s">
        <v>63</v>
      </c>
      <c r="C17" s="35" t="e">
        <f>IF(C$2=1,VLOOKUP($A17,ACTUAL!$A$2:$M$124,2,FALSE),0)</f>
        <v>#N/A</v>
      </c>
      <c r="D17" s="35" t="e">
        <f>IF(D$2=1,VLOOKUP($A17,ACTUAL!$A$2:$M$124,3,FALSE),0)</f>
        <v>#N/A</v>
      </c>
      <c r="E17" s="35" t="e">
        <f>IF(E$2=1,VLOOKUP($A17,ACTUAL!$A$2:$M$124,4,FALSE),0)</f>
        <v>#N/A</v>
      </c>
      <c r="F17" s="35" t="e">
        <f>IF(F$2=1,VLOOKUP($A17,ACTUAL!$A$2:$M$124,5,FALSE),0)</f>
        <v>#N/A</v>
      </c>
      <c r="G17" s="35" t="e">
        <f>IF(G$2=1,VLOOKUP($A17,ACTUAL!$A$2:$M$124,6,FALSE),0)</f>
        <v>#N/A</v>
      </c>
      <c r="H17" s="35" t="e">
        <f>IF(H$2=1,VLOOKUP($A17,ACTUAL!$A$2:$M$124,7,FALSE),0)</f>
        <v>#N/A</v>
      </c>
      <c r="I17" s="35" t="e">
        <f>IF(I$2=1,VLOOKUP($A17,ACTUAL!$A$2:$M$124,8,FALSE),0)</f>
        <v>#N/A</v>
      </c>
      <c r="J17" s="35" t="e">
        <f>IF(J$2=1,VLOOKUP($A17,ACTUAL!$A$2:$M$124,9,FALSE),0)</f>
        <v>#N/A</v>
      </c>
      <c r="K17" s="35" t="e">
        <f>IF(K$2=1,VLOOKUP($A17,ACTUAL!$A$2:$M$124,10,FALSE),0)</f>
        <v>#N/A</v>
      </c>
      <c r="L17" s="35" t="e">
        <f>IF(L$2=1,VLOOKUP($A17,ACTUAL!$A$2:$M$124,11,FALSE),0)</f>
        <v>#N/A</v>
      </c>
      <c r="M17" s="35">
        <f>IF(M$2=1,VLOOKUP($A17,ACTUAL!$A$2:$M$124,12,FALSE),0)</f>
        <v>0</v>
      </c>
      <c r="N17" s="35">
        <f>IF(N$2=1,VLOOKUP($A17,ACTUAL!$A$2:$M$124,13,FALSE),0)</f>
        <v>0</v>
      </c>
      <c r="O17" s="8" t="e">
        <f t="shared" ref="O17" si="9">SUM(C17:N17)</f>
        <v>#N/A</v>
      </c>
      <c r="P17" s="35">
        <f>IF(ISNA(VLOOKUP($A17,BUDGET!$A$1:$C$67,2,FALSE)),0,VLOOKUP($A17,BUDGET!$A$1:$C$67,2,FALSE))</f>
        <v>0</v>
      </c>
      <c r="Q17" s="8" t="e">
        <f t="shared" ref="Q17" si="10">P17-O17</f>
        <v>#N/A</v>
      </c>
      <c r="R17" s="27"/>
      <c r="S17" s="22" t="e">
        <f t="shared" si="5"/>
        <v>#N/A</v>
      </c>
      <c r="T17" s="35">
        <f>IF(ISNA(VLOOKUP($A17,BUDGET!$A$1:$C$67,3,FALSE)),0,VLOOKUP($A17,BUDGET!$A$1:$C$67,3,FALSE))</f>
        <v>0</v>
      </c>
      <c r="U17" s="8" t="e">
        <f t="shared" si="6"/>
        <v>#N/A</v>
      </c>
      <c r="W17" s="79">
        <f t="array" ref="W17">IFERROR(SUM(VLOOKUP($A17,MONTHLYBUDGET,{4,5,6},FALSE)),0)</f>
        <v>0</v>
      </c>
      <c r="X17" s="79">
        <f t="array" ref="X17">IFERROR(SUM(VLOOKUP($A17,MONTHLYBUDGET,{7,8,9},FALSE)),0)</f>
        <v>0</v>
      </c>
      <c r="Y17" s="79">
        <f t="array" ref="Y17">IFERROR(SUM(VLOOKUP($A17,MONTHLYBUDGET,{10,11,12},FALSE)),0)</f>
        <v>0</v>
      </c>
      <c r="Z17" s="79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64</v>
      </c>
      <c r="C18" s="4" t="e">
        <f>SUM(C8:C17)</f>
        <v>#N/A</v>
      </c>
      <c r="D18" s="4" t="e">
        <f t="shared" ref="D18:U18" si="11">SUM(D8:D17)</f>
        <v>#N/A</v>
      </c>
      <c r="E18" s="4" t="e">
        <f t="shared" si="11"/>
        <v>#N/A</v>
      </c>
      <c r="F18" s="4" t="e">
        <f t="shared" si="11"/>
        <v>#N/A</v>
      </c>
      <c r="G18" s="4" t="e">
        <f t="shared" si="11"/>
        <v>#N/A</v>
      </c>
      <c r="H18" s="4" t="e">
        <f t="shared" si="11"/>
        <v>#N/A</v>
      </c>
      <c r="I18" s="4" t="e">
        <f t="shared" si="11"/>
        <v>#N/A</v>
      </c>
      <c r="J18" s="4" t="e">
        <f t="shared" si="11"/>
        <v>#N/A</v>
      </c>
      <c r="K18" s="4" t="e">
        <f t="shared" si="11"/>
        <v>#N/A</v>
      </c>
      <c r="L18" s="4" t="e">
        <f t="shared" si="11"/>
        <v>#N/A</v>
      </c>
      <c r="M18" s="4">
        <f t="shared" si="11"/>
        <v>0</v>
      </c>
      <c r="N18" s="4">
        <f t="shared" si="11"/>
        <v>0</v>
      </c>
      <c r="O18" s="4" t="e">
        <f t="shared" si="11"/>
        <v>#N/A</v>
      </c>
      <c r="P18" s="4">
        <f t="shared" si="11"/>
        <v>0</v>
      </c>
      <c r="Q18" s="4" t="e">
        <f t="shared" si="11"/>
        <v>#N/A</v>
      </c>
      <c r="R18" s="4">
        <f t="shared" si="11"/>
        <v>0</v>
      </c>
      <c r="S18" s="4" t="e">
        <f t="shared" si="11"/>
        <v>#N/A</v>
      </c>
      <c r="T18" s="4">
        <f t="shared" si="11"/>
        <v>0</v>
      </c>
      <c r="U18" s="4" t="e">
        <f t="shared" si="11"/>
        <v>#N/A</v>
      </c>
      <c r="W18" s="80">
        <f>SUM(W8:W17)</f>
        <v>0</v>
      </c>
      <c r="X18" s="80">
        <f>SUM(X8:X17)</f>
        <v>0</v>
      </c>
      <c r="Y18" s="80">
        <f>SUM(Y8:Y17)</f>
        <v>0</v>
      </c>
      <c r="Z18" s="80">
        <f>SUM(Z8:Z17)</f>
        <v>0</v>
      </c>
    </row>
    <row r="19" spans="1:26">
      <c r="A19" s="28" t="str">
        <f>TRIM($C$3)&amp;"21220"</f>
        <v>BKB21220</v>
      </c>
      <c r="B19" s="99" t="s">
        <v>65</v>
      </c>
      <c r="C19" s="35" t="e">
        <f>IF(C$2=1,VLOOKUP($A19,ACTUAL!$A$2:$M$124,2,FALSE),0)</f>
        <v>#N/A</v>
      </c>
      <c r="D19" s="35" t="e">
        <f>IF(D$2=1,VLOOKUP($A19,ACTUAL!$A$2:$M$124,3,FALSE),0)</f>
        <v>#N/A</v>
      </c>
      <c r="E19" s="35" t="e">
        <f>IF(E$2=1,VLOOKUP($A19,ACTUAL!$A$2:$M$124,4,FALSE),0)</f>
        <v>#N/A</v>
      </c>
      <c r="F19" s="35" t="e">
        <f>IF(F$2=1,VLOOKUP($A19,ACTUAL!$A$2:$M$124,5,FALSE),0)</f>
        <v>#N/A</v>
      </c>
      <c r="G19" s="35" t="e">
        <f>IF(G$2=1,VLOOKUP($A19,ACTUAL!$A$2:$M$124,6,FALSE),0)</f>
        <v>#N/A</v>
      </c>
      <c r="H19" s="35" t="e">
        <f>IF(H$2=1,VLOOKUP($A19,ACTUAL!$A$2:$M$124,7,FALSE),0)</f>
        <v>#N/A</v>
      </c>
      <c r="I19" s="35" t="e">
        <f>IF(I$2=1,VLOOKUP($A19,ACTUAL!$A$2:$M$124,8,FALSE),0)</f>
        <v>#N/A</v>
      </c>
      <c r="J19" s="35" t="e">
        <f>IF(J$2=1,VLOOKUP($A19,ACTUAL!$A$2:$M$124,9,FALSE),0)</f>
        <v>#N/A</v>
      </c>
      <c r="K19" s="35" t="e">
        <f>IF(K$2=1,VLOOKUP($A19,ACTUAL!$A$2:$M$124,10,FALSE),0)</f>
        <v>#N/A</v>
      </c>
      <c r="L19" s="35" t="e">
        <f>IF(L$2=1,VLOOKUP($A19,ACTUAL!$A$2:$M$124,11,FALSE),0)</f>
        <v>#N/A</v>
      </c>
      <c r="M19" s="35">
        <f>IF(M$2=1,VLOOKUP($A19,ACTUAL!$A$2:$M$124,12,FALSE),0)</f>
        <v>0</v>
      </c>
      <c r="N19" s="35">
        <f>IF(N$2=1,VLOOKUP($A19,ACTUAL!$A$2:$M$124,13,FALSE),0)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4" si="12">R19+O19</f>
        <v>#N/A</v>
      </c>
      <c r="T19" s="35">
        <f>IF(ISNA(VLOOKUP($A19,BUDGET!$A$1:$C$67,3,FALSE)),0,VLOOKUP($A19,BUDGET!$A$1:$C$67,3,FALSE))</f>
        <v>0</v>
      </c>
      <c r="U19" s="8" t="e">
        <f t="shared" ref="U19:U24" si="13">T19-S19</f>
        <v>#N/A</v>
      </c>
      <c r="W19" s="79">
        <f t="array" ref="W19">IFERROR(SUM(VLOOKUP($A19,MONTHLYBUDGET,{4,5,6},FALSE)),0)</f>
        <v>0</v>
      </c>
      <c r="X19" s="79">
        <f t="array" ref="X19">IFERROR(SUM(VLOOKUP($A19,MONTHLYBUDGET,{7,8,9},FALSE)),0)</f>
        <v>0</v>
      </c>
      <c r="Y19" s="79">
        <f t="array" ref="Y19">IFERROR(SUM(VLOOKUP($A19,MONTHLYBUDGET,{10,11,12},FALSE)),0)</f>
        <v>0</v>
      </c>
      <c r="Z19" s="79">
        <f t="array" ref="Z19">IFERROR(SUM(VLOOKUP($A19,MONTHLYBUDGET,{13,14,15},FALSE)),0)</f>
        <v>0</v>
      </c>
    </row>
    <row r="20" spans="1:26">
      <c r="A20" s="28" t="str">
        <f>TRIM($C$3)&amp;"21230"</f>
        <v>BKB21230</v>
      </c>
      <c r="B20" s="99" t="s">
        <v>66</v>
      </c>
      <c r="C20" s="35" t="e">
        <f>IF(C$2=1,VLOOKUP($A20,ACTUAL!$A$2:$M$124,2,FALSE),0)</f>
        <v>#N/A</v>
      </c>
      <c r="D20" s="35" t="e">
        <f>IF(D$2=1,VLOOKUP($A20,ACTUAL!$A$2:$M$124,3,FALSE),0)</f>
        <v>#N/A</v>
      </c>
      <c r="E20" s="35" t="e">
        <f>IF(E$2=1,VLOOKUP($A20,ACTUAL!$A$2:$M$124,4,FALSE),0)</f>
        <v>#N/A</v>
      </c>
      <c r="F20" s="35" t="e">
        <f>IF(F$2=1,VLOOKUP($A20,ACTUAL!$A$2:$M$124,5,FALSE),0)</f>
        <v>#N/A</v>
      </c>
      <c r="G20" s="35" t="e">
        <f>IF(G$2=1,VLOOKUP($A20,ACTUAL!$A$2:$M$124,6,FALSE),0)</f>
        <v>#N/A</v>
      </c>
      <c r="H20" s="35" t="e">
        <f>IF(H$2=1,VLOOKUP($A20,ACTUAL!$A$2:$M$124,7,FALSE),0)</f>
        <v>#N/A</v>
      </c>
      <c r="I20" s="35" t="e">
        <f>IF(I$2=1,VLOOKUP($A20,ACTUAL!$A$2:$M$124,8,FALSE),0)</f>
        <v>#N/A</v>
      </c>
      <c r="J20" s="35" t="e">
        <f>IF(J$2=1,VLOOKUP($A20,ACTUAL!$A$2:$M$124,9,FALSE),0)</f>
        <v>#N/A</v>
      </c>
      <c r="K20" s="35" t="e">
        <f>IF(K$2=1,VLOOKUP($A20,ACTUAL!$A$2:$M$124,10,FALSE),0)</f>
        <v>#N/A</v>
      </c>
      <c r="L20" s="35" t="e">
        <f>IF(L$2=1,VLOOKUP($A20,ACTUAL!$A$2:$M$124,11,FALSE),0)</f>
        <v>#N/A</v>
      </c>
      <c r="M20" s="35">
        <f>IF(M$2=1,VLOOKUP($A20,ACTUAL!$A$2:$M$124,12,FALSE),0)</f>
        <v>0</v>
      </c>
      <c r="N20" s="35">
        <f>IF(N$2=1,VLOOKUP($A20,ACTUAL!$A$2:$M$124,13,FALSE),0)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12"/>
        <v>#N/A</v>
      </c>
      <c r="T20" s="35">
        <f>IF(ISNA(VLOOKUP($A20,BUDGET!$A$1:$C$67,3,FALSE)),0,VLOOKUP($A20,BUDGET!$A$1:$C$67,3,FALSE))</f>
        <v>0</v>
      </c>
      <c r="U20" s="8" t="e">
        <f t="shared" si="13"/>
        <v>#N/A</v>
      </c>
      <c r="W20" s="79"/>
      <c r="X20" s="79"/>
      <c r="Y20" s="79"/>
      <c r="Z20" s="79"/>
    </row>
    <row r="21" spans="1:26" ht="25.5">
      <c r="A21" s="28" t="str">
        <f>TRIM($C$3)&amp;"21240"</f>
        <v>BKB21240</v>
      </c>
      <c r="B21" s="99" t="s">
        <v>67</v>
      </c>
      <c r="C21" s="35" t="e">
        <f>IF(C$2=1,VLOOKUP($A21,ACTUAL!$A$2:$M$124,2,FALSE),0)</f>
        <v>#N/A</v>
      </c>
      <c r="D21" s="35" t="e">
        <f>IF(D$2=1,VLOOKUP($A21,ACTUAL!$A$2:$M$124,3,FALSE),0)</f>
        <v>#N/A</v>
      </c>
      <c r="E21" s="35" t="e">
        <f>IF(E$2=1,VLOOKUP($A21,ACTUAL!$A$2:$M$124,4,FALSE),0)</f>
        <v>#N/A</v>
      </c>
      <c r="F21" s="35" t="e">
        <f>IF(F$2=1,VLOOKUP($A21,ACTUAL!$A$2:$M$124,5,FALSE),0)</f>
        <v>#N/A</v>
      </c>
      <c r="G21" s="35" t="e">
        <f>IF(G$2=1,VLOOKUP($A21,ACTUAL!$A$2:$M$124,6,FALSE),0)</f>
        <v>#N/A</v>
      </c>
      <c r="H21" s="35" t="e">
        <f>IF(H$2=1,VLOOKUP($A21,ACTUAL!$A$2:$M$124,7,FALSE),0)</f>
        <v>#N/A</v>
      </c>
      <c r="I21" s="35" t="e">
        <f>IF(I$2=1,VLOOKUP($A21,ACTUAL!$A$2:$M$124,8,FALSE),0)</f>
        <v>#N/A</v>
      </c>
      <c r="J21" s="35" t="e">
        <f>IF(J$2=1,VLOOKUP($A21,ACTUAL!$A$2:$M$124,9,FALSE),0)</f>
        <v>#N/A</v>
      </c>
      <c r="K21" s="35" t="e">
        <f>IF(K$2=1,VLOOKUP($A21,ACTUAL!$A$2:$M$124,10,FALSE),0)</f>
        <v>#N/A</v>
      </c>
      <c r="L21" s="35" t="e">
        <f>IF(L$2=1,VLOOKUP($A21,ACTUAL!$A$2:$M$124,11,FALSE),0)</f>
        <v>#N/A</v>
      </c>
      <c r="M21" s="35">
        <f>IF(M$2=1,VLOOKUP($A21,ACTUAL!$A$2:$M$124,12,FALSE),0)</f>
        <v>0</v>
      </c>
      <c r="N21" s="35">
        <f>IF(N$2=1,VLOOKUP($A21,ACTUAL!$A$2:$M$124,13,FALSE),0)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12"/>
        <v>#N/A</v>
      </c>
      <c r="T21" s="35">
        <f>IF(ISNA(VLOOKUP($A21,BUDGET!$A$1:$C$67,3,FALSE)),0,VLOOKUP($A21,BUDGET!$A$1:$C$67,3,FALSE))</f>
        <v>0</v>
      </c>
      <c r="U21" s="8" t="e">
        <f t="shared" si="13"/>
        <v>#N/A</v>
      </c>
      <c r="W21" s="79"/>
      <c r="X21" s="79"/>
      <c r="Y21" s="79"/>
      <c r="Z21" s="79"/>
    </row>
    <row r="22" spans="1:26">
      <c r="A22" s="28" t="str">
        <f>TRIM($C$3)&amp;"21250"</f>
        <v>BKB21250</v>
      </c>
      <c r="B22" s="99" t="s">
        <v>68</v>
      </c>
      <c r="C22" s="35" t="e">
        <f>IF(C$2=1,VLOOKUP($A22,ACTUAL!$A$2:$M$124,2,FALSE),0)</f>
        <v>#N/A</v>
      </c>
      <c r="D22" s="35" t="e">
        <f>IF(D$2=1,VLOOKUP($A22,ACTUAL!$A$2:$M$124,3,FALSE),0)</f>
        <v>#N/A</v>
      </c>
      <c r="E22" s="35" t="e">
        <f>IF(E$2=1,VLOOKUP($A22,ACTUAL!$A$2:$M$124,4,FALSE),0)</f>
        <v>#N/A</v>
      </c>
      <c r="F22" s="35" t="e">
        <f>IF(F$2=1,VLOOKUP($A22,ACTUAL!$A$2:$M$124,5,FALSE),0)</f>
        <v>#N/A</v>
      </c>
      <c r="G22" s="35" t="e">
        <f>IF(G$2=1,VLOOKUP($A22,ACTUAL!$A$2:$M$124,6,FALSE),0)</f>
        <v>#N/A</v>
      </c>
      <c r="H22" s="35" t="e">
        <f>IF(H$2=1,VLOOKUP($A22,ACTUAL!$A$2:$M$124,7,FALSE),0)</f>
        <v>#N/A</v>
      </c>
      <c r="I22" s="35" t="e">
        <f>IF(I$2=1,VLOOKUP($A22,ACTUAL!$A$2:$M$124,8,FALSE),0)</f>
        <v>#N/A</v>
      </c>
      <c r="J22" s="35" t="e">
        <f>IF(J$2=1,VLOOKUP($A22,ACTUAL!$A$2:$M$124,9,FALSE),0)</f>
        <v>#N/A</v>
      </c>
      <c r="K22" s="35" t="e">
        <f>IF(K$2=1,VLOOKUP($A22,ACTUAL!$A$2:$M$124,10,FALSE),0)</f>
        <v>#N/A</v>
      </c>
      <c r="L22" s="35" t="e">
        <f>IF(L$2=1,VLOOKUP($A22,ACTUAL!$A$2:$M$124,11,FALSE),0)</f>
        <v>#N/A</v>
      </c>
      <c r="M22" s="35">
        <f>IF(M$2=1,VLOOKUP($A22,ACTUAL!$A$2:$M$124,12,FALSE),0)</f>
        <v>0</v>
      </c>
      <c r="N22" s="35">
        <f>IF(N$2=1,VLOOKUP($A22,ACTUAL!$A$2:$M$124,13,FALSE),0)</f>
        <v>0</v>
      </c>
      <c r="O22" s="8" t="e">
        <f t="shared" ref="O22:O24" si="14">SUM(C22:N22)</f>
        <v>#N/A</v>
      </c>
      <c r="P22" s="35">
        <f>IF(ISNA(VLOOKUP($A22,BUDGET!$A$1:$C$67,2,FALSE)),0,VLOOKUP($A22,BUDGET!$A$1:$C$67,2,FALSE))</f>
        <v>0</v>
      </c>
      <c r="Q22" s="8" t="e">
        <f t="shared" ref="Q22:Q24" si="15">P22-O22</f>
        <v>#N/A</v>
      </c>
      <c r="R22" s="27"/>
      <c r="S22" s="22" t="e">
        <f t="shared" si="12"/>
        <v>#N/A</v>
      </c>
      <c r="T22" s="35">
        <f>IF(ISNA(VLOOKUP($A22,BUDGET!$A$1:$C$67,3,FALSE)),0,VLOOKUP($A22,BUDGET!$A$1:$C$67,3,FALSE))</f>
        <v>0</v>
      </c>
      <c r="U22" s="8" t="e">
        <f t="shared" si="13"/>
        <v>#N/A</v>
      </c>
      <c r="W22" s="79"/>
      <c r="X22" s="79"/>
      <c r="Y22" s="79"/>
      <c r="Z22" s="79"/>
    </row>
    <row r="23" spans="1:26">
      <c r="A23" s="28" t="str">
        <f>TRIM($C$3)&amp;"21260"</f>
        <v>BKB21260</v>
      </c>
      <c r="B23" s="99" t="s">
        <v>69</v>
      </c>
      <c r="C23" s="35" t="e">
        <f>IF(C$2=1,VLOOKUP($A23,ACTUAL!$A$2:$M$124,2,FALSE),0)</f>
        <v>#N/A</v>
      </c>
      <c r="D23" s="35" t="e">
        <f>IF(D$2=1,VLOOKUP($A23,ACTUAL!$A$2:$M$124,3,FALSE),0)</f>
        <v>#N/A</v>
      </c>
      <c r="E23" s="35" t="e">
        <f>IF(E$2=1,VLOOKUP($A23,ACTUAL!$A$2:$M$124,4,FALSE),0)</f>
        <v>#N/A</v>
      </c>
      <c r="F23" s="35" t="e">
        <f>IF(F$2=1,VLOOKUP($A23,ACTUAL!$A$2:$M$124,5,FALSE),0)</f>
        <v>#N/A</v>
      </c>
      <c r="G23" s="35" t="e">
        <f>IF(G$2=1,VLOOKUP($A23,ACTUAL!$A$2:$M$124,6,FALSE),0)</f>
        <v>#N/A</v>
      </c>
      <c r="H23" s="35" t="e">
        <f>IF(H$2=1,VLOOKUP($A23,ACTUAL!$A$2:$M$124,7,FALSE),0)</f>
        <v>#N/A</v>
      </c>
      <c r="I23" s="35" t="e">
        <f>IF(I$2=1,VLOOKUP($A23,ACTUAL!$A$2:$M$124,8,FALSE),0)</f>
        <v>#N/A</v>
      </c>
      <c r="J23" s="35" t="e">
        <f>IF(J$2=1,VLOOKUP($A23,ACTUAL!$A$2:$M$124,9,FALSE),0)</f>
        <v>#N/A</v>
      </c>
      <c r="K23" s="35" t="e">
        <f>IF(K$2=1,VLOOKUP($A23,ACTUAL!$A$2:$M$124,10,FALSE),0)</f>
        <v>#N/A</v>
      </c>
      <c r="L23" s="35" t="e">
        <f>IF(L$2=1,VLOOKUP($A23,ACTUAL!$A$2:$M$124,11,FALSE),0)</f>
        <v>#N/A</v>
      </c>
      <c r="M23" s="35">
        <f>IF(M$2=1,VLOOKUP($A23,ACTUAL!$A$2:$M$124,12,FALSE),0)</f>
        <v>0</v>
      </c>
      <c r="N23" s="35">
        <f>IF(N$2=1,VLOOKUP($A23,ACTUAL!$A$2:$M$124,13,FALSE),0)</f>
        <v>0</v>
      </c>
      <c r="O23" s="8" t="e">
        <f t="shared" si="14"/>
        <v>#N/A</v>
      </c>
      <c r="P23" s="35">
        <f>IF(ISNA(VLOOKUP($A23,BUDGET!$A$1:$C$67,2,FALSE)),0,VLOOKUP($A23,BUDGET!$A$1:$C$67,2,FALSE))</f>
        <v>0</v>
      </c>
      <c r="Q23" s="8" t="e">
        <f t="shared" si="15"/>
        <v>#N/A</v>
      </c>
      <c r="R23" s="27"/>
      <c r="S23" s="22" t="e">
        <f t="shared" si="12"/>
        <v>#N/A</v>
      </c>
      <c r="T23" s="35">
        <f>IF(ISNA(VLOOKUP($A23,BUDGET!$A$1:$C$67,3,FALSE)),0,VLOOKUP($A23,BUDGET!$A$1:$C$67,3,FALSE))</f>
        <v>0</v>
      </c>
      <c r="U23" s="8" t="e">
        <f t="shared" si="13"/>
        <v>#N/A</v>
      </c>
      <c r="W23" s="79">
        <f t="array" ref="W23">IFERROR(SUM(VLOOKUP($A23,MONTHLYBUDGET,{4,5,6},FALSE)),0)</f>
        <v>0</v>
      </c>
      <c r="X23" s="79">
        <f t="array" ref="X23">IFERROR(SUM(VLOOKUP($A23,MONTHLYBUDGET,{7,8,9},FALSE)),0)</f>
        <v>0</v>
      </c>
      <c r="Y23" s="79">
        <f t="array" ref="Y23">IFERROR(SUM(VLOOKUP($A23,MONTHLYBUDGET,{10,11,12},FALSE)),0)</f>
        <v>0</v>
      </c>
      <c r="Z23" s="79">
        <f t="array" ref="Z23">IFERROR(SUM(VLOOKUP($A23,MONTHLYBUDGET,{13,14,15},FALSE)),0)</f>
        <v>0</v>
      </c>
    </row>
    <row r="24" spans="1:26" ht="13.5" thickBot="1">
      <c r="A24" s="28" t="str">
        <f>TRIM($C$3)&amp;"11120"</f>
        <v>BKB11120</v>
      </c>
      <c r="B24" s="132" t="s">
        <v>88</v>
      </c>
      <c r="C24" s="35" t="e">
        <f>IF(C$2=1,VLOOKUP($A24,ACTUAL!$A$2:$M$124,2,FALSE),0)</f>
        <v>#N/A</v>
      </c>
      <c r="D24" s="35" t="e">
        <f>IF(D$2=1,VLOOKUP($A24,ACTUAL!$A$2:$M$124,3,FALSE),0)</f>
        <v>#N/A</v>
      </c>
      <c r="E24" s="35" t="e">
        <f>IF(E$2=1,VLOOKUP($A24,ACTUAL!$A$2:$M$124,4,FALSE),0)</f>
        <v>#N/A</v>
      </c>
      <c r="F24" s="35" t="e">
        <f>IF(F$2=1,VLOOKUP($A24,ACTUAL!$A$2:$M$124,5,FALSE),0)</f>
        <v>#N/A</v>
      </c>
      <c r="G24" s="35" t="e">
        <f>IF(G$2=1,VLOOKUP($A24,ACTUAL!$A$2:$M$124,6,FALSE),0)</f>
        <v>#N/A</v>
      </c>
      <c r="H24" s="35" t="e">
        <f>IF(H$2=1,VLOOKUP($A24,ACTUAL!$A$2:$M$124,7,FALSE),0)</f>
        <v>#N/A</v>
      </c>
      <c r="I24" s="35" t="e">
        <f>IF(I$2=1,VLOOKUP($A24,ACTUAL!$A$2:$M$124,8,FALSE),0)</f>
        <v>#N/A</v>
      </c>
      <c r="J24" s="35" t="e">
        <f>IF(J$2=1,VLOOKUP($A24,ACTUAL!$A$2:$M$124,9,FALSE),0)</f>
        <v>#N/A</v>
      </c>
      <c r="K24" s="35" t="e">
        <f>IF(K$2=1,VLOOKUP($A24,ACTUAL!$A$2:$M$124,10,FALSE),0)</f>
        <v>#N/A</v>
      </c>
      <c r="L24" s="35" t="e">
        <f>IF(L$2=1,VLOOKUP($A24,ACTUAL!$A$2:$M$124,11,FALSE),0)</f>
        <v>#N/A</v>
      </c>
      <c r="M24" s="35">
        <f>IF(M$2=1,VLOOKUP($A24,ACTUAL!$A$2:$M$124,12,FALSE),0)</f>
        <v>0</v>
      </c>
      <c r="N24" s="35">
        <f>IF(N$2=1,VLOOKUP($A24,ACTUAL!$A$2:$M$124,13,FALSE),0)</f>
        <v>0</v>
      </c>
      <c r="O24" s="8" t="e">
        <f t="shared" si="14"/>
        <v>#N/A</v>
      </c>
      <c r="P24" s="35">
        <f>IF(ISNA(VLOOKUP($A24,BUDGET!$A$1:$C$67,2,FALSE)),0,VLOOKUP($A24,BUDGET!$A$1:$C$67,2,FALSE))</f>
        <v>0</v>
      </c>
      <c r="Q24" s="8" t="e">
        <f t="shared" si="15"/>
        <v>#N/A</v>
      </c>
      <c r="R24" s="27"/>
      <c r="S24" s="22" t="e">
        <f t="shared" si="12"/>
        <v>#N/A</v>
      </c>
      <c r="T24" s="35">
        <f>IF(ISNA(VLOOKUP($A24,BUDGET!$A$1:$C$67,3,FALSE)),0,VLOOKUP($A24,BUDGET!$A$1:$C$67,3,FALSE))</f>
        <v>0</v>
      </c>
      <c r="U24" s="8" t="e">
        <f t="shared" si="13"/>
        <v>#N/A</v>
      </c>
      <c r="W24" s="79">
        <f t="array" ref="W24">IFERROR(SUM(VLOOKUP($A24,MONTHLYBUDGET,{4,5,6},FALSE)),0)</f>
        <v>0</v>
      </c>
      <c r="X24" s="79">
        <f t="array" ref="X24">IFERROR(SUM(VLOOKUP($A24,MONTHLYBUDGET,{7,8,9},FALSE)),0)</f>
        <v>0</v>
      </c>
      <c r="Y24" s="79">
        <f t="array" ref="Y24">IFERROR(SUM(VLOOKUP($A24,MONTHLYBUDGET,{10,11,12},FALSE)),0)</f>
        <v>0</v>
      </c>
      <c r="Z24" s="79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22</v>
      </c>
      <c r="C25" s="5" t="e">
        <f>SUM(C18:C24)</f>
        <v>#N/A</v>
      </c>
      <c r="D25" s="5" t="e">
        <f t="shared" ref="D25:T25" si="16">SUM(D18:D24)</f>
        <v>#N/A</v>
      </c>
      <c r="E25" s="5" t="e">
        <f t="shared" si="16"/>
        <v>#N/A</v>
      </c>
      <c r="F25" s="5" t="e">
        <f t="shared" si="16"/>
        <v>#N/A</v>
      </c>
      <c r="G25" s="5" t="e">
        <f t="shared" si="16"/>
        <v>#N/A</v>
      </c>
      <c r="H25" s="5" t="e">
        <f t="shared" si="16"/>
        <v>#N/A</v>
      </c>
      <c r="I25" s="5" t="e">
        <f t="shared" si="16"/>
        <v>#N/A</v>
      </c>
      <c r="J25" s="5" t="e">
        <f t="shared" si="16"/>
        <v>#N/A</v>
      </c>
      <c r="K25" s="5" t="e">
        <f t="shared" si="16"/>
        <v>#N/A</v>
      </c>
      <c r="L25" s="5" t="e">
        <f t="shared" si="16"/>
        <v>#N/A</v>
      </c>
      <c r="M25" s="5">
        <f t="shared" si="16"/>
        <v>0</v>
      </c>
      <c r="N25" s="5">
        <f t="shared" si="16"/>
        <v>0</v>
      </c>
      <c r="O25" s="5" t="e">
        <f t="shared" si="16"/>
        <v>#N/A</v>
      </c>
      <c r="P25" s="5">
        <f t="shared" si="16"/>
        <v>0</v>
      </c>
      <c r="Q25" s="5" t="e">
        <f t="shared" si="16"/>
        <v>#N/A</v>
      </c>
      <c r="R25" s="5">
        <f t="shared" si="16"/>
        <v>0</v>
      </c>
      <c r="S25" s="5" t="e">
        <f t="shared" si="16"/>
        <v>#N/A</v>
      </c>
      <c r="T25" s="5">
        <f t="shared" si="16"/>
        <v>0</v>
      </c>
      <c r="U25" s="5" t="e">
        <f>SUM(U18:U24)</f>
        <v>#N/A</v>
      </c>
    </row>
    <row r="26" spans="1:26" s="6" customFormat="1" ht="14.25" thickTop="1" thickBot="1">
      <c r="A26" s="28"/>
      <c r="B26" s="133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</row>
    <row r="27" spans="1:26" ht="13.5" thickBot="1">
      <c r="A27" s="28" t="str">
        <f>TRIM($C$3)&amp;"11120"</f>
        <v>BKB11120</v>
      </c>
      <c r="B27" s="12" t="s">
        <v>88</v>
      </c>
      <c r="C27" s="5" t="e">
        <f>IF(C$2=1,VLOOKUP($A27,ACTUAL!$A$2:$M$124,2,FALSE),0)</f>
        <v>#N/A</v>
      </c>
      <c r="D27" s="5" t="e">
        <f>IF(D$2=1,VLOOKUP($A27,ACTUAL!$A$2:$M$124,3,FALSE),0)</f>
        <v>#N/A</v>
      </c>
      <c r="E27" s="5" t="e">
        <f>IF(E$2=1,VLOOKUP($A27,ACTUAL!$A$2:$M$124,4,FALSE),0)</f>
        <v>#N/A</v>
      </c>
      <c r="F27" s="5" t="e">
        <f>IF(F$2=1,VLOOKUP($A27,ACTUAL!$A$2:$M$124,5,FALSE),0)</f>
        <v>#N/A</v>
      </c>
      <c r="G27" s="5" t="e">
        <f>IF(G$2=1,VLOOKUP($A27,ACTUAL!$A$2:$M$124,6,FALSE),0)</f>
        <v>#N/A</v>
      </c>
      <c r="H27" s="5" t="e">
        <f>IF(H$2=1,VLOOKUP($A27,ACTUAL!$A$2:$M$124,7,FALSE),0)</f>
        <v>#N/A</v>
      </c>
      <c r="I27" s="5" t="e">
        <f>IF(I$2=1,VLOOKUP($A27,ACTUAL!$A$2:$M$124,8,FALSE),0)</f>
        <v>#N/A</v>
      </c>
      <c r="J27" s="5" t="e">
        <f>IF(J$2=1,VLOOKUP($A27,ACTUAL!$A$2:$M$124,9,FALSE),0)</f>
        <v>#N/A</v>
      </c>
      <c r="K27" s="5" t="e">
        <f>IF(K$2=1,VLOOKUP($A27,ACTUAL!$A$2:$M$124,10,FALSE),0)</f>
        <v>#N/A</v>
      </c>
      <c r="L27" s="5" t="e">
        <f>IF(L$2=1,VLOOKUP($A27,ACTUAL!$A$2:$M$124,11,FALSE),0)</f>
        <v>#N/A</v>
      </c>
      <c r="M27" s="5">
        <f>IF(M$2=1,VLOOKUP($A27,ACTUAL!$A$2:$M$124,12,FALSE),0)</f>
        <v>0</v>
      </c>
      <c r="N27" s="5">
        <f>IF(N$2=1,VLOOKUP($A27,ACTUAL!$A$2:$M$124,13,FALSE),0)</f>
        <v>0</v>
      </c>
      <c r="O27" s="5" t="e">
        <f t="shared" ref="O27" si="17">SUM(C27:N27)</f>
        <v>#N/A</v>
      </c>
      <c r="P27" s="5">
        <f>IF(ISNA(VLOOKUP($A27,BUDGET!$A$1:$C$67,2,FALSE)),0,VLOOKUP($A27,BUDGET!$A$1:$C$67,2,FALSE))</f>
        <v>0</v>
      </c>
      <c r="Q27" s="5" t="e">
        <f t="shared" ref="Q27" si="18">P27-O27</f>
        <v>#N/A</v>
      </c>
      <c r="R27" s="138"/>
      <c r="S27" s="5" t="e">
        <f t="shared" ref="S27" si="19">R27+O27</f>
        <v>#N/A</v>
      </c>
      <c r="T27" s="5">
        <f>IF(ISNA(VLOOKUP($A27,BUDGET!$A$1:$C$67,3,FALSE)),0,VLOOKUP($A27,BUDGET!$A$1:$C$67,3,FALSE))</f>
        <v>0</v>
      </c>
      <c r="U27" s="5" t="e">
        <f t="shared" ref="U27" si="20">T27-S27</f>
        <v>#N/A</v>
      </c>
      <c r="W27" s="79">
        <f t="array" ref="W27">IFERROR(SUM(VLOOKUP($A27,MONTHLYBUDGET,{4,5,6},FALSE)),0)</f>
        <v>0</v>
      </c>
      <c r="X27" s="79">
        <f t="array" ref="X27">IFERROR(SUM(VLOOKUP($A27,MONTHLYBUDGET,{7,8,9},FALSE)),0)</f>
        <v>0</v>
      </c>
      <c r="Y27" s="79">
        <f t="array" ref="Y27">IFERROR(SUM(VLOOKUP($A27,MONTHLYBUDGET,{10,11,12},FALSE)),0)</f>
        <v>0</v>
      </c>
      <c r="Z27" s="79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BKB21210</v>
      </c>
      <c r="B28" s="29" t="s">
        <v>32</v>
      </c>
      <c r="C28" s="122" t="e">
        <f>VLOOKUP($C$3&amp;"01",'YTD VARIANCE'!$A:$E,5,FALSE)</f>
        <v>#N/A</v>
      </c>
      <c r="D28" s="122" t="e">
        <f>IF(D$2=1,VLOOKUP($C$3&amp;"02",'YTD VARIANCE'!$A:$E,5,FALSE),0)</f>
        <v>#N/A</v>
      </c>
      <c r="E28" s="122" t="e">
        <f>IF(E2=1,VLOOKUP($C$3&amp;"03",'YTD VARIANCE'!$A:$E,5,FALSE),0)</f>
        <v>#N/A</v>
      </c>
      <c r="F28" s="122" t="e">
        <f>IF(F2=1,VLOOKUP($C$3&amp;"04",'YTD VARIANCE'!$A:$E,5,FALSE),0)</f>
        <v>#N/A</v>
      </c>
      <c r="G28" s="122" t="e">
        <f>IF(G2=1,VLOOKUP($C$3&amp;"05",'YTD VARIANCE'!$A:$E,5,FALSE),0)</f>
        <v>#N/A</v>
      </c>
      <c r="H28" s="122" t="e">
        <f>IF(H2=1,VLOOKUP($C$3&amp;"06",'YTD VARIANCE'!$A:$E,5,FALSE),0)</f>
        <v>#N/A</v>
      </c>
      <c r="I28" s="122" t="e">
        <f>IF(I2=1,VLOOKUP($C$3&amp;"07",'YTD VARIANCE'!$A:$E,5,FALSE),0)</f>
        <v>#N/A</v>
      </c>
      <c r="J28" s="122" t="e">
        <f>IF(J2=1,VLOOKUP($C$3&amp;"08",'YTD VARIANCE'!$A:$E,5,FALSE),0)</f>
        <v>#N/A</v>
      </c>
      <c r="K28" s="122" t="e">
        <f>IF(K2=1,VLOOKUP($C$3&amp;"09",'YTD VARIANCE'!$A:$E,5,FALSE),0)</f>
        <v>#N/A</v>
      </c>
      <c r="L28" s="122" t="e">
        <f>IF(L2=1,VLOOKUP($C$3&amp;"10",'YTD VARIANCE'!$A:$E,5,FALSE),0)</f>
        <v>#N/A</v>
      </c>
      <c r="M28" s="122">
        <f>IF(M2=1,VLOOKUP($C$3&amp;"11",'YTD VARIANCE'!$A:$E,5,FALSE),0)</f>
        <v>0</v>
      </c>
      <c r="N28" s="122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28</v>
      </c>
    </row>
    <row r="30" spans="1:26">
      <c r="A30" s="32"/>
      <c r="B30" s="9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0"/>
      <c r="P31" s="90"/>
      <c r="R31" s="17"/>
      <c r="T31" s="17"/>
    </row>
    <row r="32" spans="1:26" s="18" customFormat="1">
      <c r="A32" s="32"/>
      <c r="B32" s="9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0"/>
      <c r="P32" s="90"/>
      <c r="R32" s="17"/>
      <c r="T32" s="17"/>
    </row>
    <row r="33" spans="1:20" s="18" customFormat="1">
      <c r="A33" s="33"/>
      <c r="B33" s="9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90"/>
      <c r="P33" s="90"/>
      <c r="R33" s="17"/>
      <c r="T33" s="17"/>
    </row>
    <row r="34" spans="1:20" s="18" customFormat="1">
      <c r="A34" s="32"/>
      <c r="B34" s="95"/>
      <c r="C34" s="93"/>
      <c r="D34" s="93"/>
      <c r="E34" s="93"/>
      <c r="F34" s="93"/>
      <c r="G34" s="93"/>
      <c r="H34" s="93"/>
      <c r="I34" s="96"/>
      <c r="J34" s="96"/>
      <c r="K34" s="93"/>
      <c r="L34" s="93"/>
      <c r="M34" s="93"/>
      <c r="N34" s="93"/>
      <c r="O34" s="93"/>
      <c r="P34" s="90"/>
      <c r="R34" s="17"/>
      <c r="T34" s="17"/>
    </row>
    <row r="35" spans="1:20" s="18" customFormat="1">
      <c r="A35" s="33"/>
      <c r="B35" s="95"/>
      <c r="C35" s="93"/>
      <c r="D35" s="93"/>
      <c r="E35" s="93"/>
      <c r="F35" s="93"/>
      <c r="G35" s="93"/>
      <c r="H35" s="93"/>
      <c r="I35" s="96"/>
      <c r="J35" s="96"/>
      <c r="K35" s="93"/>
      <c r="L35" s="93"/>
      <c r="M35" s="93"/>
      <c r="N35" s="93"/>
      <c r="O35" s="93"/>
      <c r="P35" s="90"/>
      <c r="R35" s="17"/>
      <c r="T35" s="17"/>
    </row>
    <row r="36" spans="1:20" s="18" customFormat="1">
      <c r="A36" s="32"/>
      <c r="B36" s="97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0"/>
      <c r="R36" s="17"/>
      <c r="T36" s="17"/>
    </row>
    <row r="37" spans="1:20" s="18" customFormat="1">
      <c r="A37" s="33"/>
      <c r="B37" s="95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0"/>
      <c r="R37" s="17"/>
      <c r="T37" s="17"/>
    </row>
    <row r="38" spans="1:20" s="18" customFormat="1">
      <c r="A38" s="32"/>
      <c r="B38" s="95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0"/>
      <c r="R38" s="17"/>
      <c r="T38" s="17"/>
    </row>
    <row r="39" spans="1:20" s="18" customFormat="1">
      <c r="A39" s="33"/>
      <c r="B39" s="95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0"/>
      <c r="R39" s="17"/>
      <c r="T39" s="17"/>
    </row>
    <row r="40" spans="1:20" s="18" customFormat="1">
      <c r="A40" s="32"/>
      <c r="B40" s="95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0"/>
      <c r="R40" s="17"/>
      <c r="T40" s="17"/>
    </row>
    <row r="41" spans="1:20" s="18" customFormat="1">
      <c r="A41" s="33"/>
      <c r="B41" s="95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0"/>
      <c r="R41" s="17"/>
      <c r="T41" s="17"/>
    </row>
    <row r="42" spans="1:20" s="18" customFormat="1">
      <c r="A42" s="32"/>
      <c r="B42" s="95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0"/>
      <c r="R42" s="17"/>
      <c r="T42" s="17"/>
    </row>
    <row r="43" spans="1:20" s="18" customFormat="1">
      <c r="A43" s="33"/>
      <c r="B43" s="95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0"/>
      <c r="R43" s="17"/>
      <c r="T43" s="17"/>
    </row>
    <row r="44" spans="1:20" s="18" customFormat="1">
      <c r="A44" s="32"/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0"/>
      <c r="R44" s="17"/>
      <c r="T44" s="17"/>
    </row>
    <row r="45" spans="1:20" s="18" customFormat="1">
      <c r="A45" s="33"/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0"/>
      <c r="R45" s="17"/>
      <c r="T45" s="17"/>
    </row>
    <row r="46" spans="1:20" s="18" customFormat="1">
      <c r="A46" s="32"/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0"/>
      <c r="R46" s="17"/>
      <c r="T46" s="17"/>
    </row>
    <row r="47" spans="1:20" s="18" customFormat="1">
      <c r="A47" s="33"/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0"/>
      <c r="R47" s="17"/>
      <c r="T47" s="17"/>
    </row>
    <row r="48" spans="1:20" s="18" customFormat="1">
      <c r="A48" s="32"/>
      <c r="B48" s="95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0"/>
      <c r="R48" s="17"/>
      <c r="T48" s="17"/>
    </row>
    <row r="49" spans="1:20" s="18" customFormat="1">
      <c r="A49" s="33"/>
      <c r="B49" s="8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0"/>
      <c r="P49" s="90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90"/>
      <c r="P50" s="90"/>
      <c r="R50" s="17"/>
      <c r="T50" s="17"/>
    </row>
    <row r="51" spans="1:20" s="18" customFormat="1">
      <c r="A51" s="33"/>
      <c r="B51" s="89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90"/>
      <c r="P51" s="90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90"/>
      <c r="P52" s="90"/>
      <c r="R52" s="17"/>
      <c r="T52" s="17"/>
    </row>
    <row r="53" spans="1:20" s="18" customFormat="1">
      <c r="A53" s="33"/>
      <c r="B53" s="89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0"/>
      <c r="P53" s="90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0"/>
      <c r="P54" s="90"/>
      <c r="R54" s="17"/>
      <c r="T54" s="17"/>
    </row>
    <row r="55" spans="1:20" s="18" customFormat="1">
      <c r="A55" s="33"/>
      <c r="B55" s="89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0"/>
      <c r="P55" s="90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0"/>
      <c r="P56" s="90"/>
      <c r="R56" s="17"/>
      <c r="T56" s="17"/>
    </row>
    <row r="57" spans="1:20" s="18" customFormat="1">
      <c r="A57" s="33"/>
      <c r="B57" s="89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0"/>
      <c r="P57" s="90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90"/>
      <c r="P58" s="90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90"/>
      <c r="P59" s="90"/>
      <c r="R59" s="17"/>
      <c r="T59" s="17"/>
    </row>
    <row r="60" spans="1:20" s="18" customFormat="1">
      <c r="A60" s="33"/>
      <c r="B60" s="89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90"/>
      <c r="P60" s="90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0"/>
      <c r="P61" s="90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0"/>
      <c r="P62" s="90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0"/>
      <c r="P63" s="90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0"/>
      <c r="P64" s="90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0"/>
      <c r="P65" s="90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90"/>
      <c r="P66" s="90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90"/>
      <c r="P67" s="90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0"/>
      <c r="P68" s="90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0"/>
      <c r="P69" s="90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90"/>
      <c r="P70" s="90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90"/>
      <c r="P71" s="90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0"/>
      <c r="P72" s="90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0"/>
      <c r="P73" s="90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90"/>
      <c r="P74" s="90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90"/>
      <c r="P75" s="90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0"/>
      <c r="P76" s="90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0"/>
      <c r="P77" s="90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90"/>
      <c r="P78" s="90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90"/>
      <c r="P79" s="90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0"/>
      <c r="P80" s="90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0"/>
      <c r="P81" s="90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90"/>
      <c r="P82" s="90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90"/>
      <c r="P83" s="90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0"/>
      <c r="P84" s="90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0"/>
      <c r="P85" s="90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90"/>
      <c r="P86" s="90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C67"/>
  <sheetViews>
    <sheetView workbookViewId="0">
      <pane ySplit="1" topLeftCell="A2" activePane="bottomLeft" state="frozen"/>
      <selection activeCell="H33" sqref="H33"/>
      <selection pane="bottomLeft" activeCell="B51" sqref="B51"/>
    </sheetView>
  </sheetViews>
  <sheetFormatPr defaultColWidth="13.85546875" defaultRowHeight="12.75"/>
  <sheetData>
    <row r="1" spans="1:3">
      <c r="A1" s="141" t="s">
        <v>71</v>
      </c>
      <c r="B1" s="141" t="s">
        <v>72</v>
      </c>
      <c r="C1" s="142" t="s">
        <v>31</v>
      </c>
    </row>
    <row r="2" spans="1:3">
      <c r="A2" s="143"/>
      <c r="B2" s="143"/>
      <c r="C2" s="143"/>
    </row>
    <row r="3" spans="1:3">
      <c r="A3" s="143"/>
      <c r="B3" s="143"/>
      <c r="C3" s="143"/>
    </row>
    <row r="4" spans="1:3">
      <c r="A4" s="143"/>
      <c r="B4" s="143"/>
      <c r="C4" s="143"/>
    </row>
    <row r="5" spans="1:3">
      <c r="A5" s="143"/>
      <c r="B5" s="143"/>
      <c r="C5" s="143"/>
    </row>
    <row r="6" spans="1:3">
      <c r="A6" s="143"/>
      <c r="B6" s="143"/>
      <c r="C6" s="143"/>
    </row>
    <row r="7" spans="1:3">
      <c r="A7" s="143"/>
      <c r="B7" s="143"/>
      <c r="C7" s="143"/>
    </row>
    <row r="8" spans="1:3">
      <c r="A8" s="143"/>
      <c r="B8" s="143"/>
      <c r="C8" s="143"/>
    </row>
    <row r="9" spans="1:3">
      <c r="A9" s="143"/>
      <c r="B9" s="143"/>
      <c r="C9" s="143"/>
    </row>
    <row r="10" spans="1:3">
      <c r="A10" s="143"/>
      <c r="B10" s="143"/>
      <c r="C10" s="143"/>
    </row>
    <row r="11" spans="1:3">
      <c r="A11" s="143"/>
      <c r="B11" s="143"/>
      <c r="C11" s="143"/>
    </row>
    <row r="12" spans="1:3">
      <c r="A12" s="143"/>
      <c r="B12" s="143"/>
      <c r="C12" s="143"/>
    </row>
    <row r="13" spans="1:3">
      <c r="A13" s="143"/>
      <c r="B13" s="143"/>
      <c r="C13" s="143"/>
    </row>
    <row r="14" spans="1:3">
      <c r="A14" s="143"/>
      <c r="B14" s="143"/>
      <c r="C14" s="143"/>
    </row>
    <row r="15" spans="1:3">
      <c r="A15" s="143"/>
      <c r="B15" s="143"/>
      <c r="C15" s="143"/>
    </row>
    <row r="16" spans="1:3">
      <c r="A16" s="143"/>
      <c r="B16" s="143"/>
      <c r="C16" s="143"/>
    </row>
    <row r="17" spans="1:3">
      <c r="A17" s="143"/>
      <c r="B17" s="143"/>
      <c r="C17" s="143"/>
    </row>
    <row r="18" spans="1:3">
      <c r="A18" s="143"/>
      <c r="B18" s="143"/>
      <c r="C18" s="143"/>
    </row>
    <row r="19" spans="1:3">
      <c r="A19" s="143"/>
      <c r="B19" s="143"/>
      <c r="C19" s="143"/>
    </row>
    <row r="20" spans="1:3">
      <c r="A20" s="143"/>
      <c r="B20" s="143"/>
      <c r="C20" s="143"/>
    </row>
    <row r="21" spans="1:3">
      <c r="A21" s="143"/>
      <c r="B21" s="143"/>
      <c r="C21" s="143"/>
    </row>
    <row r="22" spans="1:3">
      <c r="A22" s="143"/>
      <c r="B22" s="143"/>
      <c r="C22" s="143"/>
    </row>
    <row r="23" spans="1:3">
      <c r="A23" s="143"/>
      <c r="B23" s="143"/>
      <c r="C23" s="143"/>
    </row>
    <row r="24" spans="1:3">
      <c r="A24" s="143"/>
      <c r="B24" s="143"/>
      <c r="C24" s="143"/>
    </row>
    <row r="25" spans="1:3">
      <c r="A25" s="143"/>
      <c r="B25" s="143"/>
      <c r="C25" s="143"/>
    </row>
    <row r="26" spans="1:3">
      <c r="A26" s="143"/>
      <c r="B26" s="143"/>
      <c r="C26" s="143"/>
    </row>
    <row r="27" spans="1:3">
      <c r="A27" s="143"/>
      <c r="B27" s="143"/>
      <c r="C27" s="143"/>
    </row>
    <row r="28" spans="1:3">
      <c r="A28" s="143"/>
      <c r="B28" s="143"/>
      <c r="C28" s="143"/>
    </row>
    <row r="29" spans="1:3">
      <c r="A29" s="143"/>
      <c r="B29" s="143"/>
      <c r="C29" s="143"/>
    </row>
    <row r="30" spans="1:3">
      <c r="A30" s="143"/>
      <c r="B30" s="143"/>
      <c r="C30" s="143"/>
    </row>
    <row r="31" spans="1:3">
      <c r="A31" s="143"/>
      <c r="B31" s="143"/>
      <c r="C31" s="143"/>
    </row>
    <row r="32" spans="1:3">
      <c r="A32" s="143"/>
      <c r="B32" s="143"/>
      <c r="C32" s="143"/>
    </row>
    <row r="33" spans="1:3">
      <c r="A33" s="143"/>
      <c r="B33" s="143"/>
      <c r="C33" s="143"/>
    </row>
    <row r="34" spans="1:3">
      <c r="A34" s="143"/>
      <c r="B34" s="143"/>
      <c r="C34" s="143"/>
    </row>
    <row r="35" spans="1:3">
      <c r="A35" s="143"/>
      <c r="B35" s="143"/>
      <c r="C35" s="143"/>
    </row>
    <row r="36" spans="1:3">
      <c r="A36" s="143"/>
      <c r="B36" s="143"/>
      <c r="C36" s="143"/>
    </row>
    <row r="37" spans="1:3">
      <c r="A37" s="143"/>
      <c r="B37" s="143"/>
      <c r="C37" s="143"/>
    </row>
    <row r="38" spans="1:3">
      <c r="A38" s="143"/>
      <c r="B38" s="143"/>
      <c r="C38" s="143"/>
    </row>
    <row r="39" spans="1:3">
      <c r="A39" s="143"/>
      <c r="B39" s="143"/>
      <c r="C39" s="143"/>
    </row>
    <row r="40" spans="1:3">
      <c r="A40" s="143"/>
      <c r="B40" s="143"/>
      <c r="C40" s="143"/>
    </row>
    <row r="41" spans="1:3">
      <c r="A41" s="143"/>
      <c r="B41" s="143"/>
      <c r="C41" s="143"/>
    </row>
    <row r="42" spans="1:3">
      <c r="A42" s="143"/>
      <c r="B42" s="143"/>
      <c r="C42" s="143"/>
    </row>
    <row r="43" spans="1:3">
      <c r="A43" s="143"/>
      <c r="B43" s="143"/>
      <c r="C43" s="143"/>
    </row>
    <row r="44" spans="1:3">
      <c r="A44" s="143"/>
      <c r="B44" s="143"/>
      <c r="C44" s="143"/>
    </row>
    <row r="45" spans="1:3">
      <c r="A45" s="143"/>
      <c r="B45" s="143"/>
      <c r="C45" s="143"/>
    </row>
    <row r="46" spans="1:3">
      <c r="A46" s="143"/>
      <c r="B46" s="143"/>
      <c r="C46" s="143"/>
    </row>
    <row r="47" spans="1:3">
      <c r="A47" s="143"/>
      <c r="B47" s="143"/>
      <c r="C47" s="143"/>
    </row>
    <row r="48" spans="1:3">
      <c r="A48" s="143"/>
      <c r="B48" s="143"/>
      <c r="C48" s="143"/>
    </row>
    <row r="49" spans="1:3">
      <c r="A49" s="143"/>
      <c r="B49" s="143"/>
      <c r="C49" s="143"/>
    </row>
    <row r="50" spans="1:3">
      <c r="A50" s="143"/>
      <c r="B50" s="143"/>
      <c r="C50" s="143"/>
    </row>
    <row r="51" spans="1:3">
      <c r="A51" s="143"/>
      <c r="B51" s="143"/>
      <c r="C51" s="143"/>
    </row>
    <row r="52" spans="1:3">
      <c r="A52" s="143"/>
      <c r="B52" s="143"/>
      <c r="C52" s="143"/>
    </row>
    <row r="53" spans="1:3">
      <c r="A53" s="143"/>
      <c r="B53" s="143"/>
      <c r="C53" s="143"/>
    </row>
    <row r="54" spans="1:3">
      <c r="A54" s="143"/>
      <c r="B54" s="143"/>
      <c r="C54" s="143"/>
    </row>
    <row r="55" spans="1:3">
      <c r="A55" s="143"/>
      <c r="B55" s="143"/>
      <c r="C55" s="143"/>
    </row>
    <row r="56" spans="1:3">
      <c r="A56" s="143"/>
      <c r="B56" s="143"/>
      <c r="C56" s="143"/>
    </row>
    <row r="57" spans="1:3">
      <c r="A57" s="143"/>
      <c r="B57" s="143"/>
      <c r="C57" s="143"/>
    </row>
    <row r="58" spans="1:3">
      <c r="A58" s="143"/>
      <c r="B58" s="143"/>
      <c r="C58" s="143"/>
    </row>
    <row r="59" spans="1:3">
      <c r="A59" s="143"/>
      <c r="B59" s="143"/>
      <c r="C59" s="143"/>
    </row>
    <row r="60" spans="1:3">
      <c r="A60" s="143"/>
      <c r="B60" s="143"/>
      <c r="C60" s="143"/>
    </row>
    <row r="61" spans="1:3">
      <c r="A61" s="143"/>
      <c r="B61" s="143"/>
      <c r="C61" s="143"/>
    </row>
    <row r="62" spans="1:3">
      <c r="A62" s="143"/>
      <c r="B62" s="143"/>
      <c r="C62" s="143"/>
    </row>
    <row r="63" spans="1:3">
      <c r="A63" s="143"/>
      <c r="B63" s="143"/>
      <c r="C63" s="143"/>
    </row>
    <row r="64" spans="1:3">
      <c r="A64" s="143"/>
      <c r="B64" s="143"/>
      <c r="C64" s="143"/>
    </row>
    <row r="65" spans="1:3">
      <c r="A65" s="143"/>
      <c r="B65" s="143"/>
      <c r="C65" s="143"/>
    </row>
    <row r="66" spans="1:3">
      <c r="A66" s="143"/>
      <c r="B66" s="143"/>
      <c r="C66" s="143"/>
    </row>
    <row r="67" spans="1:3">
      <c r="A67" s="143"/>
      <c r="B67" s="143"/>
      <c r="C67" s="1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M124"/>
  <sheetViews>
    <sheetView workbookViewId="0">
      <pane ySplit="1" topLeftCell="A2" activePane="bottomLeft" state="frozen"/>
      <selection activeCell="H33" sqref="H33"/>
      <selection pane="bottomLeft"/>
    </sheetView>
  </sheetViews>
  <sheetFormatPr defaultRowHeight="12.75"/>
  <cols>
    <col min="1" max="1" width="11.85546875" bestFit="1" customWidth="1"/>
    <col min="2" max="3" width="10.5703125" bestFit="1" customWidth="1"/>
  </cols>
  <sheetData>
    <row r="1" spans="1:13">
      <c r="A1" s="139" t="s">
        <v>71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</row>
    <row r="2" spans="1:13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</row>
    <row r="3" spans="1:13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spans="1:13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</row>
    <row r="7" spans="1:13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</row>
    <row r="8" spans="1:13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</row>
    <row r="9" spans="1:13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</row>
    <row r="10" spans="1:13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</row>
    <row r="11" spans="1:13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</row>
    <row r="12" spans="1:13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</row>
    <row r="13" spans="1:13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</row>
    <row r="14" spans="1:13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</row>
    <row r="15" spans="1:13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</row>
    <row r="16" spans="1:13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</row>
    <row r="17" spans="1:13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</row>
    <row r="18" spans="1:13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</row>
    <row r="19" spans="1:13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</row>
    <row r="20" spans="1:13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</row>
    <row r="21" spans="1:13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</row>
    <row r="22" spans="1:13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</row>
    <row r="23" spans="1:13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</row>
    <row r="24" spans="1:13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</row>
    <row r="26" spans="1:13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</row>
    <row r="28" spans="1:13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</row>
    <row r="29" spans="1:13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</row>
    <row r="30" spans="1:13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</row>
    <row r="31" spans="1:13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</row>
    <row r="32" spans="1:13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</row>
    <row r="33" spans="1:13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</row>
    <row r="34" spans="1:13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</row>
    <row r="35" spans="1:13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</row>
    <row r="36" spans="1:13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</row>
    <row r="37" spans="1:13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spans="1:13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</row>
    <row r="39" spans="1:13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</row>
    <row r="40" spans="1:1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</row>
    <row r="41" spans="1:13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</row>
    <row r="42" spans="1:13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</row>
    <row r="43" spans="1:13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</row>
    <row r="44" spans="1:13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</row>
    <row r="45" spans="1:13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</row>
    <row r="46" spans="1:13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</row>
    <row r="47" spans="1:13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</row>
    <row r="48" spans="1:13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</row>
    <row r="49" spans="1:1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</row>
    <row r="50" spans="1:13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</row>
    <row r="51" spans="1:13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</row>
    <row r="52" spans="1:13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</row>
    <row r="53" spans="1:13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</row>
    <row r="54" spans="1:13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</row>
    <row r="55" spans="1:13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</row>
    <row r="56" spans="1:1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</row>
    <row r="57" spans="1:13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</row>
    <row r="58" spans="1:13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</row>
    <row r="59" spans="1:13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</row>
    <row r="60" spans="1:13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</row>
    <row r="61" spans="1:13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</row>
    <row r="62" spans="1:13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</row>
    <row r="63" spans="1:1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</row>
    <row r="64" spans="1:13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</row>
    <row r="65" spans="1:13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</row>
    <row r="66" spans="1:13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</row>
    <row r="67" spans="1:13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</row>
    <row r="68" spans="1:13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</row>
    <row r="69" spans="1:13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</row>
    <row r="70" spans="1:1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</row>
    <row r="71" spans="1:13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</row>
    <row r="72" spans="1:13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</row>
    <row r="73" spans="1:13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</row>
    <row r="74" spans="1:13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</row>
    <row r="75" spans="1:13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</row>
    <row r="76" spans="1:13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</row>
    <row r="77" spans="1:1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</row>
    <row r="78" spans="1:13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</row>
    <row r="79" spans="1:13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</row>
    <row r="80" spans="1:13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</row>
    <row r="81" spans="1:13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</row>
    <row r="82" spans="1:13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</row>
    <row r="83" spans="1:13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</row>
    <row r="84" spans="1:1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</row>
    <row r="85" spans="1:13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</row>
    <row r="86" spans="1:13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</row>
    <row r="87" spans="1:13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</row>
    <row r="88" spans="1:13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</row>
    <row r="89" spans="1:13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</row>
    <row r="90" spans="1:13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</row>
    <row r="91" spans="1:1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</row>
    <row r="92" spans="1:13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</row>
    <row r="93" spans="1:13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</row>
    <row r="94" spans="1:13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</row>
    <row r="95" spans="1:13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</row>
    <row r="96" spans="1:13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</row>
    <row r="97" spans="1:13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</row>
    <row r="98" spans="1:1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</row>
    <row r="99" spans="1:13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</row>
    <row r="100" spans="1:13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</row>
    <row r="101" spans="1:13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</row>
    <row r="102" spans="1:13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</row>
    <row r="103" spans="1:13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</row>
    <row r="104" spans="1:13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</row>
    <row r="105" spans="1:1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</row>
    <row r="106" spans="1:13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</row>
    <row r="107" spans="1:13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</row>
    <row r="108" spans="1:13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</row>
    <row r="109" spans="1:13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</row>
    <row r="110" spans="1:13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</row>
    <row r="111" spans="1:13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</row>
    <row r="112" spans="1:13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</row>
    <row r="113" spans="1:13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</row>
    <row r="114" spans="1:13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</row>
    <row r="115" spans="1:13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</row>
    <row r="116" spans="1:13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</row>
    <row r="117" spans="1:13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</row>
    <row r="118" spans="1:13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</row>
    <row r="119" spans="1:13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</row>
    <row r="120" spans="1:13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</row>
    <row r="121" spans="1:13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</row>
    <row r="122" spans="1:13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</row>
    <row r="123" spans="1:13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</row>
    <row r="124" spans="1:13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1"/>
  <sheetViews>
    <sheetView workbookViewId="0">
      <pane ySplit="1" topLeftCell="A2" activePane="bottomLeft" state="frozen"/>
      <selection activeCell="H33" sqref="H33"/>
      <selection pane="bottomLeft"/>
    </sheetView>
  </sheetViews>
  <sheetFormatPr defaultRowHeight="12.75"/>
  <cols>
    <col min="1" max="1" width="12" bestFit="1" customWidth="1"/>
    <col min="2" max="2" width="20.28515625" style="117" bestFit="1" customWidth="1"/>
  </cols>
  <sheetData>
    <row r="1" spans="1:2">
      <c r="A1" t="s">
        <v>78</v>
      </c>
      <c r="B1" s="117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G12"/>
  <sheetViews>
    <sheetView workbookViewId="0"/>
  </sheetViews>
  <sheetFormatPr defaultRowHeight="12.75"/>
  <cols>
    <col min="1" max="1" width="11.140625" bestFit="1" customWidth="1"/>
    <col min="2" max="2" width="13.140625" bestFit="1" customWidth="1"/>
    <col min="3" max="3" width="13.7109375" bestFit="1" customWidth="1"/>
    <col min="4" max="4" width="14.140625" bestFit="1" customWidth="1"/>
    <col min="5" max="5" width="21.85546875" bestFit="1" customWidth="1"/>
  </cols>
  <sheetData>
    <row r="1" spans="1:7">
      <c r="A1" t="s">
        <v>78</v>
      </c>
      <c r="B1" t="s">
        <v>87</v>
      </c>
      <c r="C1" t="s">
        <v>72</v>
      </c>
      <c r="D1" t="s">
        <v>80</v>
      </c>
      <c r="E1" t="s">
        <v>81</v>
      </c>
    </row>
    <row r="11" spans="1:7">
      <c r="G11" s="129"/>
    </row>
    <row r="12" spans="1:7">
      <c r="G12" s="128"/>
    </row>
  </sheetData>
  <autoFilter ref="A1:E37" xr:uid="{00000000-0001-0000-08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Summary</vt:lpstr>
      <vt:lpstr>KPI Sheet</vt:lpstr>
      <vt:lpstr>CERES ONE</vt:lpstr>
      <vt:lpstr>CERES TWO</vt:lpstr>
      <vt:lpstr>CERES THREE</vt:lpstr>
      <vt:lpstr>BUDGET</vt:lpstr>
      <vt:lpstr>ACTUAL</vt:lpstr>
      <vt:lpstr>RUNNING DAYS</vt:lpstr>
      <vt:lpstr>YTD VARIANCE</vt:lpstr>
      <vt:lpstr>'CERES ONE'!Print_Area</vt:lpstr>
      <vt:lpstr>'CERES THREE'!Print_Area</vt:lpstr>
      <vt:lpstr>'CERES TWO'!Print_Area</vt:lpstr>
      <vt:lpstr>Summary!Print_Area</vt:lpstr>
      <vt:lpstr>Summary!Print_Titles</vt:lpstr>
    </vt:vector>
  </TitlesOfParts>
  <Company>Wallem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Wallem</dc:creator>
  <cp:lastModifiedBy>Alex Kwan</cp:lastModifiedBy>
  <cp:lastPrinted>2019-01-24T07:45:53Z</cp:lastPrinted>
  <dcterms:created xsi:type="dcterms:W3CDTF">2006-01-09T02:49:24Z</dcterms:created>
  <dcterms:modified xsi:type="dcterms:W3CDTF">2022-03-07T06:18:35Z</dcterms:modified>
</cp:coreProperties>
</file>