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tcmrt3govph.sharepoint.com/sites/mrtafcsicts/Shared Documents/Daily Ridership Report/"/>
    </mc:Choice>
  </mc:AlternateContent>
  <xr:revisionPtr revIDLastSave="3415" documentId="13_ncr:1_{EECD77EE-56FE-5D4A-996E-B6FE583AFF86}" xr6:coauthVersionLast="47" xr6:coauthVersionMax="47" xr10:uidLastSave="{578AC66D-F94E-4DBC-BC3D-F3F0CD8D515B}"/>
  <bookViews>
    <workbookView xWindow="-120" yWindow="-120" windowWidth="29040" windowHeight="15840" tabRatio="781" firstSheet="26" activeTab="26" xr2:uid="{00000000-000D-0000-FFFF-FFFF00000000}"/>
  </bookViews>
  <sheets>
    <sheet name="DAILY 1999" sheetId="20" r:id="rId1"/>
    <sheet name="DAILY 2000" sheetId="19" r:id="rId2"/>
    <sheet name="DAILY 2001" sheetId="18" r:id="rId3"/>
    <sheet name="DAILY 2002" sheetId="17" r:id="rId4"/>
    <sheet name="DAILY 2003" sheetId="16" r:id="rId5"/>
    <sheet name="DAILY 2004" sheetId="15" r:id="rId6"/>
    <sheet name="DAILY 2005" sheetId="14" r:id="rId7"/>
    <sheet name="DAILY 2006" sheetId="13" r:id="rId8"/>
    <sheet name="DAILY 2007" sheetId="12" r:id="rId9"/>
    <sheet name="DAILY 2008" sheetId="11" r:id="rId10"/>
    <sheet name="DAILY 2009" sheetId="10" r:id="rId11"/>
    <sheet name="DAILY 2010" sheetId="9" r:id="rId12"/>
    <sheet name="DAILY 2011" sheetId="8" r:id="rId13"/>
    <sheet name="DAILY 2012" sheetId="7" r:id="rId14"/>
    <sheet name="DAILY 2013" sheetId="6" r:id="rId15"/>
    <sheet name="DAILY 2014" sheetId="5" r:id="rId16"/>
    <sheet name="DAILY 2015" sheetId="4" r:id="rId17"/>
    <sheet name="DAILY 2016" sheetId="1" r:id="rId18"/>
    <sheet name="DAILY 2017" sheetId="2" r:id="rId19"/>
    <sheet name="DAILY 2018" sheetId="3" r:id="rId20"/>
    <sheet name="DAILY 2019" sheetId="21" r:id="rId21"/>
    <sheet name="DAILY 2020" sheetId="23" r:id="rId22"/>
    <sheet name="DAILY 2021" sheetId="24" r:id="rId23"/>
    <sheet name="DAILY 2022" sheetId="28" r:id="rId24"/>
    <sheet name="DAILY 2023" sheetId="26" r:id="rId25"/>
    <sheet name="DAILY 2024" sheetId="29" r:id="rId26"/>
    <sheet name="DAILY 2025" sheetId="30" r:id="rId27"/>
    <sheet name="Highest Ridership" sheetId="22" r:id="rId28"/>
    <sheet name="Sheet1" sheetId="27" r:id="rId29"/>
  </sheets>
  <definedNames>
    <definedName name="_xlnm.Print_Area" localSheetId="0">'DAILY 1999'!$A$1:$M$43</definedName>
    <definedName name="_xlnm.Print_Area" localSheetId="1">'DAILY 2000'!$A$1:$M$43</definedName>
    <definedName name="_xlnm.Print_Area" localSheetId="2">'DAILY 2001'!$A$1:$M$43</definedName>
    <definedName name="_xlnm.Print_Area" localSheetId="3">'DAILY 2002'!$A$1:$M$43</definedName>
    <definedName name="_xlnm.Print_Area" localSheetId="4">'DAILY 2003'!$A$1:$M$43</definedName>
    <definedName name="_xlnm.Print_Area" localSheetId="5">'DAILY 2004'!$A$1:$M$45</definedName>
    <definedName name="_xlnm.Print_Area" localSheetId="6">'DAILY 2005'!$A$1:$M$43</definedName>
    <definedName name="_xlnm.Print_Area" localSheetId="7">'DAILY 2006'!$A$1:$M$43</definedName>
    <definedName name="_xlnm.Print_Area" localSheetId="8">'DAILY 2007'!$A$1:$M$43</definedName>
    <definedName name="_xlnm.Print_Area" localSheetId="9">'DAILY 2008'!$A$1:$M$43</definedName>
    <definedName name="_xlnm.Print_Area" localSheetId="10">'DAILY 2009'!$A$1:$M$43</definedName>
    <definedName name="_xlnm.Print_Area" localSheetId="11">'DAILY 2010'!$A$1:$M$44</definedName>
    <definedName name="_xlnm.Print_Area" localSheetId="12">'DAILY 2011'!$A$1:$M$44</definedName>
    <definedName name="_xlnm.Print_Area" localSheetId="13">'DAILY 2012'!$A$1:$M$44</definedName>
    <definedName name="_xlnm.Print_Area" localSheetId="14">'DAILY 2013'!$A$1:$M$44</definedName>
    <definedName name="_xlnm.Print_Area" localSheetId="15">'DAILY 2014'!$A$1:$M$44</definedName>
    <definedName name="_xlnm.Print_Area" localSheetId="16">'DAILY 2015'!$A$1:$M$44</definedName>
    <definedName name="_xlnm.Print_Area" localSheetId="17">'DAILY 2016'!$A$1:$M$44</definedName>
    <definedName name="_xlnm.Print_Area" localSheetId="18">'DAILY 2017'!$A$1:$M$44</definedName>
    <definedName name="_xlnm.Print_Area" localSheetId="19">'DAILY 2018'!$A$1:$M$44</definedName>
    <definedName name="_xlnm.Print_Area" localSheetId="20">'DAILY 2019'!$A$1:$M$44</definedName>
    <definedName name="_xlnm.Print_Area" localSheetId="21">'DAILY 2020'!$A$1:$M$44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" i="5" l="1"/>
  <c r="C44" i="30"/>
  <c r="C43" i="30"/>
  <c r="C42" i="30"/>
  <c r="C41" i="30"/>
  <c r="C40" i="30"/>
  <c r="C39" i="30"/>
  <c r="C38" i="30"/>
  <c r="C37" i="30"/>
  <c r="B41" i="30"/>
  <c r="B40" i="30"/>
  <c r="B38" i="30"/>
  <c r="M44" i="30"/>
  <c r="L44" i="30"/>
  <c r="K44" i="30"/>
  <c r="J44" i="30"/>
  <c r="I44" i="30"/>
  <c r="H44" i="30"/>
  <c r="G44" i="30"/>
  <c r="F44" i="30"/>
  <c r="E44" i="30"/>
  <c r="D44" i="30"/>
  <c r="B44" i="30"/>
  <c r="M43" i="30"/>
  <c r="L43" i="30"/>
  <c r="K43" i="30"/>
  <c r="J43" i="30"/>
  <c r="I43" i="30"/>
  <c r="H43" i="30"/>
  <c r="G43" i="30"/>
  <c r="F43" i="30"/>
  <c r="E43" i="30"/>
  <c r="D43" i="30"/>
  <c r="B43" i="30"/>
  <c r="M42" i="30"/>
  <c r="L42" i="30"/>
  <c r="K42" i="30"/>
  <c r="J42" i="30"/>
  <c r="I42" i="30"/>
  <c r="H42" i="30"/>
  <c r="G42" i="30"/>
  <c r="F42" i="30"/>
  <c r="E42" i="30"/>
  <c r="D42" i="30"/>
  <c r="B42" i="30"/>
  <c r="M41" i="30"/>
  <c r="L41" i="30"/>
  <c r="K41" i="30"/>
  <c r="J41" i="30"/>
  <c r="I41" i="30"/>
  <c r="H41" i="30"/>
  <c r="G41" i="30"/>
  <c r="F41" i="30"/>
  <c r="E41" i="30"/>
  <c r="D41" i="30"/>
  <c r="M40" i="30"/>
  <c r="L40" i="30"/>
  <c r="K40" i="30"/>
  <c r="J40" i="30"/>
  <c r="I40" i="30"/>
  <c r="H40" i="30"/>
  <c r="G40" i="30"/>
  <c r="F40" i="30"/>
  <c r="E40" i="30"/>
  <c r="D40" i="30"/>
  <c r="M39" i="30"/>
  <c r="L39" i="30"/>
  <c r="K39" i="30"/>
  <c r="J39" i="30"/>
  <c r="I39" i="30"/>
  <c r="H39" i="30"/>
  <c r="G39" i="30"/>
  <c r="F39" i="30"/>
  <c r="E39" i="30"/>
  <c r="D39" i="30"/>
  <c r="B39" i="30"/>
  <c r="M38" i="30"/>
  <c r="L38" i="30"/>
  <c r="K38" i="30"/>
  <c r="J38" i="30"/>
  <c r="I38" i="30"/>
  <c r="H38" i="30"/>
  <c r="G38" i="30"/>
  <c r="F38" i="30"/>
  <c r="E38" i="30"/>
  <c r="D38" i="30"/>
  <c r="M37" i="30"/>
  <c r="L37" i="30"/>
  <c r="K37" i="30"/>
  <c r="J37" i="30"/>
  <c r="I37" i="30"/>
  <c r="H37" i="30"/>
  <c r="G37" i="30"/>
  <c r="F37" i="30"/>
  <c r="E37" i="30"/>
  <c r="D37" i="30"/>
  <c r="B37" i="30"/>
  <c r="L43" i="29"/>
  <c r="M41" i="29"/>
  <c r="M37" i="29"/>
  <c r="M40" i="29"/>
  <c r="M39" i="29"/>
  <c r="M38" i="29"/>
  <c r="L41" i="29"/>
  <c r="L40" i="29"/>
  <c r="L39" i="29"/>
  <c r="L38" i="29"/>
  <c r="L37" i="29"/>
  <c r="K41" i="29"/>
  <c r="K40" i="29"/>
  <c r="K39" i="29"/>
  <c r="K38" i="29"/>
  <c r="K37" i="29"/>
  <c r="J41" i="29"/>
  <c r="J40" i="29"/>
  <c r="J39" i="29"/>
  <c r="J38" i="29"/>
  <c r="I38" i="29"/>
  <c r="I41" i="29"/>
  <c r="I40" i="29"/>
  <c r="I43" i="29"/>
  <c r="I42" i="29"/>
  <c r="I39" i="29"/>
  <c r="I37" i="29"/>
  <c r="B42" i="1"/>
  <c r="H38" i="29"/>
  <c r="G38" i="29"/>
  <c r="H41" i="29"/>
  <c r="G41" i="29"/>
  <c r="H40" i="29"/>
  <c r="G40" i="29"/>
  <c r="H39" i="29"/>
  <c r="G39" i="29"/>
  <c r="F37" i="29"/>
  <c r="F38" i="29"/>
  <c r="F41" i="29"/>
  <c r="F40" i="29"/>
  <c r="F39" i="29"/>
  <c r="P18" i="26"/>
  <c r="P19" i="24"/>
  <c r="E37" i="29"/>
  <c r="E38" i="29"/>
  <c r="E41" i="29"/>
  <c r="E40" i="29"/>
  <c r="E39" i="29"/>
  <c r="D40" i="29"/>
  <c r="C39" i="29"/>
  <c r="D41" i="29"/>
  <c r="D39" i="29"/>
  <c r="D38" i="29"/>
  <c r="D37" i="29"/>
  <c r="C40" i="29"/>
  <c r="C38" i="29"/>
  <c r="C41" i="29" l="1"/>
  <c r="B41" i="29"/>
  <c r="B40" i="29"/>
  <c r="B39" i="29"/>
  <c r="B38" i="29" l="1"/>
  <c r="N38" i="5"/>
  <c r="N39" i="5"/>
  <c r="N40" i="5"/>
  <c r="N41" i="5"/>
  <c r="N42" i="5"/>
  <c r="N43" i="5"/>
  <c r="N37" i="5"/>
  <c r="B38" i="5"/>
  <c r="C38" i="5"/>
  <c r="D38" i="5"/>
  <c r="E38" i="5"/>
  <c r="F38" i="5"/>
  <c r="G38" i="5"/>
  <c r="H38" i="5"/>
  <c r="I38" i="5"/>
  <c r="J38" i="5"/>
  <c r="K38" i="5"/>
  <c r="L38" i="5"/>
  <c r="M38" i="5"/>
  <c r="B39" i="5"/>
  <c r="C39" i="5"/>
  <c r="D39" i="5"/>
  <c r="E39" i="5"/>
  <c r="F39" i="5"/>
  <c r="G39" i="5"/>
  <c r="H39" i="5"/>
  <c r="I39" i="5"/>
  <c r="J39" i="5"/>
  <c r="K39" i="5"/>
  <c r="L39" i="5"/>
  <c r="M39" i="5"/>
  <c r="B37" i="5"/>
  <c r="N38" i="7"/>
  <c r="N39" i="7"/>
  <c r="N40" i="7"/>
  <c r="N41" i="7"/>
  <c r="N42" i="7"/>
  <c r="N43" i="7"/>
  <c r="N44" i="7"/>
  <c r="N37" i="7"/>
  <c r="N38" i="8"/>
  <c r="N39" i="8"/>
  <c r="N40" i="8"/>
  <c r="N41" i="8"/>
  <c r="N42" i="8"/>
  <c r="N43" i="8"/>
  <c r="N44" i="8"/>
  <c r="N37" i="8"/>
  <c r="N38" i="6"/>
  <c r="N39" i="6"/>
  <c r="N40" i="6"/>
  <c r="N41" i="6"/>
  <c r="N42" i="6"/>
  <c r="N43" i="6"/>
  <c r="N44" i="6"/>
  <c r="N37" i="6"/>
  <c r="B37" i="6"/>
  <c r="B37" i="7"/>
  <c r="B37" i="8"/>
  <c r="N38" i="9"/>
  <c r="N39" i="9"/>
  <c r="N40" i="9"/>
  <c r="N41" i="9"/>
  <c r="N42" i="9"/>
  <c r="N43" i="9"/>
  <c r="N44" i="9"/>
  <c r="N37" i="9"/>
  <c r="M44" i="29"/>
  <c r="L44" i="29"/>
  <c r="K44" i="29"/>
  <c r="J44" i="29"/>
  <c r="I44" i="29"/>
  <c r="H44" i="29"/>
  <c r="G44" i="29"/>
  <c r="F44" i="29"/>
  <c r="E44" i="29"/>
  <c r="D44" i="29"/>
  <c r="C44" i="29"/>
  <c r="B44" i="29"/>
  <c r="M43" i="29"/>
  <c r="K43" i="29"/>
  <c r="J43" i="29"/>
  <c r="H43" i="29"/>
  <c r="G43" i="29"/>
  <c r="F43" i="29"/>
  <c r="E43" i="29"/>
  <c r="D43" i="29"/>
  <c r="C43" i="29"/>
  <c r="B43" i="29"/>
  <c r="M42" i="29"/>
  <c r="L42" i="29"/>
  <c r="K42" i="29"/>
  <c r="J42" i="29"/>
  <c r="H42" i="29"/>
  <c r="G42" i="29"/>
  <c r="F42" i="29"/>
  <c r="E42" i="29"/>
  <c r="D42" i="29"/>
  <c r="C42" i="29"/>
  <c r="B42" i="29"/>
  <c r="J37" i="29"/>
  <c r="H37" i="29"/>
  <c r="G37" i="29"/>
  <c r="C37" i="29"/>
  <c r="B37" i="29"/>
  <c r="L40" i="26"/>
  <c r="L38" i="26"/>
  <c r="M40" i="26"/>
  <c r="M39" i="26"/>
  <c r="M41" i="26"/>
  <c r="M38" i="26"/>
  <c r="K41" i="26"/>
  <c r="K40" i="26"/>
  <c r="K39" i="26"/>
  <c r="K38" i="26"/>
  <c r="L41" i="26"/>
  <c r="L39" i="26"/>
  <c r="J41" i="26"/>
  <c r="J40" i="26"/>
  <c r="J39" i="26"/>
  <c r="J38" i="26"/>
  <c r="I41" i="26"/>
  <c r="I40" i="26"/>
  <c r="I39" i="26"/>
  <c r="I38" i="26"/>
  <c r="H38" i="26" l="1"/>
  <c r="H37" i="26"/>
  <c r="H41" i="26"/>
  <c r="H40" i="26"/>
  <c r="H39" i="26"/>
  <c r="G41" i="26"/>
  <c r="G40" i="26"/>
  <c r="G39" i="26"/>
  <c r="G38" i="26"/>
  <c r="F41" i="26"/>
  <c r="E41" i="26"/>
  <c r="F40" i="26"/>
  <c r="E40" i="26"/>
  <c r="F39" i="26"/>
  <c r="E39" i="26"/>
  <c r="F38" i="26"/>
  <c r="E38" i="26"/>
  <c r="B26" i="22"/>
  <c r="E42" i="23"/>
  <c r="F42" i="23"/>
  <c r="G42" i="23"/>
  <c r="E42" i="26"/>
  <c r="F42" i="26"/>
  <c r="G42" i="26"/>
  <c r="H42" i="26"/>
  <c r="I42" i="26"/>
  <c r="J42" i="26"/>
  <c r="K42" i="26"/>
  <c r="L42" i="26"/>
  <c r="M42" i="26"/>
  <c r="C37" i="26"/>
  <c r="D41" i="26"/>
  <c r="C41" i="26"/>
  <c r="D40" i="26"/>
  <c r="D39" i="26"/>
  <c r="D38" i="26"/>
  <c r="C40" i="26"/>
  <c r="C39" i="26"/>
  <c r="C38" i="26"/>
  <c r="D42" i="26"/>
  <c r="B28" i="27"/>
  <c r="B29" i="27"/>
  <c r="B27" i="27"/>
  <c r="B26" i="27"/>
  <c r="B25" i="27"/>
  <c r="B24" i="27"/>
  <c r="B23" i="27"/>
  <c r="B22" i="27"/>
  <c r="B37" i="12"/>
  <c r="C43" i="12"/>
  <c r="D43" i="12"/>
  <c r="E37" i="21"/>
  <c r="C44" i="26"/>
  <c r="C43" i="26"/>
  <c r="C42" i="26"/>
  <c r="B41" i="26"/>
  <c r="B40" i="26"/>
  <c r="B39" i="26"/>
  <c r="C29" i="27" s="1"/>
  <c r="B38" i="26"/>
  <c r="M44" i="28"/>
  <c r="L44" i="28"/>
  <c r="K44" i="28"/>
  <c r="J44" i="28"/>
  <c r="I44" i="28"/>
  <c r="H44" i="28"/>
  <c r="G44" i="28"/>
  <c r="F44" i="28"/>
  <c r="E44" i="28"/>
  <c r="D44" i="28"/>
  <c r="C44" i="28"/>
  <c r="B44" i="28"/>
  <c r="M43" i="28"/>
  <c r="L43" i="28"/>
  <c r="K43" i="28"/>
  <c r="J43" i="28"/>
  <c r="I43" i="28"/>
  <c r="H43" i="28"/>
  <c r="G43" i="28"/>
  <c r="F43" i="28"/>
  <c r="E43" i="28"/>
  <c r="D43" i="28"/>
  <c r="C43" i="28"/>
  <c r="B43" i="28"/>
  <c r="M42" i="28"/>
  <c r="L42" i="28"/>
  <c r="K42" i="28"/>
  <c r="J42" i="28"/>
  <c r="I42" i="28"/>
  <c r="H42" i="28"/>
  <c r="G42" i="28"/>
  <c r="F42" i="28"/>
  <c r="E42" i="28"/>
  <c r="D42" i="28"/>
  <c r="C42" i="28"/>
  <c r="B42" i="28"/>
  <c r="B27" i="22" s="1"/>
  <c r="M41" i="28"/>
  <c r="L41" i="28"/>
  <c r="K41" i="28"/>
  <c r="J41" i="28"/>
  <c r="I41" i="28"/>
  <c r="H41" i="28"/>
  <c r="G41" i="28"/>
  <c r="F41" i="28"/>
  <c r="E41" i="28"/>
  <c r="D41" i="28"/>
  <c r="C41" i="28"/>
  <c r="B41" i="28"/>
  <c r="F28" i="27" s="1"/>
  <c r="L40" i="28"/>
  <c r="K40" i="28"/>
  <c r="J40" i="28"/>
  <c r="I40" i="28"/>
  <c r="H40" i="28"/>
  <c r="G40" i="28"/>
  <c r="F40" i="28"/>
  <c r="E40" i="28"/>
  <c r="D40" i="28"/>
  <c r="C40" i="28"/>
  <c r="B40" i="28"/>
  <c r="M39" i="28"/>
  <c r="L39" i="28"/>
  <c r="K39" i="28"/>
  <c r="J39" i="28"/>
  <c r="I39" i="28"/>
  <c r="H39" i="28"/>
  <c r="G39" i="28"/>
  <c r="F39" i="28"/>
  <c r="E39" i="28"/>
  <c r="D39" i="28"/>
  <c r="C39" i="28"/>
  <c r="B39" i="28"/>
  <c r="D28" i="27" s="1"/>
  <c r="M38" i="28"/>
  <c r="L38" i="28"/>
  <c r="K38" i="28"/>
  <c r="J38" i="28"/>
  <c r="I38" i="28"/>
  <c r="H38" i="28"/>
  <c r="G38" i="28"/>
  <c r="F38" i="28"/>
  <c r="E38" i="28"/>
  <c r="D38" i="28"/>
  <c r="C38" i="28"/>
  <c r="B38" i="28"/>
  <c r="C28" i="27" s="1"/>
  <c r="M40" i="28"/>
  <c r="L37" i="28"/>
  <c r="K37" i="28"/>
  <c r="J37" i="28"/>
  <c r="I37" i="28"/>
  <c r="H37" i="28"/>
  <c r="G37" i="28"/>
  <c r="F37" i="28"/>
  <c r="E37" i="28"/>
  <c r="D37" i="28"/>
  <c r="C37" i="28"/>
  <c r="B37" i="28"/>
  <c r="D27" i="22" s="1"/>
  <c r="D29" i="27" l="1"/>
  <c r="E29" i="27"/>
  <c r="F29" i="27"/>
  <c r="E28" i="27"/>
  <c r="J43" i="26"/>
  <c r="J37" i="26"/>
  <c r="I37" i="26"/>
  <c r="C44" i="23" l="1"/>
  <c r="C43" i="23"/>
  <c r="C42" i="23"/>
  <c r="C41" i="23"/>
  <c r="C40" i="23"/>
  <c r="C39" i="23"/>
  <c r="C38" i="23"/>
  <c r="C37" i="23"/>
  <c r="B39" i="23" l="1"/>
  <c r="M44" i="23"/>
  <c r="L44" i="23"/>
  <c r="K44" i="23"/>
  <c r="J44" i="23"/>
  <c r="I44" i="23"/>
  <c r="H44" i="23"/>
  <c r="G44" i="23"/>
  <c r="D44" i="23"/>
  <c r="B44" i="23"/>
  <c r="M43" i="23"/>
  <c r="L43" i="23"/>
  <c r="K43" i="23"/>
  <c r="J43" i="23"/>
  <c r="I43" i="23"/>
  <c r="H43" i="23"/>
  <c r="G43" i="23"/>
  <c r="D43" i="23"/>
  <c r="B43" i="23"/>
  <c r="M42" i="23"/>
  <c r="L42" i="23"/>
  <c r="K42" i="23"/>
  <c r="J42" i="23"/>
  <c r="I42" i="23"/>
  <c r="H42" i="23"/>
  <c r="D42" i="23"/>
  <c r="B42" i="23"/>
  <c r="B25" i="22" s="1"/>
  <c r="M41" i="23"/>
  <c r="L41" i="23"/>
  <c r="K41" i="23"/>
  <c r="J41" i="23"/>
  <c r="I41" i="23"/>
  <c r="H41" i="23"/>
  <c r="G41" i="23"/>
  <c r="D41" i="23"/>
  <c r="B41" i="23"/>
  <c r="M40" i="23"/>
  <c r="L40" i="23"/>
  <c r="K40" i="23"/>
  <c r="J40" i="23"/>
  <c r="I40" i="23"/>
  <c r="H40" i="23"/>
  <c r="G40" i="23"/>
  <c r="D40" i="23"/>
  <c r="B40" i="23"/>
  <c r="M39" i="23"/>
  <c r="L39" i="23"/>
  <c r="K39" i="23"/>
  <c r="J39" i="23"/>
  <c r="I39" i="23"/>
  <c r="H39" i="23"/>
  <c r="G39" i="23"/>
  <c r="D39" i="23"/>
  <c r="M38" i="23"/>
  <c r="L38" i="23"/>
  <c r="K38" i="23"/>
  <c r="J38" i="23"/>
  <c r="I38" i="23"/>
  <c r="H38" i="23"/>
  <c r="G38" i="23"/>
  <c r="D38" i="23"/>
  <c r="B38" i="23"/>
  <c r="M37" i="23"/>
  <c r="L37" i="23"/>
  <c r="K37" i="23"/>
  <c r="J37" i="23"/>
  <c r="I37" i="23"/>
  <c r="H37" i="23"/>
  <c r="G37" i="23"/>
  <c r="D37" i="23"/>
  <c r="B37" i="23"/>
  <c r="F21" i="27"/>
  <c r="E21" i="27"/>
  <c r="F26" i="27" l="1"/>
  <c r="E26" i="27"/>
  <c r="C26" i="27"/>
  <c r="D26" i="27"/>
  <c r="M44" i="26"/>
  <c r="L44" i="26"/>
  <c r="K44" i="26"/>
  <c r="J44" i="26"/>
  <c r="I44" i="26"/>
  <c r="H44" i="26"/>
  <c r="G44" i="26"/>
  <c r="F44" i="26"/>
  <c r="E44" i="26"/>
  <c r="D44" i="26"/>
  <c r="B44" i="26"/>
  <c r="M43" i="26"/>
  <c r="L43" i="26"/>
  <c r="K43" i="26"/>
  <c r="I43" i="26"/>
  <c r="H43" i="26"/>
  <c r="G43" i="26"/>
  <c r="F43" i="26"/>
  <c r="E43" i="26"/>
  <c r="D43" i="26"/>
  <c r="B43" i="26"/>
  <c r="B42" i="26"/>
  <c r="M37" i="26"/>
  <c r="L37" i="26"/>
  <c r="K37" i="26"/>
  <c r="G37" i="26"/>
  <c r="F37" i="26"/>
  <c r="E37" i="26"/>
  <c r="D37" i="26"/>
  <c r="B37" i="26"/>
  <c r="D28" i="22" s="1"/>
  <c r="B28" i="22" s="1"/>
  <c r="E28" i="22" l="1"/>
  <c r="C28" i="22" a="1"/>
  <c r="C28" i="22" s="1"/>
  <c r="D26" i="22" l="1"/>
  <c r="K41" i="7"/>
  <c r="K40" i="7"/>
  <c r="K39" i="7"/>
  <c r="K38" i="7"/>
  <c r="M41" i="7"/>
  <c r="M40" i="7"/>
  <c r="M39" i="7"/>
  <c r="M38" i="7"/>
  <c r="J41" i="7"/>
  <c r="J40" i="7"/>
  <c r="J39" i="7"/>
  <c r="J38" i="7"/>
  <c r="G41" i="7"/>
  <c r="G40" i="7"/>
  <c r="G39" i="7"/>
  <c r="G38" i="7"/>
  <c r="F41" i="7"/>
  <c r="F40" i="7"/>
  <c r="F39" i="7"/>
  <c r="F38" i="7"/>
  <c r="E41" i="7"/>
  <c r="D40" i="7"/>
  <c r="E40" i="7"/>
  <c r="E39" i="7"/>
  <c r="E38" i="7"/>
  <c r="L41" i="7"/>
  <c r="L40" i="7"/>
  <c r="L39" i="7"/>
  <c r="L38" i="7"/>
  <c r="I41" i="7"/>
  <c r="I40" i="7"/>
  <c r="I39" i="7"/>
  <c r="I38" i="7"/>
  <c r="C41" i="7"/>
  <c r="C40" i="7"/>
  <c r="C39" i="7"/>
  <c r="C38" i="7"/>
  <c r="D41" i="7"/>
  <c r="D39" i="7"/>
  <c r="D38" i="7"/>
  <c r="H41" i="7"/>
  <c r="H40" i="7"/>
  <c r="H38" i="7"/>
  <c r="H39" i="7"/>
  <c r="B41" i="7"/>
  <c r="B40" i="7"/>
  <c r="B39" i="7"/>
  <c r="B38" i="7"/>
  <c r="M41" i="8"/>
  <c r="M40" i="8"/>
  <c r="M39" i="8"/>
  <c r="M38" i="8"/>
  <c r="J41" i="8"/>
  <c r="J40" i="8"/>
  <c r="J39" i="8"/>
  <c r="J38" i="8"/>
  <c r="I41" i="8"/>
  <c r="I40" i="8"/>
  <c r="I39" i="8"/>
  <c r="I38" i="8"/>
  <c r="G41" i="8"/>
  <c r="G40" i="8"/>
  <c r="G39" i="8"/>
  <c r="G38" i="8"/>
  <c r="F41" i="8"/>
  <c r="F40" i="8"/>
  <c r="F39" i="8"/>
  <c r="F38" i="8"/>
  <c r="H41" i="8"/>
  <c r="H40" i="8"/>
  <c r="H39" i="8"/>
  <c r="H38" i="8"/>
  <c r="E41" i="8"/>
  <c r="E40" i="8"/>
  <c r="E39" i="8"/>
  <c r="E38" i="8"/>
  <c r="L41" i="8"/>
  <c r="L40" i="8"/>
  <c r="L38" i="8"/>
  <c r="L39" i="8"/>
  <c r="D38" i="8"/>
  <c r="D39" i="8"/>
  <c r="D40" i="8"/>
  <c r="D41" i="8"/>
  <c r="C41" i="8"/>
  <c r="C40" i="8"/>
  <c r="C39" i="8"/>
  <c r="C38" i="8"/>
  <c r="K41" i="8"/>
  <c r="K40" i="8"/>
  <c r="K39" i="8"/>
  <c r="K38" i="8"/>
  <c r="B41" i="8"/>
  <c r="B40" i="8"/>
  <c r="B39" i="8"/>
  <c r="B38" i="8"/>
  <c r="C43" i="4"/>
  <c r="M41" i="9"/>
  <c r="M40" i="9"/>
  <c r="M39" i="9"/>
  <c r="J41" i="9"/>
  <c r="J40" i="9"/>
  <c r="J39" i="9"/>
  <c r="I41" i="9"/>
  <c r="I40" i="9"/>
  <c r="I39" i="9"/>
  <c r="H41" i="9"/>
  <c r="H40" i="9"/>
  <c r="H39" i="9"/>
  <c r="G41" i="9"/>
  <c r="G40" i="9"/>
  <c r="G39" i="9"/>
  <c r="L41" i="9"/>
  <c r="L40" i="9"/>
  <c r="L39" i="9"/>
  <c r="F41" i="9"/>
  <c r="F40" i="9"/>
  <c r="F39" i="9"/>
  <c r="E41" i="9"/>
  <c r="E40" i="9"/>
  <c r="E39" i="9"/>
  <c r="D41" i="9"/>
  <c r="D40" i="9"/>
  <c r="D39" i="9"/>
  <c r="C41" i="9"/>
  <c r="C40" i="9"/>
  <c r="C39" i="9"/>
  <c r="K41" i="9"/>
  <c r="B41" i="9"/>
  <c r="K40" i="9"/>
  <c r="B40" i="9"/>
  <c r="K39" i="9"/>
  <c r="B39" i="9"/>
  <c r="M38" i="9"/>
  <c r="J38" i="9"/>
  <c r="I38" i="9"/>
  <c r="H38" i="9"/>
  <c r="G38" i="9"/>
  <c r="F38" i="9"/>
  <c r="E38" i="9"/>
  <c r="L38" i="9"/>
  <c r="K38" i="9"/>
  <c r="D38" i="9"/>
  <c r="C38" i="9"/>
  <c r="B38" i="9"/>
  <c r="M43" i="8"/>
  <c r="L43" i="8"/>
  <c r="K43" i="8"/>
  <c r="J43" i="8"/>
  <c r="I43" i="8"/>
  <c r="H43" i="8"/>
  <c r="G43" i="8"/>
  <c r="F43" i="8"/>
  <c r="E43" i="8"/>
  <c r="D43" i="8"/>
  <c r="C43" i="8"/>
  <c r="M43" i="7"/>
  <c r="L43" i="7"/>
  <c r="K43" i="7"/>
  <c r="J43" i="7"/>
  <c r="I43" i="7"/>
  <c r="H43" i="7"/>
  <c r="G43" i="7"/>
  <c r="F43" i="7"/>
  <c r="E43" i="7"/>
  <c r="D43" i="7"/>
  <c r="C43" i="7"/>
  <c r="M43" i="6"/>
  <c r="L43" i="6"/>
  <c r="K43" i="6"/>
  <c r="J43" i="6"/>
  <c r="I43" i="6"/>
  <c r="H43" i="6"/>
  <c r="G43" i="6"/>
  <c r="F43" i="6"/>
  <c r="E43" i="6"/>
  <c r="D43" i="6"/>
  <c r="C43" i="6"/>
  <c r="M43" i="5"/>
  <c r="L43" i="5"/>
  <c r="K43" i="5"/>
  <c r="J43" i="5"/>
  <c r="I43" i="5"/>
  <c r="H43" i="5"/>
  <c r="G43" i="5"/>
  <c r="F43" i="5"/>
  <c r="E43" i="5"/>
  <c r="D43" i="5"/>
  <c r="C43" i="5"/>
  <c r="M43" i="4"/>
  <c r="L43" i="4"/>
  <c r="K43" i="4"/>
  <c r="J43" i="4"/>
  <c r="I43" i="4"/>
  <c r="H43" i="4"/>
  <c r="G43" i="4"/>
  <c r="F43" i="4"/>
  <c r="E43" i="4"/>
  <c r="D43" i="4"/>
  <c r="M43" i="1"/>
  <c r="L43" i="1"/>
  <c r="K43" i="1"/>
  <c r="J43" i="1"/>
  <c r="I43" i="1"/>
  <c r="H43" i="1"/>
  <c r="G43" i="1"/>
  <c r="F43" i="1"/>
  <c r="E43" i="1"/>
  <c r="D43" i="1"/>
  <c r="C43" i="1"/>
  <c r="M43" i="2"/>
  <c r="L43" i="2"/>
  <c r="K43" i="2"/>
  <c r="J43" i="2"/>
  <c r="I43" i="2"/>
  <c r="H43" i="2"/>
  <c r="G43" i="2"/>
  <c r="F43" i="2"/>
  <c r="E43" i="2"/>
  <c r="D43" i="2"/>
  <c r="C43" i="2"/>
  <c r="M43" i="3"/>
  <c r="L43" i="3"/>
  <c r="K43" i="3"/>
  <c r="J43" i="3"/>
  <c r="I43" i="3"/>
  <c r="H43" i="3"/>
  <c r="G43" i="3"/>
  <c r="F43" i="3"/>
  <c r="E43" i="3"/>
  <c r="D43" i="3"/>
  <c r="C43" i="3"/>
  <c r="M43" i="9"/>
  <c r="L43" i="9"/>
  <c r="K43" i="9"/>
  <c r="J43" i="9"/>
  <c r="I43" i="9"/>
  <c r="H43" i="9"/>
  <c r="G43" i="9"/>
  <c r="F43" i="9"/>
  <c r="E43" i="9"/>
  <c r="D43" i="9"/>
  <c r="C43" i="9"/>
  <c r="B43" i="8"/>
  <c r="B43" i="7"/>
  <c r="B43" i="6"/>
  <c r="B43" i="5"/>
  <c r="B43" i="4"/>
  <c r="B43" i="1"/>
  <c r="B43" i="2"/>
  <c r="B43" i="3"/>
  <c r="B43" i="9"/>
  <c r="M44" i="24"/>
  <c r="L44" i="24"/>
  <c r="K44" i="24"/>
  <c r="J44" i="24"/>
  <c r="I44" i="24"/>
  <c r="H44" i="24"/>
  <c r="G44" i="24"/>
  <c r="F44" i="24"/>
  <c r="E44" i="24"/>
  <c r="D44" i="24"/>
  <c r="C44" i="24"/>
  <c r="B44" i="24"/>
  <c r="M43" i="24"/>
  <c r="L43" i="24"/>
  <c r="K43" i="24"/>
  <c r="J43" i="24"/>
  <c r="I43" i="24"/>
  <c r="H43" i="24"/>
  <c r="G43" i="24"/>
  <c r="F43" i="24"/>
  <c r="E43" i="24"/>
  <c r="D43" i="24"/>
  <c r="C43" i="24"/>
  <c r="B43" i="24"/>
  <c r="M42" i="24"/>
  <c r="L42" i="24"/>
  <c r="K42" i="24"/>
  <c r="J42" i="24"/>
  <c r="I42" i="24"/>
  <c r="H42" i="24"/>
  <c r="G42" i="24"/>
  <c r="F42" i="24"/>
  <c r="E42" i="24"/>
  <c r="D42" i="24"/>
  <c r="C42" i="24"/>
  <c r="B42" i="24"/>
  <c r="M41" i="24"/>
  <c r="L41" i="24"/>
  <c r="K41" i="24"/>
  <c r="J41" i="24"/>
  <c r="I41" i="24"/>
  <c r="H41" i="24"/>
  <c r="G41" i="24"/>
  <c r="F41" i="24"/>
  <c r="E41" i="24"/>
  <c r="D41" i="24"/>
  <c r="C41" i="24"/>
  <c r="B41" i="24"/>
  <c r="M40" i="24"/>
  <c r="L40" i="24"/>
  <c r="K40" i="24"/>
  <c r="J40" i="24"/>
  <c r="I40" i="24"/>
  <c r="H40" i="24"/>
  <c r="G40" i="24"/>
  <c r="F40" i="24"/>
  <c r="E40" i="24"/>
  <c r="D40" i="24"/>
  <c r="C40" i="24"/>
  <c r="B40" i="24"/>
  <c r="M39" i="24"/>
  <c r="L39" i="24"/>
  <c r="K39" i="24"/>
  <c r="J39" i="24"/>
  <c r="I39" i="24"/>
  <c r="H39" i="24"/>
  <c r="G39" i="24"/>
  <c r="F39" i="24"/>
  <c r="E39" i="24"/>
  <c r="D39" i="24"/>
  <c r="C39" i="24"/>
  <c r="B39" i="24"/>
  <c r="M38" i="24"/>
  <c r="L38" i="24"/>
  <c r="K38" i="24"/>
  <c r="J38" i="24"/>
  <c r="I38" i="24"/>
  <c r="H38" i="24"/>
  <c r="G38" i="24"/>
  <c r="F38" i="24"/>
  <c r="E38" i="24"/>
  <c r="D38" i="24"/>
  <c r="C38" i="24"/>
  <c r="B38" i="24"/>
  <c r="M37" i="24"/>
  <c r="L37" i="24"/>
  <c r="K37" i="24"/>
  <c r="J37" i="24"/>
  <c r="I37" i="24"/>
  <c r="H37" i="24"/>
  <c r="G37" i="24"/>
  <c r="F37" i="24"/>
  <c r="E37" i="24"/>
  <c r="D37" i="24"/>
  <c r="C37" i="24"/>
  <c r="B37" i="24"/>
  <c r="F16" i="27" l="1"/>
  <c r="E17" i="27"/>
  <c r="E18" i="27"/>
  <c r="F17" i="27"/>
  <c r="F18" i="27"/>
  <c r="C16" i="27"/>
  <c r="D16" i="27"/>
  <c r="D27" i="27"/>
  <c r="E27" i="27"/>
  <c r="F27" i="27"/>
  <c r="C17" i="27"/>
  <c r="C18" i="27"/>
  <c r="C27" i="27"/>
  <c r="E16" i="27"/>
  <c r="D17" i="27"/>
  <c r="D18" i="27"/>
  <c r="E27" i="22"/>
  <c r="A36" i="24" l="1"/>
  <c r="A35" i="24"/>
  <c r="A34" i="24"/>
  <c r="A32" i="24"/>
  <c r="A31" i="24"/>
  <c r="A30" i="24"/>
  <c r="A29" i="24"/>
  <c r="A28" i="24"/>
  <c r="A27" i="24"/>
  <c r="A25" i="24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A7" i="24"/>
  <c r="D25" i="22" l="1"/>
  <c r="A36" i="23"/>
  <c r="A35" i="23"/>
  <c r="A34" i="23"/>
  <c r="A32" i="23"/>
  <c r="A31" i="23"/>
  <c r="A30" i="23"/>
  <c r="A29" i="23"/>
  <c r="A28" i="23"/>
  <c r="A27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G44" i="21"/>
  <c r="G69" i="21" s="1"/>
  <c r="F44" i="21"/>
  <c r="F69" i="21" s="1"/>
  <c r="E44" i="21"/>
  <c r="E69" i="21" s="1"/>
  <c r="D44" i="21"/>
  <c r="D69" i="21" s="1"/>
  <c r="C44" i="21"/>
  <c r="C69" i="21" s="1"/>
  <c r="B44" i="21"/>
  <c r="B69" i="21" s="1"/>
  <c r="G43" i="21"/>
  <c r="F43" i="21"/>
  <c r="E43" i="21"/>
  <c r="D43" i="21"/>
  <c r="C43" i="21"/>
  <c r="B43" i="21"/>
  <c r="G42" i="21"/>
  <c r="F42" i="21"/>
  <c r="E42" i="21"/>
  <c r="D42" i="21"/>
  <c r="C42" i="21"/>
  <c r="B42" i="21"/>
  <c r="G41" i="21"/>
  <c r="F41" i="21"/>
  <c r="E41" i="21"/>
  <c r="D41" i="21"/>
  <c r="C41" i="21"/>
  <c r="B41" i="21"/>
  <c r="G40" i="21"/>
  <c r="F40" i="21"/>
  <c r="E40" i="21"/>
  <c r="D40" i="21"/>
  <c r="C40" i="21"/>
  <c r="B40" i="21"/>
  <c r="G39" i="21"/>
  <c r="F39" i="21"/>
  <c r="E39" i="21"/>
  <c r="D39" i="21"/>
  <c r="C39" i="21"/>
  <c r="B39" i="21"/>
  <c r="G38" i="21"/>
  <c r="F38" i="21"/>
  <c r="E38" i="21"/>
  <c r="D38" i="21"/>
  <c r="C38" i="21"/>
  <c r="B38" i="21"/>
  <c r="G37" i="21"/>
  <c r="F37" i="21"/>
  <c r="D37" i="21"/>
  <c r="C37" i="21"/>
  <c r="B37" i="21"/>
  <c r="A36" i="21"/>
  <c r="A35" i="21"/>
  <c r="A34" i="21"/>
  <c r="A32" i="21"/>
  <c r="A31" i="21"/>
  <c r="A30" i="21"/>
  <c r="A29" i="21"/>
  <c r="A28" i="21"/>
  <c r="A27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M39" i="21"/>
  <c r="J39" i="21"/>
  <c r="A12" i="21"/>
  <c r="A11" i="21"/>
  <c r="K41" i="21"/>
  <c r="A10" i="21"/>
  <c r="I40" i="21"/>
  <c r="A9" i="21"/>
  <c r="A8" i="21"/>
  <c r="A7" i="21"/>
  <c r="E7" i="22" l="1"/>
  <c r="E10" i="22"/>
  <c r="E16" i="22"/>
  <c r="E22" i="22"/>
  <c r="E13" i="22"/>
  <c r="E19" i="22"/>
  <c r="E8" i="22"/>
  <c r="E14" i="22"/>
  <c r="E20" i="22"/>
  <c r="E9" i="22"/>
  <c r="E15" i="22"/>
  <c r="E21" i="22"/>
  <c r="E5" i="22"/>
  <c r="E11" i="22"/>
  <c r="E17" i="22"/>
  <c r="E23" i="22"/>
  <c r="E6" i="22"/>
  <c r="E12" i="22"/>
  <c r="E18" i="22"/>
  <c r="E26" i="22"/>
  <c r="J44" i="21"/>
  <c r="J69" i="21" s="1"/>
  <c r="K40" i="21"/>
  <c r="I41" i="21"/>
  <c r="H41" i="21"/>
  <c r="D24" i="22"/>
  <c r="F4" i="22" s="1" a="1"/>
  <c r="F4" i="22" s="1"/>
  <c r="M38" i="21"/>
  <c r="H40" i="21"/>
  <c r="L39" i="21"/>
  <c r="L44" i="21"/>
  <c r="L69" i="21" s="1"/>
  <c r="H44" i="21"/>
  <c r="H69" i="21" s="1"/>
  <c r="I44" i="21"/>
  <c r="I69" i="21" s="1"/>
  <c r="M44" i="21"/>
  <c r="M69" i="21" s="1"/>
  <c r="J38" i="21"/>
  <c r="L40" i="21"/>
  <c r="K44" i="21"/>
  <c r="K69" i="21" s="1"/>
  <c r="L38" i="21"/>
  <c r="J37" i="21"/>
  <c r="J40" i="21"/>
  <c r="J41" i="21"/>
  <c r="J42" i="21"/>
  <c r="J43" i="21"/>
  <c r="K37" i="21"/>
  <c r="K38" i="21"/>
  <c r="K39" i="21"/>
  <c r="K42" i="21"/>
  <c r="K43" i="21"/>
  <c r="H37" i="21"/>
  <c r="L37" i="21"/>
  <c r="H38" i="21"/>
  <c r="H39" i="21"/>
  <c r="L41" i="21"/>
  <c r="H42" i="21"/>
  <c r="L42" i="21"/>
  <c r="H43" i="21"/>
  <c r="L43" i="21"/>
  <c r="I37" i="21"/>
  <c r="M37" i="21"/>
  <c r="I38" i="21"/>
  <c r="I39" i="21"/>
  <c r="M40" i="21"/>
  <c r="M41" i="21"/>
  <c r="I42" i="21"/>
  <c r="M42" i="21"/>
  <c r="I43" i="21"/>
  <c r="M43" i="21"/>
  <c r="D25" i="27" l="1"/>
  <c r="C25" i="27"/>
  <c r="E25" i="27"/>
  <c r="F25" i="27"/>
  <c r="E24" i="22"/>
  <c r="E25" i="22"/>
  <c r="N45" i="15"/>
  <c r="O45" i="15" s="1"/>
  <c r="M41" i="6" l="1"/>
  <c r="M40" i="6"/>
  <c r="J40" i="6"/>
  <c r="M39" i="6"/>
  <c r="M38" i="6"/>
  <c r="L41" i="6"/>
  <c r="L40" i="6"/>
  <c r="L39" i="6"/>
  <c r="L38" i="6"/>
  <c r="K41" i="6"/>
  <c r="K40" i="6"/>
  <c r="K39" i="6"/>
  <c r="J41" i="6"/>
  <c r="J39" i="6"/>
  <c r="J38" i="6"/>
  <c r="I41" i="6"/>
  <c r="I40" i="6"/>
  <c r="I39" i="6"/>
  <c r="I38" i="6"/>
  <c r="G41" i="6"/>
  <c r="G40" i="6"/>
  <c r="G39" i="6"/>
  <c r="G38" i="6"/>
  <c r="F41" i="6"/>
  <c r="F40" i="6"/>
  <c r="F39" i="6"/>
  <c r="F38" i="6"/>
  <c r="H41" i="6"/>
  <c r="H40" i="6"/>
  <c r="H39" i="6"/>
  <c r="H38" i="6"/>
  <c r="E41" i="6"/>
  <c r="E40" i="6"/>
  <c r="E39" i="6"/>
  <c r="E38" i="6"/>
  <c r="D37" i="6"/>
  <c r="D38" i="6"/>
  <c r="D39" i="6"/>
  <c r="D40" i="6"/>
  <c r="D41" i="6"/>
  <c r="C41" i="6"/>
  <c r="C40" i="6"/>
  <c r="C39" i="6"/>
  <c r="C38" i="6"/>
  <c r="B41" i="6"/>
  <c r="B40" i="6"/>
  <c r="B39" i="6"/>
  <c r="B38" i="6"/>
  <c r="D19" i="27" l="1"/>
  <c r="F19" i="27"/>
  <c r="E19" i="27"/>
  <c r="C37" i="10"/>
  <c r="D37" i="10"/>
  <c r="E37" i="10"/>
  <c r="F37" i="10"/>
  <c r="G37" i="10"/>
  <c r="E37" i="19" l="1"/>
  <c r="G43" i="19"/>
  <c r="K43" i="19"/>
  <c r="J42" i="19"/>
  <c r="G37" i="19"/>
  <c r="F42" i="19"/>
  <c r="B37" i="19"/>
  <c r="M43" i="19"/>
  <c r="I43" i="19"/>
  <c r="E43" i="19"/>
  <c r="C37" i="19"/>
  <c r="D43" i="19"/>
  <c r="M43" i="20"/>
  <c r="M42" i="20"/>
  <c r="M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L43" i="19"/>
  <c r="H43" i="19"/>
  <c r="C43" i="19"/>
  <c r="M42" i="19"/>
  <c r="L42" i="19"/>
  <c r="K42" i="19"/>
  <c r="I42" i="19"/>
  <c r="H42" i="19"/>
  <c r="G42" i="19"/>
  <c r="E42" i="19"/>
  <c r="M37" i="19"/>
  <c r="L37" i="19"/>
  <c r="I37" i="19"/>
  <c r="H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M43" i="18"/>
  <c r="L43" i="18"/>
  <c r="K43" i="18"/>
  <c r="J43" i="18"/>
  <c r="I43" i="18"/>
  <c r="H43" i="18"/>
  <c r="G43" i="18"/>
  <c r="F43" i="18"/>
  <c r="E43" i="18"/>
  <c r="D43" i="18"/>
  <c r="C43" i="18"/>
  <c r="B43" i="18"/>
  <c r="M42" i="18"/>
  <c r="L42" i="18"/>
  <c r="K42" i="18"/>
  <c r="J42" i="18"/>
  <c r="I42" i="18"/>
  <c r="H42" i="18"/>
  <c r="G42" i="18"/>
  <c r="F42" i="18"/>
  <c r="E42" i="18"/>
  <c r="D42" i="18"/>
  <c r="C42" i="18"/>
  <c r="B42" i="18"/>
  <c r="M37" i="18"/>
  <c r="L37" i="18"/>
  <c r="K37" i="18"/>
  <c r="J37" i="18"/>
  <c r="I37" i="18"/>
  <c r="H37" i="18"/>
  <c r="G37" i="18"/>
  <c r="F37" i="18"/>
  <c r="E37" i="18"/>
  <c r="D37" i="18"/>
  <c r="C37" i="18"/>
  <c r="B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M43" i="17"/>
  <c r="L43" i="17"/>
  <c r="K43" i="17"/>
  <c r="J43" i="17"/>
  <c r="I43" i="17"/>
  <c r="H43" i="17"/>
  <c r="G43" i="17"/>
  <c r="F43" i="17"/>
  <c r="E43" i="17"/>
  <c r="D43" i="17"/>
  <c r="C43" i="17"/>
  <c r="B43" i="17"/>
  <c r="M42" i="17"/>
  <c r="L42" i="17"/>
  <c r="K42" i="17"/>
  <c r="J42" i="17"/>
  <c r="I42" i="17"/>
  <c r="H42" i="17"/>
  <c r="G42" i="17"/>
  <c r="F42" i="17"/>
  <c r="E42" i="17"/>
  <c r="D42" i="17"/>
  <c r="C42" i="17"/>
  <c r="B42" i="17"/>
  <c r="M37" i="17"/>
  <c r="L37" i="17"/>
  <c r="K37" i="17"/>
  <c r="J37" i="17"/>
  <c r="I37" i="17"/>
  <c r="H37" i="17"/>
  <c r="G37" i="17"/>
  <c r="F37" i="17"/>
  <c r="E37" i="17"/>
  <c r="D37" i="17"/>
  <c r="C37" i="17"/>
  <c r="B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M43" i="16"/>
  <c r="L43" i="16"/>
  <c r="K43" i="16"/>
  <c r="J43" i="16"/>
  <c r="I43" i="16"/>
  <c r="H43" i="16"/>
  <c r="G43" i="16"/>
  <c r="F43" i="16"/>
  <c r="E43" i="16"/>
  <c r="D43" i="16"/>
  <c r="C43" i="16"/>
  <c r="B43" i="16"/>
  <c r="M42" i="16"/>
  <c r="L42" i="16"/>
  <c r="K42" i="16"/>
  <c r="J42" i="16"/>
  <c r="I42" i="16"/>
  <c r="H42" i="16"/>
  <c r="G42" i="16"/>
  <c r="F42" i="16"/>
  <c r="E42" i="16"/>
  <c r="D42" i="16"/>
  <c r="C42" i="16"/>
  <c r="B42" i="16"/>
  <c r="M37" i="16"/>
  <c r="L37" i="16"/>
  <c r="K37" i="16"/>
  <c r="J37" i="16"/>
  <c r="I37" i="16"/>
  <c r="H37" i="16"/>
  <c r="G37" i="16"/>
  <c r="F37" i="16"/>
  <c r="E37" i="16"/>
  <c r="D37" i="16"/>
  <c r="C37" i="16"/>
  <c r="B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M43" i="15"/>
  <c r="L43" i="15"/>
  <c r="K43" i="15"/>
  <c r="J43" i="15"/>
  <c r="I43" i="15"/>
  <c r="H43" i="15"/>
  <c r="G43" i="15"/>
  <c r="F43" i="15"/>
  <c r="E43" i="15"/>
  <c r="D43" i="15"/>
  <c r="C43" i="15"/>
  <c r="B43" i="15"/>
  <c r="M42" i="15"/>
  <c r="L42" i="15"/>
  <c r="K42" i="15"/>
  <c r="J42" i="15"/>
  <c r="I42" i="15"/>
  <c r="H42" i="15"/>
  <c r="G42" i="15"/>
  <c r="F42" i="15"/>
  <c r="E42" i="15"/>
  <c r="D42" i="15"/>
  <c r="C42" i="15"/>
  <c r="B42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M43" i="14"/>
  <c r="L43" i="14"/>
  <c r="K43" i="14"/>
  <c r="J43" i="14"/>
  <c r="I43" i="14"/>
  <c r="H43" i="14"/>
  <c r="G43" i="14"/>
  <c r="F43" i="14"/>
  <c r="E43" i="14"/>
  <c r="D43" i="14"/>
  <c r="C43" i="14"/>
  <c r="B43" i="14"/>
  <c r="M42" i="14"/>
  <c r="L42" i="14"/>
  <c r="K42" i="14"/>
  <c r="J42" i="14"/>
  <c r="I42" i="14"/>
  <c r="H42" i="14"/>
  <c r="G42" i="14"/>
  <c r="F42" i="14"/>
  <c r="E42" i="14"/>
  <c r="D42" i="14"/>
  <c r="C42" i="14"/>
  <c r="B42" i="14"/>
  <c r="M37" i="14"/>
  <c r="L37" i="14"/>
  <c r="K37" i="14"/>
  <c r="J37" i="14"/>
  <c r="I37" i="14"/>
  <c r="H37" i="14"/>
  <c r="G37" i="14"/>
  <c r="F37" i="14"/>
  <c r="E37" i="14"/>
  <c r="D37" i="14"/>
  <c r="C37" i="14"/>
  <c r="B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M43" i="13"/>
  <c r="L43" i="13"/>
  <c r="K43" i="13"/>
  <c r="J43" i="13"/>
  <c r="I43" i="13"/>
  <c r="H43" i="13"/>
  <c r="G43" i="13"/>
  <c r="F43" i="13"/>
  <c r="E43" i="13"/>
  <c r="D43" i="13"/>
  <c r="C43" i="13"/>
  <c r="B43" i="13"/>
  <c r="M42" i="13"/>
  <c r="L42" i="13"/>
  <c r="K42" i="13"/>
  <c r="J42" i="13"/>
  <c r="I42" i="13"/>
  <c r="H42" i="13"/>
  <c r="G42" i="13"/>
  <c r="F42" i="13"/>
  <c r="E42" i="13"/>
  <c r="D42" i="13"/>
  <c r="C42" i="13"/>
  <c r="B42" i="13"/>
  <c r="M37" i="13"/>
  <c r="L37" i="13"/>
  <c r="K37" i="13"/>
  <c r="J37" i="13"/>
  <c r="I37" i="13"/>
  <c r="H37" i="13"/>
  <c r="G37" i="13"/>
  <c r="F37" i="13"/>
  <c r="E37" i="13"/>
  <c r="D37" i="13"/>
  <c r="C37" i="13"/>
  <c r="B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M43" i="12"/>
  <c r="L43" i="12"/>
  <c r="K43" i="12"/>
  <c r="J43" i="12"/>
  <c r="I43" i="12"/>
  <c r="H43" i="12"/>
  <c r="G43" i="12"/>
  <c r="F43" i="12"/>
  <c r="E43" i="12"/>
  <c r="B43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M37" i="12"/>
  <c r="L37" i="12"/>
  <c r="K37" i="12"/>
  <c r="J37" i="12"/>
  <c r="I37" i="12"/>
  <c r="H37" i="12"/>
  <c r="G37" i="12"/>
  <c r="F37" i="12"/>
  <c r="E37" i="12"/>
  <c r="D37" i="12"/>
  <c r="C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M43" i="11"/>
  <c r="L43" i="11"/>
  <c r="K43" i="11"/>
  <c r="J43" i="11"/>
  <c r="I43" i="11"/>
  <c r="H43" i="11"/>
  <c r="G43" i="11"/>
  <c r="F43" i="11"/>
  <c r="E43" i="11"/>
  <c r="D43" i="11"/>
  <c r="C43" i="11"/>
  <c r="B43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M37" i="10"/>
  <c r="L37" i="10"/>
  <c r="K37" i="10"/>
  <c r="J37" i="10"/>
  <c r="I37" i="10"/>
  <c r="H37" i="10"/>
  <c r="B37" i="10"/>
  <c r="M37" i="9"/>
  <c r="L37" i="9"/>
  <c r="K37" i="9"/>
  <c r="J37" i="9"/>
  <c r="I37" i="9"/>
  <c r="H37" i="9"/>
  <c r="G37" i="9"/>
  <c r="F37" i="9"/>
  <c r="E37" i="9"/>
  <c r="D37" i="9"/>
  <c r="C37" i="9"/>
  <c r="B37" i="9"/>
  <c r="M37" i="8"/>
  <c r="L37" i="8"/>
  <c r="K37" i="8"/>
  <c r="J37" i="8"/>
  <c r="I37" i="8"/>
  <c r="H37" i="8"/>
  <c r="G37" i="8"/>
  <c r="F37" i="8"/>
  <c r="E37" i="8"/>
  <c r="D37" i="8"/>
  <c r="C37" i="8"/>
  <c r="M37" i="7"/>
  <c r="L37" i="7"/>
  <c r="K37" i="7"/>
  <c r="J37" i="7"/>
  <c r="I37" i="7"/>
  <c r="H37" i="7"/>
  <c r="G37" i="7"/>
  <c r="F37" i="7"/>
  <c r="E37" i="7"/>
  <c r="D37" i="7"/>
  <c r="C37" i="7"/>
  <c r="M37" i="6"/>
  <c r="L37" i="6"/>
  <c r="K37" i="6"/>
  <c r="K38" i="6" s="1"/>
  <c r="C19" i="27" s="1"/>
  <c r="J37" i="6"/>
  <c r="I37" i="6"/>
  <c r="H37" i="6"/>
  <c r="G37" i="6"/>
  <c r="F37" i="6"/>
  <c r="E37" i="6"/>
  <c r="C37" i="6"/>
  <c r="M43" i="10"/>
  <c r="L43" i="10"/>
  <c r="K43" i="10"/>
  <c r="J43" i="10"/>
  <c r="I43" i="10"/>
  <c r="H43" i="10"/>
  <c r="G43" i="10"/>
  <c r="F43" i="10"/>
  <c r="E43" i="10"/>
  <c r="D43" i="10"/>
  <c r="C43" i="10"/>
  <c r="B43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M44" i="9"/>
  <c r="L44" i="9"/>
  <c r="K44" i="9"/>
  <c r="J44" i="9"/>
  <c r="I44" i="9"/>
  <c r="H44" i="9"/>
  <c r="G44" i="9"/>
  <c r="F44" i="9"/>
  <c r="E44" i="9"/>
  <c r="D44" i="9"/>
  <c r="C44" i="9"/>
  <c r="B44" i="9"/>
  <c r="M42" i="9"/>
  <c r="L42" i="9"/>
  <c r="K42" i="9"/>
  <c r="J42" i="9"/>
  <c r="I42" i="9"/>
  <c r="H42" i="9"/>
  <c r="G42" i="9"/>
  <c r="F42" i="9"/>
  <c r="E42" i="9"/>
  <c r="D42" i="9"/>
  <c r="C42" i="9"/>
  <c r="B42" i="9"/>
  <c r="C42" i="8"/>
  <c r="M44" i="8"/>
  <c r="L44" i="8"/>
  <c r="K44" i="8"/>
  <c r="J44" i="8"/>
  <c r="I44" i="8"/>
  <c r="H44" i="8"/>
  <c r="G44" i="8"/>
  <c r="F44" i="8"/>
  <c r="E44" i="8"/>
  <c r="D44" i="8"/>
  <c r="C44" i="8"/>
  <c r="B44" i="8"/>
  <c r="M42" i="8"/>
  <c r="L42" i="8"/>
  <c r="K42" i="8"/>
  <c r="J42" i="8"/>
  <c r="I42" i="8"/>
  <c r="H42" i="8"/>
  <c r="G42" i="8"/>
  <c r="F42" i="8"/>
  <c r="E42" i="8"/>
  <c r="D42" i="8"/>
  <c r="B42" i="8"/>
  <c r="M44" i="7"/>
  <c r="L44" i="7"/>
  <c r="K44" i="7"/>
  <c r="J44" i="7"/>
  <c r="I44" i="7"/>
  <c r="H44" i="7"/>
  <c r="G44" i="7"/>
  <c r="F44" i="7"/>
  <c r="E44" i="7"/>
  <c r="D44" i="7"/>
  <c r="C44" i="7"/>
  <c r="B44" i="7"/>
  <c r="M42" i="7"/>
  <c r="L42" i="7"/>
  <c r="K42" i="7"/>
  <c r="J42" i="7"/>
  <c r="I42" i="7"/>
  <c r="H42" i="7"/>
  <c r="G42" i="7"/>
  <c r="F42" i="7"/>
  <c r="E42" i="7"/>
  <c r="D42" i="7"/>
  <c r="C42" i="7"/>
  <c r="B42" i="7"/>
  <c r="G37" i="5"/>
  <c r="M42" i="5"/>
  <c r="L42" i="5"/>
  <c r="K42" i="5"/>
  <c r="J42" i="5"/>
  <c r="I42" i="5"/>
  <c r="H42" i="5"/>
  <c r="G42" i="5"/>
  <c r="F42" i="5"/>
  <c r="E42" i="5"/>
  <c r="D42" i="5"/>
  <c r="C42" i="5"/>
  <c r="B42" i="5"/>
  <c r="M44" i="5"/>
  <c r="L44" i="5"/>
  <c r="K44" i="5"/>
  <c r="J44" i="5"/>
  <c r="I44" i="5"/>
  <c r="H44" i="5"/>
  <c r="G44" i="5"/>
  <c r="F44" i="5"/>
  <c r="E44" i="5"/>
  <c r="D44" i="5"/>
  <c r="C44" i="5"/>
  <c r="B44" i="5"/>
  <c r="M41" i="5"/>
  <c r="L41" i="5"/>
  <c r="K41" i="5"/>
  <c r="J41" i="5"/>
  <c r="I41" i="5"/>
  <c r="H41" i="5"/>
  <c r="G41" i="5"/>
  <c r="F41" i="5"/>
  <c r="E41" i="5"/>
  <c r="D41" i="5"/>
  <c r="C41" i="5"/>
  <c r="B41" i="5"/>
  <c r="M40" i="5"/>
  <c r="L40" i="5"/>
  <c r="K40" i="5"/>
  <c r="J40" i="5"/>
  <c r="I40" i="5"/>
  <c r="H40" i="5"/>
  <c r="G40" i="5"/>
  <c r="F40" i="5"/>
  <c r="E40" i="5"/>
  <c r="D40" i="5"/>
  <c r="C40" i="5"/>
  <c r="B40" i="5"/>
  <c r="M37" i="5"/>
  <c r="L37" i="5"/>
  <c r="K37" i="5"/>
  <c r="J37" i="5"/>
  <c r="I37" i="5"/>
  <c r="H37" i="5"/>
  <c r="F37" i="5"/>
  <c r="E37" i="5"/>
  <c r="D37" i="5"/>
  <c r="C37" i="5"/>
  <c r="C20" i="27" l="1"/>
  <c r="D20" i="27"/>
  <c r="E20" i="27"/>
  <c r="F20" i="27"/>
  <c r="B18" i="27"/>
  <c r="B17" i="27"/>
  <c r="B16" i="27"/>
  <c r="B15" i="27"/>
  <c r="B19" i="27"/>
  <c r="B14" i="27"/>
  <c r="B13" i="27"/>
  <c r="B12" i="27"/>
  <c r="B11" i="27"/>
  <c r="B10" i="27"/>
  <c r="B9" i="27"/>
  <c r="B8" i="27"/>
  <c r="B7" i="27"/>
  <c r="B20" i="27"/>
  <c r="K37" i="19"/>
  <c r="J43" i="19"/>
  <c r="F43" i="19"/>
  <c r="B43" i="19"/>
  <c r="F37" i="19"/>
  <c r="J37" i="19"/>
  <c r="B42" i="19"/>
  <c r="C42" i="19"/>
  <c r="D37" i="19"/>
  <c r="D42" i="19"/>
  <c r="M44" i="1"/>
  <c r="L44" i="1"/>
  <c r="K44" i="1"/>
  <c r="J44" i="1"/>
  <c r="I44" i="1"/>
  <c r="H44" i="1"/>
  <c r="G44" i="1"/>
  <c r="F44" i="1"/>
  <c r="E44" i="1"/>
  <c r="D44" i="1"/>
  <c r="C44" i="1"/>
  <c r="B44" i="1"/>
  <c r="B37" i="1"/>
  <c r="M42" i="4"/>
  <c r="L42" i="4"/>
  <c r="K42" i="4"/>
  <c r="J42" i="4"/>
  <c r="I42" i="4"/>
  <c r="H42" i="4"/>
  <c r="G42" i="4"/>
  <c r="F42" i="4"/>
  <c r="E42" i="4"/>
  <c r="D42" i="4"/>
  <c r="C42" i="4"/>
  <c r="B42" i="4"/>
  <c r="C42" i="6"/>
  <c r="M42" i="6"/>
  <c r="L42" i="6"/>
  <c r="K42" i="6"/>
  <c r="J42" i="6"/>
  <c r="I42" i="6"/>
  <c r="H42" i="6"/>
  <c r="G42" i="6"/>
  <c r="F42" i="6"/>
  <c r="E42" i="6"/>
  <c r="D42" i="6"/>
  <c r="B42" i="6"/>
  <c r="M44" i="6"/>
  <c r="L44" i="6"/>
  <c r="K44" i="6"/>
  <c r="J44" i="6"/>
  <c r="I44" i="6"/>
  <c r="H44" i="6"/>
  <c r="G44" i="6"/>
  <c r="F44" i="6"/>
  <c r="E44" i="6"/>
  <c r="D44" i="6"/>
  <c r="C44" i="6"/>
  <c r="B44" i="6"/>
  <c r="B6" i="27" l="1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M44" i="3"/>
  <c r="L44" i="3"/>
  <c r="K44" i="3"/>
  <c r="J44" i="3"/>
  <c r="I44" i="3"/>
  <c r="H44" i="3"/>
  <c r="G44" i="3"/>
  <c r="F44" i="3"/>
  <c r="E44" i="3"/>
  <c r="D44" i="3"/>
  <c r="C44" i="3"/>
  <c r="B44" i="3"/>
  <c r="M42" i="3"/>
  <c r="L42" i="3"/>
  <c r="K42" i="3"/>
  <c r="J42" i="3"/>
  <c r="I42" i="3"/>
  <c r="H42" i="3"/>
  <c r="G42" i="3"/>
  <c r="F42" i="3"/>
  <c r="E42" i="3"/>
  <c r="D42" i="3"/>
  <c r="C42" i="3"/>
  <c r="B42" i="3"/>
  <c r="M41" i="3"/>
  <c r="L41" i="3"/>
  <c r="K41" i="3"/>
  <c r="J41" i="3"/>
  <c r="I41" i="3"/>
  <c r="H41" i="3"/>
  <c r="G41" i="3"/>
  <c r="F41" i="3"/>
  <c r="E41" i="3"/>
  <c r="D41" i="3"/>
  <c r="C41" i="3"/>
  <c r="B41" i="3"/>
  <c r="M40" i="3"/>
  <c r="L40" i="3"/>
  <c r="K40" i="3"/>
  <c r="J40" i="3"/>
  <c r="I40" i="3"/>
  <c r="H40" i="3"/>
  <c r="G40" i="3"/>
  <c r="F40" i="3"/>
  <c r="E40" i="3"/>
  <c r="D40" i="3"/>
  <c r="C40" i="3"/>
  <c r="B40" i="3"/>
  <c r="M39" i="3"/>
  <c r="L39" i="3"/>
  <c r="K39" i="3"/>
  <c r="J39" i="3"/>
  <c r="I39" i="3"/>
  <c r="H39" i="3"/>
  <c r="G39" i="3"/>
  <c r="F39" i="3"/>
  <c r="E39" i="3"/>
  <c r="D39" i="3"/>
  <c r="C39" i="3"/>
  <c r="B39" i="3"/>
  <c r="M38" i="3"/>
  <c r="L38" i="3"/>
  <c r="K38" i="3"/>
  <c r="J38" i="3"/>
  <c r="I38" i="3"/>
  <c r="H38" i="3"/>
  <c r="G38" i="3"/>
  <c r="F38" i="3"/>
  <c r="E38" i="3"/>
  <c r="D38" i="3"/>
  <c r="C38" i="3"/>
  <c r="B38" i="3"/>
  <c r="M37" i="3"/>
  <c r="L37" i="3"/>
  <c r="K37" i="3"/>
  <c r="J37" i="3"/>
  <c r="I37" i="3"/>
  <c r="H37" i="3"/>
  <c r="G37" i="3"/>
  <c r="F37" i="3"/>
  <c r="E37" i="3"/>
  <c r="D37" i="3"/>
  <c r="C37" i="3"/>
  <c r="B37" i="3"/>
  <c r="C24" i="27" l="1"/>
  <c r="D24" i="27"/>
  <c r="E24" i="27"/>
  <c r="F24" i="27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G37" i="2"/>
  <c r="H37" i="2"/>
  <c r="I37" i="2"/>
  <c r="J37" i="2"/>
  <c r="K37" i="2"/>
  <c r="L37" i="2"/>
  <c r="M37" i="2"/>
  <c r="M44" i="2"/>
  <c r="L44" i="2"/>
  <c r="K44" i="2"/>
  <c r="J44" i="2"/>
  <c r="I44" i="2"/>
  <c r="H44" i="2"/>
  <c r="G44" i="2"/>
  <c r="F44" i="2"/>
  <c r="E44" i="2"/>
  <c r="D44" i="2"/>
  <c r="C44" i="2"/>
  <c r="B44" i="2"/>
  <c r="M42" i="2"/>
  <c r="L42" i="2"/>
  <c r="K42" i="2"/>
  <c r="J42" i="2"/>
  <c r="I42" i="2"/>
  <c r="H42" i="2"/>
  <c r="G42" i="2"/>
  <c r="F42" i="2"/>
  <c r="E42" i="2"/>
  <c r="D42" i="2"/>
  <c r="C42" i="2"/>
  <c r="B42" i="2"/>
  <c r="M41" i="2"/>
  <c r="L41" i="2"/>
  <c r="K41" i="2"/>
  <c r="J41" i="2"/>
  <c r="I41" i="2"/>
  <c r="H41" i="2"/>
  <c r="G41" i="2"/>
  <c r="F41" i="2"/>
  <c r="E41" i="2"/>
  <c r="D41" i="2"/>
  <c r="C41" i="2"/>
  <c r="B41" i="2"/>
  <c r="M40" i="2"/>
  <c r="L40" i="2"/>
  <c r="K40" i="2"/>
  <c r="J40" i="2"/>
  <c r="I40" i="2"/>
  <c r="H40" i="2"/>
  <c r="G40" i="2"/>
  <c r="F40" i="2"/>
  <c r="E40" i="2"/>
  <c r="D40" i="2"/>
  <c r="C40" i="2"/>
  <c r="B40" i="2"/>
  <c r="M39" i="2"/>
  <c r="L39" i="2"/>
  <c r="K39" i="2"/>
  <c r="J39" i="2"/>
  <c r="I39" i="2"/>
  <c r="H39" i="2"/>
  <c r="G39" i="2"/>
  <c r="F39" i="2"/>
  <c r="E39" i="2"/>
  <c r="D39" i="2"/>
  <c r="C39" i="2"/>
  <c r="B39" i="2"/>
  <c r="M38" i="2"/>
  <c r="L38" i="2"/>
  <c r="K38" i="2"/>
  <c r="J38" i="2"/>
  <c r="I38" i="2"/>
  <c r="H38" i="2"/>
  <c r="G38" i="2"/>
  <c r="F38" i="2"/>
  <c r="E38" i="2"/>
  <c r="D38" i="2"/>
  <c r="C38" i="2"/>
  <c r="B38" i="2"/>
  <c r="F37" i="2"/>
  <c r="E37" i="2"/>
  <c r="D37" i="2"/>
  <c r="C37" i="2"/>
  <c r="B37" i="2"/>
  <c r="C23" i="27" l="1"/>
  <c r="D23" i="27"/>
  <c r="E23" i="27"/>
  <c r="F23" i="27"/>
  <c r="C44" i="4"/>
  <c r="M44" i="4"/>
  <c r="L44" i="4"/>
  <c r="K44" i="4"/>
  <c r="J44" i="4"/>
  <c r="I44" i="4"/>
  <c r="H44" i="4"/>
  <c r="G44" i="4"/>
  <c r="F44" i="4"/>
  <c r="E44" i="4"/>
  <c r="D44" i="4"/>
  <c r="B44" i="4"/>
  <c r="D39" i="4"/>
  <c r="D21" i="27" s="1"/>
  <c r="M38" i="4"/>
  <c r="L38" i="4"/>
  <c r="K38" i="4"/>
  <c r="J38" i="4"/>
  <c r="I38" i="4"/>
  <c r="H38" i="4"/>
  <c r="G38" i="4"/>
  <c r="F38" i="4"/>
  <c r="E38" i="4"/>
  <c r="D38" i="4"/>
  <c r="C38" i="4"/>
  <c r="B38" i="4"/>
  <c r="B37" i="4"/>
  <c r="B21" i="27" s="1"/>
  <c r="C21" i="27" l="1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M39" i="1"/>
  <c r="L39" i="1"/>
  <c r="K39" i="1"/>
  <c r="D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M42" i="1" s="1"/>
  <c r="L37" i="1"/>
  <c r="L42" i="1" s="1"/>
  <c r="K37" i="1"/>
  <c r="K42" i="1" s="1"/>
  <c r="J37" i="1"/>
  <c r="J42" i="1" s="1"/>
  <c r="I37" i="1"/>
  <c r="I42" i="1" s="1"/>
  <c r="H37" i="1"/>
  <c r="H42" i="1" s="1"/>
  <c r="G37" i="1"/>
  <c r="G42" i="1" s="1"/>
  <c r="F37" i="1"/>
  <c r="F42" i="1" s="1"/>
  <c r="E37" i="1"/>
  <c r="E42" i="1" s="1"/>
  <c r="D37" i="1"/>
  <c r="D42" i="1" s="1"/>
  <c r="C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E22" i="27" l="1"/>
  <c r="C22" i="27"/>
  <c r="D22" i="27"/>
  <c r="C42" i="1"/>
  <c r="F22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MOLIVARES-AFCS</author>
  </authors>
  <commentList>
    <comment ref="G13" authorId="0" shapeId="0" xr:uid="{E1E3E3B2-D55A-4F00-A7C4-80A43B11067D}">
      <text>
        <r>
          <rPr>
            <sz val="11"/>
            <color theme="1"/>
            <rFont val="Calibri"/>
            <family val="2"/>
            <scheme val="minor"/>
          </rPr>
          <t>MOLIVARES-AFCS:
from SCS Generated Report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<sst xmlns="http://schemas.openxmlformats.org/spreadsheetml/2006/main" count="793" uniqueCount="78">
  <si>
    <t xml:space="preserve">        DOTr MRT3</t>
  </si>
  <si>
    <t>SUPPORT STAFF/ COMPUTER SECTION / AFCS OFFICE</t>
  </si>
  <si>
    <t>DAILY RIDERSHIP 1999</t>
  </si>
  <si>
    <t>Weekday</t>
  </si>
  <si>
    <t>Weekend</t>
  </si>
  <si>
    <t>Holiday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</si>
  <si>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</si>
  <si>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</si>
  <si>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</si>
  <si>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</si>
  <si>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</si>
  <si>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</si>
  <si>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</si>
  <si>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</si>
  <si>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</si>
  <si>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</si>
  <si>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</si>
  <si>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</si>
  <si>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</si>
  <si>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Daily Average</t>
  </si>
  <si>
    <t>Weekday Average</t>
  </si>
  <si>
    <t>Saturday Average</t>
  </si>
  <si>
    <t>Sunday/Holiday Average</t>
  </si>
  <si>
    <t>Weekend Average</t>
  </si>
  <si>
    <t>Highest Ridership</t>
  </si>
  <si>
    <t>Total</t>
  </si>
  <si>
    <t>DAILY RIDERSHIP 2000</t>
  </si>
  <si>
    <t>Typhoon</t>
  </si>
  <si>
    <t>Holy Week</t>
  </si>
  <si>
    <t>FREE RIDE</t>
  </si>
  <si>
    <t>DAILY RIDERSHIP 2001</t>
  </si>
  <si>
    <t xml:space="preserve"> Merged Data</t>
  </si>
  <si>
    <t>DAILY RIDERSHIP 2002</t>
  </si>
  <si>
    <t>DAILY RIDERSHIP 2003</t>
  </si>
  <si>
    <t>No Operation</t>
  </si>
  <si>
    <t>Maundy Thursday</t>
  </si>
  <si>
    <t>Good Friday</t>
  </si>
  <si>
    <t>Black Saturday</t>
  </si>
  <si>
    <t>DAILY RIDERSHIP 2004</t>
  </si>
  <si>
    <t>Saturday</t>
  </si>
  <si>
    <t>DAILY RIDERSHIP 2005</t>
  </si>
  <si>
    <t>-</t>
  </si>
  <si>
    <t>DAILY RIDERSHIP 2006</t>
  </si>
  <si>
    <t>DAILY RIDERSHIP 2007</t>
  </si>
  <si>
    <t>DAILY RIDERSHIP 2008</t>
  </si>
  <si>
    <t>DAILY RIDERSHIP 2009</t>
  </si>
  <si>
    <t>DAILY RIDERSHIP 2010</t>
  </si>
  <si>
    <t>Lowest Ridership</t>
  </si>
  <si>
    <t>DAILY RIDERSHIP 2011</t>
  </si>
  <si>
    <t>DAILY RIDERSHIP 2012</t>
  </si>
  <si>
    <t>DAILY RIDERSHIP 2013</t>
  </si>
  <si>
    <t>DAILY RIDERSHIP 2014</t>
  </si>
  <si>
    <t>DAILY RIDERSHIP 2015</t>
  </si>
  <si>
    <t>DAILY RIDERSHIP 2016</t>
  </si>
  <si>
    <t>DAILY RIDERSHIP 2017</t>
  </si>
  <si>
    <t>DAILY RIDERSHIP 2018</t>
  </si>
  <si>
    <t>DAILY RIDERSHIP 2019</t>
  </si>
  <si>
    <t>DAILY RIDERSHIP 2020</t>
  </si>
  <si>
    <t>DAILY RIDERSHIP 2021</t>
  </si>
  <si>
    <t>DAILY RIDERSHIP 2022</t>
  </si>
  <si>
    <t>DAILY RIDERSHIP 2023</t>
  </si>
  <si>
    <t/>
  </si>
  <si>
    <t>.</t>
  </si>
  <si>
    <t>DAILY RIDERSHIP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</si>
  <si>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</si>
  <si>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DAILY RIDERSHIP 2025</t>
  </si>
  <si>
    <t>Highest Ridership Recorded Annually</t>
  </si>
  <si>
    <t>Year</t>
  </si>
  <si>
    <t>Month</t>
  </si>
  <si>
    <t>Day</t>
  </si>
  <si>
    <t>Inc./Dec.%</t>
  </si>
  <si>
    <t>Rank</t>
  </si>
  <si>
    <t>AVERAGE RIDESRHIP</t>
  </si>
  <si>
    <t>DAILY</t>
  </si>
  <si>
    <t>WEEKDAY</t>
  </si>
  <si>
    <t>SATRUDAY</t>
  </si>
  <si>
    <t>SUNDAY&amp;HOLIDAY</t>
  </si>
  <si>
    <t>WEEKEND&amp;HOLIDAY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</si>
</sst>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[$-3409]dddd\,\ dd\ mmmm\,\ 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9"/>
      <color theme="1"/>
      <name val="Arial"/>
      <family val="2"/>
    </font>
    <font>
      <b/>
      <sz val="11"/>
      <color theme="1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rgb="FF002060"/>
      <name val="Arial"/>
      <family val="2"/>
    </font>
    <font>
      <sz val="8"/>
      <color rgb="FFFF0000"/>
      <name val="Arial"/>
      <family val="2"/>
    </font>
    <font>
      <sz val="8"/>
      <name val="Calibri Light"/>
      <family val="2"/>
      <scheme val="major"/>
    </font>
    <font>
      <b/>
      <i/>
      <sz val="9"/>
      <name val="Arial"/>
      <family val="2"/>
    </font>
    <font>
      <sz val="10"/>
      <color theme="1"/>
      <name val="Arial"/>
      <family val="2"/>
    </font>
    <font>
      <b/>
      <i/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color theme="8" tint="-0.499984740745262"/>
      <name val="Arial"/>
      <family val="2"/>
    </font>
    <font>
      <b/>
      <sz val="10"/>
      <name val="Arial Unicode MS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indexed="8"/>
      <name val="Arial"/>
      <family val="2"/>
    </font>
    <font>
      <b/>
      <sz val="8"/>
      <color rgb="FFC00000"/>
      <name val="Arial"/>
      <family val="2"/>
    </font>
    <font>
      <b/>
      <sz val="8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8"/>
      <color rgb="FFC00000"/>
      <name val="Arial"/>
      <family val="2"/>
    </font>
    <font>
      <sz val="8"/>
      <color theme="1" tint="4.9989318521683403E-2"/>
      <name val="Arial"/>
      <family val="2"/>
    </font>
    <font>
      <sz val="8"/>
      <color theme="1" tint="0.14999847407452621"/>
      <name val="Arial"/>
      <family val="2"/>
    </font>
    <font>
      <sz val="8"/>
      <color theme="0" tint="-0.34998626667073579"/>
      <name val="Arial"/>
      <family val="2"/>
    </font>
    <font>
      <b/>
      <sz val="8"/>
      <color theme="1" tint="0.499984740745262"/>
      <name val="Arial"/>
      <family val="2"/>
    </font>
    <font>
      <b/>
      <sz val="8"/>
      <color rgb="FFFF0000"/>
      <name val="Arial"/>
      <family val="2"/>
    </font>
    <font>
      <sz val="8"/>
      <color rgb="FF00B0F0"/>
      <name val="Arial"/>
      <family val="2"/>
    </font>
    <font>
      <b/>
      <sz val="8"/>
      <color theme="1" tint="0.34998626667073579"/>
      <name val="Arial"/>
      <family val="2"/>
    </font>
    <font>
      <sz val="8"/>
      <color theme="1" tint="0.34998626667073579"/>
      <name val="Arial"/>
      <family val="2"/>
    </font>
    <font>
      <sz val="8"/>
      <color rgb="FFE3124D"/>
      <name val="Arial"/>
      <family val="2"/>
    </font>
    <font>
      <b/>
      <sz val="8"/>
      <color rgb="FFE3124D"/>
      <name val="Arial"/>
      <family val="2"/>
    </font>
    <font>
      <sz val="8"/>
      <color theme="2" tint="-0.749992370372631"/>
      <name val="Arial"/>
      <family val="2"/>
    </font>
    <font>
      <i/>
      <sz val="8"/>
      <color rgb="FFFF0000"/>
      <name val="Arial"/>
      <family val="2"/>
    </font>
    <font>
      <b/>
      <sz val="11"/>
      <color rgb="FFFF0000"/>
      <name val="Arial"/>
      <family val="2"/>
    </font>
    <font>
      <sz val="11"/>
      <color theme="2" tint="-0.499984740745262"/>
      <name val="Arial"/>
      <family val="2"/>
    </font>
    <font>
      <b/>
      <sz val="8"/>
      <color theme="2" tint="-0.74999237037263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D9A"/>
        <bgColor indexed="64"/>
      </patternFill>
    </fill>
    <fill>
      <patternFill patternType="solid">
        <fgColor indexed="65"/>
        <bgColor theme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D9A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1" tint="0.499984740745262"/>
        <bgColor rgb="FF000000"/>
      </patternFill>
    </fill>
  </fills>
  <borders count="9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/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1" fillId="0" borderId="0" applyFont="0" applyFill="0" applyBorder="0" applyAlignment="0" applyProtection="0">
      <alignment vertical="top"/>
    </xf>
  </cellStyleXfs>
  <cellXfs count="76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3" fillId="0" borderId="0" xfId="0" applyFont="1"/>
    <xf numFmtId="17" fontId="3" fillId="0" borderId="0" xfId="0" quotePrefix="1" applyNumberFormat="1" applyFont="1" applyAlignment="1">
      <alignment horizontal="left"/>
    </xf>
    <xf numFmtId="3" fontId="7" fillId="0" borderId="1" xfId="0" quotePrefix="1" applyNumberFormat="1" applyFont="1" applyBorder="1" applyAlignment="1">
      <alignment horizontal="center" vertical="center"/>
    </xf>
    <xf numFmtId="3" fontId="7" fillId="2" borderId="1" xfId="0" quotePrefix="1" applyNumberFormat="1" applyFont="1" applyFill="1" applyBorder="1" applyAlignment="1">
      <alignment horizontal="center" vertical="center"/>
    </xf>
    <xf numFmtId="3" fontId="7" fillId="3" borderId="1" xfId="0" quotePrefix="1" applyNumberFormat="1" applyFont="1" applyFill="1" applyBorder="1" applyAlignment="1">
      <alignment horizontal="center" vertical="center"/>
    </xf>
    <xf numFmtId="0" fontId="9" fillId="4" borderId="2" xfId="3" applyFont="1" applyFill="1" applyBorder="1" applyAlignment="1">
      <alignment horizontal="center"/>
    </xf>
    <xf numFmtId="0" fontId="9" fillId="4" borderId="3" xfId="3" applyFont="1" applyFill="1" applyBorder="1" applyAlignment="1">
      <alignment horizontal="center"/>
    </xf>
    <xf numFmtId="0" fontId="9" fillId="4" borderId="4" xfId="3" applyFont="1" applyFill="1" applyBorder="1" applyAlignment="1">
      <alignment horizontal="center"/>
    </xf>
    <xf numFmtId="0" fontId="9" fillId="4" borderId="5" xfId="3" applyFont="1" applyFill="1" applyBorder="1" applyAlignment="1">
      <alignment horizontal="center"/>
    </xf>
    <xf numFmtId="0" fontId="4" fillId="0" borderId="0" xfId="3" applyFont="1"/>
    <xf numFmtId="0" fontId="10" fillId="0" borderId="6" xfId="0" applyFont="1" applyBorder="1" applyAlignment="1">
      <alignment horizontal="center"/>
    </xf>
    <xf numFmtId="165" fontId="7" fillId="3" borderId="7" xfId="1" quotePrefix="1" applyNumberFormat="1" applyFont="1" applyFill="1" applyBorder="1" applyAlignment="1">
      <alignment horizontal="center" vertical="center"/>
    </xf>
    <xf numFmtId="165" fontId="7" fillId="0" borderId="8" xfId="1" quotePrefix="1" applyNumberFormat="1" applyFont="1" applyFill="1" applyBorder="1" applyAlignment="1">
      <alignment horizontal="center" vertical="center"/>
    </xf>
    <xf numFmtId="165" fontId="7" fillId="5" borderId="8" xfId="1" quotePrefix="1" applyNumberFormat="1" applyFont="1" applyFill="1" applyBorder="1" applyAlignment="1">
      <alignment horizontal="center" vertical="center"/>
    </xf>
    <xf numFmtId="165" fontId="7" fillId="2" borderId="8" xfId="1" quotePrefix="1" applyNumberFormat="1" applyFont="1" applyFill="1" applyBorder="1" applyAlignment="1">
      <alignment horizontal="center" vertical="center"/>
    </xf>
    <xf numFmtId="165" fontId="7" fillId="2" borderId="1" xfId="1" quotePrefix="1" applyNumberFormat="1" applyFont="1" applyFill="1" applyBorder="1" applyAlignment="1">
      <alignment horizontal="center" vertical="center"/>
    </xf>
    <xf numFmtId="165" fontId="7" fillId="3" borderId="9" xfId="1" quotePrefix="1" applyNumberFormat="1" applyFont="1" applyFill="1" applyBorder="1" applyAlignment="1">
      <alignment horizontal="center" vertical="center"/>
    </xf>
    <xf numFmtId="165" fontId="7" fillId="0" borderId="10" xfId="1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11" xfId="0" applyFont="1" applyBorder="1" applyAlignment="1">
      <alignment horizontal="center"/>
    </xf>
    <xf numFmtId="165" fontId="7" fillId="2" borderId="12" xfId="1" quotePrefix="1" applyNumberFormat="1" applyFont="1" applyFill="1" applyBorder="1" applyAlignment="1">
      <alignment horizontal="center" vertical="center"/>
    </xf>
    <xf numFmtId="165" fontId="7" fillId="0" borderId="1" xfId="1" quotePrefix="1" applyNumberFormat="1" applyFont="1" applyFill="1" applyBorder="1" applyAlignment="1">
      <alignment horizontal="center" vertical="center"/>
    </xf>
    <xf numFmtId="165" fontId="7" fillId="0" borderId="13" xfId="1" quotePrefix="1" applyNumberFormat="1" applyFont="1" applyFill="1" applyBorder="1" applyAlignment="1">
      <alignment horizontal="center" vertical="center"/>
    </xf>
    <xf numFmtId="165" fontId="7" fillId="0" borderId="14" xfId="1" quotePrefix="1" applyNumberFormat="1" applyFont="1" applyFill="1" applyBorder="1" applyAlignment="1">
      <alignment horizontal="center" vertical="center"/>
    </xf>
    <xf numFmtId="165" fontId="7" fillId="2" borderId="14" xfId="1" quotePrefix="1" applyNumberFormat="1" applyFont="1" applyFill="1" applyBorder="1" applyAlignment="1">
      <alignment horizontal="center" vertical="center"/>
    </xf>
    <xf numFmtId="165" fontId="7" fillId="0" borderId="12" xfId="1" quotePrefix="1" applyNumberFormat="1" applyFont="1" applyFill="1" applyBorder="1" applyAlignment="1">
      <alignment horizontal="center" vertical="center"/>
    </xf>
    <xf numFmtId="165" fontId="7" fillId="5" borderId="1" xfId="1" quotePrefix="1" applyNumberFormat="1" applyFont="1" applyFill="1" applyBorder="1" applyAlignment="1">
      <alignment horizontal="center" vertical="center"/>
    </xf>
    <xf numFmtId="165" fontId="7" fillId="2" borderId="13" xfId="1" quotePrefix="1" applyNumberFormat="1" applyFont="1" applyFill="1" applyBorder="1" applyAlignment="1">
      <alignment horizontal="center" vertical="center"/>
    </xf>
    <xf numFmtId="165" fontId="7" fillId="3" borderId="1" xfId="1" quotePrefix="1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left"/>
    </xf>
    <xf numFmtId="165" fontId="7" fillId="6" borderId="1" xfId="1" quotePrefix="1" applyNumberFormat="1" applyFont="1" applyFill="1" applyBorder="1" applyAlignment="1">
      <alignment horizontal="center" vertical="center"/>
    </xf>
    <xf numFmtId="165" fontId="7" fillId="3" borderId="14" xfId="1" quotePrefix="1" applyNumberFormat="1" applyFont="1" applyFill="1" applyBorder="1" applyAlignment="1">
      <alignment horizontal="center" vertical="center"/>
    </xf>
    <xf numFmtId="165" fontId="7" fillId="6" borderId="1" xfId="1" applyNumberFormat="1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165" fontId="7" fillId="2" borderId="16" xfId="1" quotePrefix="1" applyNumberFormat="1" applyFont="1" applyFill="1" applyBorder="1" applyAlignment="1">
      <alignment horizontal="center" vertical="center"/>
    </xf>
    <xf numFmtId="165" fontId="7" fillId="6" borderId="17" xfId="1" applyNumberFormat="1" applyFont="1" applyFill="1" applyBorder="1" applyAlignment="1">
      <alignment horizontal="center" vertical="center"/>
    </xf>
    <xf numFmtId="165" fontId="7" fillId="0" borderId="17" xfId="1" quotePrefix="1" applyNumberFormat="1" applyFont="1" applyFill="1" applyBorder="1" applyAlignment="1">
      <alignment horizontal="center" vertical="center"/>
    </xf>
    <xf numFmtId="165" fontId="7" fillId="2" borderId="17" xfId="1" quotePrefix="1" applyNumberFormat="1" applyFont="1" applyFill="1" applyBorder="1" applyAlignment="1">
      <alignment horizontal="center" vertical="center"/>
    </xf>
    <xf numFmtId="165" fontId="7" fillId="6" borderId="17" xfId="1" quotePrefix="1" applyNumberFormat="1" applyFont="1" applyFill="1" applyBorder="1" applyAlignment="1">
      <alignment horizontal="center" vertical="center"/>
    </xf>
    <xf numFmtId="165" fontId="7" fillId="3" borderId="18" xfId="1" quotePrefix="1" applyNumberFormat="1" applyFont="1" applyFill="1" applyBorder="1" applyAlignment="1">
      <alignment horizontal="center" vertical="center"/>
    </xf>
    <xf numFmtId="0" fontId="9" fillId="0" borderId="19" xfId="0" applyFont="1" applyBorder="1" applyAlignment="1">
      <alignment horizontal="left"/>
    </xf>
    <xf numFmtId="165" fontId="7" fillId="0" borderId="20" xfId="1" applyNumberFormat="1" applyFont="1" applyBorder="1" applyAlignment="1">
      <alignment horizontal="center"/>
    </xf>
    <xf numFmtId="165" fontId="11" fillId="0" borderId="10" xfId="1" applyNumberFormat="1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165" fontId="7" fillId="0" borderId="12" xfId="1" applyNumberFormat="1" applyFont="1" applyFill="1" applyBorder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165" fontId="11" fillId="0" borderId="14" xfId="1" applyNumberFormat="1" applyFont="1" applyFill="1" applyBorder="1" applyAlignment="1">
      <alignment horizontal="center"/>
    </xf>
    <xf numFmtId="0" fontId="9" fillId="0" borderId="11" xfId="0" applyFont="1" applyBorder="1"/>
    <xf numFmtId="165" fontId="7" fillId="0" borderId="1" xfId="1" applyNumberFormat="1" applyFont="1" applyBorder="1" applyAlignment="1">
      <alignment horizontal="center"/>
    </xf>
    <xf numFmtId="165" fontId="11" fillId="0" borderId="14" xfId="1" applyNumberFormat="1" applyFont="1" applyBorder="1" applyAlignment="1">
      <alignment horizontal="center"/>
    </xf>
    <xf numFmtId="0" fontId="9" fillId="0" borderId="21" xfId="0" applyFont="1" applyBorder="1"/>
    <xf numFmtId="165" fontId="7" fillId="0" borderId="22" xfId="1" applyNumberFormat="1" applyFont="1" applyFill="1" applyBorder="1" applyAlignment="1">
      <alignment horizontal="center"/>
    </xf>
    <xf numFmtId="165" fontId="7" fillId="0" borderId="23" xfId="1" applyNumberFormat="1" applyFont="1" applyBorder="1" applyAlignment="1">
      <alignment horizontal="center"/>
    </xf>
    <xf numFmtId="165" fontId="11" fillId="0" borderId="24" xfId="1" applyNumberFormat="1" applyFont="1" applyBorder="1" applyAlignment="1">
      <alignment horizontal="center"/>
    </xf>
    <xf numFmtId="3" fontId="6" fillId="0" borderId="0" xfId="0" applyNumberFormat="1" applyFont="1"/>
    <xf numFmtId="0" fontId="11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3" fontId="6" fillId="0" borderId="0" xfId="0" applyNumberFormat="1" applyFont="1" applyAlignment="1">
      <alignment horizontal="center"/>
    </xf>
    <xf numFmtId="9" fontId="6" fillId="0" borderId="0" xfId="0" applyNumberFormat="1" applyFont="1"/>
    <xf numFmtId="0" fontId="6" fillId="0" borderId="0" xfId="0" applyFont="1" applyAlignment="1">
      <alignment horizontal="right"/>
    </xf>
    <xf numFmtId="9" fontId="6" fillId="0" borderId="0" xfId="2" applyFont="1" applyAlignment="1">
      <alignment horizontal="center"/>
    </xf>
    <xf numFmtId="0" fontId="14" fillId="0" borderId="0" xfId="0" applyFont="1" applyAlignment="1">
      <alignment horizontal="right"/>
    </xf>
    <xf numFmtId="3" fontId="15" fillId="0" borderId="0" xfId="0" applyNumberFormat="1" applyFont="1" applyAlignment="1">
      <alignment horizontal="center"/>
    </xf>
    <xf numFmtId="165" fontId="7" fillId="0" borderId="1" xfId="1" applyNumberFormat="1" applyFont="1" applyFill="1" applyBorder="1" applyAlignment="1">
      <alignment horizontal="center" vertical="center"/>
    </xf>
    <xf numFmtId="165" fontId="7" fillId="0" borderId="16" xfId="1" quotePrefix="1" applyNumberFormat="1" applyFont="1" applyFill="1" applyBorder="1" applyAlignment="1">
      <alignment horizontal="center" vertical="center"/>
    </xf>
    <xf numFmtId="165" fontId="7" fillId="0" borderId="17" xfId="1" applyNumberFormat="1" applyFont="1" applyFill="1" applyBorder="1" applyAlignment="1">
      <alignment horizontal="center" vertical="center"/>
    </xf>
    <xf numFmtId="165" fontId="7" fillId="0" borderId="18" xfId="1" quotePrefix="1" applyNumberFormat="1" applyFont="1" applyFill="1" applyBorder="1" applyAlignment="1">
      <alignment horizontal="center" vertical="center"/>
    </xf>
    <xf numFmtId="165" fontId="7" fillId="3" borderId="25" xfId="1" quotePrefix="1" applyNumberFormat="1" applyFont="1" applyFill="1" applyBorder="1" applyAlignment="1">
      <alignment horizontal="center" vertical="center"/>
    </xf>
    <xf numFmtId="165" fontId="7" fillId="7" borderId="20" xfId="1" quotePrefix="1" applyNumberFormat="1" applyFont="1" applyFill="1" applyBorder="1" applyAlignment="1">
      <alignment horizontal="center" vertical="center"/>
    </xf>
    <xf numFmtId="165" fontId="7" fillId="0" borderId="20" xfId="1" quotePrefix="1" applyNumberFormat="1" applyFont="1" applyFill="1" applyBorder="1" applyAlignment="1">
      <alignment horizontal="center" vertical="center"/>
    </xf>
    <xf numFmtId="165" fontId="7" fillId="3" borderId="20" xfId="1" quotePrefix="1" applyNumberFormat="1" applyFont="1" applyFill="1" applyBorder="1" applyAlignment="1">
      <alignment horizontal="center" vertical="center"/>
    </xf>
    <xf numFmtId="165" fontId="11" fillId="0" borderId="20" xfId="1" applyNumberFormat="1" applyFont="1" applyFill="1" applyBorder="1"/>
    <xf numFmtId="165" fontId="11" fillId="7" borderId="20" xfId="1" applyNumberFormat="1" applyFont="1" applyFill="1" applyBorder="1"/>
    <xf numFmtId="165" fontId="16" fillId="0" borderId="20" xfId="1" quotePrefix="1" applyNumberFormat="1" applyFont="1" applyFill="1" applyBorder="1" applyAlignment="1">
      <alignment horizontal="center" vertical="center"/>
    </xf>
    <xf numFmtId="165" fontId="11" fillId="0" borderId="10" xfId="1" applyNumberFormat="1" applyFont="1" applyFill="1" applyBorder="1"/>
    <xf numFmtId="165" fontId="7" fillId="3" borderId="26" xfId="1" quotePrefix="1" applyNumberFormat="1" applyFont="1" applyFill="1" applyBorder="1" applyAlignment="1">
      <alignment horizontal="center" vertical="center"/>
    </xf>
    <xf numFmtId="165" fontId="7" fillId="7" borderId="1" xfId="1" quotePrefix="1" applyNumberFormat="1" applyFont="1" applyFill="1" applyBorder="1" applyAlignment="1">
      <alignment horizontal="center" vertical="center"/>
    </xf>
    <xf numFmtId="165" fontId="11" fillId="7" borderId="1" xfId="1" applyNumberFormat="1" applyFont="1" applyFill="1" applyBorder="1"/>
    <xf numFmtId="165" fontId="11" fillId="0" borderId="1" xfId="1" applyNumberFormat="1" applyFont="1" applyFill="1" applyBorder="1"/>
    <xf numFmtId="165" fontId="16" fillId="0" borderId="1" xfId="1" quotePrefix="1" applyNumberFormat="1" applyFont="1" applyFill="1" applyBorder="1" applyAlignment="1">
      <alignment horizontal="center" vertical="center"/>
    </xf>
    <xf numFmtId="165" fontId="11" fillId="0" borderId="14" xfId="1" applyNumberFormat="1" applyFont="1" applyFill="1" applyBorder="1"/>
    <xf numFmtId="165" fontId="7" fillId="7" borderId="26" xfId="1" quotePrefix="1" applyNumberFormat="1" applyFont="1" applyFill="1" applyBorder="1" applyAlignment="1">
      <alignment horizontal="center" vertical="center"/>
    </xf>
    <xf numFmtId="165" fontId="16" fillId="7" borderId="1" xfId="1" applyNumberFormat="1" applyFont="1" applyFill="1" applyBorder="1"/>
    <xf numFmtId="165" fontId="7" fillId="0" borderId="26" xfId="1" quotePrefix="1" applyNumberFormat="1" applyFont="1" applyFill="1" applyBorder="1" applyAlignment="1">
      <alignment horizontal="center" vertical="center"/>
    </xf>
    <xf numFmtId="165" fontId="16" fillId="0" borderId="1" xfId="1" applyNumberFormat="1" applyFont="1" applyFill="1" applyBorder="1"/>
    <xf numFmtId="165" fontId="11" fillId="7" borderId="14" xfId="1" applyNumberFormat="1" applyFont="1" applyFill="1" applyBorder="1"/>
    <xf numFmtId="165" fontId="11" fillId="3" borderId="1" xfId="1" applyNumberFormat="1" applyFont="1" applyFill="1" applyBorder="1"/>
    <xf numFmtId="165" fontId="7" fillId="7" borderId="1" xfId="1" applyNumberFormat="1" applyFont="1" applyFill="1" applyBorder="1"/>
    <xf numFmtId="165" fontId="7" fillId="0" borderId="1" xfId="1" applyNumberFormat="1" applyFont="1" applyFill="1" applyBorder="1"/>
    <xf numFmtId="165" fontId="7" fillId="7" borderId="14" xfId="1" quotePrefix="1" applyNumberFormat="1" applyFont="1" applyFill="1" applyBorder="1" applyAlignment="1">
      <alignment horizontal="center" vertical="center"/>
    </xf>
    <xf numFmtId="165" fontId="7" fillId="7" borderId="27" xfId="1" quotePrefix="1" applyNumberFormat="1" applyFont="1" applyFill="1" applyBorder="1" applyAlignment="1">
      <alignment horizontal="center" vertical="center"/>
    </xf>
    <xf numFmtId="165" fontId="7" fillId="6" borderId="18" xfId="1" quotePrefix="1" applyNumberFormat="1" applyFont="1" applyFill="1" applyBorder="1" applyAlignment="1">
      <alignment horizontal="center" vertical="center"/>
    </xf>
    <xf numFmtId="165" fontId="7" fillId="7" borderId="18" xfId="1" quotePrefix="1" applyNumberFormat="1" applyFont="1" applyFill="1" applyBorder="1" applyAlignment="1">
      <alignment horizontal="center" vertical="center"/>
    </xf>
    <xf numFmtId="165" fontId="11" fillId="3" borderId="18" xfId="1" applyNumberFormat="1" applyFont="1" applyFill="1" applyBorder="1"/>
    <xf numFmtId="165" fontId="11" fillId="7" borderId="18" xfId="1" applyNumberFormat="1" applyFont="1" applyFill="1" applyBorder="1"/>
    <xf numFmtId="165" fontId="7" fillId="3" borderId="28" xfId="1" quotePrefix="1" applyNumberFormat="1" applyFont="1" applyFill="1" applyBorder="1" applyAlignment="1">
      <alignment horizontal="center" vertical="center"/>
    </xf>
    <xf numFmtId="166" fontId="11" fillId="0" borderId="29" xfId="1" applyNumberFormat="1" applyFont="1" applyFill="1" applyBorder="1"/>
    <xf numFmtId="166" fontId="11" fillId="0" borderId="8" xfId="1" applyNumberFormat="1" applyFont="1" applyFill="1" applyBorder="1"/>
    <xf numFmtId="166" fontId="11" fillId="0" borderId="30" xfId="1" applyNumberFormat="1" applyFont="1" applyFill="1" applyBorder="1"/>
    <xf numFmtId="166" fontId="11" fillId="0" borderId="26" xfId="1" applyNumberFormat="1" applyFont="1" applyFill="1" applyBorder="1"/>
    <xf numFmtId="166" fontId="11" fillId="0" borderId="1" xfId="1" applyNumberFormat="1" applyFont="1" applyFill="1" applyBorder="1"/>
    <xf numFmtId="166" fontId="11" fillId="0" borderId="14" xfId="1" applyNumberFormat="1" applyFont="1" applyFill="1" applyBorder="1"/>
    <xf numFmtId="165" fontId="7" fillId="0" borderId="29" xfId="1" applyNumberFormat="1" applyFont="1" applyFill="1" applyBorder="1" applyAlignment="1">
      <alignment horizontal="center"/>
    </xf>
    <xf numFmtId="165" fontId="7" fillId="0" borderId="8" xfId="1" applyNumberFormat="1" applyFont="1" applyBorder="1" applyAlignment="1">
      <alignment horizontal="center"/>
    </xf>
    <xf numFmtId="165" fontId="11" fillId="0" borderId="30" xfId="1" applyNumberFormat="1" applyFont="1" applyBorder="1" applyAlignment="1">
      <alignment horizontal="center"/>
    </xf>
    <xf numFmtId="165" fontId="7" fillId="0" borderId="31" xfId="1" applyNumberFormat="1" applyFont="1" applyFill="1" applyBorder="1" applyAlignment="1">
      <alignment horizontal="center"/>
    </xf>
    <xf numFmtId="165" fontId="7" fillId="7" borderId="8" xfId="1" quotePrefix="1" applyNumberFormat="1" applyFont="1" applyFill="1" applyBorder="1" applyAlignment="1">
      <alignment horizontal="center" vertical="center"/>
    </xf>
    <xf numFmtId="165" fontId="7" fillId="3" borderId="8" xfId="1" quotePrefix="1" applyNumberFormat="1" applyFont="1" applyFill="1" applyBorder="1" applyAlignment="1">
      <alignment horizontal="center" vertical="center"/>
    </xf>
    <xf numFmtId="165" fontId="7" fillId="7" borderId="9" xfId="1" quotePrefix="1" applyNumberFormat="1" applyFont="1" applyFill="1" applyBorder="1" applyAlignment="1">
      <alignment horizontal="center" vertical="center"/>
    </xf>
    <xf numFmtId="165" fontId="7" fillId="7" borderId="13" xfId="1" quotePrefix="1" applyNumberFormat="1" applyFont="1" applyFill="1" applyBorder="1" applyAlignment="1">
      <alignment horizontal="center" vertical="center"/>
    </xf>
    <xf numFmtId="165" fontId="7" fillId="7" borderId="12" xfId="1" quotePrefix="1" applyNumberFormat="1" applyFont="1" applyFill="1" applyBorder="1" applyAlignment="1">
      <alignment horizontal="center" vertical="center"/>
    </xf>
    <xf numFmtId="165" fontId="11" fillId="5" borderId="1" xfId="1" applyNumberFormat="1" applyFont="1" applyFill="1" applyBorder="1" applyAlignment="1">
      <alignment horizontal="center" vertical="center"/>
    </xf>
    <xf numFmtId="165" fontId="11" fillId="0" borderId="1" xfId="1" quotePrefix="1" applyNumberFormat="1" applyFont="1" applyFill="1" applyBorder="1" applyAlignment="1">
      <alignment horizontal="center" vertical="center"/>
    </xf>
    <xf numFmtId="165" fontId="11" fillId="7" borderId="1" xfId="1" applyNumberFormat="1" applyFont="1" applyFill="1" applyBorder="1" applyAlignment="1">
      <alignment horizontal="center" vertical="center"/>
    </xf>
    <xf numFmtId="165" fontId="7" fillId="8" borderId="14" xfId="1" quotePrefix="1" applyNumberFormat="1" applyFont="1" applyFill="1" applyBorder="1" applyAlignment="1">
      <alignment horizontal="center" vertical="center"/>
    </xf>
    <xf numFmtId="165" fontId="11" fillId="0" borderId="1" xfId="1" applyNumberFormat="1" applyFont="1" applyFill="1" applyBorder="1" applyAlignment="1">
      <alignment horizontal="center"/>
    </xf>
    <xf numFmtId="165" fontId="7" fillId="3" borderId="13" xfId="1" quotePrefix="1" applyNumberFormat="1" applyFont="1" applyFill="1" applyBorder="1" applyAlignment="1">
      <alignment horizontal="center" vertical="center"/>
    </xf>
    <xf numFmtId="165" fontId="7" fillId="3" borderId="12" xfId="1" quotePrefix="1" applyNumberFormat="1" applyFont="1" applyFill="1" applyBorder="1" applyAlignment="1">
      <alignment horizontal="center" vertical="center"/>
    </xf>
    <xf numFmtId="165" fontId="7" fillId="0" borderId="32" xfId="1" quotePrefix="1" applyNumberFormat="1" applyFont="1" applyFill="1" applyBorder="1" applyAlignment="1">
      <alignment horizontal="center" vertical="center"/>
    </xf>
    <xf numFmtId="165" fontId="7" fillId="6" borderId="16" xfId="1" quotePrefix="1" applyNumberFormat="1" applyFont="1" applyFill="1" applyBorder="1" applyAlignment="1">
      <alignment horizontal="center" vertical="center"/>
    </xf>
    <xf numFmtId="165" fontId="7" fillId="0" borderId="25" xfId="1" applyNumberFormat="1" applyFont="1" applyBorder="1" applyAlignment="1">
      <alignment horizontal="center"/>
    </xf>
    <xf numFmtId="165" fontId="7" fillId="0" borderId="33" xfId="1" applyNumberFormat="1" applyFont="1" applyBorder="1" applyAlignment="1">
      <alignment horizontal="center"/>
    </xf>
    <xf numFmtId="165" fontId="7" fillId="0" borderId="34" xfId="1" applyNumberFormat="1" applyFont="1" applyBorder="1" applyAlignment="1">
      <alignment horizontal="center"/>
    </xf>
    <xf numFmtId="165" fontId="7" fillId="0" borderId="26" xfId="1" applyNumberFormat="1" applyFont="1" applyFill="1" applyBorder="1" applyAlignment="1">
      <alignment horizontal="center"/>
    </xf>
    <xf numFmtId="165" fontId="7" fillId="0" borderId="7" xfId="1" applyNumberFormat="1" applyFont="1" applyBorder="1" applyAlignment="1">
      <alignment horizontal="center"/>
    </xf>
    <xf numFmtId="165" fontId="7" fillId="0" borderId="35" xfId="1" applyNumberFormat="1" applyFont="1" applyFill="1" applyBorder="1" applyAlignment="1">
      <alignment horizontal="center"/>
    </xf>
    <xf numFmtId="165" fontId="7" fillId="0" borderId="27" xfId="1" applyNumberFormat="1" applyFont="1" applyFill="1" applyBorder="1" applyAlignment="1">
      <alignment horizontal="center"/>
    </xf>
    <xf numFmtId="165" fontId="7" fillId="0" borderId="18" xfId="1" applyNumberFormat="1" applyFont="1" applyFill="1" applyBorder="1" applyAlignment="1">
      <alignment horizontal="center"/>
    </xf>
    <xf numFmtId="165" fontId="7" fillId="0" borderId="18" xfId="1" applyNumberFormat="1" applyFont="1" applyBorder="1" applyAlignment="1">
      <alignment horizontal="center"/>
    </xf>
    <xf numFmtId="165" fontId="7" fillId="0" borderId="10" xfId="1" applyNumberFormat="1" applyFont="1" applyBorder="1" applyAlignment="1">
      <alignment horizontal="center"/>
    </xf>
    <xf numFmtId="165" fontId="7" fillId="6" borderId="8" xfId="1" quotePrefix="1" applyNumberFormat="1" applyFont="1" applyFill="1" applyBorder="1" applyAlignment="1">
      <alignment horizontal="center" vertical="center"/>
    </xf>
    <xf numFmtId="165" fontId="7" fillId="7" borderId="7" xfId="1" quotePrefix="1" applyNumberFormat="1" applyFont="1" applyFill="1" applyBorder="1" applyAlignment="1">
      <alignment horizontal="center" vertical="center"/>
    </xf>
    <xf numFmtId="165" fontId="7" fillId="7" borderId="10" xfId="1" quotePrefix="1" applyNumberFormat="1" applyFont="1" applyFill="1" applyBorder="1" applyAlignment="1">
      <alignment horizontal="center" vertical="center"/>
    </xf>
    <xf numFmtId="165" fontId="7" fillId="0" borderId="7" xfId="1" quotePrefix="1" applyNumberFormat="1" applyFont="1" applyFill="1" applyBorder="1" applyAlignment="1">
      <alignment horizontal="center" vertical="center"/>
    </xf>
    <xf numFmtId="165" fontId="11" fillId="0" borderId="12" xfId="1" quotePrefix="1" applyNumberFormat="1" applyFont="1" applyFill="1" applyBorder="1" applyAlignment="1">
      <alignment horizontal="center" vertical="center"/>
    </xf>
    <xf numFmtId="3" fontId="4" fillId="0" borderId="0" xfId="0" applyNumberFormat="1" applyFont="1"/>
    <xf numFmtId="165" fontId="7" fillId="0" borderId="36" xfId="1" applyNumberFormat="1" applyFont="1" applyBorder="1" applyAlignment="1">
      <alignment horizontal="center"/>
    </xf>
    <xf numFmtId="3" fontId="7" fillId="10" borderId="18" xfId="0" applyNumberFormat="1" applyFont="1" applyFill="1" applyBorder="1" applyAlignment="1">
      <alignment horizontal="center" vertical="center"/>
    </xf>
    <xf numFmtId="165" fontId="7" fillId="0" borderId="29" xfId="1" applyNumberFormat="1" applyFont="1" applyBorder="1" applyAlignment="1">
      <alignment horizontal="center"/>
    </xf>
    <xf numFmtId="165" fontId="7" fillId="0" borderId="37" xfId="1" applyNumberFormat="1" applyFont="1" applyBorder="1" applyAlignment="1">
      <alignment horizontal="center"/>
    </xf>
    <xf numFmtId="165" fontId="7" fillId="0" borderId="14" xfId="1" applyNumberFormat="1" applyFont="1" applyFill="1" applyBorder="1" applyAlignment="1">
      <alignment horizontal="center"/>
    </xf>
    <xf numFmtId="165" fontId="7" fillId="0" borderId="14" xfId="1" applyNumberFormat="1" applyFont="1" applyBorder="1" applyAlignment="1">
      <alignment horizontal="center"/>
    </xf>
    <xf numFmtId="165" fontId="7" fillId="6" borderId="13" xfId="1" quotePrefix="1" applyNumberFormat="1" applyFont="1" applyFill="1" applyBorder="1" applyAlignment="1">
      <alignment horizontal="center" vertical="center"/>
    </xf>
    <xf numFmtId="165" fontId="7" fillId="6" borderId="10" xfId="1" quotePrefix="1" applyNumberFormat="1" applyFont="1" applyFill="1" applyBorder="1" applyAlignment="1">
      <alignment horizontal="center" vertical="center"/>
    </xf>
    <xf numFmtId="165" fontId="7" fillId="6" borderId="14" xfId="1" quotePrefix="1" applyNumberFormat="1" applyFont="1" applyFill="1" applyBorder="1" applyAlignment="1">
      <alignment horizontal="center" vertical="center"/>
    </xf>
    <xf numFmtId="165" fontId="7" fillId="6" borderId="7" xfId="1" quotePrefix="1" applyNumberFormat="1" applyFont="1" applyFill="1" applyBorder="1" applyAlignment="1">
      <alignment horizontal="center" vertical="center"/>
    </xf>
    <xf numFmtId="165" fontId="7" fillId="6" borderId="9" xfId="1" quotePrefix="1" applyNumberFormat="1" applyFont="1" applyFill="1" applyBorder="1" applyAlignment="1">
      <alignment horizontal="center" vertical="center"/>
    </xf>
    <xf numFmtId="165" fontId="7" fillId="6" borderId="12" xfId="1" quotePrefix="1" applyNumberFormat="1" applyFont="1" applyFill="1" applyBorder="1" applyAlignment="1">
      <alignment horizontal="center" vertical="center"/>
    </xf>
    <xf numFmtId="165" fontId="7" fillId="6" borderId="25" xfId="1" applyNumberFormat="1" applyFont="1" applyFill="1" applyBorder="1" applyAlignment="1">
      <alignment horizontal="center"/>
    </xf>
    <xf numFmtId="165" fontId="7" fillId="6" borderId="33" xfId="1" applyNumberFormat="1" applyFont="1" applyFill="1" applyBorder="1" applyAlignment="1">
      <alignment horizontal="center"/>
    </xf>
    <xf numFmtId="165" fontId="7" fillId="6" borderId="26" xfId="1" applyNumberFormat="1" applyFont="1" applyFill="1" applyBorder="1" applyAlignment="1">
      <alignment horizontal="center"/>
    </xf>
    <xf numFmtId="165" fontId="7" fillId="6" borderId="1" xfId="1" applyNumberFormat="1" applyFont="1" applyFill="1" applyBorder="1" applyAlignment="1">
      <alignment horizontal="center"/>
    </xf>
    <xf numFmtId="165" fontId="7" fillId="6" borderId="29" xfId="1" applyNumberFormat="1" applyFont="1" applyFill="1" applyBorder="1" applyAlignment="1">
      <alignment horizontal="center"/>
    </xf>
    <xf numFmtId="165" fontId="7" fillId="6" borderId="8" xfId="1" applyNumberFormat="1" applyFont="1" applyFill="1" applyBorder="1" applyAlignment="1">
      <alignment horizontal="center"/>
    </xf>
    <xf numFmtId="165" fontId="7" fillId="6" borderId="31" xfId="1" applyNumberFormat="1" applyFont="1" applyFill="1" applyBorder="1" applyAlignment="1">
      <alignment horizontal="center"/>
    </xf>
    <xf numFmtId="165" fontId="7" fillId="6" borderId="23" xfId="1" applyNumberFormat="1" applyFont="1" applyFill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4" borderId="34" xfId="3" applyFont="1" applyFill="1" applyBorder="1" applyAlignment="1">
      <alignment horizontal="center"/>
    </xf>
    <xf numFmtId="0" fontId="9" fillId="4" borderId="41" xfId="3" applyFont="1" applyFill="1" applyBorder="1" applyAlignment="1">
      <alignment horizontal="center"/>
    </xf>
    <xf numFmtId="0" fontId="9" fillId="4" borderId="42" xfId="3" applyFont="1" applyFill="1" applyBorder="1" applyAlignment="1">
      <alignment horizontal="center"/>
    </xf>
    <xf numFmtId="165" fontId="7" fillId="0" borderId="43" xfId="1" applyNumberFormat="1" applyFont="1" applyBorder="1" applyAlignment="1">
      <alignment horizontal="center"/>
    </xf>
    <xf numFmtId="166" fontId="7" fillId="3" borderId="1" xfId="1" quotePrefix="1" applyNumberFormat="1" applyFont="1" applyFill="1" applyBorder="1" applyAlignment="1">
      <alignment horizontal="center" vertical="center"/>
    </xf>
    <xf numFmtId="166" fontId="7" fillId="0" borderId="1" xfId="1" quotePrefix="1" applyNumberFormat="1" applyFont="1" applyFill="1" applyBorder="1" applyAlignment="1">
      <alignment horizontal="center" vertical="center"/>
    </xf>
    <xf numFmtId="166" fontId="7" fillId="7" borderId="1" xfId="1" quotePrefix="1" applyNumberFormat="1" applyFont="1" applyFill="1" applyBorder="1" applyAlignment="1">
      <alignment horizontal="center" vertical="center"/>
    </xf>
    <xf numFmtId="166" fontId="11" fillId="7" borderId="1" xfId="1" applyNumberFormat="1" applyFont="1" applyFill="1" applyBorder="1"/>
    <xf numFmtId="166" fontId="11" fillId="3" borderId="1" xfId="1" applyNumberFormat="1" applyFont="1" applyFill="1" applyBorder="1"/>
    <xf numFmtId="166" fontId="7" fillId="0" borderId="1" xfId="1" applyNumberFormat="1" applyFont="1" applyFill="1" applyBorder="1"/>
    <xf numFmtId="166" fontId="7" fillId="7" borderId="1" xfId="1" applyNumberFormat="1" applyFont="1" applyFill="1" applyBorder="1"/>
    <xf numFmtId="166" fontId="7" fillId="3" borderId="1" xfId="1" applyNumberFormat="1" applyFont="1" applyFill="1" applyBorder="1"/>
    <xf numFmtId="166" fontId="7" fillId="6" borderId="1" xfId="1" quotePrefix="1" applyNumberFormat="1" applyFont="1" applyFill="1" applyBorder="1" applyAlignment="1">
      <alignment horizontal="center" vertical="center"/>
    </xf>
    <xf numFmtId="166" fontId="7" fillId="3" borderId="25" xfId="1" quotePrefix="1" applyNumberFormat="1" applyFont="1" applyFill="1" applyBorder="1" applyAlignment="1">
      <alignment horizontal="center" vertical="center"/>
    </xf>
    <xf numFmtId="166" fontId="7" fillId="0" borderId="20" xfId="1" quotePrefix="1" applyNumberFormat="1" applyFont="1" applyFill="1" applyBorder="1" applyAlignment="1">
      <alignment horizontal="center" vertical="center"/>
    </xf>
    <xf numFmtId="166" fontId="7" fillId="3" borderId="20" xfId="1" quotePrefix="1" applyNumberFormat="1" applyFont="1" applyFill="1" applyBorder="1" applyAlignment="1">
      <alignment horizontal="center" vertical="center"/>
    </xf>
    <xf numFmtId="166" fontId="7" fillId="7" borderId="20" xfId="1" quotePrefix="1" applyNumberFormat="1" applyFont="1" applyFill="1" applyBorder="1" applyAlignment="1">
      <alignment horizontal="center" vertical="center"/>
    </xf>
    <xf numFmtId="166" fontId="11" fillId="0" borderId="20" xfId="1" applyNumberFormat="1" applyFont="1" applyFill="1" applyBorder="1"/>
    <xf numFmtId="166" fontId="11" fillId="7" borderId="20" xfId="1" applyNumberFormat="1" applyFont="1" applyFill="1" applyBorder="1"/>
    <xf numFmtId="166" fontId="11" fillId="7" borderId="10" xfId="1" applyNumberFormat="1" applyFont="1" applyFill="1" applyBorder="1"/>
    <xf numFmtId="166" fontId="7" fillId="0" borderId="26" xfId="1" quotePrefix="1" applyNumberFormat="1" applyFont="1" applyFill="1" applyBorder="1" applyAlignment="1">
      <alignment horizontal="center" vertical="center"/>
    </xf>
    <xf numFmtId="166" fontId="7" fillId="0" borderId="14" xfId="1" quotePrefix="1" applyNumberFormat="1" applyFont="1" applyFill="1" applyBorder="1" applyAlignment="1">
      <alignment horizontal="center" vertical="center"/>
    </xf>
    <xf numFmtId="166" fontId="7" fillId="7" borderId="26" xfId="1" quotePrefix="1" applyNumberFormat="1" applyFont="1" applyFill="1" applyBorder="1" applyAlignment="1">
      <alignment horizontal="center" vertical="center"/>
    </xf>
    <xf numFmtId="166" fontId="11" fillId="7" borderId="14" xfId="1" applyNumberFormat="1" applyFont="1" applyFill="1" applyBorder="1"/>
    <xf numFmtId="166" fontId="7" fillId="3" borderId="14" xfId="1" quotePrefix="1" applyNumberFormat="1" applyFont="1" applyFill="1" applyBorder="1" applyAlignment="1">
      <alignment horizontal="center" vertical="center"/>
    </xf>
    <xf numFmtId="166" fontId="7" fillId="0" borderId="27" xfId="1" quotePrefix="1" applyNumberFormat="1" applyFont="1" applyFill="1" applyBorder="1" applyAlignment="1">
      <alignment horizontal="center" vertical="center"/>
    </xf>
    <xf numFmtId="166" fontId="7" fillId="6" borderId="18" xfId="1" quotePrefix="1" applyNumberFormat="1" applyFont="1" applyFill="1" applyBorder="1" applyAlignment="1">
      <alignment horizontal="center" vertical="center"/>
    </xf>
    <xf numFmtId="166" fontId="7" fillId="0" borderId="18" xfId="1" quotePrefix="1" applyNumberFormat="1" applyFont="1" applyFill="1" applyBorder="1" applyAlignment="1">
      <alignment horizontal="center" vertical="center"/>
    </xf>
    <xf numFmtId="166" fontId="11" fillId="7" borderId="18" xfId="1" applyNumberFormat="1" applyFont="1" applyFill="1" applyBorder="1"/>
    <xf numFmtId="166" fontId="11" fillId="0" borderId="18" xfId="1" applyNumberFormat="1" applyFont="1" applyFill="1" applyBorder="1"/>
    <xf numFmtId="166" fontId="7" fillId="3" borderId="28" xfId="1" quotePrefix="1" applyNumberFormat="1" applyFont="1" applyFill="1" applyBorder="1" applyAlignment="1">
      <alignment horizontal="center" vertical="center"/>
    </xf>
    <xf numFmtId="166" fontId="11" fillId="0" borderId="10" xfId="1" applyNumberFormat="1" applyFont="1" applyFill="1" applyBorder="1"/>
    <xf numFmtId="166" fontId="7" fillId="3" borderId="26" xfId="1" quotePrefix="1" applyNumberFormat="1" applyFont="1" applyFill="1" applyBorder="1" applyAlignment="1">
      <alignment horizontal="center" vertical="center"/>
    </xf>
    <xf numFmtId="166" fontId="7" fillId="7" borderId="27" xfId="1" quotePrefix="1" applyNumberFormat="1" applyFont="1" applyFill="1" applyBorder="1" applyAlignment="1">
      <alignment horizontal="center" vertical="center"/>
    </xf>
    <xf numFmtId="166" fontId="7" fillId="7" borderId="18" xfId="1" quotePrefix="1" applyNumberFormat="1" applyFont="1" applyFill="1" applyBorder="1" applyAlignment="1">
      <alignment horizontal="center" vertical="center"/>
    </xf>
    <xf numFmtId="166" fontId="11" fillId="3" borderId="18" xfId="1" applyNumberFormat="1" applyFont="1" applyFill="1" applyBorder="1"/>
    <xf numFmtId="166" fontId="17" fillId="7" borderId="1" xfId="1" quotePrefix="1" applyNumberFormat="1" applyFont="1" applyFill="1" applyBorder="1" applyAlignment="1">
      <alignment horizontal="center" vertical="center"/>
    </xf>
    <xf numFmtId="166" fontId="11" fillId="3" borderId="10" xfId="1" applyNumberFormat="1" applyFont="1" applyFill="1" applyBorder="1"/>
    <xf numFmtId="166" fontId="11" fillId="3" borderId="14" xfId="1" applyNumberFormat="1" applyFont="1" applyFill="1" applyBorder="1"/>
    <xf numFmtId="166" fontId="7" fillId="7" borderId="14" xfId="1" quotePrefix="1" applyNumberFormat="1" applyFont="1" applyFill="1" applyBorder="1" applyAlignment="1">
      <alignment horizontal="center" vertical="center"/>
    </xf>
    <xf numFmtId="166" fontId="7" fillId="11" borderId="1" xfId="1" applyNumberFormat="1" applyFont="1" applyFill="1" applyBorder="1"/>
    <xf numFmtId="165" fontId="7" fillId="0" borderId="27" xfId="1" quotePrefix="1" applyNumberFormat="1" applyFont="1" applyFill="1" applyBorder="1" applyAlignment="1">
      <alignment horizontal="center" vertical="center"/>
    </xf>
    <xf numFmtId="165" fontId="7" fillId="6" borderId="18" xfId="1" applyNumberFormat="1" applyFont="1" applyFill="1" applyBorder="1" applyAlignment="1">
      <alignment horizontal="center" vertical="center"/>
    </xf>
    <xf numFmtId="165" fontId="7" fillId="12" borderId="1" xfId="1" quotePrefix="1" applyNumberFormat="1" applyFont="1" applyFill="1" applyBorder="1" applyAlignment="1">
      <alignment horizontal="center" vertical="center"/>
    </xf>
    <xf numFmtId="165" fontId="7" fillId="7" borderId="17" xfId="1" quotePrefix="1" applyNumberFormat="1" applyFont="1" applyFill="1" applyBorder="1" applyAlignment="1">
      <alignment horizontal="center" vertical="center"/>
    </xf>
    <xf numFmtId="165" fontId="7" fillId="7" borderId="17" xfId="1" applyNumberFormat="1" applyFont="1" applyFill="1" applyBorder="1" applyAlignment="1">
      <alignment horizontal="center" vertical="center"/>
    </xf>
    <xf numFmtId="165" fontId="7" fillId="7" borderId="16" xfId="1" quotePrefix="1" applyNumberFormat="1" applyFont="1" applyFill="1" applyBorder="1" applyAlignment="1">
      <alignment horizontal="center" vertical="center"/>
    </xf>
    <xf numFmtId="165" fontId="18" fillId="6" borderId="1" xfId="1" quotePrefix="1" applyNumberFormat="1" applyFont="1" applyFill="1" applyBorder="1" applyAlignment="1">
      <alignment horizontal="center" vertical="center"/>
    </xf>
    <xf numFmtId="166" fontId="7" fillId="9" borderId="1" xfId="1" quotePrefix="1" applyNumberFormat="1" applyFont="1" applyFill="1" applyBorder="1" applyAlignment="1">
      <alignment horizontal="center" vertical="center"/>
    </xf>
    <xf numFmtId="166" fontId="7" fillId="3" borderId="27" xfId="1" quotePrefix="1" applyNumberFormat="1" applyFont="1" applyFill="1" applyBorder="1" applyAlignment="1">
      <alignment horizontal="center" vertical="center"/>
    </xf>
    <xf numFmtId="165" fontId="7" fillId="7" borderId="25" xfId="1" quotePrefix="1" applyNumberFormat="1" applyFont="1" applyFill="1" applyBorder="1" applyAlignment="1">
      <alignment horizontal="center" vertical="center"/>
    </xf>
    <xf numFmtId="0" fontId="9" fillId="0" borderId="0" xfId="0" applyFont="1"/>
    <xf numFmtId="17" fontId="9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/>
    <xf numFmtId="0" fontId="10" fillId="0" borderId="19" xfId="0" applyFont="1" applyBorder="1" applyAlignment="1">
      <alignment horizontal="center"/>
    </xf>
    <xf numFmtId="165" fontId="7" fillId="3" borderId="33" xfId="1" quotePrefix="1" applyNumberFormat="1" applyFont="1" applyFill="1" applyBorder="1" applyAlignment="1">
      <alignment horizontal="center" vertical="center"/>
    </xf>
    <xf numFmtId="165" fontId="7" fillId="0" borderId="44" xfId="1" quotePrefix="1" applyNumberFormat="1" applyFont="1" applyFill="1" applyBorder="1" applyAlignment="1">
      <alignment horizontal="center" vertical="center"/>
    </xf>
    <xf numFmtId="165" fontId="7" fillId="7" borderId="33" xfId="1" quotePrefix="1" applyNumberFormat="1" applyFont="1" applyFill="1" applyBorder="1" applyAlignment="1">
      <alignment horizontal="center" vertical="center"/>
    </xf>
    <xf numFmtId="165" fontId="7" fillId="3" borderId="44" xfId="1" quotePrefix="1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right"/>
    </xf>
    <xf numFmtId="165" fontId="7" fillId="5" borderId="7" xfId="1" quotePrefix="1" applyNumberFormat="1" applyFont="1" applyFill="1" applyBorder="1" applyAlignment="1">
      <alignment horizontal="center" vertical="center"/>
    </xf>
    <xf numFmtId="165" fontId="11" fillId="0" borderId="1" xfId="1" applyNumberFormat="1" applyFont="1" applyFill="1" applyBorder="1" applyAlignment="1">
      <alignment horizontal="center" vertical="center"/>
    </xf>
    <xf numFmtId="165" fontId="7" fillId="0" borderId="0" xfId="0" applyNumberFormat="1" applyFont="1" applyAlignment="1">
      <alignment horizontal="right" vertical="center"/>
    </xf>
    <xf numFmtId="165" fontId="7" fillId="7" borderId="30" xfId="1" quotePrefix="1" applyNumberFormat="1" applyFont="1" applyFill="1" applyBorder="1" applyAlignment="1">
      <alignment horizontal="center" vertical="center"/>
    </xf>
    <xf numFmtId="165" fontId="11" fillId="7" borderId="12" xfId="1" quotePrefix="1" applyNumberFormat="1" applyFont="1" applyFill="1" applyBorder="1" applyAlignment="1">
      <alignment horizontal="center" vertical="center"/>
    </xf>
    <xf numFmtId="3" fontId="7" fillId="0" borderId="0" xfId="0" applyNumberFormat="1" applyFont="1"/>
    <xf numFmtId="165" fontId="4" fillId="0" borderId="0" xfId="0" applyNumberFormat="1" applyFont="1"/>
    <xf numFmtId="165" fontId="4" fillId="0" borderId="0" xfId="0" applyNumberFormat="1" applyFont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right"/>
    </xf>
    <xf numFmtId="3" fontId="9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22" fillId="0" borderId="0" xfId="0" applyFont="1" applyAlignment="1">
      <alignment horizontal="left" vertical="center"/>
    </xf>
    <xf numFmtId="3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" fontId="6" fillId="0" borderId="0" xfId="0" applyNumberFormat="1" applyFont="1"/>
    <xf numFmtId="0" fontId="13" fillId="0" borderId="0" xfId="0" applyFont="1" applyAlignment="1">
      <alignment horizontal="right"/>
    </xf>
    <xf numFmtId="10" fontId="6" fillId="0" borderId="0" xfId="2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7" fontId="12" fillId="0" borderId="0" xfId="0" applyNumberFormat="1" applyFont="1" applyAlignment="1">
      <alignment horizontal="right"/>
    </xf>
    <xf numFmtId="0" fontId="9" fillId="0" borderId="0" xfId="3" applyFont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165" fontId="11" fillId="0" borderId="0" xfId="1" applyNumberFormat="1" applyFont="1" applyFill="1" applyBorder="1" applyAlignment="1">
      <alignment horizontal="center"/>
    </xf>
    <xf numFmtId="165" fontId="6" fillId="0" borderId="0" xfId="0" applyNumberFormat="1" applyFont="1"/>
    <xf numFmtId="3" fontId="7" fillId="0" borderId="1" xfId="0" applyNumberFormat="1" applyFont="1" applyBorder="1" applyAlignment="1">
      <alignment horizontal="right" vertical="center"/>
    </xf>
    <xf numFmtId="3" fontId="7" fillId="7" borderId="1" xfId="0" applyNumberFormat="1" applyFont="1" applyFill="1" applyBorder="1" applyAlignment="1">
      <alignment horizontal="right" vertical="center"/>
    </xf>
    <xf numFmtId="165" fontId="7" fillId="7" borderId="0" xfId="0" applyNumberFormat="1" applyFont="1" applyFill="1" applyAlignment="1">
      <alignment horizontal="right" vertical="center"/>
    </xf>
    <xf numFmtId="165" fontId="7" fillId="0" borderId="12" xfId="1" applyNumberFormat="1" applyFont="1" applyBorder="1" applyAlignment="1">
      <alignment horizontal="center"/>
    </xf>
    <xf numFmtId="165" fontId="7" fillId="0" borderId="9" xfId="1" quotePrefix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13" xfId="1" quotePrefix="1" applyNumberFormat="1" applyFont="1" applyBorder="1" applyAlignment="1">
      <alignment horizontal="center" vertical="center"/>
    </xf>
    <xf numFmtId="165" fontId="7" fillId="7" borderId="13" xfId="1" applyNumberFormat="1" applyFont="1" applyFill="1" applyBorder="1" applyAlignment="1">
      <alignment horizontal="center" vertical="center"/>
    </xf>
    <xf numFmtId="165" fontId="11" fillId="0" borderId="1" xfId="1" applyNumberFormat="1" applyFont="1" applyBorder="1" applyAlignment="1">
      <alignment horizontal="center" vertical="center"/>
    </xf>
    <xf numFmtId="165" fontId="7" fillId="0" borderId="13" xfId="1" applyNumberFormat="1" applyFont="1" applyBorder="1" applyAlignment="1">
      <alignment horizontal="center" vertical="center"/>
    </xf>
    <xf numFmtId="165" fontId="7" fillId="3" borderId="13" xfId="1" applyNumberFormat="1" applyFont="1" applyFill="1" applyBorder="1" applyAlignment="1">
      <alignment horizontal="center" vertical="center"/>
    </xf>
    <xf numFmtId="165" fontId="7" fillId="7" borderId="32" xfId="1" applyNumberFormat="1" applyFont="1" applyFill="1" applyBorder="1" applyAlignment="1">
      <alignment horizontal="center" vertical="center"/>
    </xf>
    <xf numFmtId="165" fontId="7" fillId="7" borderId="1" xfId="1" applyNumberFormat="1" applyFont="1" applyFill="1" applyBorder="1" applyAlignment="1">
      <alignment horizontal="center" vertical="center"/>
    </xf>
    <xf numFmtId="165" fontId="11" fillId="7" borderId="1" xfId="1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5" fontId="7" fillId="5" borderId="9" xfId="1" quotePrefix="1" applyNumberFormat="1" applyFont="1" applyFill="1" applyBorder="1" applyAlignment="1">
      <alignment horizontal="center" vertical="center"/>
    </xf>
    <xf numFmtId="165" fontId="7" fillId="5" borderId="1" xfId="1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165" fontId="7" fillId="5" borderId="13" xfId="1" quotePrefix="1" applyNumberFormat="1" applyFont="1" applyFill="1" applyBorder="1" applyAlignment="1">
      <alignment horizontal="center" vertical="center"/>
    </xf>
    <xf numFmtId="165" fontId="7" fillId="5" borderId="14" xfId="1" quotePrefix="1" applyNumberFormat="1" applyFont="1" applyFill="1" applyBorder="1" applyAlignment="1">
      <alignment horizontal="center" vertical="center"/>
    </xf>
    <xf numFmtId="165" fontId="7" fillId="5" borderId="13" xfId="1" applyNumberFormat="1" applyFont="1" applyFill="1" applyBorder="1" applyAlignment="1">
      <alignment horizontal="center" vertical="center"/>
    </xf>
    <xf numFmtId="165" fontId="7" fillId="5" borderId="0" xfId="0" applyNumberFormat="1" applyFont="1" applyFill="1" applyAlignment="1">
      <alignment horizontal="right" vertical="center"/>
    </xf>
    <xf numFmtId="165" fontId="11" fillId="5" borderId="1" xfId="1" applyNumberFormat="1" applyFont="1" applyFill="1" applyBorder="1" applyAlignment="1">
      <alignment horizontal="center"/>
    </xf>
    <xf numFmtId="165" fontId="7" fillId="5" borderId="17" xfId="1" quotePrefix="1" applyNumberFormat="1" applyFont="1" applyFill="1" applyBorder="1" applyAlignment="1">
      <alignment horizontal="center" vertical="center"/>
    </xf>
    <xf numFmtId="165" fontId="7" fillId="5" borderId="18" xfId="1" quotePrefix="1" applyNumberFormat="1" applyFont="1" applyFill="1" applyBorder="1" applyAlignment="1">
      <alignment horizontal="center" vertical="center"/>
    </xf>
    <xf numFmtId="3" fontId="7" fillId="5" borderId="8" xfId="0" quotePrefix="1" applyNumberFormat="1" applyFont="1" applyFill="1" applyBorder="1" applyAlignment="1">
      <alignment horizontal="right" vertical="center"/>
    </xf>
    <xf numFmtId="165" fontId="7" fillId="7" borderId="7" xfId="1" applyNumberFormat="1" applyFont="1" applyFill="1" applyBorder="1" applyAlignment="1">
      <alignment horizontal="center" vertical="center"/>
    </xf>
    <xf numFmtId="3" fontId="7" fillId="5" borderId="1" xfId="0" quotePrefix="1" applyNumberFormat="1" applyFont="1" applyFill="1" applyBorder="1" applyAlignment="1">
      <alignment horizontal="right" vertical="center"/>
    </xf>
    <xf numFmtId="165" fontId="7" fillId="5" borderId="12" xfId="1" quotePrefix="1" applyNumberFormat="1" applyFont="1" applyFill="1" applyBorder="1" applyAlignment="1">
      <alignment horizontal="center" vertical="center"/>
    </xf>
    <xf numFmtId="165" fontId="7" fillId="5" borderId="12" xfId="1" applyNumberFormat="1" applyFont="1" applyFill="1" applyBorder="1" applyAlignment="1">
      <alignment horizontal="center" vertical="center"/>
    </xf>
    <xf numFmtId="165" fontId="7" fillId="0" borderId="12" xfId="1" applyNumberFormat="1" applyFont="1" applyBorder="1" applyAlignment="1">
      <alignment horizontal="center" vertical="center"/>
    </xf>
    <xf numFmtId="165" fontId="11" fillId="5" borderId="1" xfId="1" quotePrefix="1" applyNumberFormat="1" applyFont="1" applyFill="1" applyBorder="1" applyAlignment="1">
      <alignment horizontal="center" vertical="center"/>
    </xf>
    <xf numFmtId="165" fontId="7" fillId="0" borderId="12" xfId="1" quotePrefix="1" applyNumberFormat="1" applyFont="1" applyBorder="1" applyAlignment="1">
      <alignment horizontal="center" vertical="center"/>
    </xf>
    <xf numFmtId="165" fontId="7" fillId="7" borderId="12" xfId="1" applyNumberFormat="1" applyFont="1" applyFill="1" applyBorder="1" applyAlignment="1">
      <alignment horizontal="center" vertical="center"/>
    </xf>
    <xf numFmtId="165" fontId="11" fillId="0" borderId="12" xfId="1" applyNumberFormat="1" applyFont="1" applyBorder="1" applyAlignment="1">
      <alignment horizontal="center" vertical="center"/>
    </xf>
    <xf numFmtId="3" fontId="7" fillId="7" borderId="1" xfId="0" quotePrefix="1" applyNumberFormat="1" applyFont="1" applyFill="1" applyBorder="1" applyAlignment="1">
      <alignment horizontal="right" vertical="center"/>
    </xf>
    <xf numFmtId="165" fontId="7" fillId="5" borderId="14" xfId="1" applyNumberFormat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5" fontId="7" fillId="4" borderId="1" xfId="1" quotePrefix="1" applyNumberFormat="1" applyFont="1" applyFill="1" applyBorder="1" applyAlignment="1">
      <alignment horizontal="center" vertical="center"/>
    </xf>
    <xf numFmtId="165" fontId="7" fillId="4" borderId="1" xfId="1" applyNumberFormat="1" applyFont="1" applyFill="1" applyBorder="1" applyAlignment="1">
      <alignment horizontal="center" vertical="center"/>
    </xf>
    <xf numFmtId="165" fontId="7" fillId="4" borderId="17" xfId="1" applyNumberFormat="1" applyFont="1" applyFill="1" applyBorder="1" applyAlignment="1">
      <alignment horizontal="center" vertical="center"/>
    </xf>
    <xf numFmtId="165" fontId="7" fillId="0" borderId="8" xfId="1" quotePrefix="1" applyNumberFormat="1" applyFont="1" applyBorder="1" applyAlignment="1">
      <alignment horizontal="center" vertical="center"/>
    </xf>
    <xf numFmtId="3" fontId="7" fillId="0" borderId="8" xfId="0" quotePrefix="1" applyNumberFormat="1" applyFont="1" applyBorder="1" applyAlignment="1">
      <alignment horizontal="right" vertical="center"/>
    </xf>
    <xf numFmtId="165" fontId="7" fillId="13" borderId="8" xfId="1" quotePrefix="1" applyNumberFormat="1" applyFont="1" applyFill="1" applyBorder="1" applyAlignment="1">
      <alignment horizontal="center" vertical="center"/>
    </xf>
    <xf numFmtId="165" fontId="7" fillId="3" borderId="8" xfId="1" applyNumberFormat="1" applyFont="1" applyFill="1" applyBorder="1" applyAlignment="1">
      <alignment horizontal="center" vertical="center"/>
    </xf>
    <xf numFmtId="165" fontId="7" fillId="0" borderId="1" xfId="1" quotePrefix="1" applyNumberFormat="1" applyFont="1" applyBorder="1" applyAlignment="1">
      <alignment horizontal="center" vertical="center"/>
    </xf>
    <xf numFmtId="165" fontId="7" fillId="0" borderId="7" xfId="1" quotePrefix="1" applyNumberFormat="1" applyFont="1" applyBorder="1" applyAlignment="1">
      <alignment horizontal="center" vertical="center"/>
    </xf>
    <xf numFmtId="165" fontId="7" fillId="0" borderId="10" xfId="1" quotePrefix="1" applyNumberFormat="1" applyFon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right" vertical="center"/>
    </xf>
    <xf numFmtId="165" fontId="7" fillId="13" borderId="1" xfId="1" quotePrefix="1" applyNumberFormat="1" applyFont="1" applyFill="1" applyBorder="1" applyAlignment="1">
      <alignment horizontal="center" vertical="center"/>
    </xf>
    <xf numFmtId="165" fontId="7" fillId="0" borderId="14" xfId="1" quotePrefix="1" applyNumberFormat="1" applyFont="1" applyBorder="1" applyAlignment="1">
      <alignment horizontal="center" vertical="center"/>
    </xf>
    <xf numFmtId="165" fontId="11" fillId="0" borderId="1" xfId="1" quotePrefix="1" applyNumberFormat="1" applyFont="1" applyBorder="1" applyAlignment="1">
      <alignment horizontal="center" vertical="center"/>
    </xf>
    <xf numFmtId="165" fontId="7" fillId="0" borderId="30" xfId="1" quotePrefix="1" applyNumberFormat="1" applyFont="1" applyBorder="1" applyAlignment="1">
      <alignment horizontal="center" vertical="center"/>
    </xf>
    <xf numFmtId="165" fontId="7" fillId="14" borderId="1" xfId="1" quotePrefix="1" applyNumberFormat="1" applyFont="1" applyFill="1" applyBorder="1" applyAlignment="1">
      <alignment horizontal="center" vertical="center"/>
    </xf>
    <xf numFmtId="165" fontId="11" fillId="0" borderId="12" xfId="1" quotePrefix="1" applyNumberFormat="1" applyFont="1" applyBorder="1" applyAlignment="1">
      <alignment horizontal="center" vertical="center"/>
    </xf>
    <xf numFmtId="165" fontId="7" fillId="7" borderId="14" xfId="1" applyNumberFormat="1" applyFont="1" applyFill="1" applyBorder="1" applyAlignment="1">
      <alignment horizontal="center" vertical="center"/>
    </xf>
    <xf numFmtId="165" fontId="7" fillId="0" borderId="14" xfId="1" applyNumberFormat="1" applyFont="1" applyBorder="1" applyAlignment="1">
      <alignment horizontal="center" vertical="center"/>
    </xf>
    <xf numFmtId="165" fontId="7" fillId="3" borderId="14" xfId="1" applyNumberFormat="1" applyFont="1" applyFill="1" applyBorder="1" applyAlignment="1">
      <alignment horizontal="center" vertical="center"/>
    </xf>
    <xf numFmtId="165" fontId="7" fillId="13" borderId="17" xfId="1" quotePrefix="1" applyNumberFormat="1" applyFont="1" applyFill="1" applyBorder="1" applyAlignment="1">
      <alignment horizontal="center" vertical="center"/>
    </xf>
    <xf numFmtId="165" fontId="7" fillId="13" borderId="17" xfId="1" applyNumberFormat="1" applyFont="1" applyFill="1" applyBorder="1" applyAlignment="1">
      <alignment horizontal="center" vertical="center"/>
    </xf>
    <xf numFmtId="165" fontId="7" fillId="0" borderId="17" xfId="1" quotePrefix="1" applyNumberFormat="1" applyFont="1" applyBorder="1" applyAlignment="1">
      <alignment horizontal="center" vertical="center"/>
    </xf>
    <xf numFmtId="165" fontId="7" fillId="0" borderId="18" xfId="1" quotePrefix="1" applyNumberFormat="1" applyFont="1" applyBorder="1" applyAlignment="1">
      <alignment horizontal="center" vertical="center"/>
    </xf>
    <xf numFmtId="165" fontId="7" fillId="7" borderId="18" xfId="1" applyNumberFormat="1" applyFont="1" applyFill="1" applyBorder="1" applyAlignment="1">
      <alignment horizontal="center" vertical="center"/>
    </xf>
    <xf numFmtId="165" fontId="7" fillId="0" borderId="23" xfId="1" applyNumberFormat="1" applyFont="1" applyFill="1" applyBorder="1" applyAlignment="1">
      <alignment horizontal="center"/>
    </xf>
    <xf numFmtId="165" fontId="7" fillId="0" borderId="13" xfId="1" applyNumberFormat="1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25" fillId="0" borderId="0" xfId="0" applyFont="1" applyAlignment="1" applyProtection="1">
      <alignment horizontal="center"/>
      <protection locked="0"/>
    </xf>
    <xf numFmtId="0" fontId="25" fillId="0" borderId="0" xfId="0" applyFont="1" applyProtection="1">
      <protection locked="0"/>
    </xf>
    <xf numFmtId="0" fontId="25" fillId="0" borderId="0" xfId="0" applyFont="1" applyProtection="1">
      <protection hidden="1"/>
    </xf>
    <xf numFmtId="0" fontId="0" fillId="0" borderId="0" xfId="0" applyProtection="1">
      <protection hidden="1"/>
    </xf>
    <xf numFmtId="3" fontId="0" fillId="0" borderId="0" xfId="0" applyNumberFormat="1" applyProtection="1">
      <protection hidden="1"/>
    </xf>
    <xf numFmtId="0" fontId="0" fillId="0" borderId="0" xfId="0" applyProtection="1">
      <protection locked="0" hidden="1"/>
    </xf>
    <xf numFmtId="9" fontId="0" fillId="0" borderId="0" xfId="0" applyNumberFormat="1" applyProtection="1">
      <protection locked="0"/>
    </xf>
    <xf numFmtId="3" fontId="7" fillId="15" borderId="1" xfId="0" quotePrefix="1" applyNumberFormat="1" applyFont="1" applyFill="1" applyBorder="1" applyAlignment="1">
      <alignment horizontal="center" vertical="center"/>
    </xf>
    <xf numFmtId="3" fontId="7" fillId="12" borderId="1" xfId="0" quotePrefix="1" applyNumberFormat="1" applyFont="1" applyFill="1" applyBorder="1" applyAlignment="1">
      <alignment horizontal="center" vertical="center"/>
    </xf>
    <xf numFmtId="165" fontId="7" fillId="12" borderId="7" xfId="1" quotePrefix="1" applyNumberFormat="1" applyFont="1" applyFill="1" applyBorder="1" applyAlignment="1">
      <alignment horizontal="center" vertical="center"/>
    </xf>
    <xf numFmtId="165" fontId="7" fillId="12" borderId="8" xfId="1" quotePrefix="1" applyNumberFormat="1" applyFont="1" applyFill="1" applyBorder="1" applyAlignment="1">
      <alignment horizontal="center" vertical="center"/>
    </xf>
    <xf numFmtId="165" fontId="7" fillId="12" borderId="8" xfId="1" applyNumberFormat="1" applyFont="1" applyFill="1" applyBorder="1" applyAlignment="1">
      <alignment horizontal="center" vertical="center"/>
    </xf>
    <xf numFmtId="165" fontId="7" fillId="15" borderId="7" xfId="1" applyNumberFormat="1" applyFont="1" applyFill="1" applyBorder="1" applyAlignment="1">
      <alignment horizontal="center" vertical="center"/>
    </xf>
    <xf numFmtId="165" fontId="7" fillId="15" borderId="1" xfId="1" quotePrefix="1" applyNumberFormat="1" applyFont="1" applyFill="1" applyBorder="1" applyAlignment="1">
      <alignment horizontal="center" vertical="center"/>
    </xf>
    <xf numFmtId="3" fontId="7" fillId="15" borderId="1" xfId="0" applyNumberFormat="1" applyFont="1" applyFill="1" applyBorder="1" applyAlignment="1">
      <alignment horizontal="right" vertical="center"/>
    </xf>
    <xf numFmtId="165" fontId="7" fillId="15" borderId="1" xfId="1" applyNumberFormat="1" applyFont="1" applyFill="1" applyBorder="1" applyAlignment="1">
      <alignment horizontal="center" vertical="center"/>
    </xf>
    <xf numFmtId="165" fontId="7" fillId="15" borderId="12" xfId="1" quotePrefix="1" applyNumberFormat="1" applyFont="1" applyFill="1" applyBorder="1" applyAlignment="1">
      <alignment horizontal="center" vertical="center"/>
    </xf>
    <xf numFmtId="165" fontId="7" fillId="15" borderId="12" xfId="1" applyNumberFormat="1" applyFont="1" applyFill="1" applyBorder="1" applyAlignment="1">
      <alignment horizontal="center" vertical="center"/>
    </xf>
    <xf numFmtId="3" fontId="7" fillId="15" borderId="1" xfId="0" quotePrefix="1" applyNumberFormat="1" applyFont="1" applyFill="1" applyBorder="1" applyAlignment="1">
      <alignment horizontal="right" vertical="center"/>
    </xf>
    <xf numFmtId="165" fontId="7" fillId="12" borderId="1" xfId="1" applyNumberFormat="1" applyFont="1" applyFill="1" applyBorder="1" applyAlignment="1">
      <alignment horizontal="center" vertical="center"/>
    </xf>
    <xf numFmtId="166" fontId="26" fillId="0" borderId="0" xfId="0" applyNumberFormat="1" applyFont="1" applyProtection="1">
      <protection locked="0"/>
    </xf>
    <xf numFmtId="165" fontId="7" fillId="10" borderId="17" xfId="1" applyNumberFormat="1" applyFont="1" applyFill="1" applyBorder="1" applyAlignment="1">
      <alignment horizontal="center" vertical="center"/>
    </xf>
    <xf numFmtId="165" fontId="7" fillId="10" borderId="16" xfId="1" quotePrefix="1" applyNumberFormat="1" applyFont="1" applyFill="1" applyBorder="1" applyAlignment="1">
      <alignment horizontal="center" vertical="center"/>
    </xf>
    <xf numFmtId="165" fontId="10" fillId="0" borderId="12" xfId="1" applyNumberFormat="1" applyFont="1" applyFill="1" applyBorder="1" applyAlignment="1">
      <alignment horizontal="center"/>
    </xf>
    <xf numFmtId="165" fontId="9" fillId="0" borderId="1" xfId="1" applyNumberFormat="1" applyFont="1" applyBorder="1" applyAlignment="1">
      <alignment horizontal="center"/>
    </xf>
    <xf numFmtId="0" fontId="9" fillId="0" borderId="15" xfId="0" applyFont="1" applyBorder="1"/>
    <xf numFmtId="0" fontId="9" fillId="0" borderId="2" xfId="0" applyFont="1" applyBorder="1"/>
    <xf numFmtId="165" fontId="9" fillId="0" borderId="31" xfId="1" applyNumberFormat="1" applyFont="1" applyFill="1" applyBorder="1" applyAlignment="1">
      <alignment horizontal="center"/>
    </xf>
    <xf numFmtId="165" fontId="9" fillId="0" borderId="23" xfId="1" applyNumberFormat="1" applyFont="1" applyFill="1" applyBorder="1" applyAlignment="1">
      <alignment horizontal="center"/>
    </xf>
    <xf numFmtId="9" fontId="0" fillId="0" borderId="0" xfId="0" applyNumberFormat="1" applyProtection="1">
      <protection hidden="1"/>
    </xf>
    <xf numFmtId="0" fontId="28" fillId="0" borderId="0" xfId="0" applyFont="1" applyProtection="1">
      <protection hidden="1"/>
    </xf>
    <xf numFmtId="0" fontId="30" fillId="0" borderId="0" xfId="0" applyFont="1"/>
    <xf numFmtId="0" fontId="29" fillId="0" borderId="45" xfId="0" applyFont="1" applyBorder="1" applyAlignment="1">
      <alignment horizontal="center"/>
    </xf>
    <xf numFmtId="0" fontId="0" fillId="0" borderId="45" xfId="0" applyBorder="1"/>
    <xf numFmtId="3" fontId="0" fillId="0" borderId="45" xfId="0" applyNumberFormat="1" applyBorder="1"/>
    <xf numFmtId="165" fontId="7" fillId="14" borderId="14" xfId="1" quotePrefix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65" fontId="7" fillId="15" borderId="13" xfId="1" quotePrefix="1" applyNumberFormat="1" applyFont="1" applyFill="1" applyBorder="1" applyAlignment="1">
      <alignment horizontal="center" vertical="center"/>
    </xf>
    <xf numFmtId="165" fontId="7" fillId="15" borderId="13" xfId="1" applyNumberFormat="1" applyFont="1" applyFill="1" applyBorder="1" applyAlignment="1">
      <alignment horizontal="center" vertical="center"/>
    </xf>
    <xf numFmtId="165" fontId="7" fillId="15" borderId="32" xfId="1" applyNumberFormat="1" applyFont="1" applyFill="1" applyBorder="1" applyAlignment="1">
      <alignment horizontal="center" vertical="center"/>
    </xf>
    <xf numFmtId="165" fontId="7" fillId="12" borderId="13" xfId="1" applyNumberFormat="1" applyFont="1" applyFill="1" applyBorder="1" applyAlignment="1">
      <alignment horizontal="center" vertical="center"/>
    </xf>
    <xf numFmtId="165" fontId="7" fillId="12" borderId="45" xfId="1" applyNumberFormat="1" applyFont="1" applyFill="1" applyBorder="1" applyAlignment="1">
      <alignment horizontal="center" vertical="center"/>
    </xf>
    <xf numFmtId="165" fontId="7" fillId="17" borderId="1" xfId="1" applyNumberFormat="1" applyFont="1" applyFill="1" applyBorder="1" applyAlignment="1">
      <alignment horizontal="center" vertical="center"/>
    </xf>
    <xf numFmtId="165" fontId="7" fillId="17" borderId="1" xfId="1" quotePrefix="1" applyNumberFormat="1" applyFont="1" applyFill="1" applyBorder="1" applyAlignment="1">
      <alignment horizontal="center" vertical="center"/>
    </xf>
    <xf numFmtId="165" fontId="7" fillId="17" borderId="17" xfId="1" quotePrefix="1" applyNumberFormat="1" applyFont="1" applyFill="1" applyBorder="1" applyAlignment="1">
      <alignment horizontal="center" vertical="center"/>
    </xf>
    <xf numFmtId="165" fontId="7" fillId="0" borderId="12" xfId="1" applyNumberFormat="1" applyFont="1" applyFill="1" applyBorder="1" applyAlignment="1">
      <alignment horizontal="center" vertical="center"/>
    </xf>
    <xf numFmtId="165" fontId="7" fillId="18" borderId="1" xfId="1" applyNumberFormat="1" applyFont="1" applyFill="1" applyBorder="1" applyAlignment="1">
      <alignment horizontal="center" vertical="center"/>
    </xf>
    <xf numFmtId="165" fontId="7" fillId="19" borderId="13" xfId="1" quotePrefix="1" applyNumberFormat="1" applyFont="1" applyFill="1" applyBorder="1" applyAlignment="1">
      <alignment horizontal="center" vertical="center"/>
    </xf>
    <xf numFmtId="165" fontId="7" fillId="19" borderId="13" xfId="1" applyNumberFormat="1" applyFont="1" applyFill="1" applyBorder="1" applyAlignment="1">
      <alignment horizontal="center" vertical="center"/>
    </xf>
    <xf numFmtId="165" fontId="7" fillId="5" borderId="10" xfId="1" applyNumberFormat="1" applyFont="1" applyFill="1" applyBorder="1" applyAlignment="1">
      <alignment horizontal="center" vertical="center"/>
    </xf>
    <xf numFmtId="165" fontId="7" fillId="5" borderId="30" xfId="1" applyNumberFormat="1" applyFont="1" applyFill="1" applyBorder="1" applyAlignment="1">
      <alignment horizontal="center" vertical="center"/>
    </xf>
    <xf numFmtId="165" fontId="7" fillId="0" borderId="46" xfId="1" applyNumberFormat="1" applyFont="1" applyBorder="1" applyAlignment="1">
      <alignment horizontal="center"/>
    </xf>
    <xf numFmtId="165" fontId="7" fillId="0" borderId="47" xfId="1" applyNumberFormat="1" applyFont="1" applyBorder="1" applyAlignment="1">
      <alignment horizontal="center"/>
    </xf>
    <xf numFmtId="165" fontId="7" fillId="0" borderId="48" xfId="1" applyNumberFormat="1" applyFont="1" applyBorder="1" applyAlignment="1">
      <alignment horizontal="center"/>
    </xf>
    <xf numFmtId="165" fontId="7" fillId="0" borderId="49" xfId="1" applyNumberFormat="1" applyFont="1" applyFill="1" applyBorder="1" applyAlignment="1">
      <alignment horizontal="center"/>
    </xf>
    <xf numFmtId="165" fontId="7" fillId="0" borderId="50" xfId="1" applyNumberFormat="1" applyFont="1" applyBorder="1" applyAlignment="1">
      <alignment horizontal="center"/>
    </xf>
    <xf numFmtId="165" fontId="7" fillId="0" borderId="51" xfId="1" applyNumberFormat="1" applyFont="1" applyFill="1" applyBorder="1" applyAlignment="1">
      <alignment horizontal="center"/>
    </xf>
    <xf numFmtId="165" fontId="7" fillId="0" borderId="51" xfId="1" applyNumberFormat="1" applyFont="1" applyBorder="1" applyAlignment="1">
      <alignment horizontal="center"/>
    </xf>
    <xf numFmtId="165" fontId="10" fillId="0" borderId="49" xfId="1" applyNumberFormat="1" applyFont="1" applyFill="1" applyBorder="1" applyAlignment="1">
      <alignment horizontal="center"/>
    </xf>
    <xf numFmtId="165" fontId="9" fillId="0" borderId="51" xfId="1" applyNumberFormat="1" applyFont="1" applyBorder="1" applyAlignment="1">
      <alignment horizontal="center"/>
    </xf>
    <xf numFmtId="165" fontId="7" fillId="0" borderId="52" xfId="1" applyNumberFormat="1" applyFont="1" applyFill="1" applyBorder="1" applyAlignment="1">
      <alignment horizontal="center"/>
    </xf>
    <xf numFmtId="165" fontId="7" fillId="0" borderId="53" xfId="1" applyNumberFormat="1" applyFont="1" applyFill="1" applyBorder="1" applyAlignment="1">
      <alignment horizontal="center"/>
    </xf>
    <xf numFmtId="165" fontId="7" fillId="0" borderId="53" xfId="1" applyNumberFormat="1" applyFont="1" applyBorder="1" applyAlignment="1">
      <alignment horizontal="center"/>
    </xf>
    <xf numFmtId="165" fontId="7" fillId="0" borderId="54" xfId="1" applyNumberFormat="1" applyFont="1" applyFill="1" applyBorder="1" applyAlignment="1">
      <alignment horizontal="center"/>
    </xf>
    <xf numFmtId="165" fontId="7" fillId="0" borderId="13" xfId="1" applyNumberFormat="1" applyFont="1" applyFill="1" applyBorder="1" applyAlignment="1">
      <alignment horizontal="center" vertical="center"/>
    </xf>
    <xf numFmtId="165" fontId="27" fillId="0" borderId="1" xfId="1" quotePrefix="1" applyNumberFormat="1" applyFont="1" applyFill="1" applyBorder="1" applyAlignment="1">
      <alignment horizontal="center" vertical="center"/>
    </xf>
    <xf numFmtId="165" fontId="7" fillId="0" borderId="32" xfId="1" applyNumberFormat="1" applyFont="1" applyFill="1" applyBorder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left"/>
    </xf>
    <xf numFmtId="0" fontId="34" fillId="0" borderId="0" xfId="0" applyFont="1"/>
    <xf numFmtId="17" fontId="22" fillId="0" borderId="0" xfId="0" quotePrefix="1" applyNumberFormat="1" applyFont="1" applyAlignment="1">
      <alignment horizontal="left"/>
    </xf>
    <xf numFmtId="3" fontId="34" fillId="0" borderId="1" xfId="0" quotePrefix="1" applyNumberFormat="1" applyFont="1" applyBorder="1" applyAlignment="1">
      <alignment horizontal="center" vertical="center"/>
    </xf>
    <xf numFmtId="3" fontId="34" fillId="2" borderId="1" xfId="0" quotePrefix="1" applyNumberFormat="1" applyFont="1" applyFill="1" applyBorder="1" applyAlignment="1">
      <alignment horizontal="center" vertical="center"/>
    </xf>
    <xf numFmtId="3" fontId="34" fillId="3" borderId="1" xfId="0" quotePrefix="1" applyNumberFormat="1" applyFont="1" applyFill="1" applyBorder="1" applyAlignment="1">
      <alignment horizontal="center" vertical="center"/>
    </xf>
    <xf numFmtId="0" fontId="22" fillId="4" borderId="2" xfId="3" applyFont="1" applyFill="1" applyBorder="1" applyAlignment="1">
      <alignment horizontal="center"/>
    </xf>
    <xf numFmtId="0" fontId="22" fillId="4" borderId="3" xfId="3" applyFont="1" applyFill="1" applyBorder="1" applyAlignment="1">
      <alignment horizontal="center"/>
    </xf>
    <xf numFmtId="0" fontId="22" fillId="4" borderId="4" xfId="3" applyFont="1" applyFill="1" applyBorder="1" applyAlignment="1">
      <alignment horizontal="center"/>
    </xf>
    <xf numFmtId="0" fontId="22" fillId="4" borderId="5" xfId="3" applyFont="1" applyFill="1" applyBorder="1" applyAlignment="1">
      <alignment horizontal="center"/>
    </xf>
    <xf numFmtId="0" fontId="13" fillId="0" borderId="19" xfId="0" applyFont="1" applyBorder="1" applyAlignment="1">
      <alignment horizontal="center"/>
    </xf>
    <xf numFmtId="165" fontId="34" fillId="3" borderId="7" xfId="1" quotePrefix="1" applyNumberFormat="1" applyFont="1" applyFill="1" applyBorder="1" applyAlignment="1">
      <alignment horizontal="center" vertical="center"/>
    </xf>
    <xf numFmtId="165" fontId="34" fillId="7" borderId="8" xfId="1" quotePrefix="1" applyNumberFormat="1" applyFont="1" applyFill="1" applyBorder="1" applyAlignment="1">
      <alignment horizontal="center" vertical="center"/>
    </xf>
    <xf numFmtId="3" fontId="34" fillId="16" borderId="8" xfId="0" applyNumberFormat="1" applyFont="1" applyFill="1" applyBorder="1" applyAlignment="1">
      <alignment horizontal="right" vertical="center"/>
    </xf>
    <xf numFmtId="165" fontId="34" fillId="4" borderId="8" xfId="1" quotePrefix="1" applyNumberFormat="1" applyFont="1" applyFill="1" applyBorder="1" applyAlignment="1">
      <alignment horizontal="center" vertical="center"/>
    </xf>
    <xf numFmtId="165" fontId="34" fillId="0" borderId="1" xfId="1" quotePrefix="1" applyNumberFormat="1" applyFont="1" applyFill="1" applyBorder="1" applyAlignment="1">
      <alignment horizontal="center" vertical="center"/>
    </xf>
    <xf numFmtId="165" fontId="34" fillId="0" borderId="9" xfId="1" quotePrefix="1" applyNumberFormat="1" applyFont="1" applyFill="1" applyBorder="1" applyAlignment="1">
      <alignment horizontal="center" vertical="center"/>
    </xf>
    <xf numFmtId="165" fontId="34" fillId="7" borderId="1" xfId="1" quotePrefix="1" applyNumberFormat="1" applyFont="1" applyFill="1" applyBorder="1" applyAlignment="1">
      <alignment horizontal="center" vertical="center"/>
    </xf>
    <xf numFmtId="165" fontId="34" fillId="0" borderId="7" xfId="1" quotePrefix="1" applyNumberFormat="1" applyFont="1" applyFill="1" applyBorder="1" applyAlignment="1">
      <alignment horizontal="center" vertical="center"/>
    </xf>
    <xf numFmtId="165" fontId="34" fillId="3" borderId="9" xfId="1" quotePrefix="1" applyNumberFormat="1" applyFont="1" applyFill="1" applyBorder="1" applyAlignment="1">
      <alignment horizontal="center" vertical="center"/>
    </xf>
    <xf numFmtId="165" fontId="34" fillId="0" borderId="10" xfId="1" quotePrefix="1" applyNumberFormat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165" fontId="34" fillId="5" borderId="7" xfId="1" quotePrefix="1" applyNumberFormat="1" applyFont="1" applyFill="1" applyBorder="1" applyAlignment="1">
      <alignment horizontal="center" vertical="center"/>
    </xf>
    <xf numFmtId="3" fontId="34" fillId="0" borderId="1" xfId="0" applyNumberFormat="1" applyFont="1" applyBorder="1" applyAlignment="1">
      <alignment horizontal="right" vertical="center"/>
    </xf>
    <xf numFmtId="165" fontId="34" fillId="4" borderId="1" xfId="1" quotePrefix="1" applyNumberFormat="1" applyFont="1" applyFill="1" applyBorder="1" applyAlignment="1">
      <alignment horizontal="center" vertical="center"/>
    </xf>
    <xf numFmtId="165" fontId="34" fillId="0" borderId="13" xfId="1" quotePrefix="1" applyNumberFormat="1" applyFont="1" applyFill="1" applyBorder="1" applyAlignment="1">
      <alignment horizontal="center" vertical="center"/>
    </xf>
    <xf numFmtId="165" fontId="34" fillId="0" borderId="12" xfId="1" quotePrefix="1" applyNumberFormat="1" applyFont="1" applyFill="1" applyBorder="1" applyAlignment="1">
      <alignment horizontal="center" vertical="center"/>
    </xf>
    <xf numFmtId="165" fontId="34" fillId="3" borderId="13" xfId="1" quotePrefix="1" applyNumberFormat="1" applyFont="1" applyFill="1" applyBorder="1" applyAlignment="1">
      <alignment horizontal="center" vertical="center"/>
    </xf>
    <xf numFmtId="165" fontId="34" fillId="0" borderId="14" xfId="1" quotePrefix="1" applyNumberFormat="1" applyFont="1" applyFill="1" applyBorder="1" applyAlignment="1">
      <alignment horizontal="center" vertical="center"/>
    </xf>
    <xf numFmtId="165" fontId="34" fillId="7" borderId="12" xfId="1" quotePrefix="1" applyNumberFormat="1" applyFont="1" applyFill="1" applyBorder="1" applyAlignment="1">
      <alignment horizontal="center" vertical="center"/>
    </xf>
    <xf numFmtId="165" fontId="34" fillId="4" borderId="13" xfId="1" quotePrefix="1" applyNumberFormat="1" applyFont="1" applyFill="1" applyBorder="1" applyAlignment="1">
      <alignment horizontal="center" vertical="center"/>
    </xf>
    <xf numFmtId="165" fontId="35" fillId="4" borderId="1" xfId="1" applyNumberFormat="1" applyFont="1" applyFill="1" applyBorder="1" applyAlignment="1">
      <alignment horizontal="center" vertical="center"/>
    </xf>
    <xf numFmtId="165" fontId="35" fillId="7" borderId="1" xfId="1" quotePrefix="1" applyNumberFormat="1" applyFont="1" applyFill="1" applyBorder="1" applyAlignment="1">
      <alignment horizontal="center" vertical="center"/>
    </xf>
    <xf numFmtId="165" fontId="34" fillId="7" borderId="14" xfId="1" quotePrefix="1" applyNumberFormat="1" applyFont="1" applyFill="1" applyBorder="1" applyAlignment="1">
      <alignment horizontal="center" vertical="center"/>
    </xf>
    <xf numFmtId="165" fontId="34" fillId="7" borderId="0" xfId="0" applyNumberFormat="1" applyFont="1" applyFill="1" applyAlignment="1">
      <alignment horizontal="right" vertical="center"/>
    </xf>
    <xf numFmtId="3" fontId="34" fillId="16" borderId="1" xfId="0" applyNumberFormat="1" applyFont="1" applyFill="1" applyBorder="1" applyAlignment="1">
      <alignment horizontal="right" vertical="center"/>
    </xf>
    <xf numFmtId="165" fontId="34" fillId="7" borderId="13" xfId="1" quotePrefix="1" applyNumberFormat="1" applyFont="1" applyFill="1" applyBorder="1" applyAlignment="1">
      <alignment horizontal="center" vertical="center"/>
    </xf>
    <xf numFmtId="165" fontId="34" fillId="0" borderId="30" xfId="1" quotePrefix="1" applyNumberFormat="1" applyFont="1" applyFill="1" applyBorder="1" applyAlignment="1">
      <alignment horizontal="center" vertical="center"/>
    </xf>
    <xf numFmtId="165" fontId="35" fillId="4" borderId="1" xfId="1" applyNumberFormat="1" applyFont="1" applyFill="1" applyBorder="1" applyAlignment="1">
      <alignment horizontal="center"/>
    </xf>
    <xf numFmtId="165" fontId="34" fillId="3" borderId="14" xfId="1" quotePrefix="1" applyNumberFormat="1" applyFont="1" applyFill="1" applyBorder="1" applyAlignment="1">
      <alignment horizontal="center" vertical="center"/>
    </xf>
    <xf numFmtId="165" fontId="35" fillId="7" borderId="12" xfId="1" quotePrefix="1" applyNumberFormat="1" applyFont="1" applyFill="1" applyBorder="1" applyAlignment="1">
      <alignment horizontal="center" vertical="center"/>
    </xf>
    <xf numFmtId="165" fontId="34" fillId="3" borderId="1" xfId="1" quotePrefix="1" applyNumberFormat="1" applyFont="1" applyFill="1" applyBorder="1" applyAlignment="1">
      <alignment horizontal="center" vertical="center"/>
    </xf>
    <xf numFmtId="165" fontId="34" fillId="3" borderId="12" xfId="1" quotePrefix="1" applyNumberFormat="1" applyFont="1" applyFill="1" applyBorder="1" applyAlignment="1">
      <alignment horizontal="center" vertical="center"/>
    </xf>
    <xf numFmtId="165" fontId="34" fillId="4" borderId="1" xfId="1" applyNumberFormat="1" applyFont="1" applyFill="1" applyBorder="1" applyAlignment="1">
      <alignment horizontal="center" vertical="center"/>
    </xf>
    <xf numFmtId="0" fontId="22" fillId="0" borderId="15" xfId="0" applyFont="1" applyBorder="1" applyAlignment="1">
      <alignment horizontal="center"/>
    </xf>
    <xf numFmtId="165" fontId="34" fillId="0" borderId="16" xfId="1" quotePrefix="1" applyNumberFormat="1" applyFont="1" applyFill="1" applyBorder="1" applyAlignment="1">
      <alignment horizontal="center" vertical="center"/>
    </xf>
    <xf numFmtId="165" fontId="34" fillId="4" borderId="17" xfId="1" applyNumberFormat="1" applyFont="1" applyFill="1" applyBorder="1" applyAlignment="1">
      <alignment horizontal="center" vertical="center"/>
    </xf>
    <xf numFmtId="165" fontId="34" fillId="4" borderId="17" xfId="1" quotePrefix="1" applyNumberFormat="1" applyFont="1" applyFill="1" applyBorder="1" applyAlignment="1">
      <alignment horizontal="center" vertical="center"/>
    </xf>
    <xf numFmtId="165" fontId="34" fillId="3" borderId="32" xfId="1" quotePrefix="1" applyNumberFormat="1" applyFont="1" applyFill="1" applyBorder="1" applyAlignment="1">
      <alignment horizontal="center" vertical="center"/>
    </xf>
    <xf numFmtId="165" fontId="34" fillId="3" borderId="18" xfId="1" quotePrefix="1" applyNumberFormat="1" applyFont="1" applyFill="1" applyBorder="1" applyAlignment="1">
      <alignment horizontal="center" vertical="center"/>
    </xf>
    <xf numFmtId="165" fontId="34" fillId="4" borderId="16" xfId="1" quotePrefix="1" applyNumberFormat="1" applyFont="1" applyFill="1" applyBorder="1" applyAlignment="1">
      <alignment horizontal="center" vertical="center"/>
    </xf>
    <xf numFmtId="165" fontId="34" fillId="7" borderId="18" xfId="1" quotePrefix="1" applyNumberFormat="1" applyFont="1" applyFill="1" applyBorder="1" applyAlignment="1">
      <alignment horizontal="center" vertical="center"/>
    </xf>
    <xf numFmtId="0" fontId="22" fillId="0" borderId="19" xfId="0" applyFont="1" applyBorder="1" applyAlignment="1">
      <alignment horizontal="left"/>
    </xf>
    <xf numFmtId="165" fontId="34" fillId="0" borderId="25" xfId="1" applyNumberFormat="1" applyFont="1" applyBorder="1" applyAlignment="1">
      <alignment horizontal="center"/>
    </xf>
    <xf numFmtId="165" fontId="34" fillId="0" borderId="33" xfId="1" applyNumberFormat="1" applyFont="1" applyBorder="1" applyAlignment="1">
      <alignment horizontal="center"/>
    </xf>
    <xf numFmtId="165" fontId="34" fillId="0" borderId="36" xfId="1" applyNumberFormat="1" applyFont="1" applyBorder="1" applyAlignment="1">
      <alignment horizontal="center"/>
    </xf>
    <xf numFmtId="0" fontId="22" fillId="0" borderId="11" xfId="0" applyFont="1" applyBorder="1" applyAlignment="1">
      <alignment horizontal="left"/>
    </xf>
    <xf numFmtId="165" fontId="34" fillId="0" borderId="26" xfId="1" applyNumberFormat="1" applyFont="1" applyFill="1" applyBorder="1" applyAlignment="1">
      <alignment horizontal="center"/>
    </xf>
    <xf numFmtId="165" fontId="34" fillId="0" borderId="1" xfId="1" applyNumberFormat="1" applyFont="1" applyFill="1" applyBorder="1" applyAlignment="1">
      <alignment horizontal="center"/>
    </xf>
    <xf numFmtId="0" fontId="22" fillId="0" borderId="11" xfId="0" applyFont="1" applyBorder="1"/>
    <xf numFmtId="165" fontId="34" fillId="0" borderId="1" xfId="1" applyNumberFormat="1" applyFont="1" applyBorder="1" applyAlignment="1">
      <alignment horizontal="center"/>
    </xf>
    <xf numFmtId="165" fontId="34" fillId="0" borderId="12" xfId="1" applyNumberFormat="1" applyFont="1" applyFill="1" applyBorder="1" applyAlignment="1">
      <alignment horizontal="center"/>
    </xf>
    <xf numFmtId="165" fontId="34" fillId="0" borderId="35" xfId="1" applyNumberFormat="1" applyFont="1" applyFill="1" applyBorder="1" applyAlignment="1">
      <alignment horizontal="center"/>
    </xf>
    <xf numFmtId="165" fontId="34" fillId="0" borderId="14" xfId="1" applyNumberFormat="1" applyFont="1" applyFill="1" applyBorder="1" applyAlignment="1">
      <alignment horizontal="center"/>
    </xf>
    <xf numFmtId="0" fontId="22" fillId="0" borderId="21" xfId="0" applyFont="1" applyBorder="1"/>
    <xf numFmtId="165" fontId="34" fillId="0" borderId="27" xfId="1" applyNumberFormat="1" applyFont="1" applyFill="1" applyBorder="1" applyAlignment="1">
      <alignment horizontal="center"/>
    </xf>
    <xf numFmtId="165" fontId="34" fillId="0" borderId="18" xfId="1" applyNumberFormat="1" applyFont="1" applyFill="1" applyBorder="1" applyAlignment="1">
      <alignment horizontal="center"/>
    </xf>
    <xf numFmtId="165" fontId="34" fillId="0" borderId="18" xfId="1" applyNumberFormat="1" applyFont="1" applyBorder="1" applyAlignment="1">
      <alignment horizontal="center"/>
    </xf>
    <xf numFmtId="165" fontId="35" fillId="0" borderId="24" xfId="1" applyNumberFormat="1" applyFont="1" applyBorder="1" applyAlignment="1">
      <alignment horizontal="center"/>
    </xf>
    <xf numFmtId="9" fontId="0" fillId="0" borderId="0" xfId="0" applyNumberFormat="1"/>
    <xf numFmtId="166" fontId="7" fillId="0" borderId="45" xfId="1" quotePrefix="1" applyNumberFormat="1" applyFont="1" applyFill="1" applyBorder="1" applyAlignment="1">
      <alignment horizontal="center" vertical="center"/>
    </xf>
    <xf numFmtId="166" fontId="7" fillId="6" borderId="45" xfId="1" quotePrefix="1" applyNumberFormat="1" applyFont="1" applyFill="1" applyBorder="1" applyAlignment="1">
      <alignment horizontal="center" vertical="center"/>
    </xf>
    <xf numFmtId="166" fontId="7" fillId="7" borderId="45" xfId="1" quotePrefix="1" applyNumberFormat="1" applyFont="1" applyFill="1" applyBorder="1" applyAlignment="1">
      <alignment horizontal="center" vertical="center"/>
    </xf>
    <xf numFmtId="166" fontId="11" fillId="0" borderId="45" xfId="1" applyNumberFormat="1" applyFont="1" applyFill="1" applyBorder="1"/>
    <xf numFmtId="166" fontId="7" fillId="7" borderId="45" xfId="1" applyNumberFormat="1" applyFont="1" applyFill="1" applyBorder="1"/>
    <xf numFmtId="166" fontId="7" fillId="3" borderId="45" xfId="1" quotePrefix="1" applyNumberFormat="1" applyFont="1" applyFill="1" applyBorder="1" applyAlignment="1">
      <alignment horizontal="center" vertical="center"/>
    </xf>
    <xf numFmtId="166" fontId="7" fillId="6" borderId="17" xfId="1" quotePrefix="1" applyNumberFormat="1" applyFont="1" applyFill="1" applyBorder="1" applyAlignment="1">
      <alignment horizontal="center" vertical="center"/>
    </xf>
    <xf numFmtId="166" fontId="7" fillId="0" borderId="17" xfId="1" quotePrefix="1" applyNumberFormat="1" applyFont="1" applyFill="1" applyBorder="1" applyAlignment="1">
      <alignment horizontal="center" vertical="center"/>
    </xf>
    <xf numFmtId="166" fontId="7" fillId="7" borderId="17" xfId="1" quotePrefix="1" applyNumberFormat="1" applyFont="1" applyFill="1" applyBorder="1" applyAlignment="1">
      <alignment horizontal="center" vertical="center"/>
    </xf>
    <xf numFmtId="166" fontId="11" fillId="7" borderId="17" xfId="1" applyNumberFormat="1" applyFont="1" applyFill="1" applyBorder="1"/>
    <xf numFmtId="166" fontId="7" fillId="7" borderId="17" xfId="1" applyNumberFormat="1" applyFont="1" applyFill="1" applyBorder="1"/>
    <xf numFmtId="166" fontId="7" fillId="3" borderId="17" xfId="1" quotePrefix="1" applyNumberFormat="1" applyFont="1" applyFill="1" applyBorder="1" applyAlignment="1">
      <alignment horizontal="center" vertical="center"/>
    </xf>
    <xf numFmtId="166" fontId="11" fillId="0" borderId="17" xfId="1" applyNumberFormat="1" applyFont="1" applyFill="1" applyBorder="1"/>
    <xf numFmtId="166" fontId="7" fillId="3" borderId="56" xfId="1" quotePrefix="1" applyNumberFormat="1" applyFont="1" applyFill="1" applyBorder="1" applyAlignment="1">
      <alignment horizontal="center" vertical="center"/>
    </xf>
    <xf numFmtId="166" fontId="7" fillId="0" borderId="56" xfId="1" quotePrefix="1" applyNumberFormat="1" applyFont="1" applyFill="1" applyBorder="1" applyAlignment="1">
      <alignment horizontal="center" vertical="center"/>
    </xf>
    <xf numFmtId="166" fontId="7" fillId="7" borderId="56" xfId="1" quotePrefix="1" applyNumberFormat="1" applyFont="1" applyFill="1" applyBorder="1" applyAlignment="1">
      <alignment horizontal="center" vertical="center"/>
    </xf>
    <xf numFmtId="166" fontId="11" fillId="7" borderId="56" xfId="1" applyNumberFormat="1" applyFont="1" applyFill="1" applyBorder="1"/>
    <xf numFmtId="166" fontId="11" fillId="0" borderId="56" xfId="1" applyNumberFormat="1" applyFont="1" applyFill="1" applyBorder="1"/>
    <xf numFmtId="166" fontId="7" fillId="3" borderId="46" xfId="1" quotePrefix="1" applyNumberFormat="1" applyFont="1" applyFill="1" applyBorder="1" applyAlignment="1">
      <alignment horizontal="center" vertical="center"/>
    </xf>
    <xf numFmtId="166" fontId="7" fillId="0" borderId="57" xfId="1" quotePrefix="1" applyNumberFormat="1" applyFont="1" applyFill="1" applyBorder="1" applyAlignment="1">
      <alignment horizontal="center" vertical="center"/>
    </xf>
    <xf numFmtId="166" fontId="7" fillId="7" borderId="57" xfId="1" quotePrefix="1" applyNumberFormat="1" applyFont="1" applyFill="1" applyBorder="1" applyAlignment="1">
      <alignment horizontal="center" vertical="center"/>
    </xf>
    <xf numFmtId="166" fontId="7" fillId="3" borderId="57" xfId="1" quotePrefix="1" applyNumberFormat="1" applyFont="1" applyFill="1" applyBorder="1" applyAlignment="1">
      <alignment horizontal="center" vertical="center"/>
    </xf>
    <xf numFmtId="166" fontId="11" fillId="7" borderId="57" xfId="1" applyNumberFormat="1" applyFont="1" applyFill="1" applyBorder="1"/>
    <xf numFmtId="166" fontId="11" fillId="0" borderId="57" xfId="1" applyNumberFormat="1" applyFont="1" applyFill="1" applyBorder="1"/>
    <xf numFmtId="166" fontId="11" fillId="7" borderId="48" xfId="1" applyNumberFormat="1" applyFont="1" applyFill="1" applyBorder="1"/>
    <xf numFmtId="166" fontId="7" fillId="0" borderId="49" xfId="1" quotePrefix="1" applyNumberFormat="1" applyFont="1" applyFill="1" applyBorder="1" applyAlignment="1">
      <alignment horizontal="center" vertical="center"/>
    </xf>
    <xf numFmtId="166" fontId="11" fillId="7" borderId="51" xfId="1" applyNumberFormat="1" applyFont="1" applyFill="1" applyBorder="1"/>
    <xf numFmtId="166" fontId="7" fillId="0" borderId="51" xfId="1" quotePrefix="1" applyNumberFormat="1" applyFont="1" applyFill="1" applyBorder="1" applyAlignment="1">
      <alignment horizontal="center" vertical="center"/>
    </xf>
    <xf numFmtId="166" fontId="11" fillId="0" borderId="51" xfId="1" applyNumberFormat="1" applyFont="1" applyFill="1" applyBorder="1"/>
    <xf numFmtId="166" fontId="7" fillId="7" borderId="49" xfId="1" quotePrefix="1" applyNumberFormat="1" applyFont="1" applyFill="1" applyBorder="1" applyAlignment="1">
      <alignment horizontal="center" vertical="center"/>
    </xf>
    <xf numFmtId="166" fontId="7" fillId="3" borderId="51" xfId="1" quotePrefix="1" applyNumberFormat="1" applyFont="1" applyFill="1" applyBorder="1" applyAlignment="1">
      <alignment horizontal="center" vertical="center"/>
    </xf>
    <xf numFmtId="166" fontId="7" fillId="0" borderId="58" xfId="1" quotePrefix="1" applyNumberFormat="1" applyFont="1" applyFill="1" applyBorder="1" applyAlignment="1">
      <alignment horizontal="center" vertical="center"/>
    </xf>
    <xf numFmtId="166" fontId="11" fillId="7" borderId="59" xfId="1" applyNumberFormat="1" applyFont="1" applyFill="1" applyBorder="1"/>
    <xf numFmtId="166" fontId="7" fillId="0" borderId="60" xfId="1" quotePrefix="1" applyNumberFormat="1" applyFont="1" applyFill="1" applyBorder="1" applyAlignment="1">
      <alignment horizontal="center" vertical="center"/>
    </xf>
    <xf numFmtId="166" fontId="7" fillId="7" borderId="61" xfId="1" quotePrefix="1" applyNumberFormat="1" applyFont="1" applyFill="1" applyBorder="1" applyAlignment="1">
      <alignment horizontal="center" vertical="center"/>
    </xf>
    <xf numFmtId="166" fontId="7" fillId="3" borderId="62" xfId="1" quotePrefix="1" applyNumberFormat="1" applyFont="1" applyFill="1" applyBorder="1" applyAlignment="1">
      <alignment horizontal="center" vertical="center"/>
    </xf>
    <xf numFmtId="166" fontId="11" fillId="7" borderId="63" xfId="1" applyNumberFormat="1" applyFont="1" applyFill="1" applyBorder="1"/>
    <xf numFmtId="165" fontId="7" fillId="0" borderId="64" xfId="1" applyNumberFormat="1" applyFont="1" applyBorder="1" applyAlignment="1">
      <alignment horizontal="center"/>
    </xf>
    <xf numFmtId="165" fontId="7" fillId="0" borderId="65" xfId="1" applyNumberFormat="1" applyFont="1" applyBorder="1" applyAlignment="1">
      <alignment horizontal="center"/>
    </xf>
    <xf numFmtId="165" fontId="11" fillId="0" borderId="51" xfId="1" applyNumberFormat="1" applyFont="1" applyFill="1" applyBorder="1" applyAlignment="1">
      <alignment horizontal="center"/>
    </xf>
    <xf numFmtId="165" fontId="7" fillId="0" borderId="64" xfId="1" applyNumberFormat="1" applyFont="1" applyFill="1" applyBorder="1" applyAlignment="1">
      <alignment horizontal="center"/>
    </xf>
    <xf numFmtId="165" fontId="11" fillId="0" borderId="50" xfId="1" applyNumberFormat="1" applyFont="1" applyBorder="1" applyAlignment="1">
      <alignment horizontal="center"/>
    </xf>
    <xf numFmtId="165" fontId="7" fillId="0" borderId="66" xfId="1" applyNumberFormat="1" applyFont="1" applyFill="1" applyBorder="1" applyAlignment="1">
      <alignment horizontal="center"/>
    </xf>
    <xf numFmtId="165" fontId="7" fillId="0" borderId="67" xfId="1" applyNumberFormat="1" applyFont="1" applyBorder="1" applyAlignment="1">
      <alignment horizontal="center"/>
    </xf>
    <xf numFmtId="165" fontId="11" fillId="0" borderId="68" xfId="1" applyNumberFormat="1" applyFont="1" applyBorder="1" applyAlignment="1">
      <alignment horizontal="center"/>
    </xf>
    <xf numFmtId="0" fontId="9" fillId="0" borderId="69" xfId="0" applyFont="1" applyBorder="1" applyAlignment="1">
      <alignment horizontal="left"/>
    </xf>
    <xf numFmtId="0" fontId="9" fillId="0" borderId="39" xfId="0" applyFont="1" applyBorder="1" applyAlignment="1">
      <alignment horizontal="left"/>
    </xf>
    <xf numFmtId="0" fontId="9" fillId="0" borderId="39" xfId="0" applyFont="1" applyBorder="1"/>
    <xf numFmtId="0" fontId="9" fillId="0" borderId="70" xfId="0" applyFont="1" applyBorder="1"/>
    <xf numFmtId="3" fontId="7" fillId="19" borderId="1" xfId="0" quotePrefix="1" applyNumberFormat="1" applyFont="1" applyFill="1" applyBorder="1" applyAlignment="1">
      <alignment horizontal="right" vertical="center"/>
    </xf>
    <xf numFmtId="3" fontId="7" fillId="19" borderId="1" xfId="0" applyNumberFormat="1" applyFont="1" applyFill="1" applyBorder="1" applyAlignment="1">
      <alignment horizontal="right" vertical="center"/>
    </xf>
    <xf numFmtId="165" fontId="7" fillId="19" borderId="1" xfId="1" quotePrefix="1" applyNumberFormat="1" applyFont="1" applyFill="1" applyBorder="1" applyAlignment="1">
      <alignment horizontal="center" vertical="center"/>
    </xf>
    <xf numFmtId="165" fontId="7" fillId="22" borderId="1" xfId="1" quotePrefix="1" applyNumberFormat="1" applyFont="1" applyFill="1" applyBorder="1" applyAlignment="1">
      <alignment horizontal="center" vertical="center"/>
    </xf>
    <xf numFmtId="165" fontId="7" fillId="19" borderId="1" xfId="1" applyNumberFormat="1" applyFont="1" applyFill="1" applyBorder="1" applyAlignment="1">
      <alignment horizontal="center" vertical="center"/>
    </xf>
    <xf numFmtId="165" fontId="7" fillId="22" borderId="17" xfId="1" applyNumberFormat="1" applyFont="1" applyFill="1" applyBorder="1" applyAlignment="1">
      <alignment horizontal="center" vertical="center"/>
    </xf>
    <xf numFmtId="3" fontId="7" fillId="0" borderId="8" xfId="0" applyNumberFormat="1" applyFont="1" applyBorder="1" applyAlignment="1">
      <alignment vertical="center"/>
    </xf>
    <xf numFmtId="3" fontId="7" fillId="20" borderId="8" xfId="0" applyNumberFormat="1" applyFont="1" applyFill="1" applyBorder="1" applyAlignment="1">
      <alignment vertical="center"/>
    </xf>
    <xf numFmtId="3" fontId="32" fillId="0" borderId="1" xfId="0" applyNumberFormat="1" applyFont="1" applyBorder="1" applyAlignment="1">
      <alignment vertical="center"/>
    </xf>
    <xf numFmtId="3" fontId="7" fillId="19" borderId="8" xfId="0" applyNumberFormat="1" applyFont="1" applyFill="1" applyBorder="1" applyAlignment="1">
      <alignment vertical="center"/>
    </xf>
    <xf numFmtId="3" fontId="7" fillId="14" borderId="8" xfId="0" applyNumberFormat="1" applyFont="1" applyFill="1" applyBorder="1" applyAlignment="1">
      <alignment vertical="center"/>
    </xf>
    <xf numFmtId="0" fontId="7" fillId="21" borderId="8" xfId="0" applyFont="1" applyFill="1" applyBorder="1" applyAlignment="1">
      <alignment vertical="center"/>
    </xf>
    <xf numFmtId="0" fontId="7" fillId="21" borderId="55" xfId="0" applyFont="1" applyFill="1" applyBorder="1" applyAlignment="1">
      <alignment vertical="center"/>
    </xf>
    <xf numFmtId="165" fontId="7" fillId="0" borderId="46" xfId="1" applyNumberFormat="1" applyFont="1" applyBorder="1" applyAlignment="1">
      <alignment horizontal="center" vertical="center"/>
    </xf>
    <xf numFmtId="3" fontId="7" fillId="0" borderId="47" xfId="0" applyNumberFormat="1" applyFont="1" applyBorder="1" applyAlignment="1">
      <alignment vertical="center"/>
    </xf>
    <xf numFmtId="165" fontId="7" fillId="0" borderId="47" xfId="1" applyNumberFormat="1" applyFont="1" applyBorder="1" applyAlignment="1">
      <alignment horizontal="center" vertical="center"/>
    </xf>
    <xf numFmtId="165" fontId="7" fillId="0" borderId="49" xfId="1" applyNumberFormat="1" applyFont="1" applyFill="1" applyBorder="1" applyAlignment="1">
      <alignment horizontal="center" vertical="center"/>
    </xf>
    <xf numFmtId="165" fontId="10" fillId="0" borderId="49" xfId="1" applyNumberFormat="1" applyFont="1" applyFill="1" applyBorder="1" applyAlignment="1">
      <alignment horizontal="center" vertical="center"/>
    </xf>
    <xf numFmtId="3" fontId="33" fillId="0" borderId="7" xfId="0" applyNumberFormat="1" applyFont="1" applyBorder="1" applyAlignment="1">
      <alignment vertical="center"/>
    </xf>
    <xf numFmtId="165" fontId="7" fillId="0" borderId="52" xfId="1" applyNumberFormat="1" applyFont="1" applyFill="1" applyBorder="1" applyAlignment="1">
      <alignment horizontal="center" vertical="center"/>
    </xf>
    <xf numFmtId="165" fontId="7" fillId="0" borderId="53" xfId="1" applyNumberFormat="1" applyFont="1" applyFill="1" applyBorder="1" applyAlignment="1">
      <alignment horizontal="center" vertical="center"/>
    </xf>
    <xf numFmtId="165" fontId="7" fillId="0" borderId="53" xfId="1" applyNumberFormat="1" applyFont="1" applyBorder="1" applyAlignment="1">
      <alignment horizontal="center" vertical="center"/>
    </xf>
    <xf numFmtId="165" fontId="9" fillId="0" borderId="66" xfId="1" applyNumberFormat="1" applyFont="1" applyFill="1" applyBorder="1" applyAlignment="1">
      <alignment horizontal="center" vertical="center"/>
    </xf>
    <xf numFmtId="165" fontId="9" fillId="0" borderId="67" xfId="1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/>
    </xf>
    <xf numFmtId="165" fontId="7" fillId="0" borderId="0" xfId="1" quotePrefix="1" applyNumberFormat="1" applyFont="1" applyFill="1" applyBorder="1" applyAlignment="1">
      <alignment horizontal="center" vertical="center"/>
    </xf>
    <xf numFmtId="165" fontId="11" fillId="0" borderId="0" xfId="1" applyNumberFormat="1" applyFont="1" applyFill="1" applyBorder="1" applyAlignment="1">
      <alignment horizontal="center" vertical="center"/>
    </xf>
    <xf numFmtId="165" fontId="27" fillId="0" borderId="0" xfId="1" quotePrefix="1" applyNumberFormat="1" applyFont="1" applyFill="1" applyBorder="1" applyAlignment="1">
      <alignment horizontal="center" vertical="center"/>
    </xf>
    <xf numFmtId="165" fontId="7" fillId="0" borderId="72" xfId="1" applyNumberFormat="1" applyFont="1" applyBorder="1" applyAlignment="1">
      <alignment horizontal="center" vertical="center"/>
    </xf>
    <xf numFmtId="165" fontId="7" fillId="0" borderId="73" xfId="1" applyNumberFormat="1" applyFont="1" applyBorder="1" applyAlignment="1">
      <alignment horizontal="center" vertical="center"/>
    </xf>
    <xf numFmtId="3" fontId="33" fillId="0" borderId="73" xfId="0" applyNumberFormat="1" applyFont="1" applyBorder="1" applyAlignment="1">
      <alignment vertical="center"/>
    </xf>
    <xf numFmtId="165" fontId="7" fillId="0" borderId="74" xfId="1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5" fontId="7" fillId="0" borderId="45" xfId="1" applyNumberFormat="1" applyFont="1" applyFill="1" applyBorder="1" applyAlignment="1">
      <alignment horizontal="center" vertical="center"/>
    </xf>
    <xf numFmtId="165" fontId="7" fillId="0" borderId="45" xfId="1" quotePrefix="1" applyNumberFormat="1" applyFont="1" applyFill="1" applyBorder="1" applyAlignment="1">
      <alignment horizontal="center" vertical="center"/>
    </xf>
    <xf numFmtId="3" fontId="7" fillId="0" borderId="45" xfId="0" applyNumberFormat="1" applyFont="1" applyBorder="1" applyAlignment="1">
      <alignment vertical="center"/>
    </xf>
    <xf numFmtId="3" fontId="7" fillId="0" borderId="45" xfId="0" quotePrefix="1" applyNumberFormat="1" applyFont="1" applyBorder="1" applyAlignment="1">
      <alignment horizontal="right" vertical="center"/>
    </xf>
    <xf numFmtId="3" fontId="7" fillId="0" borderId="45" xfId="0" applyNumberFormat="1" applyFont="1" applyBorder="1" applyAlignment="1">
      <alignment horizontal="right" vertical="center"/>
    </xf>
    <xf numFmtId="165" fontId="11" fillId="0" borderId="45" xfId="1" applyNumberFormat="1" applyFont="1" applyFill="1" applyBorder="1" applyAlignment="1">
      <alignment horizontal="center" vertical="center"/>
    </xf>
    <xf numFmtId="3" fontId="7" fillId="0" borderId="76" xfId="0" applyNumberFormat="1" applyFont="1" applyBorder="1" applyAlignment="1">
      <alignment vertical="center"/>
    </xf>
    <xf numFmtId="3" fontId="7" fillId="0" borderId="76" xfId="0" quotePrefix="1" applyNumberFormat="1" applyFont="1" applyBorder="1" applyAlignment="1">
      <alignment horizontal="right" vertical="center"/>
    </xf>
    <xf numFmtId="165" fontId="7" fillId="0" borderId="77" xfId="1" quotePrefix="1" applyNumberFormat="1" applyFont="1" applyFill="1" applyBorder="1" applyAlignment="1">
      <alignment horizontal="center" vertical="center"/>
    </xf>
    <xf numFmtId="165" fontId="7" fillId="0" borderId="61" xfId="1" quotePrefix="1" applyNumberFormat="1" applyFont="1" applyFill="1" applyBorder="1" applyAlignment="1">
      <alignment horizontal="center" vertical="center"/>
    </xf>
    <xf numFmtId="3" fontId="7" fillId="0" borderId="56" xfId="0" applyNumberFormat="1" applyFont="1" applyBorder="1" applyAlignment="1">
      <alignment vertical="center"/>
    </xf>
    <xf numFmtId="165" fontId="7" fillId="0" borderId="56" xfId="1" quotePrefix="1" applyNumberFormat="1" applyFont="1" applyFill="1" applyBorder="1" applyAlignment="1">
      <alignment horizontal="center" vertical="center"/>
    </xf>
    <xf numFmtId="165" fontId="7" fillId="0" borderId="63" xfId="1" quotePrefix="1" applyNumberFormat="1" applyFont="1" applyFill="1" applyBorder="1" applyAlignment="1">
      <alignment horizontal="center" vertical="center"/>
    </xf>
    <xf numFmtId="3" fontId="7" fillId="0" borderId="78" xfId="0" applyNumberFormat="1" applyFont="1" applyBorder="1" applyAlignment="1">
      <alignment vertical="center"/>
    </xf>
    <xf numFmtId="165" fontId="7" fillId="0" borderId="76" xfId="1" applyNumberFormat="1" applyFont="1" applyFill="1" applyBorder="1" applyAlignment="1">
      <alignment horizontal="center" vertical="center"/>
    </xf>
    <xf numFmtId="165" fontId="7" fillId="0" borderId="56" xfId="1" applyNumberFormat="1" applyFont="1" applyFill="1" applyBorder="1" applyAlignment="1">
      <alignment horizontal="center" vertical="center"/>
    </xf>
    <xf numFmtId="0" fontId="9" fillId="4" borderId="79" xfId="3" applyFont="1" applyFill="1" applyBorder="1" applyAlignment="1">
      <alignment horizontal="center"/>
    </xf>
    <xf numFmtId="0" fontId="9" fillId="4" borderId="80" xfId="3" applyFont="1" applyFill="1" applyBorder="1" applyAlignment="1">
      <alignment horizontal="center"/>
    </xf>
    <xf numFmtId="0" fontId="9" fillId="4" borderId="81" xfId="3" applyFont="1" applyFill="1" applyBorder="1" applyAlignment="1">
      <alignment horizontal="center"/>
    </xf>
    <xf numFmtId="165" fontId="7" fillId="0" borderId="82" xfId="1" applyNumberFormat="1" applyFont="1" applyFill="1" applyBorder="1" applyAlignment="1">
      <alignment horizontal="center" vertical="center"/>
    </xf>
    <xf numFmtId="165" fontId="7" fillId="14" borderId="64" xfId="1" applyNumberFormat="1" applyFont="1" applyFill="1" applyBorder="1" applyAlignment="1">
      <alignment horizontal="center" vertical="center"/>
    </xf>
    <xf numFmtId="165" fontId="7" fillId="0" borderId="51" xfId="1" applyNumberFormat="1" applyFont="1" applyFill="1" applyBorder="1" applyAlignment="1">
      <alignment horizontal="center" vertical="center"/>
    </xf>
    <xf numFmtId="165" fontId="7" fillId="5" borderId="49" xfId="1" applyNumberFormat="1" applyFont="1" applyFill="1" applyBorder="1" applyAlignment="1">
      <alignment horizontal="center" vertical="center"/>
    </xf>
    <xf numFmtId="165" fontId="7" fillId="0" borderId="49" xfId="1" applyNumberFormat="1" applyFont="1" applyBorder="1" applyAlignment="1">
      <alignment horizontal="center" vertical="center"/>
    </xf>
    <xf numFmtId="165" fontId="7" fillId="0" borderId="51" xfId="1" quotePrefix="1" applyNumberFormat="1" applyFont="1" applyFill="1" applyBorder="1" applyAlignment="1">
      <alignment horizontal="center" vertical="center"/>
    </xf>
    <xf numFmtId="165" fontId="7" fillId="0" borderId="49" xfId="1" quotePrefix="1" applyNumberFormat="1" applyFont="1" applyBorder="1" applyAlignment="1">
      <alignment horizontal="center" vertical="center"/>
    </xf>
    <xf numFmtId="165" fontId="7" fillId="19" borderId="49" xfId="1" quotePrefix="1" applyNumberFormat="1" applyFont="1" applyFill="1" applyBorder="1" applyAlignment="1">
      <alignment horizontal="center" vertical="center"/>
    </xf>
    <xf numFmtId="165" fontId="7" fillId="15" borderId="49" xfId="1" quotePrefix="1" applyNumberFormat="1" applyFont="1" applyFill="1" applyBorder="1" applyAlignment="1">
      <alignment horizontal="center" vertical="center"/>
    </xf>
    <xf numFmtId="165" fontId="11" fillId="0" borderId="49" xfId="1" applyNumberFormat="1" applyFont="1" applyBorder="1" applyAlignment="1">
      <alignment horizontal="center" vertical="center"/>
    </xf>
    <xf numFmtId="165" fontId="7" fillId="19" borderId="49" xfId="1" applyNumberFormat="1" applyFont="1" applyFill="1" applyBorder="1" applyAlignment="1">
      <alignment horizontal="center" vertical="center"/>
    </xf>
    <xf numFmtId="165" fontId="7" fillId="15" borderId="49" xfId="1" applyNumberFormat="1" applyFont="1" applyFill="1" applyBorder="1" applyAlignment="1">
      <alignment horizontal="center" vertical="center"/>
    </xf>
    <xf numFmtId="165" fontId="7" fillId="0" borderId="59" xfId="1" quotePrefix="1" applyNumberFormat="1" applyFont="1" applyFill="1" applyBorder="1" applyAlignment="1">
      <alignment horizontal="center" vertical="center"/>
    </xf>
    <xf numFmtId="165" fontId="7" fillId="5" borderId="58" xfId="1" quotePrefix="1" applyNumberFormat="1" applyFont="1" applyFill="1" applyBorder="1" applyAlignment="1">
      <alignment horizontal="center" vertical="center"/>
    </xf>
    <xf numFmtId="0" fontId="9" fillId="4" borderId="71" xfId="3" applyFont="1" applyFill="1" applyBorder="1" applyAlignment="1">
      <alignment horizontal="center"/>
    </xf>
    <xf numFmtId="165" fontId="36" fillId="19" borderId="8" xfId="1" quotePrefix="1" applyNumberFormat="1" applyFont="1" applyFill="1" applyBorder="1" applyAlignment="1">
      <alignment horizontal="center" vertical="center"/>
    </xf>
    <xf numFmtId="165" fontId="36" fillId="19" borderId="1" xfId="1" quotePrefix="1" applyNumberFormat="1" applyFont="1" applyFill="1" applyBorder="1" applyAlignment="1">
      <alignment horizontal="center" vertical="center"/>
    </xf>
    <xf numFmtId="165" fontId="7" fillId="14" borderId="1" xfId="1" applyNumberFormat="1" applyFont="1" applyFill="1" applyBorder="1" applyAlignment="1">
      <alignment horizontal="center" vertical="center"/>
    </xf>
    <xf numFmtId="3" fontId="7" fillId="14" borderId="1" xfId="0" quotePrefix="1" applyNumberFormat="1" applyFont="1" applyFill="1" applyBorder="1" applyAlignment="1">
      <alignment horizontal="center" vertical="center"/>
    </xf>
    <xf numFmtId="165" fontId="7" fillId="14" borderId="64" xfId="1" quotePrefix="1" applyNumberFormat="1" applyFont="1" applyFill="1" applyBorder="1" applyAlignment="1">
      <alignment horizontal="center" vertical="center"/>
    </xf>
    <xf numFmtId="165" fontId="7" fillId="23" borderId="9" xfId="1" quotePrefix="1" applyNumberFormat="1" applyFont="1" applyFill="1" applyBorder="1" applyAlignment="1">
      <alignment horizontal="center" vertical="center"/>
    </xf>
    <xf numFmtId="165" fontId="7" fillId="23" borderId="13" xfId="1" quotePrefix="1" applyNumberFormat="1" applyFont="1" applyFill="1" applyBorder="1" applyAlignment="1">
      <alignment horizontal="center" vertical="center"/>
    </xf>
    <xf numFmtId="165" fontId="7" fillId="23" borderId="13" xfId="1" applyNumberFormat="1" applyFont="1" applyFill="1" applyBorder="1" applyAlignment="1">
      <alignment horizontal="center" vertical="center"/>
    </xf>
    <xf numFmtId="165" fontId="11" fillId="23" borderId="1" xfId="1" applyNumberFormat="1" applyFont="1" applyFill="1" applyBorder="1" applyAlignment="1">
      <alignment horizontal="center" vertical="center"/>
    </xf>
    <xf numFmtId="165" fontId="7" fillId="23" borderId="1" xfId="1" applyNumberFormat="1" applyFont="1" applyFill="1" applyBorder="1" applyAlignment="1">
      <alignment horizontal="center" vertical="center"/>
    </xf>
    <xf numFmtId="165" fontId="7" fillId="23" borderId="1" xfId="1" quotePrefix="1" applyNumberFormat="1" applyFont="1" applyFill="1" applyBorder="1" applyAlignment="1">
      <alignment horizontal="center" vertical="center"/>
    </xf>
    <xf numFmtId="165" fontId="9" fillId="0" borderId="67" xfId="1" applyNumberFormat="1" applyFont="1" applyBorder="1" applyAlignment="1">
      <alignment horizontal="center" vertical="center"/>
    </xf>
    <xf numFmtId="165" fontId="9" fillId="0" borderId="75" xfId="1" applyNumberFormat="1" applyFont="1" applyFill="1" applyBorder="1" applyAlignment="1">
      <alignment horizontal="center" vertical="center"/>
    </xf>
    <xf numFmtId="165" fontId="7" fillId="23" borderId="12" xfId="1" quotePrefix="1" applyNumberFormat="1" applyFont="1" applyFill="1" applyBorder="1" applyAlignment="1">
      <alignment horizontal="center" vertical="center"/>
    </xf>
    <xf numFmtId="165" fontId="7" fillId="23" borderId="45" xfId="1" quotePrefix="1" applyNumberFormat="1" applyFont="1" applyFill="1" applyBorder="1" applyAlignment="1">
      <alignment horizontal="center" vertical="center"/>
    </xf>
    <xf numFmtId="165" fontId="7" fillId="23" borderId="45" xfId="1" applyNumberFormat="1" applyFont="1" applyFill="1" applyBorder="1" applyAlignment="1">
      <alignment horizontal="center" vertical="center"/>
    </xf>
    <xf numFmtId="165" fontId="7" fillId="24" borderId="78" xfId="1" applyNumberFormat="1" applyFont="1" applyFill="1" applyBorder="1" applyAlignment="1">
      <alignment horizontal="center" vertical="center"/>
    </xf>
    <xf numFmtId="165" fontId="37" fillId="0" borderId="1" xfId="1" quotePrefix="1" applyNumberFormat="1" applyFont="1" applyFill="1" applyBorder="1" applyAlignment="1">
      <alignment horizontal="center" vertical="center"/>
    </xf>
    <xf numFmtId="165" fontId="32" fillId="0" borderId="1" xfId="1" quotePrefix="1" applyNumberFormat="1" applyFont="1" applyFill="1" applyBorder="1" applyAlignment="1">
      <alignment horizontal="center" vertical="center"/>
    </xf>
    <xf numFmtId="165" fontId="32" fillId="0" borderId="49" xfId="1" applyNumberFormat="1" applyFont="1" applyBorder="1" applyAlignment="1">
      <alignment horizontal="center" vertical="center"/>
    </xf>
    <xf numFmtId="165" fontId="32" fillId="0" borderId="13" xfId="1" applyNumberFormat="1" applyFont="1" applyFill="1" applyBorder="1" applyAlignment="1">
      <alignment horizontal="center" vertical="center"/>
    </xf>
    <xf numFmtId="165" fontId="32" fillId="0" borderId="13" xfId="1" quotePrefix="1" applyNumberFormat="1" applyFont="1" applyFill="1" applyBorder="1" applyAlignment="1">
      <alignment horizontal="center" vertical="center"/>
    </xf>
    <xf numFmtId="165" fontId="7" fillId="18" borderId="9" xfId="1" quotePrefix="1" applyNumberFormat="1" applyFont="1" applyFill="1" applyBorder="1" applyAlignment="1">
      <alignment horizontal="center" vertical="center"/>
    </xf>
    <xf numFmtId="165" fontId="7" fillId="19" borderId="14" xfId="1" applyNumberFormat="1" applyFont="1" applyFill="1" applyBorder="1" applyAlignment="1">
      <alignment horizontal="center" vertical="center"/>
    </xf>
    <xf numFmtId="165" fontId="7" fillId="19" borderId="14" xfId="1" quotePrefix="1" applyNumberFormat="1" applyFont="1" applyFill="1" applyBorder="1" applyAlignment="1">
      <alignment horizontal="center" vertical="center"/>
    </xf>
    <xf numFmtId="165" fontId="7" fillId="18" borderId="14" xfId="1" applyNumberFormat="1" applyFont="1" applyFill="1" applyBorder="1" applyAlignment="1">
      <alignment horizontal="center" vertical="center"/>
    </xf>
    <xf numFmtId="165" fontId="7" fillId="23" borderId="17" xfId="1" applyNumberFormat="1" applyFont="1" applyFill="1" applyBorder="1" applyAlignment="1">
      <alignment horizontal="center" vertical="center"/>
    </xf>
    <xf numFmtId="3" fontId="7" fillId="23" borderId="45" xfId="0" applyNumberFormat="1" applyFont="1" applyFill="1" applyBorder="1" applyAlignment="1">
      <alignment vertical="center"/>
    </xf>
    <xf numFmtId="3" fontId="33" fillId="0" borderId="45" xfId="0" applyNumberFormat="1" applyFont="1" applyBorder="1" applyAlignment="1">
      <alignment vertical="center"/>
    </xf>
    <xf numFmtId="165" fontId="7" fillId="0" borderId="78" xfId="1" applyNumberFormat="1" applyFont="1" applyFill="1" applyBorder="1" applyAlignment="1">
      <alignment horizontal="center" vertical="center"/>
    </xf>
    <xf numFmtId="3" fontId="7" fillId="0" borderId="78" xfId="0" applyNumberFormat="1" applyFont="1" applyBorder="1" applyAlignment="1">
      <alignment horizontal="right" vertical="center"/>
    </xf>
    <xf numFmtId="165" fontId="7" fillId="0" borderId="84" xfId="1" applyNumberFormat="1" applyFont="1" applyFill="1" applyBorder="1" applyAlignment="1">
      <alignment horizontal="center" vertical="center"/>
    </xf>
    <xf numFmtId="3" fontId="7" fillId="0" borderId="84" xfId="0" applyNumberFormat="1" applyFont="1" applyBorder="1" applyAlignment="1">
      <alignment vertical="center"/>
    </xf>
    <xf numFmtId="3" fontId="7" fillId="0" borderId="84" xfId="0" applyNumberFormat="1" applyFont="1" applyBorder="1" applyAlignment="1">
      <alignment horizontal="right" vertical="center"/>
    </xf>
    <xf numFmtId="0" fontId="9" fillId="0" borderId="85" xfId="0" applyFont="1" applyBorder="1" applyAlignment="1">
      <alignment horizontal="left"/>
    </xf>
    <xf numFmtId="0" fontId="9" fillId="0" borderId="86" xfId="0" applyFont="1" applyBorder="1" applyAlignment="1">
      <alignment horizontal="left"/>
    </xf>
    <xf numFmtId="0" fontId="9" fillId="0" borderId="86" xfId="0" applyFont="1" applyBorder="1"/>
    <xf numFmtId="3" fontId="33" fillId="0" borderId="65" xfId="0" applyNumberFormat="1" applyFont="1" applyBorder="1" applyAlignment="1">
      <alignment vertical="center"/>
    </xf>
    <xf numFmtId="0" fontId="9" fillId="0" borderId="87" xfId="0" applyFont="1" applyBorder="1"/>
    <xf numFmtId="0" fontId="9" fillId="0" borderId="88" xfId="0" applyFont="1" applyBorder="1"/>
    <xf numFmtId="0" fontId="10" fillId="0" borderId="89" xfId="0" applyFont="1" applyBorder="1" applyAlignment="1">
      <alignment horizontal="center"/>
    </xf>
    <xf numFmtId="165" fontId="19" fillId="0" borderId="0" xfId="0" applyNumberFormat="1" applyFont="1" applyAlignment="1">
      <alignment horizontal="right"/>
    </xf>
    <xf numFmtId="3" fontId="7" fillId="23" borderId="45" xfId="0" quotePrefix="1" applyNumberFormat="1" applyFont="1" applyFill="1" applyBorder="1" applyAlignment="1">
      <alignment horizontal="right" vertical="center"/>
    </xf>
    <xf numFmtId="3" fontId="7" fillId="5" borderId="45" xfId="0" quotePrefix="1" applyNumberFormat="1" applyFont="1" applyFill="1" applyBorder="1" applyAlignment="1">
      <alignment horizontal="right" vertical="center"/>
    </xf>
    <xf numFmtId="3" fontId="7" fillId="24" borderId="78" xfId="0" quotePrefix="1" applyNumberFormat="1" applyFont="1" applyFill="1" applyBorder="1" applyAlignment="1">
      <alignment horizontal="right" vertical="center"/>
    </xf>
    <xf numFmtId="3" fontId="7" fillId="3" borderId="45" xfId="0" applyNumberFormat="1" applyFont="1" applyFill="1" applyBorder="1" applyAlignment="1">
      <alignment vertical="center"/>
    </xf>
    <xf numFmtId="165" fontId="7" fillId="23" borderId="51" xfId="1" applyNumberFormat="1" applyFont="1" applyFill="1" applyBorder="1" applyAlignment="1">
      <alignment horizontal="center" vertical="center"/>
    </xf>
    <xf numFmtId="165" fontId="7" fillId="23" borderId="51" xfId="1" quotePrefix="1" applyNumberFormat="1" applyFont="1" applyFill="1" applyBorder="1" applyAlignment="1">
      <alignment horizontal="center" vertical="center"/>
    </xf>
    <xf numFmtId="165" fontId="7" fillId="23" borderId="83" xfId="1" quotePrefix="1" applyNumberFormat="1" applyFont="1" applyFill="1" applyBorder="1" applyAlignment="1">
      <alignment horizontal="center" vertical="center"/>
    </xf>
    <xf numFmtId="165" fontId="7" fillId="3" borderId="61" xfId="1" quotePrefix="1" applyNumberFormat="1" applyFont="1" applyFill="1" applyBorder="1" applyAlignment="1">
      <alignment horizontal="center" vertical="center"/>
    </xf>
    <xf numFmtId="165" fontId="7" fillId="3" borderId="51" xfId="1" quotePrefix="1" applyNumberFormat="1" applyFont="1" applyFill="1" applyBorder="1" applyAlignment="1">
      <alignment horizontal="center" vertical="center"/>
    </xf>
    <xf numFmtId="3" fontId="7" fillId="3" borderId="45" xfId="0" applyNumberFormat="1" applyFont="1" applyFill="1" applyBorder="1" applyAlignment="1">
      <alignment horizontal="right" vertical="center"/>
    </xf>
    <xf numFmtId="165" fontId="7" fillId="5" borderId="64" xfId="1" applyNumberFormat="1" applyFont="1" applyFill="1" applyBorder="1" applyAlignment="1">
      <alignment horizontal="center" vertical="center"/>
    </xf>
    <xf numFmtId="3" fontId="17" fillId="0" borderId="45" xfId="0" applyNumberFormat="1" applyFont="1" applyBorder="1" applyAlignment="1">
      <alignment vertical="center"/>
    </xf>
    <xf numFmtId="3" fontId="17" fillId="0" borderId="45" xfId="0" applyNumberFormat="1" applyFont="1" applyBorder="1" applyAlignment="1">
      <alignment horizontal="right" vertical="center"/>
    </xf>
    <xf numFmtId="165" fontId="17" fillId="0" borderId="50" xfId="1" quotePrefix="1" applyNumberFormat="1" applyFont="1" applyFill="1" applyBorder="1" applyAlignment="1">
      <alignment horizontal="center" vertical="center"/>
    </xf>
    <xf numFmtId="165" fontId="38" fillId="23" borderId="61" xfId="1" quotePrefix="1" applyNumberFormat="1" applyFont="1" applyFill="1" applyBorder="1" applyAlignment="1">
      <alignment horizontal="center" vertical="center"/>
    </xf>
    <xf numFmtId="165" fontId="39" fillId="23" borderId="61" xfId="1" quotePrefix="1" applyNumberFormat="1" applyFont="1" applyFill="1" applyBorder="1" applyAlignment="1">
      <alignment horizontal="center" vertical="center"/>
    </xf>
    <xf numFmtId="165" fontId="17" fillId="0" borderId="12" xfId="1" quotePrefix="1" applyNumberFormat="1" applyFont="1" applyFill="1" applyBorder="1" applyAlignment="1">
      <alignment horizontal="center" vertical="center"/>
    </xf>
    <xf numFmtId="165" fontId="40" fillId="11" borderId="14" xfId="1" quotePrefix="1" applyNumberFormat="1" applyFont="1" applyFill="1" applyBorder="1" applyAlignment="1">
      <alignment horizontal="center" vertical="center"/>
    </xf>
    <xf numFmtId="3" fontId="7" fillId="5" borderId="8" xfId="0" applyNumberFormat="1" applyFont="1" applyFill="1" applyBorder="1" applyAlignment="1">
      <alignment vertical="center"/>
    </xf>
    <xf numFmtId="165" fontId="36" fillId="5" borderId="8" xfId="1" quotePrefix="1" applyNumberFormat="1" applyFont="1" applyFill="1" applyBorder="1" applyAlignment="1">
      <alignment horizontal="center" vertical="center"/>
    </xf>
    <xf numFmtId="165" fontId="32" fillId="5" borderId="1" xfId="1" quotePrefix="1" applyNumberFormat="1" applyFont="1" applyFill="1" applyBorder="1" applyAlignment="1">
      <alignment horizontal="center" vertical="center"/>
    </xf>
    <xf numFmtId="3" fontId="7" fillId="25" borderId="8" xfId="0" applyNumberFormat="1" applyFont="1" applyFill="1" applyBorder="1" applyAlignment="1">
      <alignment vertical="center"/>
    </xf>
    <xf numFmtId="165" fontId="37" fillId="5" borderId="1" xfId="1" quotePrefix="1" applyNumberFormat="1" applyFont="1" applyFill="1" applyBorder="1" applyAlignment="1">
      <alignment horizontal="center" vertical="center"/>
    </xf>
    <xf numFmtId="165" fontId="7" fillId="5" borderId="32" xfId="1" applyNumberFormat="1" applyFont="1" applyFill="1" applyBorder="1" applyAlignment="1">
      <alignment horizontal="center" vertical="center"/>
    </xf>
    <xf numFmtId="165" fontId="7" fillId="0" borderId="49" xfId="1" quotePrefix="1" applyNumberFormat="1" applyFont="1" applyFill="1" applyBorder="1" applyAlignment="1">
      <alignment horizontal="center" vertical="center"/>
    </xf>
    <xf numFmtId="3" fontId="7" fillId="23" borderId="8" xfId="0" applyNumberFormat="1" applyFont="1" applyFill="1" applyBorder="1" applyAlignment="1">
      <alignment vertical="center"/>
    </xf>
    <xf numFmtId="3" fontId="7" fillId="26" borderId="8" xfId="0" applyNumberFormat="1" applyFont="1" applyFill="1" applyBorder="1" applyAlignment="1">
      <alignment vertical="center"/>
    </xf>
    <xf numFmtId="3" fontId="7" fillId="23" borderId="1" xfId="0" quotePrefix="1" applyNumberFormat="1" applyFont="1" applyFill="1" applyBorder="1" applyAlignment="1">
      <alignment horizontal="center" vertical="center"/>
    </xf>
    <xf numFmtId="165" fontId="7" fillId="23" borderId="49" xfId="1" quotePrefix="1" applyNumberFormat="1" applyFont="1" applyFill="1" applyBorder="1" applyAlignment="1">
      <alignment horizontal="center" vertical="center"/>
    </xf>
    <xf numFmtId="165" fontId="7" fillId="23" borderId="49" xfId="1" applyNumberFormat="1" applyFont="1" applyFill="1" applyBorder="1" applyAlignment="1">
      <alignment horizontal="center" vertical="center"/>
    </xf>
    <xf numFmtId="3" fontId="7" fillId="23" borderId="1" xfId="0" quotePrefix="1" applyNumberFormat="1" applyFont="1" applyFill="1" applyBorder="1" applyAlignment="1">
      <alignment horizontal="right" vertical="center"/>
    </xf>
    <xf numFmtId="3" fontId="7" fillId="23" borderId="1" xfId="0" applyNumberFormat="1" applyFont="1" applyFill="1" applyBorder="1" applyAlignment="1">
      <alignment horizontal="right" vertical="center"/>
    </xf>
    <xf numFmtId="0" fontId="7" fillId="27" borderId="8" xfId="0" applyFont="1" applyFill="1" applyBorder="1" applyAlignment="1">
      <alignment vertical="center"/>
    </xf>
    <xf numFmtId="0" fontId="7" fillId="27" borderId="55" xfId="0" applyFont="1" applyFill="1" applyBorder="1" applyAlignment="1">
      <alignment vertical="center"/>
    </xf>
    <xf numFmtId="165" fontId="7" fillId="24" borderId="17" xfId="1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3" fontId="7" fillId="3" borderId="8" xfId="0" applyNumberFormat="1" applyFont="1" applyFill="1" applyBorder="1" applyAlignment="1">
      <alignment vertical="center"/>
    </xf>
    <xf numFmtId="165" fontId="11" fillId="23" borderId="49" xfId="1" applyNumberFormat="1" applyFont="1" applyFill="1" applyBorder="1" applyAlignment="1">
      <alignment horizontal="center" vertical="center"/>
    </xf>
    <xf numFmtId="165" fontId="7" fillId="5" borderId="58" xfId="1" applyNumberFormat="1" applyFont="1" applyFill="1" applyBorder="1" applyAlignment="1">
      <alignment horizontal="center" vertical="center"/>
    </xf>
    <xf numFmtId="3" fontId="41" fillId="5" borderId="1" xfId="0" applyNumberFormat="1" applyFont="1" applyFill="1" applyBorder="1" applyAlignment="1">
      <alignment vertical="center"/>
    </xf>
    <xf numFmtId="165" fontId="7" fillId="24" borderId="1" xfId="1" quotePrefix="1" applyNumberFormat="1" applyFont="1" applyFill="1" applyBorder="1" applyAlignment="1">
      <alignment horizontal="center" vertical="center"/>
    </xf>
    <xf numFmtId="165" fontId="27" fillId="24" borderId="1" xfId="1" quotePrefix="1" applyNumberFormat="1" applyFont="1" applyFill="1" applyBorder="1" applyAlignment="1">
      <alignment horizontal="center" vertical="center"/>
    </xf>
    <xf numFmtId="165" fontId="7" fillId="24" borderId="17" xfId="1" quotePrefix="1" applyNumberFormat="1" applyFont="1" applyFill="1" applyBorder="1" applyAlignment="1">
      <alignment horizontal="center" vertical="center"/>
    </xf>
    <xf numFmtId="165" fontId="42" fillId="0" borderId="49" xfId="1" applyNumberFormat="1" applyFont="1" applyFill="1" applyBorder="1" applyAlignment="1">
      <alignment horizontal="center" vertical="center"/>
    </xf>
    <xf numFmtId="165" fontId="42" fillId="5" borderId="49" xfId="1" applyNumberFormat="1" applyFont="1" applyFill="1" applyBorder="1" applyAlignment="1">
      <alignment horizontal="center" vertical="center"/>
    </xf>
    <xf numFmtId="165" fontId="17" fillId="0" borderId="1" xfId="1" quotePrefix="1" applyNumberFormat="1" applyFont="1" applyFill="1" applyBorder="1" applyAlignment="1">
      <alignment horizontal="center" vertical="center"/>
    </xf>
    <xf numFmtId="165" fontId="17" fillId="0" borderId="13" xfId="1" quotePrefix="1" applyNumberFormat="1" applyFont="1" applyFill="1" applyBorder="1" applyAlignment="1">
      <alignment horizontal="center" vertical="center"/>
    </xf>
    <xf numFmtId="165" fontId="17" fillId="7" borderId="1" xfId="1" quotePrefix="1" applyNumberFormat="1" applyFont="1" applyFill="1" applyBorder="1" applyAlignment="1">
      <alignment horizontal="center" vertical="center"/>
    </xf>
    <xf numFmtId="165" fontId="11" fillId="7" borderId="1" xfId="1" quotePrefix="1" applyNumberFormat="1" applyFont="1" applyFill="1" applyBorder="1" applyAlignment="1">
      <alignment horizontal="center" vertical="center"/>
    </xf>
    <xf numFmtId="165" fontId="17" fillId="0" borderId="10" xfId="1" quotePrefix="1" applyNumberFormat="1" applyFont="1" applyFill="1" applyBorder="1" applyAlignment="1">
      <alignment horizontal="center" vertical="center"/>
    </xf>
    <xf numFmtId="3" fontId="43" fillId="0" borderId="1" xfId="0" applyNumberFormat="1" applyFont="1" applyBorder="1" applyAlignment="1">
      <alignment horizontal="right" vertical="center"/>
    </xf>
    <xf numFmtId="165" fontId="43" fillId="0" borderId="1" xfId="1" quotePrefix="1" applyNumberFormat="1" applyFont="1" applyFill="1" applyBorder="1" applyAlignment="1">
      <alignment horizontal="center" vertical="center"/>
    </xf>
    <xf numFmtId="165" fontId="43" fillId="0" borderId="12" xfId="1" quotePrefix="1" applyNumberFormat="1" applyFont="1" applyBorder="1" applyAlignment="1">
      <alignment horizontal="center" vertical="center"/>
    </xf>
    <xf numFmtId="165" fontId="43" fillId="0" borderId="1" xfId="1" quotePrefix="1" applyNumberFormat="1" applyFont="1" applyBorder="1" applyAlignment="1">
      <alignment horizontal="center" vertical="center"/>
    </xf>
    <xf numFmtId="165" fontId="43" fillId="0" borderId="1" xfId="1" applyNumberFormat="1" applyFont="1" applyBorder="1" applyAlignment="1">
      <alignment horizontal="center" vertical="center"/>
    </xf>
    <xf numFmtId="165" fontId="43" fillId="0" borderId="13" xfId="1" applyNumberFormat="1" applyFont="1" applyBorder="1" applyAlignment="1">
      <alignment horizontal="center" vertical="center"/>
    </xf>
    <xf numFmtId="165" fontId="43" fillId="0" borderId="13" xfId="1" quotePrefix="1" applyNumberFormat="1" applyFont="1" applyBorder="1" applyAlignment="1">
      <alignment horizontal="center" vertical="center"/>
    </xf>
    <xf numFmtId="3" fontId="7" fillId="15" borderId="0" xfId="0" applyNumberFormat="1" applyFont="1" applyFill="1"/>
    <xf numFmtId="165" fontId="11" fillId="15" borderId="12" xfId="1" quotePrefix="1" applyNumberFormat="1" applyFont="1" applyFill="1" applyBorder="1" applyAlignment="1">
      <alignment horizontal="center" vertical="center"/>
    </xf>
    <xf numFmtId="165" fontId="44" fillId="23" borderId="1" xfId="1" quotePrefix="1" applyNumberFormat="1" applyFont="1" applyFill="1" applyBorder="1" applyAlignment="1">
      <alignment horizontal="center" vertical="center"/>
    </xf>
    <xf numFmtId="3" fontId="45" fillId="5" borderId="1" xfId="0" quotePrefix="1" applyNumberFormat="1" applyFont="1" applyFill="1" applyBorder="1" applyAlignment="1">
      <alignment horizontal="right" vertical="center"/>
    </xf>
    <xf numFmtId="3" fontId="42" fillId="5" borderId="1" xfId="0" quotePrefix="1" applyNumberFormat="1" applyFont="1" applyFill="1" applyBorder="1" applyAlignment="1">
      <alignment horizontal="right" vertical="center"/>
    </xf>
    <xf numFmtId="165" fontId="36" fillId="5" borderId="1" xfId="1" applyNumberFormat="1" applyFont="1" applyFill="1" applyBorder="1" applyAlignment="1">
      <alignment horizontal="center" vertical="center"/>
    </xf>
    <xf numFmtId="166" fontId="47" fillId="0" borderId="1" xfId="1" quotePrefix="1" applyNumberFormat="1" applyFont="1" applyFill="1" applyBorder="1" applyAlignment="1">
      <alignment horizontal="center" vertical="center"/>
    </xf>
    <xf numFmtId="166" fontId="47" fillId="0" borderId="26" xfId="1" quotePrefix="1" applyNumberFormat="1" applyFont="1" applyFill="1" applyBorder="1" applyAlignment="1">
      <alignment horizontal="center" vertical="center"/>
    </xf>
    <xf numFmtId="166" fontId="47" fillId="0" borderId="18" xfId="1" quotePrefix="1" applyNumberFormat="1" applyFont="1" applyFill="1" applyBorder="1" applyAlignment="1">
      <alignment horizontal="center" vertical="center"/>
    </xf>
    <xf numFmtId="166" fontId="46" fillId="0" borderId="1" xfId="1" applyNumberFormat="1" applyFont="1" applyFill="1" applyBorder="1"/>
    <xf numFmtId="166" fontId="47" fillId="0" borderId="1" xfId="1" applyNumberFormat="1" applyFont="1" applyFill="1" applyBorder="1"/>
    <xf numFmtId="166" fontId="47" fillId="0" borderId="14" xfId="1" quotePrefix="1" applyNumberFormat="1" applyFont="1" applyFill="1" applyBorder="1" applyAlignment="1">
      <alignment horizontal="center" vertical="center"/>
    </xf>
    <xf numFmtId="166" fontId="47" fillId="0" borderId="20" xfId="1" quotePrefix="1" applyNumberFormat="1" applyFont="1" applyFill="1" applyBorder="1" applyAlignment="1">
      <alignment horizontal="center" vertical="center"/>
    </xf>
    <xf numFmtId="166" fontId="47" fillId="0" borderId="14" xfId="1" applyNumberFormat="1" applyFont="1" applyFill="1" applyBorder="1"/>
    <xf numFmtId="165" fontId="46" fillId="0" borderId="1" xfId="1" quotePrefix="1" applyNumberFormat="1" applyFont="1" applyFill="1" applyBorder="1" applyAlignment="1">
      <alignment horizontal="center" vertical="center"/>
    </xf>
    <xf numFmtId="165" fontId="46" fillId="0" borderId="26" xfId="1" quotePrefix="1" applyNumberFormat="1" applyFont="1" applyFill="1" applyBorder="1" applyAlignment="1">
      <alignment horizontal="center" vertical="center"/>
    </xf>
    <xf numFmtId="165" fontId="48" fillId="0" borderId="1" xfId="1" quotePrefix="1" applyNumberFormat="1" applyFont="1" applyFill="1" applyBorder="1" applyAlignment="1">
      <alignment horizontal="center" vertical="center"/>
    </xf>
    <xf numFmtId="165" fontId="42" fillId="0" borderId="1" xfId="1" quotePrefix="1" applyNumberFormat="1" applyFont="1" applyFill="1" applyBorder="1" applyAlignment="1">
      <alignment horizontal="center" vertical="center"/>
    </xf>
    <xf numFmtId="165" fontId="42" fillId="0" borderId="1" xfId="1" applyNumberFormat="1" applyFont="1" applyFill="1" applyBorder="1"/>
    <xf numFmtId="165" fontId="17" fillId="0" borderId="14" xfId="1" quotePrefix="1" applyNumberFormat="1" applyFont="1" applyFill="1" applyBorder="1" applyAlignment="1">
      <alignment horizontal="center" vertical="center"/>
    </xf>
    <xf numFmtId="165" fontId="42" fillId="0" borderId="14" xfId="1" quotePrefix="1" applyNumberFormat="1" applyFont="1" applyFill="1" applyBorder="1" applyAlignment="1">
      <alignment horizontal="center" vertical="center"/>
    </xf>
    <xf numFmtId="165" fontId="42" fillId="0" borderId="12" xfId="1" quotePrefix="1" applyNumberFormat="1" applyFont="1" applyFill="1" applyBorder="1" applyAlignment="1">
      <alignment horizontal="center" vertical="center"/>
    </xf>
    <xf numFmtId="165" fontId="17" fillId="5" borderId="1" xfId="1" quotePrefix="1" applyNumberFormat="1" applyFont="1" applyFill="1" applyBorder="1" applyAlignment="1">
      <alignment horizontal="center" vertical="center"/>
    </xf>
    <xf numFmtId="165" fontId="42" fillId="5" borderId="1" xfId="1" quotePrefix="1" applyNumberFormat="1" applyFont="1" applyFill="1" applyBorder="1" applyAlignment="1">
      <alignment horizontal="center" vertical="center"/>
    </xf>
    <xf numFmtId="165" fontId="42" fillId="0" borderId="13" xfId="1" quotePrefix="1" applyNumberFormat="1" applyFont="1" applyFill="1" applyBorder="1" applyAlignment="1">
      <alignment horizontal="center" vertical="center"/>
    </xf>
    <xf numFmtId="165" fontId="42" fillId="0" borderId="8" xfId="1" quotePrefix="1" applyNumberFormat="1" applyFont="1" applyFill="1" applyBorder="1" applyAlignment="1">
      <alignment horizontal="center" vertical="center"/>
    </xf>
    <xf numFmtId="165" fontId="42" fillId="0" borderId="20" xfId="1" quotePrefix="1" applyNumberFormat="1" applyFont="1" applyFill="1" applyBorder="1" applyAlignment="1">
      <alignment horizontal="center" vertical="center"/>
    </xf>
    <xf numFmtId="165" fontId="42" fillId="0" borderId="17" xfId="1" quotePrefix="1" applyNumberFormat="1" applyFont="1" applyFill="1" applyBorder="1" applyAlignment="1">
      <alignment horizontal="center" vertical="center"/>
    </xf>
    <xf numFmtId="165" fontId="49" fillId="0" borderId="1" xfId="1" quotePrefix="1" applyNumberFormat="1" applyFont="1" applyFill="1" applyBorder="1" applyAlignment="1">
      <alignment horizontal="center" vertical="center"/>
    </xf>
    <xf numFmtId="3" fontId="50" fillId="0" borderId="1" xfId="0" applyNumberFormat="1" applyFont="1" applyBorder="1" applyAlignment="1">
      <alignment horizontal="right" vertical="center"/>
    </xf>
    <xf numFmtId="165" fontId="50" fillId="0" borderId="1" xfId="1" quotePrefix="1" applyNumberFormat="1" applyFont="1" applyFill="1" applyBorder="1" applyAlignment="1">
      <alignment horizontal="center" vertical="center"/>
    </xf>
    <xf numFmtId="165" fontId="51" fillId="0" borderId="1" xfId="1" quotePrefix="1" applyNumberFormat="1" applyFont="1" applyFill="1" applyBorder="1" applyAlignment="1">
      <alignment horizontal="center" vertical="center"/>
    </xf>
    <xf numFmtId="165" fontId="50" fillId="0" borderId="12" xfId="1" quotePrefix="1" applyNumberFormat="1" applyFont="1" applyFill="1" applyBorder="1" applyAlignment="1">
      <alignment horizontal="center" vertical="center"/>
    </xf>
    <xf numFmtId="165" fontId="50" fillId="0" borderId="13" xfId="1" quotePrefix="1" applyNumberFormat="1" applyFont="1" applyFill="1" applyBorder="1" applyAlignment="1">
      <alignment horizontal="center" vertical="center"/>
    </xf>
    <xf numFmtId="165" fontId="42" fillId="5" borderId="16" xfId="1" quotePrefix="1" applyNumberFormat="1" applyFont="1" applyFill="1" applyBorder="1" applyAlignment="1">
      <alignment horizontal="center" vertical="center"/>
    </xf>
    <xf numFmtId="165" fontId="42" fillId="5" borderId="1" xfId="1" applyNumberFormat="1" applyFont="1" applyFill="1" applyBorder="1" applyAlignment="1">
      <alignment horizontal="center" vertical="center"/>
    </xf>
    <xf numFmtId="165" fontId="52" fillId="0" borderId="12" xfId="1" applyNumberFormat="1" applyFont="1" applyFill="1" applyBorder="1" applyAlignment="1">
      <alignment horizontal="center"/>
    </xf>
    <xf numFmtId="165" fontId="42" fillId="5" borderId="17" xfId="1" quotePrefix="1" applyNumberFormat="1" applyFont="1" applyFill="1" applyBorder="1" applyAlignment="1">
      <alignment horizontal="center" vertical="center"/>
    </xf>
    <xf numFmtId="165" fontId="42" fillId="5" borderId="13" xfId="1" applyNumberFormat="1" applyFont="1" applyFill="1" applyBorder="1" applyAlignment="1">
      <alignment horizontal="center" vertical="center"/>
    </xf>
    <xf numFmtId="165" fontId="42" fillId="5" borderId="8" xfId="1" quotePrefix="1" applyNumberFormat="1" applyFont="1" applyFill="1" applyBorder="1" applyAlignment="1">
      <alignment horizontal="center" vertical="center"/>
    </xf>
    <xf numFmtId="165" fontId="42" fillId="5" borderId="12" xfId="1" applyNumberFormat="1" applyFont="1" applyFill="1" applyBorder="1" applyAlignment="1">
      <alignment horizontal="center" vertical="center"/>
    </xf>
    <xf numFmtId="165" fontId="42" fillId="5" borderId="13" xfId="1" quotePrefix="1" applyNumberFormat="1" applyFont="1" applyFill="1" applyBorder="1" applyAlignment="1">
      <alignment horizontal="center" vertical="center"/>
    </xf>
    <xf numFmtId="165" fontId="37" fillId="5" borderId="14" xfId="1" applyNumberFormat="1" applyFont="1" applyFill="1" applyBorder="1" applyAlignment="1">
      <alignment horizontal="center" vertical="center"/>
    </xf>
    <xf numFmtId="165" fontId="11" fillId="23" borderId="1" xfId="1" quotePrefix="1" applyNumberFormat="1" applyFont="1" applyFill="1" applyBorder="1" applyAlignment="1">
      <alignment horizontal="center" vertical="center"/>
    </xf>
    <xf numFmtId="3" fontId="47" fillId="0" borderId="7" xfId="0" applyNumberFormat="1" applyFont="1" applyBorder="1" applyAlignment="1">
      <alignment vertical="center"/>
    </xf>
    <xf numFmtId="3" fontId="17" fillId="0" borderId="7" xfId="0" applyNumberFormat="1" applyFont="1" applyBorder="1" applyAlignment="1">
      <alignment vertical="center"/>
    </xf>
    <xf numFmtId="3" fontId="42" fillId="0" borderId="7" xfId="0" applyNumberFormat="1" applyFont="1" applyBorder="1" applyAlignment="1">
      <alignment vertical="center"/>
    </xf>
    <xf numFmtId="165" fontId="7" fillId="15" borderId="7" xfId="1" quotePrefix="1" applyNumberFormat="1" applyFont="1" applyFill="1" applyBorder="1" applyAlignment="1">
      <alignment horizontal="center" vertical="center"/>
    </xf>
    <xf numFmtId="165" fontId="7" fillId="15" borderId="10" xfId="1" quotePrefix="1" applyNumberFormat="1" applyFont="1" applyFill="1" applyBorder="1" applyAlignment="1">
      <alignment horizontal="center" vertical="center"/>
    </xf>
    <xf numFmtId="165" fontId="11" fillId="15" borderId="1" xfId="1" applyNumberFormat="1" applyFont="1" applyFill="1" applyBorder="1" applyAlignment="1">
      <alignment horizontal="center" vertical="center"/>
    </xf>
    <xf numFmtId="165" fontId="7" fillId="15" borderId="30" xfId="1" quotePrefix="1" applyNumberFormat="1" applyFont="1" applyFill="1" applyBorder="1" applyAlignment="1">
      <alignment horizontal="center" vertical="center"/>
    </xf>
    <xf numFmtId="165" fontId="7" fillId="15" borderId="14" xfId="1" quotePrefix="1" applyNumberFormat="1" applyFont="1" applyFill="1" applyBorder="1" applyAlignment="1">
      <alignment horizontal="center" vertical="center"/>
    </xf>
    <xf numFmtId="165" fontId="7" fillId="0" borderId="14" xfId="1" applyNumberFormat="1" applyFont="1" applyFill="1" applyBorder="1" applyAlignment="1">
      <alignment horizontal="center" vertical="center"/>
    </xf>
    <xf numFmtId="165" fontId="7" fillId="15" borderId="14" xfId="1" applyNumberFormat="1" applyFont="1" applyFill="1" applyBorder="1" applyAlignment="1">
      <alignment horizontal="center" vertical="center"/>
    </xf>
    <xf numFmtId="165" fontId="7" fillId="15" borderId="18" xfId="1" quotePrefix="1" applyNumberFormat="1" applyFont="1" applyFill="1" applyBorder="1" applyAlignment="1">
      <alignment horizontal="center" vertical="center"/>
    </xf>
    <xf numFmtId="165" fontId="7" fillId="24" borderId="16" xfId="1" quotePrefix="1" applyNumberFormat="1" applyFont="1" applyFill="1" applyBorder="1" applyAlignment="1">
      <alignment horizontal="center" vertical="center"/>
    </xf>
    <xf numFmtId="165" fontId="7" fillId="0" borderId="18" xfId="1" applyNumberFormat="1" applyFont="1" applyFill="1" applyBorder="1" applyAlignment="1">
      <alignment horizontal="center" vertical="center"/>
    </xf>
    <xf numFmtId="165" fontId="9" fillId="23" borderId="13" xfId="1" applyNumberFormat="1" applyFont="1" applyFill="1" applyBorder="1" applyAlignment="1">
      <alignment horizontal="center" vertical="center"/>
    </xf>
    <xf numFmtId="165" fontId="36" fillId="0" borderId="8" xfId="1" quotePrefix="1" applyNumberFormat="1" applyFont="1" applyFill="1" applyBorder="1" applyAlignment="1">
      <alignment horizontal="center" vertical="center"/>
    </xf>
    <xf numFmtId="165" fontId="7" fillId="0" borderId="8" xfId="1" applyNumberFormat="1" applyFont="1" applyFill="1" applyBorder="1" applyAlignment="1">
      <alignment horizontal="center" vertical="center"/>
    </xf>
    <xf numFmtId="165" fontId="7" fillId="0" borderId="9" xfId="1" quotePrefix="1" applyNumberFormat="1" applyFont="1" applyFill="1" applyBorder="1" applyAlignment="1">
      <alignment horizontal="center" vertical="center"/>
    </xf>
    <xf numFmtId="165" fontId="36" fillId="0" borderId="1" xfId="1" applyNumberFormat="1" applyFont="1" applyFill="1" applyBorder="1" applyAlignment="1">
      <alignment horizontal="center" vertical="center"/>
    </xf>
    <xf numFmtId="165" fontId="7" fillId="0" borderId="30" xfId="1" quotePrefix="1" applyNumberFormat="1" applyFont="1" applyFill="1" applyBorder="1" applyAlignment="1">
      <alignment horizontal="center" vertical="center"/>
    </xf>
    <xf numFmtId="3" fontId="45" fillId="0" borderId="1" xfId="0" quotePrefix="1" applyNumberFormat="1" applyFont="1" applyBorder="1" applyAlignment="1">
      <alignment horizontal="right" vertical="center"/>
    </xf>
    <xf numFmtId="3" fontId="42" fillId="0" borderId="1" xfId="0" quotePrefix="1" applyNumberFormat="1" applyFont="1" applyBorder="1" applyAlignment="1">
      <alignment horizontal="right" vertical="center"/>
    </xf>
    <xf numFmtId="165" fontId="44" fillId="0" borderId="1" xfId="1" quotePrefix="1" applyNumberFormat="1" applyFont="1" applyFill="1" applyBorder="1" applyAlignment="1">
      <alignment horizontal="center" vertical="center"/>
    </xf>
    <xf numFmtId="165" fontId="9" fillId="0" borderId="13" xfId="1" applyNumberFormat="1" applyFont="1" applyFill="1" applyBorder="1" applyAlignment="1">
      <alignment horizontal="center" vertical="center"/>
    </xf>
    <xf numFmtId="165" fontId="11" fillId="0" borderId="49" xfId="1" applyNumberFormat="1" applyFont="1" applyFill="1" applyBorder="1" applyAlignment="1">
      <alignment horizontal="center" vertical="center"/>
    </xf>
    <xf numFmtId="165" fontId="7" fillId="23" borderId="8" xfId="1" quotePrefix="1" applyNumberFormat="1" applyFont="1" applyFill="1" applyBorder="1" applyAlignment="1">
      <alignment horizontal="center" vertical="center"/>
    </xf>
    <xf numFmtId="165" fontId="45" fillId="0" borderId="1" xfId="1" quotePrefix="1" applyNumberFormat="1" applyFont="1" applyFill="1" applyBorder="1" applyAlignment="1">
      <alignment horizontal="center" vertical="center"/>
    </xf>
    <xf numFmtId="165" fontId="7" fillId="10" borderId="1" xfId="1" quotePrefix="1" applyNumberFormat="1" applyFont="1" applyFill="1" applyBorder="1" applyAlignment="1">
      <alignment horizontal="center" vertical="center"/>
    </xf>
    <xf numFmtId="165" fontId="7" fillId="10" borderId="1" xfId="1" applyNumberFormat="1" applyFont="1" applyFill="1" applyBorder="1" applyAlignment="1">
      <alignment horizontal="center" vertical="center"/>
    </xf>
    <xf numFmtId="165" fontId="7" fillId="3" borderId="49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3" fontId="23" fillId="0" borderId="0" xfId="0" applyNumberFormat="1" applyFont="1" applyAlignment="1">
      <alignment horizontal="left"/>
    </xf>
    <xf numFmtId="3" fontId="22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</cellXfs>
  <cellStyles count="6">
    <cellStyle name="Comma" xfId="1" builtinId="3"/>
    <cellStyle name="Comma 2 2 2" xfId="5" xr:uid="{7C68A51A-AF04-434D-875A-5151FE5A5973}"/>
    <cellStyle name="Comma 4 2" xfId="4" xr:uid="{00000000-0005-0000-0000-000001000000}"/>
    <cellStyle name="Normal" xfId="0" builtinId="0"/>
    <cellStyle name="Normal 2" xfId="3" xr:uid="{00000000-0005-0000-0000-000003000000}"/>
    <cellStyle name="Percent" xfId="2" builtinId="5"/>
  </cellStyles>
  <dxfs count="47">
    <dxf>
      <font>
        <color rgb="FFFF0000"/>
      </font>
      <fill>
        <patternFill>
          <bgColor theme="4" tint="0.39994506668294322"/>
        </patternFill>
      </fill>
    </dxf>
    <dxf>
      <font>
        <color rgb="FFFF0000"/>
      </font>
      <fill>
        <patternFill>
          <bgColor theme="4" tint="0.39994506668294322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9C0006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9C0006"/>
      </font>
    </dxf>
    <dxf>
      <font>
        <b/>
        <i val="0"/>
        <color rgb="FFFF0000"/>
      </font>
    </dxf>
    <dxf>
      <font>
        <b/>
        <i val="0"/>
        <color rgb="FF9C0006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9C0006"/>
      </font>
    </dxf>
    <dxf>
      <font>
        <b/>
        <i val="0"/>
        <color rgb="FFFF0000"/>
      </font>
    </dxf>
    <dxf>
      <font>
        <b/>
        <i val="0"/>
        <color rgb="FF7030A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color rgb="FF9C0006"/>
      </font>
    </dxf>
    <dxf>
      <font>
        <b/>
        <i/>
        <color rgb="FF9C0006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b/>
        <i/>
        <color rgb="FF9C0006"/>
      </font>
      <fill>
        <patternFill patternType="none">
          <bgColor auto="1"/>
        </patternFill>
      </fill>
    </dxf>
    <dxf>
      <font>
        <b/>
        <i/>
        <color rgb="FF9C0006"/>
      </font>
      <fill>
        <patternFill patternType="none">
          <bgColor auto="1"/>
        </patternFill>
      </fill>
    </dxf>
    <dxf>
      <font>
        <b/>
        <i/>
        <color rgb="FF9C0006"/>
      </font>
      <fill>
        <patternFill patternType="none">
          <bgColor auto="1"/>
        </patternFill>
      </fill>
    </dxf>
    <dxf>
      <font>
        <b/>
        <i/>
        <color rgb="FF9C0006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color rgb="FFC00000"/>
      </font>
    </dxf>
    <dxf>
      <font>
        <b/>
        <i val="0"/>
        <color rgb="FF9C0006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E3124D"/>
      <color rgb="FFFFFD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Highest Ridership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'Highest Ridership'!$D$3</c:f>
              <c:strCache>
                <c:ptCount val="1"/>
                <c:pt idx="0">
                  <c:v>Highest Ridership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'Highest Ridership'!$A$4:$A$28</c:f>
              <c:numCache>
                <c:formatCode>General</c:formatCode>
                <c:ptCount val="25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numCache>
            </c:numRef>
          </c:cat>
          <c:val>
            <c:numRef>
              <c:f>'Highest Ridership'!$D$4:$D$28</c:f>
              <c:numCache>
                <c:formatCode>#,##0</c:formatCode>
                <c:ptCount val="25"/>
                <c:pt idx="0">
                  <c:v>39760</c:v>
                </c:pt>
                <c:pt idx="1">
                  <c:v>296969</c:v>
                </c:pt>
                <c:pt idx="2">
                  <c:v>539343</c:v>
                </c:pt>
                <c:pt idx="3">
                  <c:v>417059</c:v>
                </c:pt>
                <c:pt idx="4">
                  <c:v>438809</c:v>
                </c:pt>
                <c:pt idx="5">
                  <c:v>452926</c:v>
                </c:pt>
                <c:pt idx="6">
                  <c:v>511131</c:v>
                </c:pt>
                <c:pt idx="7">
                  <c:v>487735</c:v>
                </c:pt>
                <c:pt idx="8">
                  <c:v>539813</c:v>
                </c:pt>
                <c:pt idx="9">
                  <c:v>527530</c:v>
                </c:pt>
                <c:pt idx="10">
                  <c:v>560637</c:v>
                </c:pt>
                <c:pt idx="11">
                  <c:v>552509</c:v>
                </c:pt>
                <c:pt idx="12">
                  <c:v>577015</c:v>
                </c:pt>
                <c:pt idx="13">
                  <c:v>622880</c:v>
                </c:pt>
                <c:pt idx="14">
                  <c:v>621913</c:v>
                </c:pt>
                <c:pt idx="15">
                  <c:v>614807</c:v>
                </c:pt>
                <c:pt idx="16">
                  <c:v>455164.00000000012</c:v>
                </c:pt>
                <c:pt idx="17">
                  <c:v>517929</c:v>
                </c:pt>
                <c:pt idx="18">
                  <c:v>506001</c:v>
                </c:pt>
                <c:pt idx="19">
                  <c:v>390325</c:v>
                </c:pt>
                <c:pt idx="20">
                  <c:v>359447</c:v>
                </c:pt>
                <c:pt idx="21">
                  <c:v>326564</c:v>
                </c:pt>
                <c:pt idx="22">
                  <c:v>223739</c:v>
                </c:pt>
                <c:pt idx="23">
                  <c:v>389036</c:v>
                </c:pt>
                <c:pt idx="24">
                  <c:v>450298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E-BA47-9FE5-CBA03B677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865106432"/>
        <c:axId val="758268352"/>
      </c:barChart>
      <c:lineChart>
        <c:grouping val="standard"/>
        <c:varyColors val="0"/>
        <c:ser>
          <c:idx val="1"/>
          <c:order val="1"/>
          <c:tx>
            <c:strRef>
              <c:f>'Highest Ridership'!$E$3</c:f>
              <c:strCache>
                <c:ptCount val="1"/>
                <c:pt idx="0">
                  <c:v>Inc./Dec.%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'Highest Ridership'!$A$4:$A$28</c:f>
              <c:numCache>
                <c:formatCode>General</c:formatCode>
                <c:ptCount val="25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numCache>
            </c:numRef>
          </c:cat>
          <c:val>
            <c:numRef>
              <c:f>'Highest Ridership'!$E$4:$E$28</c:f>
              <c:numCache>
                <c:formatCode>0%</c:formatCode>
                <c:ptCount val="25"/>
                <c:pt idx="0">
                  <c:v>0</c:v>
                </c:pt>
                <c:pt idx="1">
                  <c:v>6.4690392354124748</c:v>
                </c:pt>
                <c:pt idx="2">
                  <c:v>0.81615926241459547</c:v>
                </c:pt>
                <c:pt idx="3">
                  <c:v>-0.22672770389158658</c:v>
                </c:pt>
                <c:pt idx="4">
                  <c:v>5.215089471753398E-2</c:v>
                </c:pt>
                <c:pt idx="5">
                  <c:v>3.2171172423537397E-2</c:v>
                </c:pt>
                <c:pt idx="6">
                  <c:v>0.12850885133553835</c:v>
                </c:pt>
                <c:pt idx="7">
                  <c:v>-4.5773001441900441E-2</c:v>
                </c:pt>
                <c:pt idx="8">
                  <c:v>0.10677519554676218</c:v>
                </c:pt>
                <c:pt idx="9">
                  <c:v>-2.2754175983164537E-2</c:v>
                </c:pt>
                <c:pt idx="10">
                  <c:v>6.2758516103349482E-2</c:v>
                </c:pt>
                <c:pt idx="11">
                  <c:v>-1.4497794473072645E-2</c:v>
                </c:pt>
                <c:pt idx="12">
                  <c:v>4.4354028622158204E-2</c:v>
                </c:pt>
                <c:pt idx="13">
                  <c:v>7.9486668457492415E-2</c:v>
                </c:pt>
                <c:pt idx="14">
                  <c:v>-1.5524659645517191E-3</c:v>
                </c:pt>
                <c:pt idx="15">
                  <c:v>-1.142603547441523E-2</c:v>
                </c:pt>
                <c:pt idx="16">
                  <c:v>-0.2596636017481907</c:v>
                </c:pt>
                <c:pt idx="17">
                  <c:v>0.13789535200499126</c:v>
                </c:pt>
                <c:pt idx="18">
                  <c:v>-2.3030183673824034E-2</c:v>
                </c:pt>
                <c:pt idx="19">
                  <c:v>-0.22860824385722556</c:v>
                </c:pt>
                <c:pt idx="20">
                  <c:v>-7.9108435278293698E-2</c:v>
                </c:pt>
                <c:pt idx="21">
                  <c:v>-9.1482193480540985E-2</c:v>
                </c:pt>
                <c:pt idx="22">
                  <c:v>-0.31486936710721325</c:v>
                </c:pt>
                <c:pt idx="23">
                  <c:v>0.73879386249156376</c:v>
                </c:pt>
                <c:pt idx="24">
                  <c:v>0.15747128800419508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E-BA47-9FE5-CBA03B677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830528"/>
        <c:axId val="888542000"/>
      </c:lineChart>
      <c:catAx>
        <c:axId val="8651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68352"/>
        <c:crosses val="autoZero"/>
        <c:auto val="1"/>
        <c:lblAlgn val="ctr"/>
        <c:lblOffset val="100"/>
        <c:noMultiLvlLbl val="0"/>
      </c:catAx>
      <c:valAx>
        <c:axId val="7582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06432"/>
        <c:crosses val="autoZero"/>
        <c:crossBetween val="between"/>
      </c:valAx>
      <c:valAx>
        <c:axId val="888542000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0528"/>
        <c:crosses val="max"/>
        <c:crossBetween val="between"/>
      </c:valAx>
      <c:catAx>
        <c:axId val="8888305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88542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etal"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45</xdr:row>
      <xdr:rowOff>0</xdr:rowOff>
    </xdr:from>
    <xdr:to>
      <xdr:col>0</xdr:col>
      <xdr:colOff>371475</xdr:colOff>
      <xdr:row>45</xdr:row>
      <xdr:rowOff>142875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9050" y="8239125"/>
          <a:ext cx="352425" cy="1428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il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177800</xdr:rowOff>
    </xdr:from>
    <xdr:to>
      <xdr:col>19</xdr:col>
      <xdr:colOff>266700</xdr:colOff>
      <xdr:row>27</xdr:row>
      <xdr:rowOff>12700</xdr:rowOff>
    </xdr:to>
    <xdr:graphicFrame macro="">
      <xdr:nvGraphicFramePr>
        <xdr:cNvPr id="25" name="Chart 2">
          <a:extLst>
            <a:ext uri="{FF2B5EF4-FFF2-40B4-BE49-F238E27FC236}">
              <a16:creationId xmlns:a16="http://schemas.microsoft.com/office/drawing/2014/main" id="{A444F4DE-DB9D-2F35-B6B3-04278E8CA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66A5A4-9735-0B40-ADC7-8480B8C0C76C}" name="Table25" displayName="Table25" ref="A67:M69" totalsRowShown="0" headerRowDxfId="25" headerRowCellStyle="Normal 2">
  <autoFilter ref="A67:M69" xr:uid="{584D3257-FCF1-4949-BE2E-90B0445D9B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AA39818-3D43-A141-B97B-47386B431D6E}" name="Total"/>
    <tableColumn id="2" xr3:uid="{C520C2EF-EB14-5444-BD04-200CA837BC23}" name="January">
      <calculatedColumnFormula>B43</calculatedColumnFormula>
    </tableColumn>
    <tableColumn id="3" xr3:uid="{E88910D3-72BD-AF4C-B350-3C210DD0ABF0}" name="February">
      <calculatedColumnFormula>C43</calculatedColumnFormula>
    </tableColumn>
    <tableColumn id="4" xr3:uid="{36866383-C872-614A-BB36-059BF1B51FCA}" name="March">
      <calculatedColumnFormula>D43</calculatedColumnFormula>
    </tableColumn>
    <tableColumn id="5" xr3:uid="{7341280D-8A78-2541-B140-1F62BC4857DD}" name="April">
      <calculatedColumnFormula>E43</calculatedColumnFormula>
    </tableColumn>
    <tableColumn id="6" xr3:uid="{4BEE0D40-3869-0C4D-873D-C12902A65647}" name="May">
      <calculatedColumnFormula>F43</calculatedColumnFormula>
    </tableColumn>
    <tableColumn id="7" xr3:uid="{96B3184F-300B-6346-8221-9719F27DC2E4}" name="June">
      <calculatedColumnFormula>G43</calculatedColumnFormula>
    </tableColumn>
    <tableColumn id="8" xr3:uid="{7D5A7C48-1FBC-854D-952F-72188674D7C0}" name="July">
      <calculatedColumnFormula>H43</calculatedColumnFormula>
    </tableColumn>
    <tableColumn id="9" xr3:uid="{CB83E2B7-9834-B544-9A47-C1528D23F485}" name="August">
      <calculatedColumnFormula>I43</calculatedColumnFormula>
    </tableColumn>
    <tableColumn id="10" xr3:uid="{58F72DA5-D5E4-D741-8DC5-C0A168F8D19E}" name="September">
      <calculatedColumnFormula>J43</calculatedColumnFormula>
    </tableColumn>
    <tableColumn id="11" xr3:uid="{AD38FE93-E0C8-254D-BDE4-C7AC0B36A35E}" name="October">
      <calculatedColumnFormula>K43</calculatedColumnFormula>
    </tableColumn>
    <tableColumn id="12" xr3:uid="{15B5C5A7-1BA9-6749-8688-993C0C74F627}" name="November">
      <calculatedColumnFormula>L43</calculatedColumnFormula>
    </tableColumn>
    <tableColumn id="13" xr3:uid="{4D4B1FC2-2231-C448-B29C-C68BD4E8F1D5}" name="December">
      <calculatedColumnFormula>M43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1"/>
  <sheetViews>
    <sheetView zoomScale="120" zoomScaleNormal="120" zoomScaleSheetLayoutView="100" zoomScalePageLayoutView="120" workbookViewId="0">
      <pane xSplit="1" ySplit="5" topLeftCell="B21" activePane="bottomRight" state="frozen"/>
      <selection pane="bottomRight" activeCell="O47" sqref="O47"/>
      <selection pane="bottomLeft" activeCell="A5" sqref="A5"/>
      <selection pane="topRight" activeCell="B1" sqref="B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2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151"/>
      <c r="C6" s="136"/>
      <c r="D6" s="136"/>
      <c r="E6" s="136"/>
      <c r="F6" s="136"/>
      <c r="G6" s="136"/>
      <c r="H6" s="136"/>
      <c r="I6" s="136"/>
      <c r="J6" s="136"/>
      <c r="K6" s="35"/>
      <c r="L6" s="152"/>
      <c r="M6" s="149"/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153"/>
      <c r="C7" s="35"/>
      <c r="D7" s="35"/>
      <c r="E7" s="35"/>
      <c r="F7" s="35"/>
      <c r="G7" s="35"/>
      <c r="H7" s="35"/>
      <c r="I7" s="35"/>
      <c r="J7" s="35"/>
      <c r="K7" s="35"/>
      <c r="L7" s="148"/>
      <c r="M7" s="150"/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153"/>
      <c r="C8" s="35"/>
      <c r="D8" s="35"/>
      <c r="E8" s="35"/>
      <c r="F8" s="35"/>
      <c r="G8" s="35"/>
      <c r="H8" s="35"/>
      <c r="I8" s="35"/>
      <c r="J8" s="35"/>
      <c r="K8" s="35"/>
      <c r="L8" s="148"/>
      <c r="M8" s="150"/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153"/>
      <c r="C9" s="35"/>
      <c r="D9" s="35"/>
      <c r="E9" s="35"/>
      <c r="F9" s="35"/>
      <c r="G9" s="35"/>
      <c r="H9" s="35"/>
      <c r="I9" s="35"/>
      <c r="J9" s="35"/>
      <c r="K9" s="35"/>
      <c r="L9" s="148"/>
      <c r="M9" s="150"/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153"/>
      <c r="C10" s="35"/>
      <c r="D10" s="35"/>
      <c r="E10" s="35"/>
      <c r="F10" s="35"/>
      <c r="G10" s="35"/>
      <c r="H10" s="35"/>
      <c r="I10" s="35"/>
      <c r="J10" s="35"/>
      <c r="K10" s="35"/>
      <c r="L10" s="148"/>
      <c r="M10" s="150"/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153"/>
      <c r="C11" s="35"/>
      <c r="D11" s="35"/>
      <c r="E11" s="35"/>
      <c r="F11" s="35"/>
      <c r="G11" s="35"/>
      <c r="H11" s="35"/>
      <c r="I11" s="35"/>
      <c r="J11" s="35"/>
      <c r="K11" s="35"/>
      <c r="L11" s="148"/>
      <c r="M11" s="150"/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153"/>
      <c r="C12" s="35"/>
      <c r="D12" s="35"/>
      <c r="E12" s="35"/>
      <c r="F12" s="35"/>
      <c r="G12" s="35"/>
      <c r="H12" s="35"/>
      <c r="I12" s="35"/>
      <c r="J12" s="35"/>
      <c r="K12" s="35"/>
      <c r="L12" s="148"/>
      <c r="M12" s="150"/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153"/>
      <c r="C13" s="35"/>
      <c r="D13" s="35"/>
      <c r="E13" s="35"/>
      <c r="F13" s="35"/>
      <c r="G13" s="35"/>
      <c r="H13" s="35"/>
      <c r="I13" s="35"/>
      <c r="J13" s="35"/>
      <c r="K13" s="35"/>
      <c r="L13" s="148"/>
      <c r="M13" s="150"/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153"/>
      <c r="C14" s="35"/>
      <c r="D14" s="35"/>
      <c r="E14" s="35"/>
      <c r="F14" s="35"/>
      <c r="G14" s="35"/>
      <c r="H14" s="35"/>
      <c r="I14" s="35"/>
      <c r="J14" s="35"/>
      <c r="K14" s="35"/>
      <c r="L14" s="148"/>
      <c r="M14" s="150"/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153"/>
      <c r="C15" s="35"/>
      <c r="D15" s="35"/>
      <c r="E15" s="35"/>
      <c r="F15" s="35"/>
      <c r="G15" s="35"/>
      <c r="H15" s="35"/>
      <c r="I15" s="35"/>
      <c r="J15" s="35"/>
      <c r="K15" s="35"/>
      <c r="L15" s="148"/>
      <c r="M15" s="150"/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153"/>
      <c r="C16" s="35"/>
      <c r="D16" s="35"/>
      <c r="E16" s="35"/>
      <c r="F16" s="35"/>
      <c r="G16" s="35"/>
      <c r="H16" s="35"/>
      <c r="I16" s="35"/>
      <c r="J16" s="35"/>
      <c r="K16" s="35"/>
      <c r="L16" s="148"/>
      <c r="M16" s="150"/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153"/>
      <c r="C17" s="35"/>
      <c r="D17" s="35"/>
      <c r="E17" s="35"/>
      <c r="F17" s="35"/>
      <c r="G17" s="35"/>
      <c r="H17" s="35"/>
      <c r="I17" s="35"/>
      <c r="J17" s="35"/>
      <c r="K17" s="35"/>
      <c r="L17" s="148"/>
      <c r="M17" s="150"/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153"/>
      <c r="C18" s="35"/>
      <c r="D18" s="35"/>
      <c r="E18" s="35"/>
      <c r="F18" s="35"/>
      <c r="G18" s="35"/>
      <c r="H18" s="35"/>
      <c r="I18" s="35"/>
      <c r="J18" s="35"/>
      <c r="K18" s="35"/>
      <c r="L18" s="148"/>
      <c r="M18" s="150"/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153"/>
      <c r="C19" s="35"/>
      <c r="D19" s="35"/>
      <c r="E19" s="35"/>
      <c r="F19" s="35"/>
      <c r="G19" s="35"/>
      <c r="H19" s="35"/>
      <c r="I19" s="35"/>
      <c r="J19" s="35"/>
      <c r="K19" s="35"/>
      <c r="L19" s="148"/>
      <c r="M19" s="150"/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153"/>
      <c r="C20" s="35"/>
      <c r="D20" s="35"/>
      <c r="E20" s="35"/>
      <c r="F20" s="35"/>
      <c r="G20" s="35"/>
      <c r="H20" s="35"/>
      <c r="I20" s="35"/>
      <c r="J20" s="35"/>
      <c r="K20" s="35"/>
      <c r="L20" s="148"/>
      <c r="M20" s="150"/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153"/>
      <c r="C21" s="35"/>
      <c r="D21" s="35"/>
      <c r="E21" s="35"/>
      <c r="F21" s="35"/>
      <c r="G21" s="35"/>
      <c r="H21" s="35"/>
      <c r="I21" s="35"/>
      <c r="J21" s="35"/>
      <c r="K21" s="35"/>
      <c r="L21" s="148"/>
      <c r="M21" s="28">
        <v>12051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153"/>
      <c r="C22" s="35"/>
      <c r="D22" s="35"/>
      <c r="E22" s="35"/>
      <c r="F22" s="35"/>
      <c r="G22" s="35"/>
      <c r="H22" s="35"/>
      <c r="I22" s="35"/>
      <c r="J22" s="35"/>
      <c r="K22" s="35"/>
      <c r="L22" s="148"/>
      <c r="M22" s="28">
        <v>25874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153"/>
      <c r="C23" s="35"/>
      <c r="D23" s="35"/>
      <c r="E23" s="35"/>
      <c r="F23" s="35"/>
      <c r="G23" s="35"/>
      <c r="H23" s="35"/>
      <c r="I23" s="35"/>
      <c r="J23" s="35"/>
      <c r="K23" s="35"/>
      <c r="L23" s="148"/>
      <c r="M23" s="95">
        <v>23698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153"/>
      <c r="C24" s="35"/>
      <c r="D24" s="35"/>
      <c r="E24" s="35"/>
      <c r="F24" s="35"/>
      <c r="G24" s="35"/>
      <c r="H24" s="35"/>
      <c r="I24" s="35"/>
      <c r="J24" s="35"/>
      <c r="K24" s="35"/>
      <c r="L24" s="148"/>
      <c r="M24" s="95">
        <v>23698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153"/>
      <c r="C25" s="35"/>
      <c r="D25" s="35"/>
      <c r="E25" s="35"/>
      <c r="F25" s="35"/>
      <c r="G25" s="35"/>
      <c r="H25" s="35"/>
      <c r="I25" s="35"/>
      <c r="J25" s="35"/>
      <c r="K25" s="35"/>
      <c r="L25" s="148"/>
      <c r="M25" s="28">
        <v>32662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153"/>
      <c r="C26" s="35"/>
      <c r="D26" s="35"/>
      <c r="E26" s="35"/>
      <c r="F26" s="35"/>
      <c r="G26" s="35"/>
      <c r="H26" s="35"/>
      <c r="I26" s="35"/>
      <c r="J26" s="35"/>
      <c r="K26" s="35"/>
      <c r="L26" s="148"/>
      <c r="M26" s="28">
        <v>21652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153"/>
      <c r="C27" s="35"/>
      <c r="D27" s="35"/>
      <c r="E27" s="35"/>
      <c r="F27" s="35"/>
      <c r="G27" s="35"/>
      <c r="H27" s="35"/>
      <c r="I27" s="35"/>
      <c r="J27" s="35"/>
      <c r="K27" s="35"/>
      <c r="L27" s="148"/>
      <c r="M27" s="28">
        <v>21652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153"/>
      <c r="C28" s="35"/>
      <c r="D28" s="35"/>
      <c r="E28" s="35"/>
      <c r="F28" s="35"/>
      <c r="G28" s="35"/>
      <c r="H28" s="35"/>
      <c r="I28" s="35"/>
      <c r="J28" s="35"/>
      <c r="K28" s="35"/>
      <c r="L28" s="148"/>
      <c r="M28" s="28">
        <v>39760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153"/>
      <c r="C29" s="35"/>
      <c r="D29" s="35"/>
      <c r="E29" s="35"/>
      <c r="F29" s="35"/>
      <c r="G29" s="35"/>
      <c r="H29" s="35"/>
      <c r="I29" s="35"/>
      <c r="J29" s="35"/>
      <c r="K29" s="35"/>
      <c r="L29" s="148"/>
      <c r="M29" s="28">
        <v>26469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153"/>
      <c r="C30" s="35"/>
      <c r="D30" s="35"/>
      <c r="E30" s="35"/>
      <c r="F30" s="35"/>
      <c r="G30" s="35"/>
      <c r="H30" s="35"/>
      <c r="I30" s="35"/>
      <c r="J30" s="35"/>
      <c r="K30" s="35"/>
      <c r="L30" s="148"/>
      <c r="M30" s="355">
        <v>13540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153"/>
      <c r="C31" s="35"/>
      <c r="D31" s="35"/>
      <c r="E31" s="35"/>
      <c r="F31" s="35"/>
      <c r="G31" s="35"/>
      <c r="H31" s="35"/>
      <c r="I31" s="35"/>
      <c r="J31" s="35"/>
      <c r="K31" s="35"/>
      <c r="L31" s="148"/>
      <c r="M31" s="95">
        <v>18780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153"/>
      <c r="C32" s="35"/>
      <c r="D32" s="35"/>
      <c r="E32" s="35"/>
      <c r="F32" s="35"/>
      <c r="G32" s="35"/>
      <c r="H32" s="35"/>
      <c r="I32" s="35"/>
      <c r="J32" s="35"/>
      <c r="K32" s="35"/>
      <c r="L32" s="148"/>
      <c r="M32" s="28">
        <v>20928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f>A6+27</f>
        <v>28</v>
      </c>
      <c r="B33" s="153"/>
      <c r="C33" s="35"/>
      <c r="D33" s="35"/>
      <c r="E33" s="35"/>
      <c r="F33" s="35"/>
      <c r="G33" s="35"/>
      <c r="H33" s="35"/>
      <c r="I33" s="35"/>
      <c r="J33" s="35"/>
      <c r="K33" s="35"/>
      <c r="L33" s="148"/>
      <c r="M33" s="28">
        <v>28944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153"/>
      <c r="C34" s="35"/>
      <c r="D34" s="35"/>
      <c r="E34" s="35"/>
      <c r="F34" s="35"/>
      <c r="G34" s="35"/>
      <c r="H34" s="35"/>
      <c r="I34" s="35"/>
      <c r="J34" s="35"/>
      <c r="K34" s="35"/>
      <c r="L34" s="148"/>
      <c r="M34" s="28">
        <v>20687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153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5">
        <v>24584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38">
        <f>A6+30</f>
        <v>31</v>
      </c>
      <c r="B36" s="125"/>
      <c r="C36" s="40"/>
      <c r="D36" s="43"/>
      <c r="E36" s="40"/>
      <c r="F36" s="43"/>
      <c r="G36" s="40"/>
      <c r="H36" s="43"/>
      <c r="I36" s="43"/>
      <c r="J36" s="43"/>
      <c r="K36" s="97"/>
      <c r="L36" s="43"/>
      <c r="M36" s="355">
        <v>13937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54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42">
        <f t="shared" ref="M37" si="0">IFERROR(AVERAGE(M6:M36),0)</f>
        <v>23057.25</v>
      </c>
    </row>
    <row r="38" spans="1:22">
      <c r="A38" s="48" t="s">
        <v>20</v>
      </c>
      <c r="B38" s="156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51"/>
    </row>
    <row r="39" spans="1:22">
      <c r="A39" s="52" t="s">
        <v>21</v>
      </c>
      <c r="B39" s="156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51"/>
    </row>
    <row r="40" spans="1:22">
      <c r="A40" s="52" t="s">
        <v>22</v>
      </c>
      <c r="B40" s="156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51"/>
    </row>
    <row r="41" spans="1:22">
      <c r="A41" s="52" t="s">
        <v>23</v>
      </c>
      <c r="B41" s="156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51"/>
    </row>
    <row r="42" spans="1:22">
      <c r="A42" s="52" t="s">
        <v>24</v>
      </c>
      <c r="B42" s="158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10">
        <f t="shared" ref="M42" si="1">MAX(M6:M36)</f>
        <v>39760</v>
      </c>
    </row>
    <row r="43" spans="1:22" ht="12.75" thickBot="1">
      <c r="A43" s="55" t="s">
        <v>25</v>
      </c>
      <c r="B43" s="160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58">
        <f>SUM(M6:M36)</f>
        <v>368916</v>
      </c>
      <c r="P43" s="59"/>
    </row>
    <row r="44" spans="1:22" s="60" customFormat="1" ht="11.25"/>
    <row r="45" spans="1:22">
      <c r="A45" s="61"/>
    </row>
    <row r="46" spans="1:22" ht="15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46" priority="1" rank="1"/>
  </conditionalFormatting>
  <printOptions horizontalCentered="1" verticalCentered="1"/>
  <pageMargins left="0.25" right="0" top="0.25" bottom="0.25" header="0.31" footer="0.31"/>
  <pageSetup paperSize="9" scale="95" fitToHeight="0" orientation="landscape" r:id="rId1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51"/>
  <sheetViews>
    <sheetView zoomScale="110" zoomScaleNormal="110" zoomScaleSheetLayoutView="100" zoomScalePageLayoutView="120" workbookViewId="0">
      <pane xSplit="1" ySplit="5" topLeftCell="K53" activePane="bottomRight" state="frozen"/>
      <selection pane="bottomRight" activeCell="K53" sqref="K53"/>
      <selection pane="bottomLeft" activeCell="A5" sqref="A5"/>
      <selection pane="topRight" activeCell="B1" sqref="B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26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16">
        <v>10887</v>
      </c>
      <c r="C6" s="17">
        <v>44101</v>
      </c>
      <c r="D6" s="17">
        <v>61328</v>
      </c>
      <c r="E6" s="112">
        <v>35565</v>
      </c>
      <c r="F6" s="113">
        <v>27649</v>
      </c>
      <c r="G6" s="17">
        <v>51806</v>
      </c>
      <c r="H6" s="112">
        <v>47114</v>
      </c>
      <c r="I6" s="17">
        <v>165234</v>
      </c>
      <c r="J6" s="17">
        <v>199514</v>
      </c>
      <c r="K6" s="82">
        <v>95472</v>
      </c>
      <c r="L6" s="21">
        <v>66065</v>
      </c>
      <c r="M6" s="22">
        <v>274664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116">
        <v>17612</v>
      </c>
      <c r="C7" s="26">
        <v>50413</v>
      </c>
      <c r="D7" s="26">
        <v>56461</v>
      </c>
      <c r="E7" s="82">
        <v>20283</v>
      </c>
      <c r="F7" s="26">
        <v>58001</v>
      </c>
      <c r="G7" s="26">
        <v>65159</v>
      </c>
      <c r="H7" s="82">
        <v>21767</v>
      </c>
      <c r="I7" s="26">
        <v>184257</v>
      </c>
      <c r="J7" s="82">
        <v>132325</v>
      </c>
      <c r="K7" s="26">
        <v>207125</v>
      </c>
      <c r="L7" s="122">
        <v>64934</v>
      </c>
      <c r="M7" s="95">
        <v>173101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30">
        <v>17612</v>
      </c>
      <c r="C8" s="26">
        <v>34289</v>
      </c>
      <c r="D8" s="26">
        <v>64116</v>
      </c>
      <c r="E8" s="26">
        <v>57310</v>
      </c>
      <c r="F8" s="26">
        <v>64948</v>
      </c>
      <c r="G8" s="82">
        <v>38966</v>
      </c>
      <c r="H8" s="26">
        <v>75373</v>
      </c>
      <c r="I8" s="26">
        <v>168901</v>
      </c>
      <c r="J8" s="82">
        <v>92935</v>
      </c>
      <c r="K8" s="26">
        <v>200319</v>
      </c>
      <c r="L8" s="148" t="s">
        <v>27</v>
      </c>
      <c r="M8" s="95">
        <v>116240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30">
        <v>26367</v>
      </c>
      <c r="C9" s="26">
        <v>48986</v>
      </c>
      <c r="D9" s="82">
        <v>39550</v>
      </c>
      <c r="E9" s="26">
        <v>56234</v>
      </c>
      <c r="F9" s="26">
        <v>84225</v>
      </c>
      <c r="G9" s="82">
        <v>20345</v>
      </c>
      <c r="H9" s="26">
        <v>55732</v>
      </c>
      <c r="I9" s="26">
        <v>199780</v>
      </c>
      <c r="J9" s="26">
        <v>162793</v>
      </c>
      <c r="K9" s="26">
        <v>193775</v>
      </c>
      <c r="L9" s="115">
        <v>178050</v>
      </c>
      <c r="M9" s="28">
        <v>257495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30">
        <v>23854</v>
      </c>
      <c r="C10" s="82">
        <v>22682</v>
      </c>
      <c r="D10" s="82">
        <v>21675</v>
      </c>
      <c r="E10" s="26">
        <v>57799</v>
      </c>
      <c r="F10" s="26">
        <v>67223</v>
      </c>
      <c r="G10" s="26">
        <v>65290</v>
      </c>
      <c r="H10" s="26">
        <v>51563</v>
      </c>
      <c r="I10" s="82">
        <v>152566</v>
      </c>
      <c r="J10" s="26">
        <v>186302</v>
      </c>
      <c r="K10" s="26">
        <v>181408</v>
      </c>
      <c r="L10" s="115">
        <v>90208</v>
      </c>
      <c r="M10" s="28">
        <v>254492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30">
        <v>21367</v>
      </c>
      <c r="C11" s="82">
        <v>24309</v>
      </c>
      <c r="D11" s="26">
        <v>58989</v>
      </c>
      <c r="E11" s="26">
        <v>55089</v>
      </c>
      <c r="F11" s="82">
        <v>37272</v>
      </c>
      <c r="G11" s="26">
        <v>66843</v>
      </c>
      <c r="H11" s="26">
        <v>54956</v>
      </c>
      <c r="I11" s="82">
        <v>86712</v>
      </c>
      <c r="J11" s="26">
        <v>209586</v>
      </c>
      <c r="K11" s="26">
        <v>226186</v>
      </c>
      <c r="L11" s="27">
        <v>241904</v>
      </c>
      <c r="M11" s="28">
        <v>259054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30">
        <v>21308</v>
      </c>
      <c r="C12" s="26">
        <v>63274</v>
      </c>
      <c r="D12" s="26">
        <v>57989</v>
      </c>
      <c r="E12" s="26">
        <v>62496</v>
      </c>
      <c r="F12" s="82">
        <v>19570</v>
      </c>
      <c r="G12" s="26">
        <v>63132</v>
      </c>
      <c r="H12" s="26">
        <v>69287</v>
      </c>
      <c r="I12" s="26">
        <v>173409</v>
      </c>
      <c r="J12" s="26">
        <v>186372</v>
      </c>
      <c r="K12" s="82">
        <v>148734</v>
      </c>
      <c r="L12" s="27">
        <v>227775</v>
      </c>
      <c r="M12" s="28">
        <v>250120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116">
        <v>19364</v>
      </c>
      <c r="C13" s="26">
        <v>50402</v>
      </c>
      <c r="D13" s="26">
        <v>58966</v>
      </c>
      <c r="E13" s="82">
        <v>37155</v>
      </c>
      <c r="F13" s="26">
        <v>60286</v>
      </c>
      <c r="G13" s="26">
        <v>61125</v>
      </c>
      <c r="H13" s="82">
        <v>34246</v>
      </c>
      <c r="I13" s="26">
        <v>163536</v>
      </c>
      <c r="J13" s="26">
        <v>198120</v>
      </c>
      <c r="K13" s="82">
        <v>87228</v>
      </c>
      <c r="L13" s="27">
        <v>217905</v>
      </c>
      <c r="M13" s="28">
        <v>259549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116">
        <v>16642</v>
      </c>
      <c r="C14" s="26">
        <v>51263</v>
      </c>
      <c r="D14" s="26">
        <v>56421</v>
      </c>
      <c r="E14" s="82">
        <v>20210</v>
      </c>
      <c r="F14" s="26">
        <v>63146</v>
      </c>
      <c r="G14" s="26">
        <v>66008</v>
      </c>
      <c r="H14" s="82">
        <v>17829</v>
      </c>
      <c r="I14" s="26">
        <v>210433</v>
      </c>
      <c r="J14" s="82">
        <v>144802</v>
      </c>
      <c r="K14" s="26">
        <v>219222</v>
      </c>
      <c r="L14" s="27">
        <v>194561</v>
      </c>
      <c r="M14" s="95">
        <v>203231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30">
        <v>16642</v>
      </c>
      <c r="C15" s="26">
        <v>51259</v>
      </c>
      <c r="D15" s="26">
        <v>62221</v>
      </c>
      <c r="E15" s="26">
        <v>58505</v>
      </c>
      <c r="F15" s="26">
        <v>62463</v>
      </c>
      <c r="G15" s="82">
        <v>38865</v>
      </c>
      <c r="H15" s="26">
        <v>67774</v>
      </c>
      <c r="I15" s="26">
        <v>179657</v>
      </c>
      <c r="J15" s="82">
        <v>84305</v>
      </c>
      <c r="K15" s="26">
        <v>201075</v>
      </c>
      <c r="L15" s="27">
        <v>191267</v>
      </c>
      <c r="M15" s="95">
        <v>114462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30">
        <v>20778</v>
      </c>
      <c r="C16" s="26">
        <v>57036</v>
      </c>
      <c r="D16" s="82">
        <v>39295</v>
      </c>
      <c r="E16" s="26">
        <v>58408</v>
      </c>
      <c r="F16" s="26">
        <v>60208</v>
      </c>
      <c r="G16" s="82">
        <v>19126</v>
      </c>
      <c r="H16" s="26">
        <v>72450</v>
      </c>
      <c r="I16" s="26">
        <v>189035</v>
      </c>
      <c r="J16" s="26">
        <v>188271</v>
      </c>
      <c r="K16" s="26">
        <v>208748</v>
      </c>
      <c r="L16" s="115">
        <v>190030</v>
      </c>
      <c r="M16" s="28">
        <v>283578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30">
        <v>20921</v>
      </c>
      <c r="C17" s="82">
        <v>37977</v>
      </c>
      <c r="D17" s="82">
        <v>20165</v>
      </c>
      <c r="E17" s="26">
        <v>59317</v>
      </c>
      <c r="F17" s="26">
        <v>65329</v>
      </c>
      <c r="G17" s="33">
        <v>20808</v>
      </c>
      <c r="H17" s="26">
        <v>72383</v>
      </c>
      <c r="I17" s="82">
        <v>129578</v>
      </c>
      <c r="J17" s="26">
        <v>188545</v>
      </c>
      <c r="K17" s="26">
        <v>198568</v>
      </c>
      <c r="L17" s="115">
        <v>97609</v>
      </c>
      <c r="M17" s="28">
        <v>258535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30">
        <v>20632</v>
      </c>
      <c r="C18" s="82">
        <v>23101</v>
      </c>
      <c r="D18" s="26">
        <v>57165</v>
      </c>
      <c r="E18" s="26">
        <v>57374</v>
      </c>
      <c r="F18" s="82">
        <v>37352</v>
      </c>
      <c r="G18" s="26">
        <v>59167</v>
      </c>
      <c r="H18" s="26">
        <v>69235</v>
      </c>
      <c r="I18" s="82">
        <v>87941</v>
      </c>
      <c r="J18" s="26">
        <v>209037</v>
      </c>
      <c r="K18" s="26">
        <v>219030</v>
      </c>
      <c r="L18" s="27">
        <v>233710</v>
      </c>
      <c r="M18" s="28">
        <v>262348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30">
        <v>25602</v>
      </c>
      <c r="C19" s="26">
        <v>52073</v>
      </c>
      <c r="D19" s="26">
        <v>57100</v>
      </c>
      <c r="E19" s="26">
        <v>63482</v>
      </c>
      <c r="F19" s="82">
        <v>21058</v>
      </c>
      <c r="G19" s="26">
        <v>65667</v>
      </c>
      <c r="H19" s="26">
        <v>80717</v>
      </c>
      <c r="I19" s="26">
        <v>177716</v>
      </c>
      <c r="J19" s="26">
        <v>177507</v>
      </c>
      <c r="K19" s="82">
        <v>169289</v>
      </c>
      <c r="L19" s="27">
        <v>191162</v>
      </c>
      <c r="M19" s="28">
        <v>260370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116">
        <v>22530</v>
      </c>
      <c r="C20" s="26">
        <v>50887</v>
      </c>
      <c r="D20" s="26">
        <v>60747</v>
      </c>
      <c r="E20" s="82">
        <v>39009</v>
      </c>
      <c r="F20" s="26">
        <v>60391</v>
      </c>
      <c r="G20" s="26">
        <v>64193</v>
      </c>
      <c r="H20" s="82">
        <v>52856</v>
      </c>
      <c r="I20" s="26">
        <v>184411</v>
      </c>
      <c r="J20" s="26">
        <v>206172</v>
      </c>
      <c r="K20" s="82">
        <v>105243</v>
      </c>
      <c r="L20" s="27">
        <v>247676</v>
      </c>
      <c r="M20" s="28">
        <v>284861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116">
        <v>12051</v>
      </c>
      <c r="C21" s="26">
        <v>54075</v>
      </c>
      <c r="D21" s="26">
        <v>58255</v>
      </c>
      <c r="E21" s="82">
        <v>21316</v>
      </c>
      <c r="F21" s="26">
        <v>62520</v>
      </c>
      <c r="G21" s="26">
        <v>73289</v>
      </c>
      <c r="H21" s="82">
        <v>26842</v>
      </c>
      <c r="I21" s="26">
        <v>192708</v>
      </c>
      <c r="J21" s="82">
        <v>157109</v>
      </c>
      <c r="K21" s="26">
        <v>206523</v>
      </c>
      <c r="L21" s="27">
        <v>243443</v>
      </c>
      <c r="M21" s="95">
        <v>219064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30">
        <v>25874</v>
      </c>
      <c r="C22" s="26">
        <v>52131</v>
      </c>
      <c r="D22" s="26">
        <v>62907</v>
      </c>
      <c r="E22" s="26">
        <v>60149</v>
      </c>
      <c r="F22" s="26">
        <v>67681</v>
      </c>
      <c r="G22" s="82">
        <v>41793</v>
      </c>
      <c r="H22" s="26">
        <v>78493</v>
      </c>
      <c r="I22" s="26">
        <v>179449</v>
      </c>
      <c r="J22" s="82">
        <v>96470</v>
      </c>
      <c r="K22" s="26">
        <v>214072</v>
      </c>
      <c r="L22" s="27">
        <v>253263</v>
      </c>
      <c r="M22" s="95">
        <v>154975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30">
        <v>22912</v>
      </c>
      <c r="C23" s="26">
        <v>50337</v>
      </c>
      <c r="D23" s="82">
        <v>38690</v>
      </c>
      <c r="E23" s="26">
        <v>53704</v>
      </c>
      <c r="F23" s="26">
        <v>64715</v>
      </c>
      <c r="G23" s="82">
        <v>22440</v>
      </c>
      <c r="H23" s="26">
        <v>79601</v>
      </c>
      <c r="I23" s="26">
        <v>187890</v>
      </c>
      <c r="J23" s="26">
        <v>185691</v>
      </c>
      <c r="K23" s="26">
        <v>217254</v>
      </c>
      <c r="L23" s="115">
        <v>186909</v>
      </c>
      <c r="M23" s="28">
        <v>290498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30">
        <v>25614</v>
      </c>
      <c r="C24" s="82">
        <v>36268</v>
      </c>
      <c r="D24" s="82">
        <v>20769</v>
      </c>
      <c r="E24" s="26">
        <v>58948</v>
      </c>
      <c r="F24" s="26">
        <v>64550</v>
      </c>
      <c r="G24" s="26">
        <v>57913</v>
      </c>
      <c r="H24" s="26">
        <v>79670</v>
      </c>
      <c r="I24" s="82">
        <v>138933</v>
      </c>
      <c r="J24" s="26">
        <v>180175</v>
      </c>
      <c r="K24" s="26">
        <v>213609</v>
      </c>
      <c r="L24" s="115">
        <v>113869</v>
      </c>
      <c r="M24" s="28">
        <v>284079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30">
        <v>25110</v>
      </c>
      <c r="C25" s="82">
        <v>17778</v>
      </c>
      <c r="D25" s="26">
        <v>55799</v>
      </c>
      <c r="E25" s="35" t="s">
        <v>28</v>
      </c>
      <c r="F25" s="82">
        <v>41118</v>
      </c>
      <c r="G25" s="26">
        <v>84373</v>
      </c>
      <c r="H25" s="35" t="s">
        <v>29</v>
      </c>
      <c r="I25" s="82">
        <v>86564</v>
      </c>
      <c r="J25" s="26">
        <v>224954</v>
      </c>
      <c r="K25" s="26">
        <v>83705</v>
      </c>
      <c r="L25" s="27">
        <v>243433</v>
      </c>
      <c r="M25" s="28">
        <v>295717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30">
        <v>26247</v>
      </c>
      <c r="C26" s="26">
        <v>53166</v>
      </c>
      <c r="D26" s="26">
        <v>54722</v>
      </c>
      <c r="E26" s="35" t="s">
        <v>28</v>
      </c>
      <c r="F26" s="82">
        <v>21604</v>
      </c>
      <c r="G26" s="26">
        <v>67939</v>
      </c>
      <c r="H26" s="26">
        <v>141713</v>
      </c>
      <c r="I26" s="26">
        <v>217481</v>
      </c>
      <c r="J26" s="26">
        <v>185895</v>
      </c>
      <c r="K26" s="82">
        <v>150130</v>
      </c>
      <c r="L26" s="27">
        <v>238550</v>
      </c>
      <c r="M26" s="28">
        <v>268243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116">
        <v>15524</v>
      </c>
      <c r="C27" s="26">
        <v>52931</v>
      </c>
      <c r="D27" s="26">
        <v>56956</v>
      </c>
      <c r="E27" s="35" t="s">
        <v>28</v>
      </c>
      <c r="F27" s="26">
        <v>64188</v>
      </c>
      <c r="G27" s="26">
        <v>64475</v>
      </c>
      <c r="H27" s="82">
        <v>131190</v>
      </c>
      <c r="I27" s="26">
        <v>159999</v>
      </c>
      <c r="J27" s="26">
        <v>213918</v>
      </c>
      <c r="K27" s="82">
        <v>105962</v>
      </c>
      <c r="L27" s="27">
        <v>240637</v>
      </c>
      <c r="M27" s="28">
        <v>296969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116">
        <v>10251</v>
      </c>
      <c r="C28" s="26">
        <v>55257</v>
      </c>
      <c r="D28" s="26">
        <v>55099</v>
      </c>
      <c r="E28" s="35" t="s">
        <v>28</v>
      </c>
      <c r="F28" s="26">
        <v>60795</v>
      </c>
      <c r="G28" s="26">
        <v>71074</v>
      </c>
      <c r="H28" s="82">
        <v>70916</v>
      </c>
      <c r="I28" s="26">
        <v>188690</v>
      </c>
      <c r="J28" s="82">
        <v>152753</v>
      </c>
      <c r="K28" s="26">
        <v>203038</v>
      </c>
      <c r="L28" s="27">
        <v>231733</v>
      </c>
      <c r="M28" s="95">
        <v>214755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30">
        <v>24717</v>
      </c>
      <c r="C29" s="26">
        <v>58907</v>
      </c>
      <c r="D29" s="26">
        <v>59511</v>
      </c>
      <c r="E29" s="26">
        <v>52629</v>
      </c>
      <c r="F29" s="26">
        <v>62508</v>
      </c>
      <c r="G29" s="82">
        <v>41955</v>
      </c>
      <c r="H29" s="26">
        <v>149907</v>
      </c>
      <c r="I29" s="26">
        <v>176679</v>
      </c>
      <c r="J29" s="82">
        <v>83051</v>
      </c>
      <c r="K29" s="26">
        <v>187347</v>
      </c>
      <c r="L29" s="27">
        <v>251565</v>
      </c>
      <c r="M29" s="36">
        <v>127021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30">
        <v>19445</v>
      </c>
      <c r="C30" s="33">
        <v>194631</v>
      </c>
      <c r="D30" s="82">
        <v>36591</v>
      </c>
      <c r="E30" s="26">
        <v>54397</v>
      </c>
      <c r="F30" s="26">
        <v>66328</v>
      </c>
      <c r="G30" s="82">
        <v>16536</v>
      </c>
      <c r="H30" s="26">
        <v>156505</v>
      </c>
      <c r="I30" s="26">
        <v>182095</v>
      </c>
      <c r="J30" s="26">
        <v>203478</v>
      </c>
      <c r="K30" s="26">
        <v>237265</v>
      </c>
      <c r="L30" s="115">
        <v>186813</v>
      </c>
      <c r="M30" s="36">
        <v>120107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30">
        <v>27146</v>
      </c>
      <c r="C31" s="82">
        <v>38662</v>
      </c>
      <c r="D31" s="82">
        <v>20106</v>
      </c>
      <c r="E31" s="26">
        <v>54787</v>
      </c>
      <c r="F31" s="26">
        <v>64948</v>
      </c>
      <c r="G31" s="26">
        <v>63446</v>
      </c>
      <c r="H31" s="26">
        <v>167994</v>
      </c>
      <c r="I31" s="82">
        <v>200789</v>
      </c>
      <c r="J31" s="26">
        <v>201834</v>
      </c>
      <c r="K31" s="26">
        <v>203828</v>
      </c>
      <c r="L31" s="115">
        <v>112142</v>
      </c>
      <c r="M31" s="28">
        <v>229431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30">
        <v>26934</v>
      </c>
      <c r="C32" s="82">
        <v>19100</v>
      </c>
      <c r="D32" s="26">
        <v>54588</v>
      </c>
      <c r="E32" s="26">
        <v>54837</v>
      </c>
      <c r="F32" s="82">
        <v>37132</v>
      </c>
      <c r="G32" s="26">
        <v>55398</v>
      </c>
      <c r="H32" s="26">
        <v>163105</v>
      </c>
      <c r="I32" s="33">
        <v>74182</v>
      </c>
      <c r="J32" s="26">
        <v>209765</v>
      </c>
      <c r="K32" s="26">
        <v>223002</v>
      </c>
      <c r="L32" s="27">
        <v>240687</v>
      </c>
      <c r="M32" s="28">
        <v>242553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f>A6+27</f>
        <v>28</v>
      </c>
      <c r="B33" s="30">
        <v>32452</v>
      </c>
      <c r="C33" s="26">
        <v>55008</v>
      </c>
      <c r="D33" s="26">
        <v>53622</v>
      </c>
      <c r="E33" s="26">
        <v>63724</v>
      </c>
      <c r="F33" s="82">
        <v>18786</v>
      </c>
      <c r="G33" s="26">
        <v>51354</v>
      </c>
      <c r="H33" s="26">
        <v>184143</v>
      </c>
      <c r="I33" s="26">
        <v>190665</v>
      </c>
      <c r="J33" s="26">
        <v>196309</v>
      </c>
      <c r="K33" s="82">
        <v>113235</v>
      </c>
      <c r="L33" s="27">
        <v>237594</v>
      </c>
      <c r="M33" s="28">
        <v>246293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116">
        <v>19039</v>
      </c>
      <c r="C34" s="26">
        <v>59249</v>
      </c>
      <c r="D34" s="26">
        <v>55037</v>
      </c>
      <c r="E34" s="82">
        <v>38002</v>
      </c>
      <c r="F34" s="26">
        <v>62066</v>
      </c>
      <c r="G34" s="26">
        <v>51415</v>
      </c>
      <c r="H34" s="82">
        <v>139707</v>
      </c>
      <c r="I34" s="26">
        <v>177594</v>
      </c>
      <c r="J34" s="26">
        <v>199511</v>
      </c>
      <c r="K34" s="82">
        <v>60263</v>
      </c>
      <c r="L34" s="27">
        <v>266832</v>
      </c>
      <c r="M34" s="28">
        <v>254715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116">
        <v>12312</v>
      </c>
      <c r="C35" s="37"/>
      <c r="D35" s="26">
        <v>43409</v>
      </c>
      <c r="E35" s="82">
        <v>24981</v>
      </c>
      <c r="F35" s="26">
        <v>61827</v>
      </c>
      <c r="G35" s="26">
        <v>94076</v>
      </c>
      <c r="H35" s="82">
        <v>89522</v>
      </c>
      <c r="I35" s="26">
        <v>178618</v>
      </c>
      <c r="J35" s="82">
        <v>153903</v>
      </c>
      <c r="K35" s="26">
        <v>206020</v>
      </c>
      <c r="L35" s="33">
        <v>146856</v>
      </c>
      <c r="M35" s="36">
        <v>136350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38">
        <f>A6+30</f>
        <v>31</v>
      </c>
      <c r="B36" s="70">
        <v>31370</v>
      </c>
      <c r="C36" s="40"/>
      <c r="D36" s="41">
        <v>48538</v>
      </c>
      <c r="E36" s="40"/>
      <c r="F36" s="41">
        <v>65813</v>
      </c>
      <c r="G36" s="40"/>
      <c r="H36" s="41">
        <v>189464</v>
      </c>
      <c r="I36" s="41">
        <v>186022</v>
      </c>
      <c r="J36" s="43"/>
      <c r="K36" s="72">
        <v>209170</v>
      </c>
      <c r="L36" s="43"/>
      <c r="M36" s="95">
        <v>69747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26">
        <f>AVERAGE(B6:B36)</f>
        <v>21261.806451612902</v>
      </c>
      <c r="C37" s="127">
        <f>AVERAGE(C6:C36)</f>
        <v>50329.379310344826</v>
      </c>
      <c r="D37" s="127">
        <f>AVERAGE(D6:D36)</f>
        <v>49896.354838709674</v>
      </c>
      <c r="E37" s="127">
        <f>IFERROR(AVERAGE(E6:E36),0)</f>
        <v>49065.769230769234</v>
      </c>
      <c r="F37" s="127">
        <f>IFERROR(AVERAGE(F6:F36),0)</f>
        <v>54054.838709677417</v>
      </c>
      <c r="G37" s="127">
        <f t="shared" ref="G37:M37" si="0">IFERROR(AVERAGE(G6:G36),0)</f>
        <v>54132.533333333333</v>
      </c>
      <c r="H37" s="127">
        <f t="shared" si="0"/>
        <v>89735.133333333331</v>
      </c>
      <c r="I37" s="127">
        <f t="shared" si="0"/>
        <v>166823.35483870967</v>
      </c>
      <c r="J37" s="127">
        <f t="shared" si="0"/>
        <v>173713.4</v>
      </c>
      <c r="K37" s="127">
        <f t="shared" si="0"/>
        <v>177285.32258064515</v>
      </c>
      <c r="L37" s="127">
        <f>IFERROR(AVERAGE(L6:L36),0)</f>
        <v>194040.75862068965</v>
      </c>
      <c r="M37" s="142">
        <f t="shared" si="0"/>
        <v>224600.54838709679</v>
      </c>
    </row>
    <row r="38" spans="1:22">
      <c r="A38" s="48" t="s">
        <v>20</v>
      </c>
      <c r="B38" s="12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1:22">
      <c r="A39" s="52" t="s">
        <v>21</v>
      </c>
      <c r="B39" s="12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1"/>
    </row>
    <row r="40" spans="1:22">
      <c r="A40" s="52" t="s">
        <v>22</v>
      </c>
      <c r="B40" s="12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1"/>
    </row>
    <row r="41" spans="1:22">
      <c r="A41" s="52" t="s">
        <v>23</v>
      </c>
      <c r="B41" s="12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</row>
    <row r="42" spans="1:22">
      <c r="A42" s="52" t="s">
        <v>24</v>
      </c>
      <c r="B42" s="108">
        <f>MAX(B6:B36)</f>
        <v>32452</v>
      </c>
      <c r="C42" s="109">
        <f>MAX(C6:C36)</f>
        <v>194631</v>
      </c>
      <c r="D42" s="109">
        <f t="shared" ref="D42:M42" si="1">MAX(D6:D36)</f>
        <v>64116</v>
      </c>
      <c r="E42" s="109">
        <f t="shared" si="1"/>
        <v>63724</v>
      </c>
      <c r="F42" s="109">
        <f t="shared" si="1"/>
        <v>84225</v>
      </c>
      <c r="G42" s="109">
        <f t="shared" si="1"/>
        <v>94076</v>
      </c>
      <c r="H42" s="109">
        <f t="shared" si="1"/>
        <v>189464</v>
      </c>
      <c r="I42" s="109">
        <f t="shared" si="1"/>
        <v>217481</v>
      </c>
      <c r="J42" s="109">
        <f t="shared" si="1"/>
        <v>224954</v>
      </c>
      <c r="K42" s="109">
        <f t="shared" si="1"/>
        <v>237265</v>
      </c>
      <c r="L42" s="109">
        <f t="shared" si="1"/>
        <v>266832</v>
      </c>
      <c r="M42" s="110">
        <f t="shared" si="1"/>
        <v>296969</v>
      </c>
    </row>
    <row r="43" spans="1:22" ht="12.75" thickBot="1">
      <c r="A43" s="55" t="s">
        <v>25</v>
      </c>
      <c r="B43" s="111">
        <f t="shared" ref="B43:L43" si="2">SUM(B6:B36)</f>
        <v>659116</v>
      </c>
      <c r="C43" s="57">
        <f>SUM(C6:C36)</f>
        <v>1459552</v>
      </c>
      <c r="D43" s="57">
        <f t="shared" si="2"/>
        <v>1546787</v>
      </c>
      <c r="E43" s="57">
        <f t="shared" si="2"/>
        <v>1275710</v>
      </c>
      <c r="F43" s="57">
        <f t="shared" si="2"/>
        <v>1675700</v>
      </c>
      <c r="G43" s="57">
        <f t="shared" si="2"/>
        <v>1623976</v>
      </c>
      <c r="H43" s="57">
        <f t="shared" si="2"/>
        <v>2692054</v>
      </c>
      <c r="I43" s="57">
        <f t="shared" si="2"/>
        <v>5171524</v>
      </c>
      <c r="J43" s="57">
        <f t="shared" si="2"/>
        <v>5211402</v>
      </c>
      <c r="K43" s="57">
        <f t="shared" si="2"/>
        <v>5495845</v>
      </c>
      <c r="L43" s="57">
        <f t="shared" si="2"/>
        <v>5627182</v>
      </c>
      <c r="M43" s="58">
        <f>SUM(M6:M36)</f>
        <v>6962617</v>
      </c>
      <c r="P43" s="59"/>
    </row>
    <row r="44" spans="1:22" s="60" customFormat="1" ht="11.25"/>
    <row r="45" spans="1:22">
      <c r="A45" s="61"/>
    </row>
    <row r="46" spans="1:22" ht="15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45" priority="1" rank="1"/>
  </conditionalFormatting>
  <printOptions horizontalCentered="1" verticalCentered="1"/>
  <pageMargins left="0.25" right="0" top="0.25" bottom="0.25" header="0.31" footer="0.31"/>
  <pageSetup paperSize="9" scale="95" fitToHeight="0" orientation="landscape" r:id="rId1"/>
  <rowBreaks count="1" manualBreakCount="1">
    <brk id="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51"/>
  <sheetViews>
    <sheetView zoomScale="120" zoomScaleNormal="120" zoomScaleSheetLayoutView="100" zoomScalePageLayoutView="120" workbookViewId="0">
      <pane xSplit="1" ySplit="5" topLeftCell="B6" activePane="bottomRight" state="frozen"/>
      <selection pane="bottomRight" activeCell="B6" sqref="B6"/>
      <selection pane="bottomLeft" activeCell="A5" sqref="A5"/>
      <selection pane="topRight" activeCell="B1" sqref="B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30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65" t="s">
        <v>7</v>
      </c>
      <c r="C5" s="166" t="s">
        <v>8</v>
      </c>
      <c r="D5" s="166" t="s">
        <v>9</v>
      </c>
      <c r="E5" s="166" t="s">
        <v>10</v>
      </c>
      <c r="F5" s="166" t="s">
        <v>11</v>
      </c>
      <c r="G5" s="166" t="s">
        <v>12</v>
      </c>
      <c r="H5" s="166" t="s">
        <v>13</v>
      </c>
      <c r="I5" s="166" t="s">
        <v>14</v>
      </c>
      <c r="J5" s="166" t="s">
        <v>15</v>
      </c>
      <c r="K5" s="166" t="s">
        <v>16</v>
      </c>
      <c r="L5" s="166" t="s">
        <v>17</v>
      </c>
      <c r="M5" s="167" t="s">
        <v>18</v>
      </c>
    </row>
    <row r="6" spans="1:22" s="3" customFormat="1" ht="15" customHeight="1">
      <c r="A6" s="162">
        <v>1</v>
      </c>
      <c r="B6" s="73">
        <v>62000</v>
      </c>
      <c r="C6" s="75">
        <v>252918</v>
      </c>
      <c r="D6" s="75">
        <v>263346</v>
      </c>
      <c r="E6" s="74">
        <v>124844</v>
      </c>
      <c r="F6" s="76">
        <v>150228</v>
      </c>
      <c r="G6" s="75">
        <v>301619</v>
      </c>
      <c r="H6" s="74">
        <v>172299</v>
      </c>
      <c r="I6" s="75">
        <v>313204</v>
      </c>
      <c r="J6" s="74">
        <v>237693</v>
      </c>
      <c r="K6" s="75">
        <v>316237</v>
      </c>
      <c r="L6" s="76">
        <v>91112</v>
      </c>
      <c r="M6" s="138">
        <v>214486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163">
        <f>A6+1</f>
        <v>2</v>
      </c>
      <c r="B7" s="89">
        <v>178150</v>
      </c>
      <c r="C7" s="26">
        <v>264166</v>
      </c>
      <c r="D7" s="26">
        <v>275550</v>
      </c>
      <c r="E7" s="26">
        <v>274167</v>
      </c>
      <c r="F7" s="26">
        <v>283417</v>
      </c>
      <c r="G7" s="82">
        <v>206008</v>
      </c>
      <c r="H7" s="26">
        <v>280854</v>
      </c>
      <c r="I7" s="26">
        <v>290713</v>
      </c>
      <c r="J7" s="82">
        <v>150822</v>
      </c>
      <c r="K7" s="26">
        <v>309462</v>
      </c>
      <c r="L7" s="33">
        <v>106950</v>
      </c>
      <c r="M7" s="95">
        <v>147387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163">
        <f>A6+2</f>
        <v>3</v>
      </c>
      <c r="B8" s="89">
        <v>222181</v>
      </c>
      <c r="C8" s="82">
        <v>191888</v>
      </c>
      <c r="D8" s="82">
        <v>202320</v>
      </c>
      <c r="E8" s="208">
        <v>0</v>
      </c>
      <c r="F8" s="26">
        <v>259138</v>
      </c>
      <c r="G8" s="82">
        <v>136243</v>
      </c>
      <c r="H8" s="26">
        <v>291955</v>
      </c>
      <c r="I8" s="26">
        <v>304237</v>
      </c>
      <c r="J8" s="26">
        <v>311948</v>
      </c>
      <c r="K8" s="26">
        <v>317349</v>
      </c>
      <c r="L8" s="82">
        <v>136609</v>
      </c>
      <c r="M8" s="28">
        <v>324267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163">
        <f>A6+3</f>
        <v>4</v>
      </c>
      <c r="B9" s="89">
        <v>220567</v>
      </c>
      <c r="C9" s="82">
        <v>118482</v>
      </c>
      <c r="D9" s="82">
        <v>129632</v>
      </c>
      <c r="E9" s="208">
        <v>539343</v>
      </c>
      <c r="F9" s="26">
        <v>277272</v>
      </c>
      <c r="G9" s="26">
        <v>279042</v>
      </c>
      <c r="H9" s="26">
        <v>269707</v>
      </c>
      <c r="I9" s="82">
        <v>218085</v>
      </c>
      <c r="J9" s="26">
        <v>303236</v>
      </c>
      <c r="K9" s="26">
        <v>302186</v>
      </c>
      <c r="L9" s="82">
        <v>83355</v>
      </c>
      <c r="M9" s="28">
        <v>312200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163">
        <f>A6+4</f>
        <v>5</v>
      </c>
      <c r="B10" s="89">
        <v>232398</v>
      </c>
      <c r="C10" s="26">
        <v>263520</v>
      </c>
      <c r="D10" s="26">
        <v>271408</v>
      </c>
      <c r="E10" s="26">
        <v>268919</v>
      </c>
      <c r="F10" s="82">
        <v>197894</v>
      </c>
      <c r="G10" s="26">
        <v>275104</v>
      </c>
      <c r="H10" s="26">
        <v>261711</v>
      </c>
      <c r="I10" s="82">
        <v>144504</v>
      </c>
      <c r="J10" s="26">
        <v>309532</v>
      </c>
      <c r="K10" s="26">
        <v>327948</v>
      </c>
      <c r="L10" s="26">
        <v>302945</v>
      </c>
      <c r="M10" s="28">
        <v>324108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163">
        <f>A6+5</f>
        <v>6</v>
      </c>
      <c r="B11" s="87">
        <v>165685</v>
      </c>
      <c r="C11" s="26">
        <v>266912</v>
      </c>
      <c r="D11" s="26">
        <v>260455</v>
      </c>
      <c r="E11" s="26">
        <v>279591</v>
      </c>
      <c r="F11" s="82">
        <v>123682</v>
      </c>
      <c r="G11" s="26">
        <v>281588</v>
      </c>
      <c r="H11" s="26">
        <v>297446</v>
      </c>
      <c r="I11" s="26">
        <v>303890</v>
      </c>
      <c r="J11" s="26">
        <v>296560</v>
      </c>
      <c r="K11" s="82">
        <v>236825</v>
      </c>
      <c r="L11" s="26">
        <v>302063</v>
      </c>
      <c r="M11" s="28">
        <v>297594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163">
        <f>A6+6</f>
        <v>7</v>
      </c>
      <c r="B12" s="87">
        <v>99610</v>
      </c>
      <c r="C12" s="26">
        <v>262482</v>
      </c>
      <c r="D12" s="26">
        <v>275986</v>
      </c>
      <c r="E12" s="82">
        <v>29753</v>
      </c>
      <c r="F12" s="26">
        <v>236939</v>
      </c>
      <c r="G12" s="26">
        <v>265158</v>
      </c>
      <c r="H12" s="82">
        <v>235399</v>
      </c>
      <c r="I12" s="26">
        <v>289193</v>
      </c>
      <c r="J12" s="26">
        <v>316647</v>
      </c>
      <c r="K12" s="82">
        <v>146705</v>
      </c>
      <c r="L12" s="26">
        <v>304968</v>
      </c>
      <c r="M12" s="28">
        <v>335145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163">
        <f>A6+7</f>
        <v>8</v>
      </c>
      <c r="B13" s="89">
        <v>236638</v>
      </c>
      <c r="C13" s="26">
        <v>247647</v>
      </c>
      <c r="D13" s="26">
        <v>289050</v>
      </c>
      <c r="E13" s="82">
        <v>81504</v>
      </c>
      <c r="F13" s="26">
        <v>258363</v>
      </c>
      <c r="G13" s="26">
        <v>281363</v>
      </c>
      <c r="H13" s="82">
        <v>132822</v>
      </c>
      <c r="I13" s="26">
        <v>300523</v>
      </c>
      <c r="J13" s="82">
        <v>234864</v>
      </c>
      <c r="K13" s="26">
        <v>305403</v>
      </c>
      <c r="L13" s="26">
        <v>276136</v>
      </c>
      <c r="M13" s="95">
        <v>253299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163">
        <f>A6+8</f>
        <v>9</v>
      </c>
      <c r="B14" s="89">
        <v>239770</v>
      </c>
      <c r="C14" s="26">
        <v>262636</v>
      </c>
      <c r="D14" s="26">
        <v>272655</v>
      </c>
      <c r="E14" s="33">
        <v>144915</v>
      </c>
      <c r="F14" s="26">
        <v>259537</v>
      </c>
      <c r="G14" s="82">
        <v>201223</v>
      </c>
      <c r="H14" s="26">
        <v>300471</v>
      </c>
      <c r="I14" s="26">
        <v>287948</v>
      </c>
      <c r="J14" s="82">
        <v>144546</v>
      </c>
      <c r="K14" s="26">
        <v>306707</v>
      </c>
      <c r="L14" s="26">
        <v>315103</v>
      </c>
      <c r="M14" s="95">
        <v>160538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163">
        <f>A6+9</f>
        <v>10</v>
      </c>
      <c r="B15" s="89">
        <v>240088</v>
      </c>
      <c r="C15" s="82">
        <v>187413</v>
      </c>
      <c r="D15" s="82">
        <v>202121</v>
      </c>
      <c r="E15" s="26">
        <v>289334</v>
      </c>
      <c r="F15" s="26">
        <v>254049</v>
      </c>
      <c r="G15" s="82">
        <v>115814</v>
      </c>
      <c r="H15" s="26">
        <v>292149</v>
      </c>
      <c r="I15" s="26">
        <v>298376</v>
      </c>
      <c r="J15" s="26">
        <v>311450</v>
      </c>
      <c r="K15" s="26">
        <v>299688</v>
      </c>
      <c r="L15" s="82">
        <v>234120</v>
      </c>
      <c r="M15" s="28">
        <v>327123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163">
        <f>A6+10</f>
        <v>11</v>
      </c>
      <c r="B16" s="89">
        <v>230610</v>
      </c>
      <c r="C16" s="82">
        <v>116789</v>
      </c>
      <c r="D16" s="82">
        <v>121379</v>
      </c>
      <c r="E16" s="26">
        <v>250635</v>
      </c>
      <c r="F16" s="26">
        <v>270545</v>
      </c>
      <c r="G16" s="26">
        <v>287995</v>
      </c>
      <c r="H16" s="26">
        <v>297869</v>
      </c>
      <c r="I16" s="82">
        <v>221766</v>
      </c>
      <c r="J16" s="26">
        <v>301431</v>
      </c>
      <c r="K16" s="26">
        <v>282710</v>
      </c>
      <c r="L16" s="82">
        <v>135988</v>
      </c>
      <c r="M16" s="28">
        <v>319747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163">
        <f>A6+11</f>
        <v>12</v>
      </c>
      <c r="B17" s="89">
        <v>246070</v>
      </c>
      <c r="C17" s="26">
        <v>246655</v>
      </c>
      <c r="D17" s="26">
        <v>270387</v>
      </c>
      <c r="E17" s="35"/>
      <c r="F17" s="82">
        <v>180225</v>
      </c>
      <c r="G17" s="33">
        <v>138673</v>
      </c>
      <c r="H17" s="26">
        <v>283419</v>
      </c>
      <c r="I17" s="82">
        <v>131041</v>
      </c>
      <c r="J17" s="26">
        <v>294975</v>
      </c>
      <c r="K17" s="26">
        <v>318320</v>
      </c>
      <c r="L17" s="26">
        <v>296963</v>
      </c>
      <c r="M17" s="28">
        <v>334123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163">
        <f>A6+12</f>
        <v>13</v>
      </c>
      <c r="B18" s="87">
        <v>169616</v>
      </c>
      <c r="C18" s="26">
        <v>251034</v>
      </c>
      <c r="D18" s="26">
        <v>261701</v>
      </c>
      <c r="E18" s="35"/>
      <c r="F18" s="82">
        <v>112805</v>
      </c>
      <c r="G18" s="26">
        <v>284936</v>
      </c>
      <c r="H18" s="26">
        <v>296319</v>
      </c>
      <c r="I18" s="26">
        <v>297042</v>
      </c>
      <c r="J18" s="26">
        <v>283742</v>
      </c>
      <c r="K18" s="82">
        <v>230850</v>
      </c>
      <c r="L18" s="26">
        <v>313269</v>
      </c>
      <c r="M18" s="28">
        <v>297201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163">
        <f>A6+13</f>
        <v>14</v>
      </c>
      <c r="B19" s="87">
        <v>105571</v>
      </c>
      <c r="C19" s="26">
        <v>273220</v>
      </c>
      <c r="D19" s="26">
        <v>275287</v>
      </c>
      <c r="E19" s="35"/>
      <c r="F19" s="33">
        <v>87215</v>
      </c>
      <c r="G19" s="26">
        <v>269882</v>
      </c>
      <c r="H19" s="82">
        <v>221973</v>
      </c>
      <c r="I19" s="26">
        <v>292329</v>
      </c>
      <c r="J19" s="26">
        <v>315041</v>
      </c>
      <c r="K19" s="82">
        <v>144761</v>
      </c>
      <c r="L19" s="26">
        <v>309901</v>
      </c>
      <c r="M19" s="28">
        <v>391187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163">
        <f>A6+14</f>
        <v>15</v>
      </c>
      <c r="B20" s="89">
        <v>250724</v>
      </c>
      <c r="C20" s="26">
        <v>252632</v>
      </c>
      <c r="D20" s="26">
        <v>265563</v>
      </c>
      <c r="E20" s="82">
        <v>85943</v>
      </c>
      <c r="F20" s="26">
        <v>250888</v>
      </c>
      <c r="G20" s="26">
        <v>292573</v>
      </c>
      <c r="H20" s="82">
        <v>146622</v>
      </c>
      <c r="I20" s="26">
        <v>308204</v>
      </c>
      <c r="J20" s="82">
        <v>240846</v>
      </c>
      <c r="K20" s="26">
        <v>322303</v>
      </c>
      <c r="L20" s="26">
        <v>306938</v>
      </c>
      <c r="M20" s="95">
        <v>273852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163">
        <f>A6+15</f>
        <v>16</v>
      </c>
      <c r="B21" s="89">
        <v>252505</v>
      </c>
      <c r="C21" s="26">
        <v>268213</v>
      </c>
      <c r="D21" s="26">
        <v>283838</v>
      </c>
      <c r="E21" s="26">
        <v>256610</v>
      </c>
      <c r="F21" s="26">
        <v>274376</v>
      </c>
      <c r="G21" s="82">
        <v>220789</v>
      </c>
      <c r="H21" s="26">
        <v>307967</v>
      </c>
      <c r="I21" s="26">
        <v>294187</v>
      </c>
      <c r="J21" s="82">
        <v>149795</v>
      </c>
      <c r="K21" s="26">
        <v>313997</v>
      </c>
      <c r="L21" s="26">
        <v>321601</v>
      </c>
      <c r="M21" s="95">
        <v>188478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163">
        <f>A6+16</f>
        <v>17</v>
      </c>
      <c r="B22" s="89">
        <v>321273</v>
      </c>
      <c r="C22" s="82">
        <v>192293</v>
      </c>
      <c r="D22" s="82">
        <v>207908</v>
      </c>
      <c r="E22" s="26">
        <v>258924</v>
      </c>
      <c r="F22" s="26">
        <v>225245</v>
      </c>
      <c r="G22" s="82">
        <v>128615</v>
      </c>
      <c r="H22" s="26">
        <v>291314</v>
      </c>
      <c r="I22" s="26">
        <v>284217</v>
      </c>
      <c r="J22" s="26">
        <v>310531</v>
      </c>
      <c r="K22" s="26">
        <v>315138</v>
      </c>
      <c r="L22" s="82">
        <v>241875</v>
      </c>
      <c r="M22" s="28">
        <v>210430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163">
        <f>A6+17</f>
        <v>18</v>
      </c>
      <c r="B23" s="89">
        <v>321755</v>
      </c>
      <c r="C23" s="82">
        <v>127097</v>
      </c>
      <c r="D23" s="82">
        <v>133603</v>
      </c>
      <c r="E23" s="26">
        <v>264155</v>
      </c>
      <c r="F23" s="26">
        <v>299530</v>
      </c>
      <c r="G23" s="26">
        <v>289014</v>
      </c>
      <c r="H23" s="26">
        <v>297300</v>
      </c>
      <c r="I23" s="82">
        <v>211072</v>
      </c>
      <c r="J23" s="26">
        <v>295508</v>
      </c>
      <c r="K23" s="26">
        <v>297610</v>
      </c>
      <c r="L23" s="82">
        <v>149983</v>
      </c>
      <c r="M23" s="28">
        <v>355063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163">
        <f>A6+18</f>
        <v>19</v>
      </c>
      <c r="B24" s="89">
        <v>374608</v>
      </c>
      <c r="C24" s="26">
        <v>245272</v>
      </c>
      <c r="D24" s="26">
        <v>302730</v>
      </c>
      <c r="E24" s="26">
        <v>238478</v>
      </c>
      <c r="F24" s="82">
        <v>194341</v>
      </c>
      <c r="G24" s="26">
        <v>280362</v>
      </c>
      <c r="H24" s="26">
        <v>300533</v>
      </c>
      <c r="I24" s="82">
        <v>125199</v>
      </c>
      <c r="J24" s="26">
        <v>298424</v>
      </c>
      <c r="K24" s="26">
        <v>333647</v>
      </c>
      <c r="L24" s="26">
        <v>313038</v>
      </c>
      <c r="M24" s="28">
        <v>375790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163">
        <f>A6+19</f>
        <v>20</v>
      </c>
      <c r="B25" s="87">
        <v>222130</v>
      </c>
      <c r="C25" s="26">
        <v>252659</v>
      </c>
      <c r="D25" s="26">
        <v>267091</v>
      </c>
      <c r="E25" s="26">
        <v>268142</v>
      </c>
      <c r="F25" s="82">
        <v>124084</v>
      </c>
      <c r="G25" s="26">
        <v>289953</v>
      </c>
      <c r="H25" s="26">
        <v>301659</v>
      </c>
      <c r="I25" s="26">
        <v>325213</v>
      </c>
      <c r="J25" s="26">
        <v>294170</v>
      </c>
      <c r="K25" s="82">
        <v>227098</v>
      </c>
      <c r="L25" s="26">
        <v>299797</v>
      </c>
      <c r="M25" s="28">
        <v>348060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163">
        <f>A6+20</f>
        <v>21</v>
      </c>
      <c r="B26" s="87">
        <v>134090</v>
      </c>
      <c r="C26" s="26">
        <v>252824</v>
      </c>
      <c r="D26" s="26">
        <v>268308</v>
      </c>
      <c r="E26" s="82">
        <v>183164</v>
      </c>
      <c r="F26" s="26">
        <v>273036</v>
      </c>
      <c r="G26" s="26">
        <v>277730</v>
      </c>
      <c r="H26" s="82">
        <v>228855</v>
      </c>
      <c r="I26" s="26">
        <v>305201</v>
      </c>
      <c r="J26" s="26">
        <v>311448</v>
      </c>
      <c r="K26" s="82">
        <v>155081</v>
      </c>
      <c r="L26" s="26">
        <v>316829</v>
      </c>
      <c r="M26" s="28">
        <v>377199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163">
        <f>A6+21</f>
        <v>22</v>
      </c>
      <c r="B27" s="89">
        <v>258103</v>
      </c>
      <c r="C27" s="26">
        <v>250796</v>
      </c>
      <c r="D27" s="26">
        <v>270393</v>
      </c>
      <c r="E27" s="82">
        <v>113253</v>
      </c>
      <c r="F27" s="26">
        <v>267418</v>
      </c>
      <c r="G27" s="26">
        <v>278144</v>
      </c>
      <c r="H27" s="82">
        <v>134234</v>
      </c>
      <c r="I27" s="26">
        <v>306253</v>
      </c>
      <c r="J27" s="82">
        <v>233947</v>
      </c>
      <c r="K27" s="26">
        <v>311756</v>
      </c>
      <c r="L27" s="26">
        <v>290324</v>
      </c>
      <c r="M27" s="95">
        <v>263020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163">
        <f>A6+22</f>
        <v>23</v>
      </c>
      <c r="B28" s="89">
        <v>250522</v>
      </c>
      <c r="C28" s="26">
        <v>263534</v>
      </c>
      <c r="D28" s="26">
        <v>195784</v>
      </c>
      <c r="E28" s="26">
        <v>263654</v>
      </c>
      <c r="F28" s="26">
        <v>272452</v>
      </c>
      <c r="G28" s="82">
        <v>212061</v>
      </c>
      <c r="H28" s="26">
        <v>299954</v>
      </c>
      <c r="I28" s="26">
        <v>262549</v>
      </c>
      <c r="J28" s="82">
        <v>136471</v>
      </c>
      <c r="K28" s="26">
        <v>305341</v>
      </c>
      <c r="L28" s="26">
        <v>324575</v>
      </c>
      <c r="M28" s="95">
        <v>174684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163">
        <f>A6+23</f>
        <v>24</v>
      </c>
      <c r="B29" s="89">
        <v>254323</v>
      </c>
      <c r="C29" s="82">
        <v>244871</v>
      </c>
      <c r="D29" s="82">
        <v>270393</v>
      </c>
      <c r="E29" s="26">
        <v>255593</v>
      </c>
      <c r="F29" s="26">
        <v>258471</v>
      </c>
      <c r="G29" s="82">
        <v>126813</v>
      </c>
      <c r="H29" s="26">
        <v>291560</v>
      </c>
      <c r="I29" s="26">
        <v>314441</v>
      </c>
      <c r="J29" s="26">
        <v>278757</v>
      </c>
      <c r="K29" s="26">
        <v>310225</v>
      </c>
      <c r="L29" s="82">
        <v>239573</v>
      </c>
      <c r="M29" s="36">
        <v>146704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163">
        <f>A6+24</f>
        <v>25</v>
      </c>
      <c r="B30" s="89">
        <v>247428</v>
      </c>
      <c r="C30" s="82">
        <v>180266</v>
      </c>
      <c r="D30" s="82">
        <v>122818</v>
      </c>
      <c r="E30" s="26">
        <v>268068</v>
      </c>
      <c r="F30" s="26">
        <v>278808</v>
      </c>
      <c r="G30" s="26">
        <v>293630</v>
      </c>
      <c r="H30" s="26">
        <v>301246</v>
      </c>
      <c r="I30" s="82">
        <v>231624</v>
      </c>
      <c r="J30" s="26">
        <v>313975</v>
      </c>
      <c r="K30" s="26">
        <v>289529</v>
      </c>
      <c r="L30" s="82">
        <v>146490</v>
      </c>
      <c r="M30" s="36">
        <v>130975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163">
        <f>A6+25</f>
        <v>26</v>
      </c>
      <c r="B31" s="89">
        <v>263307</v>
      </c>
      <c r="C31" s="26">
        <v>269595</v>
      </c>
      <c r="D31" s="208">
        <v>0</v>
      </c>
      <c r="E31" s="26">
        <v>384148</v>
      </c>
      <c r="F31" s="82">
        <v>191461</v>
      </c>
      <c r="G31" s="26">
        <v>281483</v>
      </c>
      <c r="H31" s="26">
        <v>272220</v>
      </c>
      <c r="I31" s="82">
        <v>133715</v>
      </c>
      <c r="J31" s="26">
        <v>311246</v>
      </c>
      <c r="K31" s="26">
        <v>318535</v>
      </c>
      <c r="L31" s="26">
        <v>312847</v>
      </c>
      <c r="M31" s="28">
        <v>232060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163">
        <f>A6+26</f>
        <v>27</v>
      </c>
      <c r="B32" s="87">
        <v>190275</v>
      </c>
      <c r="C32" s="26">
        <v>256884</v>
      </c>
      <c r="D32" s="208">
        <v>521761</v>
      </c>
      <c r="E32" s="26">
        <v>354708</v>
      </c>
      <c r="F32" s="82">
        <v>120392</v>
      </c>
      <c r="G32" s="26">
        <v>286638</v>
      </c>
      <c r="H32" s="26">
        <v>303433</v>
      </c>
      <c r="I32" s="26">
        <v>310678</v>
      </c>
      <c r="J32" s="26">
        <v>291945</v>
      </c>
      <c r="K32" s="82">
        <v>226596</v>
      </c>
      <c r="L32" s="26">
        <v>299044</v>
      </c>
      <c r="M32" s="28">
        <v>254508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163">
        <f>A6+27</f>
        <v>28</v>
      </c>
      <c r="B33" s="87">
        <v>115071</v>
      </c>
      <c r="C33" s="26">
        <v>283733</v>
      </c>
      <c r="D33" s="26">
        <v>263986</v>
      </c>
      <c r="E33" s="82">
        <v>250465</v>
      </c>
      <c r="F33" s="26">
        <v>273119</v>
      </c>
      <c r="G33" s="26">
        <v>296477</v>
      </c>
      <c r="H33" s="82">
        <v>220937</v>
      </c>
      <c r="I33" s="26">
        <v>298484</v>
      </c>
      <c r="J33" s="26">
        <v>274711</v>
      </c>
      <c r="K33" s="82">
        <v>137168</v>
      </c>
      <c r="L33" s="26">
        <v>313823</v>
      </c>
      <c r="M33" s="28">
        <v>256534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163">
        <f>A6+28</f>
        <v>29</v>
      </c>
      <c r="B34" s="89">
        <v>233654</v>
      </c>
      <c r="C34" s="35"/>
      <c r="D34" s="26">
        <v>253638</v>
      </c>
      <c r="E34" s="82">
        <v>164201</v>
      </c>
      <c r="F34" s="26">
        <v>273466</v>
      </c>
      <c r="G34" s="26">
        <v>312080</v>
      </c>
      <c r="H34" s="82">
        <v>132505</v>
      </c>
      <c r="I34" s="26">
        <v>302803</v>
      </c>
      <c r="J34" s="82">
        <v>240646</v>
      </c>
      <c r="K34" s="26">
        <v>306533</v>
      </c>
      <c r="L34" s="26">
        <v>328396</v>
      </c>
      <c r="M34" s="36">
        <v>188578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163">
        <f>A6+29</f>
        <v>30</v>
      </c>
      <c r="B35" s="89">
        <v>244788</v>
      </c>
      <c r="C35" s="37"/>
      <c r="D35" s="26">
        <v>277341</v>
      </c>
      <c r="E35" s="26">
        <v>358980</v>
      </c>
      <c r="F35" s="26">
        <v>305604</v>
      </c>
      <c r="G35" s="82">
        <v>225299</v>
      </c>
      <c r="H35" s="26">
        <v>299550</v>
      </c>
      <c r="I35" s="26">
        <v>297385</v>
      </c>
      <c r="J35" s="82">
        <v>152698</v>
      </c>
      <c r="K35" s="26">
        <v>306734</v>
      </c>
      <c r="L35" s="33">
        <v>191536</v>
      </c>
      <c r="M35" s="36">
        <v>130704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164">
        <f>A6+30</f>
        <v>31</v>
      </c>
      <c r="B36" s="206">
        <v>267176</v>
      </c>
      <c r="C36" s="207"/>
      <c r="D36" s="98">
        <v>200436</v>
      </c>
      <c r="E36" s="207"/>
      <c r="F36" s="72">
        <v>284796</v>
      </c>
      <c r="G36" s="207"/>
      <c r="H36" s="72">
        <v>295574</v>
      </c>
      <c r="I36" s="72">
        <v>325090</v>
      </c>
      <c r="J36" s="97"/>
      <c r="K36" s="72">
        <v>291331</v>
      </c>
      <c r="L36" s="97"/>
      <c r="M36" s="101">
        <v>99972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44">
        <f>AVERAGE(B6:B36)</f>
        <v>220989.87096774194</v>
      </c>
      <c r="C37" s="130">
        <f>AVERAGE(C6:C36)</f>
        <v>233801.10714285713</v>
      </c>
      <c r="D37" s="130">
        <f>AVERAGE(D6:D36)</f>
        <v>241189.29032258064</v>
      </c>
      <c r="E37" s="130">
        <f t="shared" ref="E37:M37" si="0">IFERROR(AVERAGE(E6:E36),0)</f>
        <v>231536.70370370371</v>
      </c>
      <c r="F37" s="130">
        <f t="shared" si="0"/>
        <v>229638.5806451613</v>
      </c>
      <c r="G37" s="130">
        <f t="shared" si="0"/>
        <v>247210.3</v>
      </c>
      <c r="H37" s="130">
        <f t="shared" si="0"/>
        <v>259995.35483870967</v>
      </c>
      <c r="I37" s="130">
        <f t="shared" si="0"/>
        <v>268682.77419354836</v>
      </c>
      <c r="J37" s="130">
        <f t="shared" si="0"/>
        <v>264920.16666666669</v>
      </c>
      <c r="K37" s="130">
        <f t="shared" si="0"/>
        <v>277863.6451612903</v>
      </c>
      <c r="L37" s="130">
        <f t="shared" si="0"/>
        <v>253538.36666666667</v>
      </c>
      <c r="M37" s="168">
        <f t="shared" si="0"/>
        <v>259516.64516129033</v>
      </c>
    </row>
    <row r="38" spans="1:22">
      <c r="A38" s="48" t="s">
        <v>20</v>
      </c>
      <c r="B38" s="12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1:22">
      <c r="A39" s="52" t="s">
        <v>21</v>
      </c>
      <c r="B39" s="12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1"/>
    </row>
    <row r="40" spans="1:22">
      <c r="A40" s="52" t="s">
        <v>22</v>
      </c>
      <c r="B40" s="12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1"/>
    </row>
    <row r="41" spans="1:22">
      <c r="A41" s="52" t="s">
        <v>23</v>
      </c>
      <c r="B41" s="12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</row>
    <row r="42" spans="1:22">
      <c r="A42" s="52" t="s">
        <v>24</v>
      </c>
      <c r="B42" s="108">
        <f t="shared" ref="B42:M42" si="1">MAX(B6:B36)</f>
        <v>374608</v>
      </c>
      <c r="C42" s="109">
        <f t="shared" si="1"/>
        <v>283733</v>
      </c>
      <c r="D42" s="109">
        <f t="shared" si="1"/>
        <v>521761</v>
      </c>
      <c r="E42" s="109">
        <f t="shared" si="1"/>
        <v>539343</v>
      </c>
      <c r="F42" s="109">
        <f t="shared" si="1"/>
        <v>305604</v>
      </c>
      <c r="G42" s="109">
        <f t="shared" si="1"/>
        <v>312080</v>
      </c>
      <c r="H42" s="109">
        <f t="shared" si="1"/>
        <v>307967</v>
      </c>
      <c r="I42" s="109">
        <f t="shared" si="1"/>
        <v>325213</v>
      </c>
      <c r="J42" s="109">
        <f t="shared" si="1"/>
        <v>316647</v>
      </c>
      <c r="K42" s="109">
        <f t="shared" si="1"/>
        <v>333647</v>
      </c>
      <c r="L42" s="109">
        <f t="shared" si="1"/>
        <v>328396</v>
      </c>
      <c r="M42" s="110">
        <f t="shared" si="1"/>
        <v>391187</v>
      </c>
    </row>
    <row r="43" spans="1:22" ht="12.75" thickBot="1">
      <c r="A43" s="55" t="s">
        <v>25</v>
      </c>
      <c r="B43" s="111">
        <f t="shared" ref="B43:M43" si="2">SUM(B6:B36)</f>
        <v>6850686</v>
      </c>
      <c r="C43" s="57">
        <f t="shared" si="2"/>
        <v>6546431</v>
      </c>
      <c r="D43" s="57">
        <f t="shared" si="2"/>
        <v>7476868</v>
      </c>
      <c r="E43" s="57">
        <f t="shared" si="2"/>
        <v>6251491</v>
      </c>
      <c r="F43" s="57">
        <f t="shared" si="2"/>
        <v>7118796</v>
      </c>
      <c r="G43" s="57">
        <f t="shared" si="2"/>
        <v>7416309</v>
      </c>
      <c r="H43" s="57">
        <f t="shared" si="2"/>
        <v>8059856</v>
      </c>
      <c r="I43" s="57">
        <f t="shared" si="2"/>
        <v>8329166</v>
      </c>
      <c r="J43" s="57">
        <f t="shared" si="2"/>
        <v>7947605</v>
      </c>
      <c r="K43" s="57">
        <f t="shared" si="2"/>
        <v>8613773</v>
      </c>
      <c r="L43" s="57">
        <f t="shared" si="2"/>
        <v>7606151</v>
      </c>
      <c r="M43" s="58">
        <f t="shared" si="2"/>
        <v>8045016</v>
      </c>
      <c r="P43" s="59"/>
    </row>
    <row r="44" spans="1:22" s="60" customFormat="1" ht="11.25"/>
    <row r="45" spans="1:22">
      <c r="A45" s="61"/>
    </row>
    <row r="46" spans="1:22">
      <c r="A46" s="356" t="s">
        <v>31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44" priority="1" rank="1"/>
  </conditionalFormatting>
  <printOptions horizontalCentered="1" verticalCentered="1"/>
  <pageMargins left="0.25" right="0" top="0.25" bottom="0.25" header="0.31" footer="0.31"/>
  <pageSetup paperSize="9" scale="95" fitToHeight="0" orientation="landscape" r:id="rId1"/>
  <rowBreaks count="1" manualBreakCount="1">
    <brk id="44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51"/>
  <sheetViews>
    <sheetView zoomScale="120" zoomScaleNormal="120" zoomScaleSheetLayoutView="100" zoomScalePageLayoutView="120" workbookViewId="0">
      <pane xSplit="1" ySplit="5" topLeftCell="J31" activePane="bottomRight" state="frozen"/>
      <selection pane="bottomRight" activeCell="J54" sqref="J54"/>
      <selection pane="bottomLeft" activeCell="A5" sqref="A5"/>
      <selection pane="topRight" activeCell="B1" sqref="B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32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123">
        <v>86441</v>
      </c>
      <c r="C6" s="26">
        <v>322458</v>
      </c>
      <c r="D6" s="26">
        <v>314814</v>
      </c>
      <c r="E6" s="26">
        <v>280546</v>
      </c>
      <c r="F6" s="33">
        <v>164383</v>
      </c>
      <c r="G6" s="82">
        <v>335339</v>
      </c>
      <c r="H6" s="26">
        <v>417059</v>
      </c>
      <c r="I6" s="26">
        <v>328417</v>
      </c>
      <c r="J6" s="82">
        <v>170362</v>
      </c>
      <c r="K6" s="26">
        <v>364303</v>
      </c>
      <c r="L6" s="122">
        <v>89988</v>
      </c>
      <c r="M6" s="95">
        <v>170947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30">
        <v>246979</v>
      </c>
      <c r="C7" s="82">
        <v>206358</v>
      </c>
      <c r="D7" s="82">
        <v>238315</v>
      </c>
      <c r="E7" s="26">
        <v>287124</v>
      </c>
      <c r="F7" s="26">
        <v>298415</v>
      </c>
      <c r="G7" s="82">
        <v>214646</v>
      </c>
      <c r="H7" s="26">
        <v>316281</v>
      </c>
      <c r="I7" s="26">
        <v>344398</v>
      </c>
      <c r="J7" s="26">
        <v>348288</v>
      </c>
      <c r="K7" s="26">
        <v>366891</v>
      </c>
      <c r="L7" s="115">
        <v>119705</v>
      </c>
      <c r="M7" s="28">
        <v>362964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30">
        <v>273626</v>
      </c>
      <c r="C8" s="82">
        <v>144281</v>
      </c>
      <c r="D8" s="82">
        <v>145072</v>
      </c>
      <c r="E8" s="26">
        <v>297295</v>
      </c>
      <c r="F8" s="26">
        <v>322984</v>
      </c>
      <c r="G8" s="26">
        <v>311443</v>
      </c>
      <c r="H8" s="26">
        <v>323598</v>
      </c>
      <c r="I8" s="82">
        <v>256100</v>
      </c>
      <c r="J8" s="26">
        <v>356725</v>
      </c>
      <c r="K8" s="26">
        <v>344487</v>
      </c>
      <c r="L8" s="115">
        <v>120239</v>
      </c>
      <c r="M8" s="28">
        <v>360597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30">
        <v>293265</v>
      </c>
      <c r="C9" s="26">
        <v>317658</v>
      </c>
      <c r="D9" s="26">
        <v>309500</v>
      </c>
      <c r="E9" s="26">
        <v>280531</v>
      </c>
      <c r="F9" s="82">
        <v>217967</v>
      </c>
      <c r="G9" s="26">
        <v>306696</v>
      </c>
      <c r="H9" s="26">
        <v>297640</v>
      </c>
      <c r="I9" s="82">
        <v>163776</v>
      </c>
      <c r="J9" s="26">
        <v>357510</v>
      </c>
      <c r="K9" s="26">
        <v>373049</v>
      </c>
      <c r="L9" s="27">
        <v>339328</v>
      </c>
      <c r="M9" s="28">
        <v>374230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116">
        <v>210808</v>
      </c>
      <c r="C10" s="26">
        <v>316657</v>
      </c>
      <c r="D10" s="26">
        <v>312711</v>
      </c>
      <c r="E10" s="26">
        <v>304792</v>
      </c>
      <c r="F10" s="82">
        <v>141816</v>
      </c>
      <c r="G10" s="26">
        <v>318532</v>
      </c>
      <c r="H10" s="26">
        <v>328784</v>
      </c>
      <c r="I10" s="26">
        <v>347382</v>
      </c>
      <c r="J10" s="26">
        <v>339880</v>
      </c>
      <c r="K10" s="82">
        <v>291246</v>
      </c>
      <c r="L10" s="27">
        <v>336677</v>
      </c>
      <c r="M10" s="28">
        <v>380166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116">
        <v>132689</v>
      </c>
      <c r="C11" s="26">
        <v>321013</v>
      </c>
      <c r="D11" s="26">
        <v>321630</v>
      </c>
      <c r="E11" s="82">
        <v>205143</v>
      </c>
      <c r="F11" s="26">
        <v>307105</v>
      </c>
      <c r="G11" s="26">
        <v>303729</v>
      </c>
      <c r="H11" s="82">
        <v>165000</v>
      </c>
      <c r="I11" s="26">
        <v>333627</v>
      </c>
      <c r="J11" s="26">
        <v>356079</v>
      </c>
      <c r="K11" s="82">
        <v>159134</v>
      </c>
      <c r="L11" s="27">
        <v>348536</v>
      </c>
      <c r="M11" s="28">
        <v>235190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30">
        <v>312448</v>
      </c>
      <c r="C12" s="26">
        <v>300079</v>
      </c>
      <c r="D12" s="26">
        <v>300213</v>
      </c>
      <c r="E12" s="82">
        <v>121792</v>
      </c>
      <c r="F12" s="26">
        <v>297074</v>
      </c>
      <c r="G12" s="26">
        <v>318844</v>
      </c>
      <c r="H12" s="82">
        <v>135176</v>
      </c>
      <c r="I12" s="26">
        <v>338791</v>
      </c>
      <c r="J12" s="82">
        <v>255386</v>
      </c>
      <c r="K12" s="26">
        <v>358213</v>
      </c>
      <c r="L12" s="27">
        <v>340816</v>
      </c>
      <c r="M12" s="95">
        <v>278633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30">
        <v>304930</v>
      </c>
      <c r="C13" s="26">
        <v>322873</v>
      </c>
      <c r="D13" s="26">
        <v>311160</v>
      </c>
      <c r="E13" s="33">
        <v>142127</v>
      </c>
      <c r="F13" s="26">
        <v>308202</v>
      </c>
      <c r="G13" s="82">
        <v>217731</v>
      </c>
      <c r="H13" s="26">
        <v>212593</v>
      </c>
      <c r="I13" s="26">
        <v>323990</v>
      </c>
      <c r="J13" s="82">
        <v>149342</v>
      </c>
      <c r="K13" s="26">
        <v>350841</v>
      </c>
      <c r="L13" s="27">
        <v>380223</v>
      </c>
      <c r="M13" s="95">
        <v>171297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30">
        <v>315092</v>
      </c>
      <c r="C14" s="82">
        <v>226309</v>
      </c>
      <c r="D14" s="82">
        <v>213077</v>
      </c>
      <c r="E14" s="26">
        <v>290436</v>
      </c>
      <c r="F14" s="26">
        <v>294031</v>
      </c>
      <c r="G14" s="82">
        <v>138532</v>
      </c>
      <c r="H14" s="26">
        <v>286740</v>
      </c>
      <c r="I14" s="26">
        <v>351883</v>
      </c>
      <c r="J14" s="26">
        <v>339233</v>
      </c>
      <c r="K14" s="26">
        <v>349995</v>
      </c>
      <c r="L14" s="115">
        <v>252299</v>
      </c>
      <c r="M14" s="28">
        <v>371424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30">
        <v>294903</v>
      </c>
      <c r="C15" s="82">
        <v>143560</v>
      </c>
      <c r="D15" s="82">
        <v>127780</v>
      </c>
      <c r="E15" s="26">
        <v>311830</v>
      </c>
      <c r="F15" s="26">
        <v>312605</v>
      </c>
      <c r="G15" s="26">
        <v>321614</v>
      </c>
      <c r="H15" s="26">
        <v>302774</v>
      </c>
      <c r="I15" s="82">
        <v>254869</v>
      </c>
      <c r="J15" s="26">
        <v>342215</v>
      </c>
      <c r="K15" s="26">
        <v>355648</v>
      </c>
      <c r="L15" s="115">
        <v>138449</v>
      </c>
      <c r="M15" s="28">
        <v>365707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30">
        <v>307444</v>
      </c>
      <c r="C16" s="26">
        <v>313459</v>
      </c>
      <c r="D16" s="26">
        <v>319441</v>
      </c>
      <c r="E16" s="26">
        <v>294820</v>
      </c>
      <c r="F16" s="82">
        <v>210648</v>
      </c>
      <c r="G16" s="26">
        <v>319681</v>
      </c>
      <c r="H16" s="26">
        <v>323646</v>
      </c>
      <c r="I16" s="82">
        <v>151704</v>
      </c>
      <c r="J16" s="26">
        <v>350098</v>
      </c>
      <c r="K16" s="26">
        <v>364665</v>
      </c>
      <c r="L16" s="27">
        <v>360080</v>
      </c>
      <c r="M16" s="28">
        <v>374028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116">
        <v>219300</v>
      </c>
      <c r="C17" s="26">
        <v>302161</v>
      </c>
      <c r="D17" s="26">
        <v>302755</v>
      </c>
      <c r="E17" s="26">
        <v>299036</v>
      </c>
      <c r="F17" s="82">
        <v>135063</v>
      </c>
      <c r="G17" s="33">
        <v>167333</v>
      </c>
      <c r="H17" s="26">
        <v>363589</v>
      </c>
      <c r="I17" s="26">
        <v>337775</v>
      </c>
      <c r="J17" s="26">
        <v>341444</v>
      </c>
      <c r="K17" s="82">
        <v>258455</v>
      </c>
      <c r="L17" s="27">
        <v>342815</v>
      </c>
      <c r="M17" s="28">
        <v>361926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116">
        <v>132476</v>
      </c>
      <c r="C18" s="26">
        <v>319876</v>
      </c>
      <c r="D18" s="26">
        <v>306561</v>
      </c>
      <c r="E18" s="82">
        <v>205025</v>
      </c>
      <c r="F18" s="26">
        <v>257745</v>
      </c>
      <c r="G18" s="26">
        <v>301770</v>
      </c>
      <c r="H18" s="82">
        <v>192487</v>
      </c>
      <c r="I18" s="26">
        <v>312001</v>
      </c>
      <c r="J18" s="26">
        <v>367523</v>
      </c>
      <c r="K18" s="82">
        <v>152715</v>
      </c>
      <c r="L18" s="27">
        <v>364456</v>
      </c>
      <c r="M18" s="28">
        <v>371477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30">
        <v>307682</v>
      </c>
      <c r="C19" s="26">
        <v>314955</v>
      </c>
      <c r="D19" s="26">
        <v>301947</v>
      </c>
      <c r="E19" s="82">
        <v>131684</v>
      </c>
      <c r="F19" s="26">
        <v>346085</v>
      </c>
      <c r="G19" s="26">
        <v>326745</v>
      </c>
      <c r="H19" s="82">
        <v>131055</v>
      </c>
      <c r="I19" s="26">
        <v>345363</v>
      </c>
      <c r="J19" s="82">
        <v>263527</v>
      </c>
      <c r="K19" s="26">
        <v>337991</v>
      </c>
      <c r="L19" s="27">
        <v>344841</v>
      </c>
      <c r="M19" s="95">
        <v>296822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30">
        <v>320083</v>
      </c>
      <c r="C20" s="26">
        <v>312597</v>
      </c>
      <c r="D20" s="26">
        <v>334369</v>
      </c>
      <c r="E20" s="26">
        <v>342093</v>
      </c>
      <c r="F20" s="26">
        <v>315202</v>
      </c>
      <c r="G20" s="82">
        <v>239826</v>
      </c>
      <c r="H20" s="33">
        <v>135892</v>
      </c>
      <c r="I20" s="26">
        <v>326985</v>
      </c>
      <c r="J20" s="82">
        <v>174718</v>
      </c>
      <c r="K20" s="26">
        <v>354968</v>
      </c>
      <c r="L20" s="27">
        <v>375770</v>
      </c>
      <c r="M20" s="95">
        <v>202879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30">
        <v>337343</v>
      </c>
      <c r="C21" s="82">
        <v>233479</v>
      </c>
      <c r="D21" s="82">
        <v>238194</v>
      </c>
      <c r="E21" s="26">
        <v>311323</v>
      </c>
      <c r="F21" s="26">
        <v>308790</v>
      </c>
      <c r="G21" s="82">
        <v>152601</v>
      </c>
      <c r="H21" s="26">
        <v>325462</v>
      </c>
      <c r="I21" s="26">
        <v>369379</v>
      </c>
      <c r="J21" s="26">
        <v>301326</v>
      </c>
      <c r="K21" s="26">
        <v>365378</v>
      </c>
      <c r="L21" s="115">
        <v>333421</v>
      </c>
      <c r="M21" s="28">
        <v>388840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30">
        <v>308668</v>
      </c>
      <c r="C22" s="82">
        <v>146105</v>
      </c>
      <c r="D22" s="82">
        <v>149325</v>
      </c>
      <c r="E22" s="26">
        <v>300291</v>
      </c>
      <c r="F22" s="26">
        <v>300019</v>
      </c>
      <c r="G22" s="26">
        <v>324889</v>
      </c>
      <c r="H22" s="26">
        <v>340888</v>
      </c>
      <c r="I22" s="82">
        <v>303934</v>
      </c>
      <c r="J22" s="26">
        <v>356073</v>
      </c>
      <c r="K22" s="26">
        <v>346994</v>
      </c>
      <c r="L22" s="115">
        <v>170467</v>
      </c>
      <c r="M22" s="28">
        <v>387153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30">
        <v>336326</v>
      </c>
      <c r="C23" s="26">
        <v>319053</v>
      </c>
      <c r="D23" s="26">
        <v>318444</v>
      </c>
      <c r="E23" s="26">
        <v>297389</v>
      </c>
      <c r="F23" s="82">
        <v>322564</v>
      </c>
      <c r="G23" s="26">
        <v>311702</v>
      </c>
      <c r="H23" s="26">
        <v>320857</v>
      </c>
      <c r="I23" s="82">
        <v>162959</v>
      </c>
      <c r="J23" s="26">
        <v>364599</v>
      </c>
      <c r="K23" s="26">
        <v>373441</v>
      </c>
      <c r="L23" s="27">
        <v>360024</v>
      </c>
      <c r="M23" s="28">
        <v>401339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116">
        <v>231708</v>
      </c>
      <c r="C24" s="26">
        <v>296656</v>
      </c>
      <c r="D24" s="26">
        <v>305528</v>
      </c>
      <c r="E24" s="26">
        <v>313406</v>
      </c>
      <c r="F24" s="82">
        <v>117622</v>
      </c>
      <c r="G24" s="26">
        <v>267722</v>
      </c>
      <c r="H24" s="26">
        <v>342858</v>
      </c>
      <c r="I24" s="26">
        <v>329917</v>
      </c>
      <c r="J24" s="26">
        <v>340411</v>
      </c>
      <c r="K24" s="82">
        <v>247220</v>
      </c>
      <c r="L24" s="27">
        <v>351267</v>
      </c>
      <c r="M24" s="28">
        <v>374224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116">
        <v>147252</v>
      </c>
      <c r="C25" s="26">
        <v>304718</v>
      </c>
      <c r="D25" s="26">
        <v>314620</v>
      </c>
      <c r="E25" s="82">
        <v>211872</v>
      </c>
      <c r="F25" s="26">
        <v>301835</v>
      </c>
      <c r="G25" s="26">
        <v>356898</v>
      </c>
      <c r="H25" s="82">
        <v>214329</v>
      </c>
      <c r="I25" s="26">
        <v>368491</v>
      </c>
      <c r="J25" s="26">
        <v>376922</v>
      </c>
      <c r="K25" s="82">
        <v>159088</v>
      </c>
      <c r="L25" s="27">
        <v>365259</v>
      </c>
      <c r="M25" s="28">
        <v>404813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30">
        <v>214419</v>
      </c>
      <c r="C26" s="26">
        <v>289896</v>
      </c>
      <c r="D26" s="26">
        <v>298767</v>
      </c>
      <c r="E26" s="82">
        <v>130015</v>
      </c>
      <c r="F26" s="26">
        <v>133732</v>
      </c>
      <c r="G26" s="26">
        <v>316999</v>
      </c>
      <c r="H26" s="82">
        <v>122741</v>
      </c>
      <c r="I26" s="26">
        <v>358342</v>
      </c>
      <c r="J26" s="82">
        <v>270054</v>
      </c>
      <c r="K26" s="26">
        <v>348092</v>
      </c>
      <c r="L26" s="27">
        <v>347780</v>
      </c>
      <c r="M26" s="95">
        <v>297782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30">
        <v>305054</v>
      </c>
      <c r="C27" s="26">
        <v>290197</v>
      </c>
      <c r="D27" s="26">
        <v>316866</v>
      </c>
      <c r="E27" s="26">
        <v>389892</v>
      </c>
      <c r="F27" s="26">
        <v>257387</v>
      </c>
      <c r="G27" s="82">
        <v>227068</v>
      </c>
      <c r="H27" s="26">
        <v>279424</v>
      </c>
      <c r="I27" s="26">
        <v>346549</v>
      </c>
      <c r="J27" s="82">
        <v>162223</v>
      </c>
      <c r="K27" s="26">
        <v>334907</v>
      </c>
      <c r="L27" s="27">
        <v>375180</v>
      </c>
      <c r="M27" s="95">
        <v>211746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30">
        <v>312186</v>
      </c>
      <c r="C28" s="82">
        <v>223642</v>
      </c>
      <c r="D28" s="82">
        <v>211839</v>
      </c>
      <c r="E28" s="26">
        <v>301115</v>
      </c>
      <c r="F28" s="26">
        <v>252526</v>
      </c>
      <c r="G28" s="82">
        <v>135580</v>
      </c>
      <c r="H28" s="26">
        <v>374031</v>
      </c>
      <c r="I28" s="26">
        <v>374552</v>
      </c>
      <c r="J28" s="26">
        <v>361369</v>
      </c>
      <c r="K28" s="26">
        <v>340907</v>
      </c>
      <c r="L28" s="115">
        <v>270545</v>
      </c>
      <c r="M28" s="28">
        <v>357308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30">
        <v>297822</v>
      </c>
      <c r="C29" s="82">
        <v>130901</v>
      </c>
      <c r="D29" s="82">
        <v>130403</v>
      </c>
      <c r="E29" s="26">
        <v>320556</v>
      </c>
      <c r="F29" s="26">
        <v>303368</v>
      </c>
      <c r="G29" s="26">
        <v>326493</v>
      </c>
      <c r="H29" s="26">
        <v>324259</v>
      </c>
      <c r="I29" s="82">
        <v>258871</v>
      </c>
      <c r="J29" s="26">
        <v>345063</v>
      </c>
      <c r="K29" s="26">
        <v>326830</v>
      </c>
      <c r="L29" s="115">
        <v>163733</v>
      </c>
      <c r="M29" s="36">
        <v>177117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30">
        <v>318136</v>
      </c>
      <c r="C30" s="33">
        <v>199875</v>
      </c>
      <c r="D30" s="26">
        <v>294832</v>
      </c>
      <c r="E30" s="26">
        <v>290410</v>
      </c>
      <c r="F30" s="82">
        <v>205609</v>
      </c>
      <c r="G30" s="26">
        <v>310489</v>
      </c>
      <c r="H30" s="26">
        <v>299458</v>
      </c>
      <c r="I30" s="82">
        <v>157839</v>
      </c>
      <c r="J30" s="26">
        <v>352331</v>
      </c>
      <c r="K30" s="26">
        <v>352050</v>
      </c>
      <c r="L30" s="27">
        <v>355173</v>
      </c>
      <c r="M30" s="36">
        <v>155578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116">
        <v>224465</v>
      </c>
      <c r="C31" s="26">
        <v>319392</v>
      </c>
      <c r="D31" s="26">
        <v>280740</v>
      </c>
      <c r="E31" s="26">
        <v>246692</v>
      </c>
      <c r="F31" s="82">
        <v>136847</v>
      </c>
      <c r="G31" s="26">
        <v>316074</v>
      </c>
      <c r="H31" s="26">
        <v>328247</v>
      </c>
      <c r="I31" s="26">
        <v>361152</v>
      </c>
      <c r="J31" s="26">
        <v>345026</v>
      </c>
      <c r="K31" s="82">
        <v>243384</v>
      </c>
      <c r="L31" s="27">
        <v>352419</v>
      </c>
      <c r="M31" s="28">
        <v>300868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116">
        <v>134590</v>
      </c>
      <c r="C32" s="69">
        <v>315018</v>
      </c>
      <c r="D32" s="26">
        <v>240565</v>
      </c>
      <c r="E32" s="82">
        <v>204305</v>
      </c>
      <c r="F32" s="26">
        <v>302506</v>
      </c>
      <c r="G32" s="26">
        <v>305329</v>
      </c>
      <c r="H32" s="82">
        <v>243017</v>
      </c>
      <c r="I32" s="26">
        <v>357348</v>
      </c>
      <c r="J32" s="26">
        <v>369017</v>
      </c>
      <c r="K32" s="82">
        <v>146700</v>
      </c>
      <c r="L32" s="26">
        <v>356752</v>
      </c>
      <c r="M32" s="28">
        <v>312772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 thickBot="1">
      <c r="A33" s="24">
        <f>A6+27</f>
        <v>28</v>
      </c>
      <c r="B33" s="70">
        <v>311720</v>
      </c>
      <c r="C33" s="71">
        <v>314283</v>
      </c>
      <c r="D33" s="43">
        <v>0</v>
      </c>
      <c r="E33" s="210">
        <v>128886</v>
      </c>
      <c r="F33" s="41">
        <v>286868</v>
      </c>
      <c r="G33" s="71">
        <v>332003</v>
      </c>
      <c r="H33" s="209">
        <v>151307</v>
      </c>
      <c r="I33" s="41">
        <v>367463</v>
      </c>
      <c r="J33" s="209">
        <v>262917</v>
      </c>
      <c r="K33" s="72">
        <v>341462</v>
      </c>
      <c r="L33" s="41">
        <v>350543</v>
      </c>
      <c r="M33" s="95">
        <v>225644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30">
        <v>303775</v>
      </c>
      <c r="C34" s="35"/>
      <c r="D34" s="35">
        <v>0</v>
      </c>
      <c r="E34" s="26">
        <v>295879</v>
      </c>
      <c r="F34" s="26">
        <v>300878</v>
      </c>
      <c r="G34" s="82">
        <v>242302</v>
      </c>
      <c r="H34" s="26">
        <v>336115</v>
      </c>
      <c r="I34" s="26">
        <v>350151</v>
      </c>
      <c r="J34" s="82">
        <v>172048</v>
      </c>
      <c r="K34" s="26">
        <v>334313</v>
      </c>
      <c r="L34" s="27">
        <v>394643</v>
      </c>
      <c r="M34" s="95">
        <v>151758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30">
        <v>312780</v>
      </c>
      <c r="C35" s="37"/>
      <c r="D35" s="35">
        <v>0</v>
      </c>
      <c r="E35" s="26">
        <v>320653</v>
      </c>
      <c r="F35" s="26">
        <v>295421</v>
      </c>
      <c r="G35" s="82">
        <v>147181</v>
      </c>
      <c r="H35" s="26">
        <v>321702</v>
      </c>
      <c r="I35" s="26">
        <v>380517</v>
      </c>
      <c r="J35" s="26">
        <v>355673</v>
      </c>
      <c r="K35" s="26">
        <v>371146</v>
      </c>
      <c r="L35" s="82">
        <v>233116</v>
      </c>
      <c r="M35" s="36">
        <v>155871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38">
        <f>A6+30</f>
        <v>31</v>
      </c>
      <c r="B36" s="70">
        <v>306314</v>
      </c>
      <c r="C36" s="40"/>
      <c r="D36" s="209">
        <v>95421</v>
      </c>
      <c r="E36" s="40"/>
      <c r="F36" s="41">
        <v>335339</v>
      </c>
      <c r="G36" s="40">
        <v>0</v>
      </c>
      <c r="H36" s="41">
        <v>346678</v>
      </c>
      <c r="I36" s="209">
        <v>270786</v>
      </c>
      <c r="J36" s="43">
        <v>0</v>
      </c>
      <c r="K36" s="44">
        <v>170728</v>
      </c>
      <c r="L36" s="43">
        <v>0</v>
      </c>
      <c r="M36" s="36">
        <v>109792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26">
        <f>AVERAGE(B6:B36)</f>
        <v>263249.16129032261</v>
      </c>
      <c r="C37" s="127">
        <f>AVERAGE(C6:C36)</f>
        <v>270268.17857142858</v>
      </c>
      <c r="D37" s="127">
        <f>AVERAGE(D6:D36)</f>
        <v>237254.48387096773</v>
      </c>
      <c r="E37" s="127">
        <f>IFERROR(AVERAGE(E6:E36),0)</f>
        <v>261898.6</v>
      </c>
      <c r="F37" s="127">
        <f>IFERROR(AVERAGE(F6:F36),0)</f>
        <v>260988.25806451612</v>
      </c>
      <c r="G37" s="127">
        <f t="shared" ref="G37:M37" si="0">IFERROR(AVERAGE(G6:G36),0)</f>
        <v>265025.51612903224</v>
      </c>
      <c r="H37" s="127">
        <f t="shared" si="0"/>
        <v>277538.29032258067</v>
      </c>
      <c r="I37" s="127">
        <f t="shared" si="0"/>
        <v>310816.48387096776</v>
      </c>
      <c r="J37" s="127">
        <f t="shared" si="0"/>
        <v>298302.6451612903</v>
      </c>
      <c r="K37" s="127">
        <f t="shared" si="0"/>
        <v>309201.32258064515</v>
      </c>
      <c r="L37" s="127">
        <f>IFERROR(AVERAGE(L6:L36),0)</f>
        <v>291436.90322580643</v>
      </c>
      <c r="M37" s="142">
        <f t="shared" si="0"/>
        <v>293254.58064516127</v>
      </c>
    </row>
    <row r="38" spans="1:22">
      <c r="A38" s="48" t="s">
        <v>20</v>
      </c>
      <c r="B38" s="12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1:22">
      <c r="A39" s="52" t="s">
        <v>21</v>
      </c>
      <c r="B39" s="12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1"/>
    </row>
    <row r="40" spans="1:22">
      <c r="A40" s="52" t="s">
        <v>22</v>
      </c>
      <c r="B40" s="12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1"/>
    </row>
    <row r="41" spans="1:22">
      <c r="A41" s="52" t="s">
        <v>23</v>
      </c>
      <c r="B41" s="12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</row>
    <row r="42" spans="1:22">
      <c r="A42" s="52" t="s">
        <v>24</v>
      </c>
      <c r="B42" s="108">
        <f>MAX(B6:B36)</f>
        <v>337343</v>
      </c>
      <c r="C42" s="109">
        <f>MAX(C6:C36)</f>
        <v>322873</v>
      </c>
      <c r="D42" s="109">
        <f t="shared" ref="D42:M42" si="1">MAX(D6:D36)</f>
        <v>334369</v>
      </c>
      <c r="E42" s="109">
        <f t="shared" si="1"/>
        <v>389892</v>
      </c>
      <c r="F42" s="109">
        <f t="shared" si="1"/>
        <v>346085</v>
      </c>
      <c r="G42" s="109">
        <f t="shared" si="1"/>
        <v>356898</v>
      </c>
      <c r="H42" s="109">
        <f t="shared" si="1"/>
        <v>417059</v>
      </c>
      <c r="I42" s="109">
        <f t="shared" si="1"/>
        <v>380517</v>
      </c>
      <c r="J42" s="109">
        <f t="shared" si="1"/>
        <v>376922</v>
      </c>
      <c r="K42" s="109">
        <f t="shared" si="1"/>
        <v>373441</v>
      </c>
      <c r="L42" s="109">
        <f t="shared" si="1"/>
        <v>394643</v>
      </c>
      <c r="M42" s="110">
        <f t="shared" si="1"/>
        <v>404813</v>
      </c>
    </row>
    <row r="43" spans="1:22" ht="12.75" thickBot="1">
      <c r="A43" s="55" t="s">
        <v>25</v>
      </c>
      <c r="B43" s="111">
        <f t="shared" ref="B43:L43" si="2">SUM(B6:B36)</f>
        <v>8160724</v>
      </c>
      <c r="C43" s="57">
        <f>SUM(C6:C36)</f>
        <v>7567509</v>
      </c>
      <c r="D43" s="57">
        <f t="shared" si="2"/>
        <v>7354889</v>
      </c>
      <c r="E43" s="57">
        <f t="shared" si="2"/>
        <v>7856958</v>
      </c>
      <c r="F43" s="57">
        <f t="shared" si="2"/>
        <v>8090636</v>
      </c>
      <c r="G43" s="57">
        <f t="shared" si="2"/>
        <v>8215791</v>
      </c>
      <c r="H43" s="57">
        <f t="shared" si="2"/>
        <v>8603687</v>
      </c>
      <c r="I43" s="57">
        <f t="shared" si="2"/>
        <v>9635311</v>
      </c>
      <c r="J43" s="57">
        <f t="shared" si="2"/>
        <v>9247382</v>
      </c>
      <c r="K43" s="57">
        <f t="shared" si="2"/>
        <v>9585241</v>
      </c>
      <c r="L43" s="57">
        <f t="shared" si="2"/>
        <v>9034544</v>
      </c>
      <c r="M43" s="58">
        <f>SUM(M6:M36)</f>
        <v>9090892</v>
      </c>
      <c r="P43" s="59"/>
    </row>
    <row r="44" spans="1:22" s="60" customFormat="1" ht="11.25"/>
    <row r="45" spans="1:22">
      <c r="A45" s="61"/>
    </row>
    <row r="46" spans="1:22" ht="15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43" priority="1" rank="1"/>
  </conditionalFormatting>
  <printOptions horizontalCentered="1" verticalCentered="1"/>
  <pageMargins left="0.25" right="0" top="0.25" bottom="0.25" header="0.31" footer="0.31"/>
  <pageSetup paperSize="9" scale="95" fitToHeight="0" orientation="landscape" r:id="rId1"/>
  <rowBreaks count="1" manualBreakCount="1">
    <brk id="4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51"/>
  <sheetViews>
    <sheetView zoomScale="120" zoomScaleNormal="120" zoomScaleSheetLayoutView="100" zoomScalePageLayoutView="120" workbookViewId="0">
      <pane xSplit="1" ySplit="5" topLeftCell="B31" activePane="bottomRight" state="frozen"/>
      <selection pane="bottomRight" activeCell="B6" sqref="B6"/>
      <selection pane="bottomLeft" activeCell="A5" sqref="A5"/>
      <selection pane="topRight" activeCell="B1" sqref="B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33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16">
        <v>101989</v>
      </c>
      <c r="C6" s="112">
        <v>264984</v>
      </c>
      <c r="D6" s="112">
        <v>265436</v>
      </c>
      <c r="E6" s="17">
        <v>349622</v>
      </c>
      <c r="F6" s="113">
        <v>108188</v>
      </c>
      <c r="G6" s="112">
        <v>155417</v>
      </c>
      <c r="H6" s="17">
        <v>359708</v>
      </c>
      <c r="I6" s="17">
        <v>377441</v>
      </c>
      <c r="J6" s="17">
        <v>375699</v>
      </c>
      <c r="K6" s="26">
        <v>399961</v>
      </c>
      <c r="L6" s="152" t="s">
        <v>34</v>
      </c>
      <c r="M6" s="22">
        <v>420799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30">
        <v>257925</v>
      </c>
      <c r="C7" s="82">
        <v>162792</v>
      </c>
      <c r="D7" s="82">
        <v>162404</v>
      </c>
      <c r="E7" s="26">
        <v>349145</v>
      </c>
      <c r="F7" s="26">
        <v>278445</v>
      </c>
      <c r="G7" s="26">
        <v>369940</v>
      </c>
      <c r="H7" s="26">
        <v>350658</v>
      </c>
      <c r="I7" s="82">
        <v>261545</v>
      </c>
      <c r="J7" s="26">
        <v>320175</v>
      </c>
      <c r="K7" s="26">
        <v>358302</v>
      </c>
      <c r="L7" s="115">
        <v>138213</v>
      </c>
      <c r="M7" s="28">
        <v>398921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30">
        <v>296717</v>
      </c>
      <c r="C8" s="26">
        <v>368620</v>
      </c>
      <c r="D8" s="26">
        <v>365682</v>
      </c>
      <c r="E8" s="26">
        <v>325918</v>
      </c>
      <c r="F8" s="82">
        <v>208290</v>
      </c>
      <c r="G8" s="26">
        <v>349315</v>
      </c>
      <c r="H8" s="26">
        <v>339720</v>
      </c>
      <c r="I8" s="82">
        <v>162529</v>
      </c>
      <c r="J8" s="26">
        <v>355161</v>
      </c>
      <c r="K8" s="26">
        <v>374304</v>
      </c>
      <c r="L8" s="27">
        <v>364171</v>
      </c>
      <c r="M8" s="28">
        <v>401295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116">
        <v>213976</v>
      </c>
      <c r="C9" s="26">
        <v>344160</v>
      </c>
      <c r="D9" s="26">
        <v>365682</v>
      </c>
      <c r="E9" s="26">
        <v>346811</v>
      </c>
      <c r="F9" s="82">
        <v>140594</v>
      </c>
      <c r="G9" s="26">
        <v>363345</v>
      </c>
      <c r="H9" s="26">
        <v>359418</v>
      </c>
      <c r="I9" s="26">
        <v>353266</v>
      </c>
      <c r="J9" s="26">
        <v>358079</v>
      </c>
      <c r="K9" s="82">
        <v>283365</v>
      </c>
      <c r="L9" s="27">
        <v>371182</v>
      </c>
      <c r="M9" s="28">
        <v>389641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116">
        <v>143929</v>
      </c>
      <c r="C10" s="26">
        <v>377878</v>
      </c>
      <c r="D10" s="26">
        <v>376953</v>
      </c>
      <c r="E10" s="82">
        <v>165537</v>
      </c>
      <c r="F10" s="26">
        <v>338787</v>
      </c>
      <c r="G10" s="26">
        <v>354356</v>
      </c>
      <c r="H10" s="82">
        <v>228956</v>
      </c>
      <c r="I10" s="26">
        <v>346315</v>
      </c>
      <c r="J10" s="26">
        <v>403646</v>
      </c>
      <c r="K10" s="82">
        <v>175517</v>
      </c>
      <c r="L10" s="27">
        <v>395222</v>
      </c>
      <c r="M10" s="28">
        <v>413059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30">
        <v>354554</v>
      </c>
      <c r="C11" s="26">
        <v>356571</v>
      </c>
      <c r="D11" s="26">
        <v>350505</v>
      </c>
      <c r="E11" s="82">
        <v>142961</v>
      </c>
      <c r="F11" s="26">
        <v>340283</v>
      </c>
      <c r="G11" s="26">
        <v>369666</v>
      </c>
      <c r="H11" s="82">
        <v>153055</v>
      </c>
      <c r="I11" s="26">
        <v>345262</v>
      </c>
      <c r="J11" s="82">
        <v>280087</v>
      </c>
      <c r="K11" s="26">
        <v>385150</v>
      </c>
      <c r="L11" s="27">
        <v>369192</v>
      </c>
      <c r="M11" s="95">
        <v>308943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30">
        <v>347729</v>
      </c>
      <c r="C12" s="26">
        <v>385075</v>
      </c>
      <c r="D12" s="26">
        <v>375687</v>
      </c>
      <c r="E12" s="33">
        <v>167039</v>
      </c>
      <c r="F12" s="26">
        <v>349506</v>
      </c>
      <c r="G12" s="82">
        <v>250464</v>
      </c>
      <c r="H12" s="26">
        <v>358333</v>
      </c>
      <c r="I12" s="26">
        <v>345928</v>
      </c>
      <c r="J12" s="82">
        <v>161926</v>
      </c>
      <c r="K12" s="26">
        <v>377442</v>
      </c>
      <c r="L12" s="27">
        <v>402522</v>
      </c>
      <c r="M12" s="95">
        <v>196574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30">
        <v>359505</v>
      </c>
      <c r="C13" s="82">
        <v>269575</v>
      </c>
      <c r="D13" s="82">
        <v>254351</v>
      </c>
      <c r="E13" s="26">
        <v>349058</v>
      </c>
      <c r="F13" s="26">
        <v>324770</v>
      </c>
      <c r="G13" s="82">
        <v>151118</v>
      </c>
      <c r="H13" s="26">
        <v>344205</v>
      </c>
      <c r="I13" s="26">
        <v>360466</v>
      </c>
      <c r="J13" s="26">
        <v>375878</v>
      </c>
      <c r="K13" s="26">
        <v>386718</v>
      </c>
      <c r="L13" s="115">
        <v>274100</v>
      </c>
      <c r="M13" s="28">
        <v>366039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30">
        <v>343613</v>
      </c>
      <c r="C14" s="82">
        <v>158801</v>
      </c>
      <c r="D14" s="82">
        <v>152382</v>
      </c>
      <c r="E14" s="26">
        <v>336506</v>
      </c>
      <c r="F14" s="26">
        <v>328317</v>
      </c>
      <c r="G14" s="26">
        <v>354488</v>
      </c>
      <c r="H14" s="26">
        <v>342554</v>
      </c>
      <c r="I14" s="82">
        <v>259324</v>
      </c>
      <c r="J14" s="26">
        <v>365463</v>
      </c>
      <c r="K14" s="26">
        <v>368626</v>
      </c>
      <c r="L14" s="115">
        <v>167653</v>
      </c>
      <c r="M14" s="28">
        <v>396342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30">
        <v>366173</v>
      </c>
      <c r="C15" s="26">
        <v>366403</v>
      </c>
      <c r="D15" s="26">
        <v>355326</v>
      </c>
      <c r="E15" s="26">
        <v>331816</v>
      </c>
      <c r="F15" s="82">
        <v>212554</v>
      </c>
      <c r="G15" s="26">
        <v>356789</v>
      </c>
      <c r="H15" s="26">
        <v>336922</v>
      </c>
      <c r="I15" s="82">
        <v>148198</v>
      </c>
      <c r="J15" s="26">
        <v>377764</v>
      </c>
      <c r="K15" s="26">
        <v>340635</v>
      </c>
      <c r="L15" s="27">
        <v>391186</v>
      </c>
      <c r="M15" s="28">
        <v>408234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116">
        <v>248811</v>
      </c>
      <c r="C16" s="26">
        <v>372582</v>
      </c>
      <c r="D16" s="26">
        <v>345148</v>
      </c>
      <c r="E16" s="26">
        <v>346705</v>
      </c>
      <c r="F16" s="82">
        <v>130849</v>
      </c>
      <c r="G16" s="26">
        <v>362853</v>
      </c>
      <c r="H16" s="26">
        <v>355504</v>
      </c>
      <c r="I16" s="26">
        <v>360938</v>
      </c>
      <c r="J16" s="26">
        <v>360492</v>
      </c>
      <c r="K16" s="82">
        <v>264359</v>
      </c>
      <c r="L16" s="27">
        <v>382945</v>
      </c>
      <c r="M16" s="28">
        <v>395141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116">
        <v>151477</v>
      </c>
      <c r="C17" s="26">
        <v>370870</v>
      </c>
      <c r="D17" s="26">
        <v>356952</v>
      </c>
      <c r="E17" s="82">
        <v>230762</v>
      </c>
      <c r="F17" s="26">
        <v>324578</v>
      </c>
      <c r="G17" s="26">
        <v>354488</v>
      </c>
      <c r="H17" s="82">
        <v>250630</v>
      </c>
      <c r="I17" s="26">
        <v>360607</v>
      </c>
      <c r="J17" s="26">
        <v>366168</v>
      </c>
      <c r="K17" s="82">
        <v>163076</v>
      </c>
      <c r="L17" s="27">
        <v>388748</v>
      </c>
      <c r="M17" s="28">
        <v>406806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30">
        <v>359098</v>
      </c>
      <c r="C18" s="26">
        <v>359855</v>
      </c>
      <c r="D18" s="26">
        <v>349915</v>
      </c>
      <c r="E18" s="82">
        <v>139623</v>
      </c>
      <c r="F18" s="26">
        <v>333028</v>
      </c>
      <c r="G18" s="33">
        <v>193149</v>
      </c>
      <c r="H18" s="82">
        <v>152754</v>
      </c>
      <c r="I18" s="26">
        <v>347132</v>
      </c>
      <c r="J18" s="82">
        <v>272919</v>
      </c>
      <c r="K18" s="26">
        <v>372870</v>
      </c>
      <c r="L18" s="27">
        <v>376982</v>
      </c>
      <c r="M18" s="95">
        <v>315421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30">
        <v>349846</v>
      </c>
      <c r="C19" s="26">
        <v>410000</v>
      </c>
      <c r="D19" s="26">
        <v>377201</v>
      </c>
      <c r="E19" s="26">
        <v>334570</v>
      </c>
      <c r="F19" s="26">
        <v>341758</v>
      </c>
      <c r="G19" s="82">
        <v>225142</v>
      </c>
      <c r="H19" s="26">
        <v>356579</v>
      </c>
      <c r="I19" s="26">
        <v>347440</v>
      </c>
      <c r="J19" s="82">
        <v>166058</v>
      </c>
      <c r="K19" s="26">
        <v>375178</v>
      </c>
      <c r="L19" s="27">
        <v>412290</v>
      </c>
      <c r="M19" s="95">
        <v>217534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30">
        <v>372596</v>
      </c>
      <c r="C20" s="82">
        <v>272800</v>
      </c>
      <c r="D20" s="82">
        <v>261012</v>
      </c>
      <c r="E20" s="26">
        <v>340391</v>
      </c>
      <c r="F20" s="26">
        <v>336739</v>
      </c>
      <c r="G20" s="82">
        <v>153047</v>
      </c>
      <c r="H20" s="26">
        <v>359843</v>
      </c>
      <c r="I20" s="26">
        <v>391711</v>
      </c>
      <c r="J20" s="26">
        <v>390419</v>
      </c>
      <c r="K20" s="26">
        <v>386372</v>
      </c>
      <c r="L20" s="115">
        <v>298562</v>
      </c>
      <c r="M20" s="28">
        <v>425074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30">
        <v>350975</v>
      </c>
      <c r="C21" s="82">
        <v>169706</v>
      </c>
      <c r="D21" s="82">
        <v>144606</v>
      </c>
      <c r="E21" s="26">
        <v>264199</v>
      </c>
      <c r="F21" s="26">
        <v>345200</v>
      </c>
      <c r="G21" s="26">
        <v>352576</v>
      </c>
      <c r="H21" s="26">
        <v>373358</v>
      </c>
      <c r="I21" s="82">
        <v>267460</v>
      </c>
      <c r="J21" s="26">
        <v>381408</v>
      </c>
      <c r="K21" s="26">
        <v>379458</v>
      </c>
      <c r="L21" s="115">
        <v>185824</v>
      </c>
      <c r="M21" s="28">
        <v>425338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30">
        <v>372811</v>
      </c>
      <c r="C22" s="26">
        <v>368636</v>
      </c>
      <c r="D22" s="26">
        <v>383069</v>
      </c>
      <c r="E22" s="35" t="s">
        <v>35</v>
      </c>
      <c r="F22" s="82">
        <v>217139</v>
      </c>
      <c r="G22" s="26">
        <v>328322</v>
      </c>
      <c r="H22" s="26">
        <v>336090</v>
      </c>
      <c r="I22" s="82">
        <v>171688</v>
      </c>
      <c r="J22" s="26">
        <v>392279</v>
      </c>
      <c r="K22" s="26">
        <v>403399</v>
      </c>
      <c r="L22" s="27">
        <v>403074</v>
      </c>
      <c r="M22" s="28">
        <v>433777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116">
        <v>260538</v>
      </c>
      <c r="C23" s="26">
        <v>355238</v>
      </c>
      <c r="D23" s="26">
        <v>343808</v>
      </c>
      <c r="E23" s="35" t="s">
        <v>36</v>
      </c>
      <c r="F23" s="82">
        <v>148184</v>
      </c>
      <c r="G23" s="26">
        <v>361637</v>
      </c>
      <c r="H23" s="26">
        <v>367216</v>
      </c>
      <c r="I23" s="26">
        <v>366482</v>
      </c>
      <c r="J23" s="26">
        <v>368211</v>
      </c>
      <c r="K23" s="82">
        <v>275334</v>
      </c>
      <c r="L23" s="27">
        <v>400019</v>
      </c>
      <c r="M23" s="28">
        <v>395867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116">
        <v>156063</v>
      </c>
      <c r="C24" s="26">
        <v>370378</v>
      </c>
      <c r="D24" s="26">
        <v>350833</v>
      </c>
      <c r="E24" s="35" t="s">
        <v>37</v>
      </c>
      <c r="F24" s="26">
        <v>339770</v>
      </c>
      <c r="G24" s="26">
        <v>340846</v>
      </c>
      <c r="H24" s="82">
        <v>253693</v>
      </c>
      <c r="I24" s="26">
        <v>329811</v>
      </c>
      <c r="J24" s="26">
        <v>395109</v>
      </c>
      <c r="K24" s="82">
        <v>182522</v>
      </c>
      <c r="L24" s="27">
        <v>401126</v>
      </c>
      <c r="M24" s="28">
        <v>438809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30">
        <v>429982</v>
      </c>
      <c r="C25" s="26">
        <v>355917</v>
      </c>
      <c r="D25" s="26">
        <v>337832</v>
      </c>
      <c r="E25" s="82">
        <v>110809</v>
      </c>
      <c r="F25" s="26">
        <v>327429</v>
      </c>
      <c r="G25" s="26">
        <v>378208</v>
      </c>
      <c r="H25" s="82">
        <v>155228</v>
      </c>
      <c r="I25" s="26">
        <v>384164</v>
      </c>
      <c r="J25" s="82">
        <v>274585</v>
      </c>
      <c r="K25" s="26">
        <v>390281</v>
      </c>
      <c r="L25" s="27">
        <v>400322</v>
      </c>
      <c r="M25" s="95">
        <v>322527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30">
        <v>346703</v>
      </c>
      <c r="C26" s="26">
        <v>380284</v>
      </c>
      <c r="D26" s="26">
        <v>352327</v>
      </c>
      <c r="E26" s="26">
        <v>327518</v>
      </c>
      <c r="F26" s="26">
        <v>336279</v>
      </c>
      <c r="G26" s="82">
        <v>256752</v>
      </c>
      <c r="H26" s="26">
        <v>348183</v>
      </c>
      <c r="I26" s="26">
        <v>389732</v>
      </c>
      <c r="J26" s="82">
        <v>168367</v>
      </c>
      <c r="K26" s="26">
        <v>379187</v>
      </c>
      <c r="L26" s="27">
        <v>414980</v>
      </c>
      <c r="M26" s="95">
        <v>224006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30">
        <v>360902</v>
      </c>
      <c r="C27" s="82">
        <v>260626</v>
      </c>
      <c r="D27" s="82">
        <v>210712</v>
      </c>
      <c r="E27" s="26">
        <v>332763</v>
      </c>
      <c r="F27" s="26">
        <v>324757</v>
      </c>
      <c r="G27" s="82">
        <v>146242</v>
      </c>
      <c r="H27" s="26">
        <v>293684</v>
      </c>
      <c r="I27" s="33">
        <v>210846</v>
      </c>
      <c r="J27" s="26">
        <v>383981</v>
      </c>
      <c r="K27" s="26">
        <v>381426</v>
      </c>
      <c r="L27" s="115">
        <v>299335</v>
      </c>
      <c r="M27" s="28">
        <v>417956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30">
        <v>340880</v>
      </c>
      <c r="C28" s="82">
        <v>153700</v>
      </c>
      <c r="D28" s="82">
        <v>149232</v>
      </c>
      <c r="E28" s="26">
        <v>338550</v>
      </c>
      <c r="F28" s="26">
        <v>337228</v>
      </c>
      <c r="G28" s="26">
        <v>348819</v>
      </c>
      <c r="H28" s="26">
        <v>334355</v>
      </c>
      <c r="I28" s="82">
        <v>223605</v>
      </c>
      <c r="J28" s="26">
        <v>374581</v>
      </c>
      <c r="K28" s="26">
        <v>372371</v>
      </c>
      <c r="L28" s="115">
        <v>182237</v>
      </c>
      <c r="M28" s="28">
        <v>411961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30">
        <v>365795</v>
      </c>
      <c r="C29" s="26">
        <v>355934</v>
      </c>
      <c r="D29" s="26">
        <v>349984</v>
      </c>
      <c r="E29" s="26">
        <v>320437</v>
      </c>
      <c r="F29" s="82">
        <v>220348</v>
      </c>
      <c r="G29" s="26">
        <v>343126</v>
      </c>
      <c r="H29" s="26">
        <v>290716</v>
      </c>
      <c r="I29" s="82">
        <v>150090</v>
      </c>
      <c r="J29" s="26">
        <v>382237</v>
      </c>
      <c r="K29" s="26">
        <v>389695</v>
      </c>
      <c r="L29" s="27">
        <v>396367</v>
      </c>
      <c r="M29" s="36">
        <v>211982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116">
        <v>256863</v>
      </c>
      <c r="C30" s="33">
        <v>211113</v>
      </c>
      <c r="D30" s="26">
        <v>339333</v>
      </c>
      <c r="E30" s="26">
        <v>339624</v>
      </c>
      <c r="F30" s="82">
        <v>139199</v>
      </c>
      <c r="G30" s="26">
        <v>359043</v>
      </c>
      <c r="H30" s="26">
        <v>427768</v>
      </c>
      <c r="I30" s="26">
        <v>375603</v>
      </c>
      <c r="J30" s="26">
        <v>373444</v>
      </c>
      <c r="K30" s="82">
        <v>266547</v>
      </c>
      <c r="L30" s="27">
        <v>407505</v>
      </c>
      <c r="M30" s="36">
        <v>152231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116">
        <v>152231</v>
      </c>
      <c r="C31" s="26">
        <v>378794</v>
      </c>
      <c r="D31" s="26">
        <v>336332</v>
      </c>
      <c r="E31" s="82">
        <v>221111</v>
      </c>
      <c r="F31" s="26">
        <v>306753</v>
      </c>
      <c r="G31" s="26">
        <v>344466</v>
      </c>
      <c r="H31" s="82">
        <v>248549</v>
      </c>
      <c r="I31" s="26">
        <v>347685</v>
      </c>
      <c r="J31" s="26">
        <v>391080</v>
      </c>
      <c r="K31" s="82">
        <v>169436</v>
      </c>
      <c r="L31" s="27">
        <v>240261</v>
      </c>
      <c r="M31" s="36">
        <v>255041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30">
        <v>361442</v>
      </c>
      <c r="C32" s="26">
        <v>354345</v>
      </c>
      <c r="D32" s="26">
        <v>316174</v>
      </c>
      <c r="E32" s="82">
        <v>134353</v>
      </c>
      <c r="F32" s="26">
        <v>266580</v>
      </c>
      <c r="G32" s="26">
        <v>373521</v>
      </c>
      <c r="H32" s="82">
        <v>40963</v>
      </c>
      <c r="I32" s="26">
        <v>375363</v>
      </c>
      <c r="J32" s="82">
        <v>272353</v>
      </c>
      <c r="K32" s="26">
        <v>381190</v>
      </c>
      <c r="L32" s="27">
        <v>393116</v>
      </c>
      <c r="M32" s="95">
        <v>214562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f>A6+27</f>
        <v>28</v>
      </c>
      <c r="B33" s="30">
        <v>346599</v>
      </c>
      <c r="C33" s="26">
        <v>393536</v>
      </c>
      <c r="D33" s="26">
        <v>342448</v>
      </c>
      <c r="E33" s="26">
        <v>326100</v>
      </c>
      <c r="F33" s="26">
        <v>234540</v>
      </c>
      <c r="G33" s="82">
        <v>259975</v>
      </c>
      <c r="H33" s="26">
        <v>311467</v>
      </c>
      <c r="I33" s="26">
        <v>352795</v>
      </c>
      <c r="J33" s="82">
        <v>162718</v>
      </c>
      <c r="K33" s="26">
        <v>376720</v>
      </c>
      <c r="L33" s="27">
        <v>422143</v>
      </c>
      <c r="M33" s="95">
        <v>159791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30">
        <v>365639</v>
      </c>
      <c r="C34" s="35"/>
      <c r="D34" s="82">
        <v>240161</v>
      </c>
      <c r="E34" s="26">
        <v>331350</v>
      </c>
      <c r="F34" s="26">
        <v>321022</v>
      </c>
      <c r="G34" s="82">
        <v>154886</v>
      </c>
      <c r="H34" s="26">
        <v>343752</v>
      </c>
      <c r="I34" s="26">
        <v>389446</v>
      </c>
      <c r="J34" s="26">
        <v>383071</v>
      </c>
      <c r="K34" s="26">
        <v>387418</v>
      </c>
      <c r="L34" s="115">
        <v>309221</v>
      </c>
      <c r="M34" s="28">
        <v>326150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30">
        <v>344274</v>
      </c>
      <c r="C35" s="37"/>
      <c r="D35" s="82">
        <v>151251</v>
      </c>
      <c r="E35" s="26">
        <v>351670</v>
      </c>
      <c r="F35" s="26">
        <v>374131</v>
      </c>
      <c r="G35" s="26">
        <v>370579</v>
      </c>
      <c r="H35" s="26">
        <v>355719</v>
      </c>
      <c r="I35" s="82">
        <v>267657</v>
      </c>
      <c r="J35" s="26">
        <v>403433</v>
      </c>
      <c r="K35" s="26">
        <v>394030</v>
      </c>
      <c r="L35" s="82">
        <v>159774</v>
      </c>
      <c r="M35" s="36">
        <v>303420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38">
        <f>A6+30</f>
        <v>31</v>
      </c>
      <c r="B36" s="70">
        <v>383660</v>
      </c>
      <c r="C36" s="40"/>
      <c r="D36" s="41">
        <v>354734</v>
      </c>
      <c r="E36" s="40"/>
      <c r="F36" s="209">
        <v>243963</v>
      </c>
      <c r="G36" s="40">
        <v>0</v>
      </c>
      <c r="H36" s="41">
        <v>344659</v>
      </c>
      <c r="I36" s="209">
        <v>167190</v>
      </c>
      <c r="J36" s="43">
        <v>0</v>
      </c>
      <c r="K36" s="44">
        <v>267411</v>
      </c>
      <c r="L36" s="43">
        <v>0</v>
      </c>
      <c r="M36" s="36">
        <v>142241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26">
        <f>AVERAGE(B6:B36)</f>
        <v>305267.58064516127</v>
      </c>
      <c r="C37" s="127">
        <f>AVERAGE(C6:C36)</f>
        <v>319613.32142857142</v>
      </c>
      <c r="D37" s="127">
        <f>AVERAGE(D6:D36)</f>
        <v>303789.41935483873</v>
      </c>
      <c r="E37" s="127">
        <f>IFERROR(AVERAGE(E6:E36),0)</f>
        <v>283516.59259259258</v>
      </c>
      <c r="F37" s="127">
        <f>IFERROR(AVERAGE(F6:F36),0)</f>
        <v>276748.6451612903</v>
      </c>
      <c r="G37" s="127">
        <f t="shared" ref="G37:M37" si="0">IFERROR(AVERAGE(G6:G36),0)</f>
        <v>292986.29032258067</v>
      </c>
      <c r="H37" s="127">
        <f t="shared" si="0"/>
        <v>305620.61290322582</v>
      </c>
      <c r="I37" s="127">
        <f t="shared" si="0"/>
        <v>307668.3548387097</v>
      </c>
      <c r="J37" s="127">
        <f t="shared" si="0"/>
        <v>323767.45161290321</v>
      </c>
      <c r="K37" s="127">
        <f t="shared" si="0"/>
        <v>335751.61290322582</v>
      </c>
      <c r="L37" s="127">
        <f>IFERROR(AVERAGE(L6:L36),0)</f>
        <v>324942.40000000002</v>
      </c>
      <c r="M37" s="142">
        <f t="shared" si="0"/>
        <v>332112.32258064515</v>
      </c>
    </row>
    <row r="38" spans="1:22">
      <c r="A38" s="48" t="s">
        <v>20</v>
      </c>
      <c r="B38" s="12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1:22">
      <c r="A39" s="52" t="s">
        <v>21</v>
      </c>
      <c r="B39" s="12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1"/>
    </row>
    <row r="40" spans="1:22">
      <c r="A40" s="52" t="s">
        <v>22</v>
      </c>
      <c r="B40" s="12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1"/>
    </row>
    <row r="41" spans="1:22">
      <c r="A41" s="52" t="s">
        <v>23</v>
      </c>
      <c r="B41" s="12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</row>
    <row r="42" spans="1:22">
      <c r="A42" s="52" t="s">
        <v>24</v>
      </c>
      <c r="B42" s="108">
        <f>MAX(B6:B36)</f>
        <v>429982</v>
      </c>
      <c r="C42" s="109">
        <f>MAX(C6:C36)</f>
        <v>410000</v>
      </c>
      <c r="D42" s="109">
        <f t="shared" ref="D42:M42" si="1">MAX(D6:D36)</f>
        <v>383069</v>
      </c>
      <c r="E42" s="109">
        <f t="shared" si="1"/>
        <v>351670</v>
      </c>
      <c r="F42" s="109">
        <f t="shared" si="1"/>
        <v>374131</v>
      </c>
      <c r="G42" s="109">
        <f t="shared" si="1"/>
        <v>378208</v>
      </c>
      <c r="H42" s="109">
        <f t="shared" si="1"/>
        <v>427768</v>
      </c>
      <c r="I42" s="109">
        <f t="shared" si="1"/>
        <v>391711</v>
      </c>
      <c r="J42" s="109">
        <f t="shared" si="1"/>
        <v>403646</v>
      </c>
      <c r="K42" s="109">
        <f t="shared" si="1"/>
        <v>403399</v>
      </c>
      <c r="L42" s="109">
        <f t="shared" si="1"/>
        <v>422143</v>
      </c>
      <c r="M42" s="110">
        <f t="shared" si="1"/>
        <v>438809</v>
      </c>
    </row>
    <row r="43" spans="1:22" ht="12.75" thickBot="1">
      <c r="A43" s="55" t="s">
        <v>25</v>
      </c>
      <c r="B43" s="111">
        <f t="shared" ref="B43:L43" si="2">SUM(B6:B36)</f>
        <v>9463295</v>
      </c>
      <c r="C43" s="57">
        <f>SUM(C6:C36)</f>
        <v>8949173</v>
      </c>
      <c r="D43" s="57">
        <f t="shared" si="2"/>
        <v>9417472</v>
      </c>
      <c r="E43" s="57">
        <f t="shared" si="2"/>
        <v>7654948</v>
      </c>
      <c r="F43" s="57">
        <f t="shared" si="2"/>
        <v>8579208</v>
      </c>
      <c r="G43" s="57">
        <f t="shared" si="2"/>
        <v>9082575</v>
      </c>
      <c r="H43" s="57">
        <f t="shared" si="2"/>
        <v>9474239</v>
      </c>
      <c r="I43" s="57">
        <f t="shared" si="2"/>
        <v>9537719</v>
      </c>
      <c r="J43" s="57">
        <f t="shared" si="2"/>
        <v>10036791</v>
      </c>
      <c r="K43" s="57">
        <f t="shared" si="2"/>
        <v>10408300</v>
      </c>
      <c r="L43" s="57">
        <f t="shared" si="2"/>
        <v>9748272</v>
      </c>
      <c r="M43" s="58">
        <f>SUM(M6:M36)</f>
        <v>10295482</v>
      </c>
      <c r="P43" s="59"/>
    </row>
    <row r="44" spans="1:22" s="60" customFormat="1" ht="11.25"/>
    <row r="45" spans="1:22">
      <c r="A45" s="61"/>
    </row>
    <row r="46" spans="1:22" ht="15">
      <c r="A46" s="62"/>
      <c r="B46" s="63">
        <v>22</v>
      </c>
      <c r="C46" s="63">
        <v>19</v>
      </c>
      <c r="D46" s="63">
        <v>21</v>
      </c>
      <c r="E46" s="63">
        <v>19</v>
      </c>
      <c r="F46" s="63">
        <v>21</v>
      </c>
      <c r="G46" s="63">
        <v>20</v>
      </c>
      <c r="H46" s="63">
        <v>23</v>
      </c>
      <c r="I46" s="63">
        <v>20</v>
      </c>
      <c r="J46" s="63">
        <v>22</v>
      </c>
      <c r="K46" s="63">
        <v>22</v>
      </c>
      <c r="L46" s="63">
        <v>20</v>
      </c>
      <c r="M46" s="63">
        <v>18</v>
      </c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42" priority="1" rank="1"/>
  </conditionalFormatting>
  <printOptions horizontalCentered="1" verticalCentered="1"/>
  <pageMargins left="0.25" right="0" top="0.25" bottom="0.25" header="0.31" footer="0.31"/>
  <pageSetup paperSize="9" scale="95" fitToHeight="0" orientation="landscape" r:id="rId1"/>
  <rowBreaks count="1" manualBreakCount="1">
    <brk id="4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51"/>
  <sheetViews>
    <sheetView view="pageBreakPreview" zoomScaleNormal="120" zoomScaleSheetLayoutView="100" zoomScalePageLayoutView="120" workbookViewId="0">
      <pane xSplit="1" ySplit="5" topLeftCell="B31" activePane="bottomRight" state="frozen"/>
      <selection pane="bottomRight" activeCell="B43" sqref="B43"/>
      <selection pane="bottomLeft" activeCell="A5" sqref="A5"/>
      <selection pane="topRight" activeCell="B1" sqref="B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38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16">
        <v>92165</v>
      </c>
      <c r="C6" s="181">
        <v>178608</v>
      </c>
      <c r="D6" s="17">
        <v>331122</v>
      </c>
      <c r="E6" s="17">
        <v>383028</v>
      </c>
      <c r="F6" s="113">
        <v>155249</v>
      </c>
      <c r="G6" s="17">
        <v>387847</v>
      </c>
      <c r="H6" s="17">
        <v>391328</v>
      </c>
      <c r="I6" s="181">
        <v>184544</v>
      </c>
      <c r="J6" s="17">
        <v>399009</v>
      </c>
      <c r="K6" s="26">
        <v>382546</v>
      </c>
      <c r="L6" s="21">
        <v>110921</v>
      </c>
      <c r="M6" s="22">
        <v>431614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123">
        <v>157715</v>
      </c>
      <c r="C7" s="170">
        <v>404792</v>
      </c>
      <c r="D7" s="26">
        <v>393683</v>
      </c>
      <c r="E7" s="26">
        <v>394551</v>
      </c>
      <c r="F7" s="82">
        <v>161422</v>
      </c>
      <c r="G7" s="26">
        <v>398771</v>
      </c>
      <c r="H7" s="26">
        <v>366480</v>
      </c>
      <c r="I7" s="170">
        <v>397790</v>
      </c>
      <c r="J7" s="26">
        <v>394549</v>
      </c>
      <c r="K7" s="82">
        <v>269195</v>
      </c>
      <c r="L7" s="27">
        <v>336617</v>
      </c>
      <c r="M7" s="36">
        <v>287939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116">
        <v>175804</v>
      </c>
      <c r="C8" s="170">
        <v>392590</v>
      </c>
      <c r="D8" s="26">
        <v>416477</v>
      </c>
      <c r="E8" s="33">
        <v>268171</v>
      </c>
      <c r="F8" s="26">
        <v>385497</v>
      </c>
      <c r="G8" s="26">
        <v>383281</v>
      </c>
      <c r="H8" s="82">
        <v>291833</v>
      </c>
      <c r="I8" s="170">
        <v>398816</v>
      </c>
      <c r="J8" s="26">
        <v>414008</v>
      </c>
      <c r="K8" s="82">
        <v>171315</v>
      </c>
      <c r="L8" s="27">
        <v>400662</v>
      </c>
      <c r="M8" s="36">
        <v>269279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116">
        <v>148092</v>
      </c>
      <c r="C9" s="170">
        <v>401380</v>
      </c>
      <c r="D9" s="26">
        <v>379001</v>
      </c>
      <c r="E9" s="33">
        <v>161051</v>
      </c>
      <c r="F9" s="26">
        <v>370344</v>
      </c>
      <c r="G9" s="26">
        <v>377691</v>
      </c>
      <c r="H9" s="82">
        <v>180506</v>
      </c>
      <c r="I9" s="170">
        <v>393945</v>
      </c>
      <c r="J9" s="82">
        <v>295329</v>
      </c>
      <c r="K9" s="26">
        <v>364830</v>
      </c>
      <c r="L9" s="27">
        <v>397943</v>
      </c>
      <c r="M9" s="95">
        <v>310303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30">
        <v>376392</v>
      </c>
      <c r="C10" s="170">
        <v>384379</v>
      </c>
      <c r="D10" s="26">
        <v>401678</v>
      </c>
      <c r="E10" s="26">
        <v>375409</v>
      </c>
      <c r="F10" s="26">
        <v>399697</v>
      </c>
      <c r="G10" s="82">
        <v>278525</v>
      </c>
      <c r="H10" s="26">
        <v>406980</v>
      </c>
      <c r="I10" s="170">
        <v>403028</v>
      </c>
      <c r="J10" s="82">
        <v>185748</v>
      </c>
      <c r="K10" s="26">
        <v>403430</v>
      </c>
      <c r="L10" s="27">
        <v>426729</v>
      </c>
      <c r="M10" s="95">
        <v>208257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30">
        <v>371051</v>
      </c>
      <c r="C11" s="170">
        <v>394366</v>
      </c>
      <c r="D11" s="82">
        <v>274533</v>
      </c>
      <c r="E11" s="26">
        <v>365494</v>
      </c>
      <c r="F11" s="26">
        <v>373845</v>
      </c>
      <c r="G11" s="82">
        <v>152016</v>
      </c>
      <c r="H11" s="26">
        <v>394467</v>
      </c>
      <c r="I11" s="170">
        <v>424924</v>
      </c>
      <c r="J11" s="26">
        <v>399054</v>
      </c>
      <c r="K11" s="26">
        <v>400140</v>
      </c>
      <c r="L11" s="115">
        <v>291069</v>
      </c>
      <c r="M11" s="28">
        <v>417034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30">
        <v>386262</v>
      </c>
      <c r="C12" s="171">
        <v>291693</v>
      </c>
      <c r="D12" s="82">
        <v>173047</v>
      </c>
      <c r="E12" s="35" t="s">
        <v>35</v>
      </c>
      <c r="F12" s="26">
        <v>378342</v>
      </c>
      <c r="G12" s="26">
        <v>361539</v>
      </c>
      <c r="H12" s="26">
        <v>397703</v>
      </c>
      <c r="I12" s="171">
        <v>291885</v>
      </c>
      <c r="J12" s="26">
        <v>406016</v>
      </c>
      <c r="K12" s="26">
        <v>371051</v>
      </c>
      <c r="L12" s="115">
        <v>179751</v>
      </c>
      <c r="M12" s="28">
        <v>452179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30">
        <v>370463</v>
      </c>
      <c r="C13" s="171">
        <v>172459</v>
      </c>
      <c r="D13" s="26">
        <v>372945</v>
      </c>
      <c r="E13" s="35" t="s">
        <v>36</v>
      </c>
      <c r="F13" s="82">
        <v>262213</v>
      </c>
      <c r="G13" s="26">
        <v>371056</v>
      </c>
      <c r="H13" s="26">
        <v>396412</v>
      </c>
      <c r="I13" s="171">
        <v>167189</v>
      </c>
      <c r="J13" s="26">
        <v>410078</v>
      </c>
      <c r="K13" s="26">
        <v>425441</v>
      </c>
      <c r="L13" s="27">
        <v>412330</v>
      </c>
      <c r="M13" s="28">
        <v>434586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30">
        <v>411869</v>
      </c>
      <c r="C14" s="170">
        <v>394923</v>
      </c>
      <c r="D14" s="26">
        <v>410812</v>
      </c>
      <c r="E14" s="35" t="s">
        <v>37</v>
      </c>
      <c r="F14" s="82">
        <v>135058</v>
      </c>
      <c r="G14" s="26">
        <v>381677</v>
      </c>
      <c r="H14" s="26">
        <v>409805</v>
      </c>
      <c r="I14" s="170">
        <v>391083</v>
      </c>
      <c r="J14" s="26">
        <v>386234</v>
      </c>
      <c r="K14" s="82">
        <v>290597</v>
      </c>
      <c r="L14" s="27">
        <v>407706</v>
      </c>
      <c r="M14" s="28">
        <v>417089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116">
        <v>279988</v>
      </c>
      <c r="C15" s="170">
        <v>411493</v>
      </c>
      <c r="D15" s="26">
        <v>403868</v>
      </c>
      <c r="E15" s="35" t="s">
        <v>39</v>
      </c>
      <c r="F15" s="33">
        <v>116789</v>
      </c>
      <c r="G15" s="26">
        <v>370023</v>
      </c>
      <c r="H15" s="82">
        <v>289265</v>
      </c>
      <c r="I15" s="170">
        <v>401318</v>
      </c>
      <c r="J15" s="26">
        <v>415823</v>
      </c>
      <c r="K15" s="82">
        <v>184693</v>
      </c>
      <c r="L15" s="27">
        <v>412815</v>
      </c>
      <c r="M15" s="28">
        <v>432657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116">
        <v>164258</v>
      </c>
      <c r="C16" s="170">
        <v>396026</v>
      </c>
      <c r="D16" s="26">
        <v>372884</v>
      </c>
      <c r="E16" s="82">
        <v>112162</v>
      </c>
      <c r="F16" s="26">
        <v>342046</v>
      </c>
      <c r="G16" s="26">
        <v>391364</v>
      </c>
      <c r="H16" s="82">
        <v>176050</v>
      </c>
      <c r="I16" s="170">
        <v>404652</v>
      </c>
      <c r="J16" s="82">
        <v>287820</v>
      </c>
      <c r="K16" s="26">
        <v>400947</v>
      </c>
      <c r="L16" s="27">
        <v>393083</v>
      </c>
      <c r="M16" s="95">
        <v>340493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30">
        <v>394666</v>
      </c>
      <c r="C17" s="170">
        <v>392371</v>
      </c>
      <c r="D17" s="26">
        <v>410138</v>
      </c>
      <c r="E17" s="26">
        <v>364403</v>
      </c>
      <c r="F17" s="26">
        <v>377802</v>
      </c>
      <c r="G17" s="82">
        <v>257423</v>
      </c>
      <c r="H17" s="26">
        <v>407073</v>
      </c>
      <c r="I17" s="170">
        <v>322520</v>
      </c>
      <c r="J17" s="82">
        <v>179976</v>
      </c>
      <c r="K17" s="26">
        <v>386522</v>
      </c>
      <c r="L17" s="27">
        <v>435933</v>
      </c>
      <c r="M17" s="95">
        <v>215227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30">
        <v>369536</v>
      </c>
      <c r="C18" s="170">
        <v>413390</v>
      </c>
      <c r="D18" s="82">
        <v>276075</v>
      </c>
      <c r="E18" s="26">
        <v>370853</v>
      </c>
      <c r="F18" s="26">
        <v>367651</v>
      </c>
      <c r="G18" s="82">
        <v>164546</v>
      </c>
      <c r="H18" s="26">
        <v>396247</v>
      </c>
      <c r="I18" s="170">
        <v>401002</v>
      </c>
      <c r="J18" s="26">
        <v>393506</v>
      </c>
      <c r="K18" s="26">
        <v>403613</v>
      </c>
      <c r="L18" s="115">
        <v>302989</v>
      </c>
      <c r="M18" s="28">
        <v>424266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30">
        <v>386971</v>
      </c>
      <c r="C19" s="171">
        <v>310119</v>
      </c>
      <c r="D19" s="82">
        <v>176471</v>
      </c>
      <c r="E19" s="26">
        <v>374570</v>
      </c>
      <c r="F19" s="26">
        <v>398267</v>
      </c>
      <c r="G19" s="26">
        <v>374462</v>
      </c>
      <c r="H19" s="26">
        <v>400465</v>
      </c>
      <c r="I19" s="171">
        <v>293156</v>
      </c>
      <c r="J19" s="26">
        <v>389717</v>
      </c>
      <c r="K19" s="26">
        <v>375401</v>
      </c>
      <c r="L19" s="115">
        <v>197189</v>
      </c>
      <c r="M19" s="28">
        <v>412509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30">
        <v>395867</v>
      </c>
      <c r="C20" s="171">
        <v>210955</v>
      </c>
      <c r="D20" s="26">
        <v>402425</v>
      </c>
      <c r="E20" s="26">
        <v>377980</v>
      </c>
      <c r="F20" s="82">
        <v>261043</v>
      </c>
      <c r="G20" s="26">
        <v>393432</v>
      </c>
      <c r="H20" s="26">
        <v>400816</v>
      </c>
      <c r="I20" s="171">
        <v>185379</v>
      </c>
      <c r="J20" s="26">
        <v>412532</v>
      </c>
      <c r="K20" s="26">
        <v>405185</v>
      </c>
      <c r="L20" s="27">
        <v>207206</v>
      </c>
      <c r="M20" s="28">
        <v>426265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30">
        <v>415662</v>
      </c>
      <c r="C21" s="170">
        <v>396720</v>
      </c>
      <c r="D21" s="26">
        <v>395530</v>
      </c>
      <c r="E21" s="26">
        <v>395598</v>
      </c>
      <c r="F21" s="82">
        <v>166014</v>
      </c>
      <c r="G21" s="26">
        <v>400742</v>
      </c>
      <c r="H21" s="26">
        <v>428449</v>
      </c>
      <c r="I21" s="170">
        <v>432192</v>
      </c>
      <c r="J21" s="26">
        <v>392327</v>
      </c>
      <c r="K21" s="82">
        <v>304579</v>
      </c>
      <c r="L21" s="27">
        <v>422555</v>
      </c>
      <c r="M21" s="28">
        <v>452926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116">
        <v>283707</v>
      </c>
      <c r="C22" s="170">
        <v>397835</v>
      </c>
      <c r="D22" s="26">
        <v>383979</v>
      </c>
      <c r="E22" s="82">
        <v>260049</v>
      </c>
      <c r="F22" s="26">
        <v>376573</v>
      </c>
      <c r="G22" s="26">
        <v>388767</v>
      </c>
      <c r="H22" s="82">
        <v>297522</v>
      </c>
      <c r="I22" s="170">
        <v>388227</v>
      </c>
      <c r="J22" s="26">
        <v>412145</v>
      </c>
      <c r="K22" s="82">
        <v>189460</v>
      </c>
      <c r="L22" s="27">
        <v>439382</v>
      </c>
      <c r="M22" s="28">
        <v>421203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116">
        <v>174198</v>
      </c>
      <c r="C23" s="170">
        <v>395888</v>
      </c>
      <c r="D23" s="26">
        <v>388291</v>
      </c>
      <c r="E23" s="82">
        <v>158738</v>
      </c>
      <c r="F23" s="26">
        <v>361167</v>
      </c>
      <c r="G23" s="26">
        <v>411177</v>
      </c>
      <c r="H23" s="82">
        <v>175938</v>
      </c>
      <c r="I23" s="170">
        <v>422561</v>
      </c>
      <c r="J23" s="82">
        <v>297398</v>
      </c>
      <c r="K23" s="26">
        <v>364394</v>
      </c>
      <c r="L23" s="27">
        <v>409200</v>
      </c>
      <c r="M23" s="95">
        <v>330562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30">
        <v>398963</v>
      </c>
      <c r="C24" s="170">
        <v>383580</v>
      </c>
      <c r="D24" s="26">
        <v>439442</v>
      </c>
      <c r="E24" s="26">
        <v>403719.5</v>
      </c>
      <c r="F24" s="26">
        <v>384868</v>
      </c>
      <c r="G24" s="82">
        <v>286044</v>
      </c>
      <c r="H24" s="26">
        <v>402149</v>
      </c>
      <c r="I24" s="170">
        <v>357924</v>
      </c>
      <c r="J24" s="82">
        <v>187998</v>
      </c>
      <c r="K24" s="26">
        <v>423265</v>
      </c>
      <c r="L24" s="27">
        <v>421684</v>
      </c>
      <c r="M24" s="95">
        <v>235418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30">
        <v>412825</v>
      </c>
      <c r="C25" s="170">
        <v>390191</v>
      </c>
      <c r="D25" s="82">
        <v>270248</v>
      </c>
      <c r="E25" s="26">
        <v>380842.5</v>
      </c>
      <c r="F25" s="26">
        <v>344110</v>
      </c>
      <c r="G25" s="82">
        <v>164911</v>
      </c>
      <c r="H25" s="26">
        <v>397228</v>
      </c>
      <c r="I25" s="170">
        <v>404395</v>
      </c>
      <c r="J25" s="26">
        <v>389978</v>
      </c>
      <c r="K25" s="26">
        <v>405515</v>
      </c>
      <c r="L25" s="115">
        <v>320656</v>
      </c>
      <c r="M25" s="28">
        <v>438110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30">
        <v>403467</v>
      </c>
      <c r="C26" s="171">
        <v>279983</v>
      </c>
      <c r="D26" s="82">
        <v>168599</v>
      </c>
      <c r="E26" s="26">
        <v>386543</v>
      </c>
      <c r="F26" s="26">
        <v>359269</v>
      </c>
      <c r="G26" s="26">
        <v>390554</v>
      </c>
      <c r="H26" s="26">
        <v>397876</v>
      </c>
      <c r="I26" s="171">
        <v>248262</v>
      </c>
      <c r="J26" s="26">
        <v>402582</v>
      </c>
      <c r="K26" s="26">
        <v>363328</v>
      </c>
      <c r="L26" s="115">
        <v>193012</v>
      </c>
      <c r="M26" s="28">
        <v>432740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30">
        <v>379296</v>
      </c>
      <c r="C27" s="171">
        <v>167803</v>
      </c>
      <c r="D27" s="26">
        <v>390043</v>
      </c>
      <c r="E27" s="26">
        <v>365414</v>
      </c>
      <c r="F27" s="82">
        <v>263219</v>
      </c>
      <c r="G27" s="26">
        <v>389089</v>
      </c>
      <c r="H27" s="26">
        <v>388145</v>
      </c>
      <c r="I27" s="171">
        <v>175874</v>
      </c>
      <c r="J27" s="26">
        <v>401344</v>
      </c>
      <c r="K27" s="26">
        <v>340505</v>
      </c>
      <c r="L27" s="27">
        <v>417292</v>
      </c>
      <c r="M27" s="28">
        <v>406309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30">
        <v>403277</v>
      </c>
      <c r="C28" s="170">
        <v>393378</v>
      </c>
      <c r="D28" s="26">
        <v>375281</v>
      </c>
      <c r="E28" s="26">
        <v>384025</v>
      </c>
      <c r="F28" s="82">
        <v>153865</v>
      </c>
      <c r="G28" s="26">
        <v>397191</v>
      </c>
      <c r="H28" s="26">
        <v>405732</v>
      </c>
      <c r="I28" s="170">
        <v>394076</v>
      </c>
      <c r="J28" s="26">
        <v>414872</v>
      </c>
      <c r="K28" s="82">
        <v>310954</v>
      </c>
      <c r="L28" s="27">
        <v>390686</v>
      </c>
      <c r="M28" s="28">
        <v>419160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116">
        <v>279069</v>
      </c>
      <c r="C29" s="170">
        <v>395583</v>
      </c>
      <c r="D29" s="26">
        <v>394321</v>
      </c>
      <c r="E29" s="82">
        <v>257068</v>
      </c>
      <c r="F29" s="26">
        <v>377112</v>
      </c>
      <c r="G29" s="26">
        <v>380584</v>
      </c>
      <c r="H29" s="82">
        <v>290648</v>
      </c>
      <c r="I29" s="170">
        <v>393041</v>
      </c>
      <c r="J29" s="26">
        <v>387787</v>
      </c>
      <c r="K29" s="82">
        <v>171862</v>
      </c>
      <c r="L29" s="27">
        <v>438561</v>
      </c>
      <c r="M29" s="36">
        <v>215634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116">
        <v>163337</v>
      </c>
      <c r="C30" s="169">
        <v>220104</v>
      </c>
      <c r="D30" s="26">
        <v>375853</v>
      </c>
      <c r="E30" s="82">
        <v>158126</v>
      </c>
      <c r="F30" s="26">
        <v>385547</v>
      </c>
      <c r="G30" s="26">
        <v>410297</v>
      </c>
      <c r="H30" s="82">
        <v>171613</v>
      </c>
      <c r="I30" s="170">
        <v>322029</v>
      </c>
      <c r="J30" s="82">
        <v>284622</v>
      </c>
      <c r="K30" s="26">
        <v>408144</v>
      </c>
      <c r="L30" s="27">
        <v>361701</v>
      </c>
      <c r="M30" s="36">
        <v>161328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30">
        <v>395754</v>
      </c>
      <c r="C31" s="170">
        <v>390673</v>
      </c>
      <c r="D31" s="26">
        <v>383481</v>
      </c>
      <c r="E31" s="26">
        <v>379639</v>
      </c>
      <c r="F31" s="26">
        <v>396655</v>
      </c>
      <c r="G31" s="82">
        <v>295631</v>
      </c>
      <c r="H31" s="26">
        <v>388706</v>
      </c>
      <c r="I31" s="170">
        <v>310104</v>
      </c>
      <c r="J31" s="82">
        <v>180266</v>
      </c>
      <c r="K31" s="26">
        <v>380986</v>
      </c>
      <c r="L31" s="27">
        <v>445657</v>
      </c>
      <c r="M31" s="95">
        <v>183356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30">
        <v>391710</v>
      </c>
      <c r="C32" s="170">
        <v>411069</v>
      </c>
      <c r="D32" s="82">
        <v>276584</v>
      </c>
      <c r="E32" s="26">
        <v>363667</v>
      </c>
      <c r="F32" s="26">
        <v>368313</v>
      </c>
      <c r="G32" s="82">
        <v>174584</v>
      </c>
      <c r="H32" s="26">
        <v>394912</v>
      </c>
      <c r="I32" s="170">
        <v>393387</v>
      </c>
      <c r="J32" s="26">
        <v>378470</v>
      </c>
      <c r="K32" s="26">
        <v>385717</v>
      </c>
      <c r="L32" s="115">
        <v>319828</v>
      </c>
      <c r="M32" s="36">
        <v>223729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f>A6+27</f>
        <v>28</v>
      </c>
      <c r="B33" s="30">
        <v>401863</v>
      </c>
      <c r="C33" s="171">
        <v>288275</v>
      </c>
      <c r="D33" s="82">
        <v>166906</v>
      </c>
      <c r="E33" s="26">
        <v>384522</v>
      </c>
      <c r="F33" s="26">
        <v>389257</v>
      </c>
      <c r="G33" s="26">
        <v>311391</v>
      </c>
      <c r="H33" s="26">
        <v>403826</v>
      </c>
      <c r="I33" s="171">
        <v>287512</v>
      </c>
      <c r="J33" s="26">
        <v>379747</v>
      </c>
      <c r="K33" s="26">
        <v>388278</v>
      </c>
      <c r="L33" s="115">
        <v>192013</v>
      </c>
      <c r="M33" s="28">
        <v>359746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30">
        <v>377518</v>
      </c>
      <c r="C34" s="82">
        <v>176975</v>
      </c>
      <c r="D34" s="26">
        <v>364539</v>
      </c>
      <c r="E34" s="26">
        <v>359719</v>
      </c>
      <c r="F34" s="82">
        <v>271653</v>
      </c>
      <c r="G34" s="26">
        <v>375666</v>
      </c>
      <c r="H34" s="26">
        <v>382583</v>
      </c>
      <c r="I34" s="82">
        <v>174607</v>
      </c>
      <c r="J34" s="26">
        <v>385397</v>
      </c>
      <c r="K34" s="26">
        <v>425562</v>
      </c>
      <c r="L34" s="122">
        <v>189222</v>
      </c>
      <c r="M34" s="28">
        <v>359622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30">
        <v>396464</v>
      </c>
      <c r="C35" s="37"/>
      <c r="D35" s="26">
        <v>338595</v>
      </c>
      <c r="E35" s="26">
        <v>414760</v>
      </c>
      <c r="F35" s="82">
        <v>174434</v>
      </c>
      <c r="G35" s="26">
        <v>372823</v>
      </c>
      <c r="H35" s="26">
        <v>421837</v>
      </c>
      <c r="I35" s="26">
        <v>395140</v>
      </c>
      <c r="J35" s="26">
        <v>378694</v>
      </c>
      <c r="K35" s="82">
        <v>264702</v>
      </c>
      <c r="L35" s="26">
        <v>419301</v>
      </c>
      <c r="M35" s="36">
        <v>211895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38">
        <f>A6+30</f>
        <v>31</v>
      </c>
      <c r="B36" s="211">
        <v>292983</v>
      </c>
      <c r="C36" s="40"/>
      <c r="D36" s="41">
        <v>374465</v>
      </c>
      <c r="E36" s="40"/>
      <c r="F36" s="41">
        <v>394214</v>
      </c>
      <c r="G36" s="40"/>
      <c r="H36" s="209">
        <v>299004</v>
      </c>
      <c r="I36" s="41">
        <v>402511</v>
      </c>
      <c r="J36" s="43"/>
      <c r="K36" s="98">
        <v>210821</v>
      </c>
      <c r="L36" s="43"/>
      <c r="M36" s="36">
        <v>141516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26">
        <f>AVERAGE(B6:B36)</f>
        <v>324232</v>
      </c>
      <c r="C37" s="127">
        <f>AVERAGE(C6:C36)</f>
        <v>339227.62068965519</v>
      </c>
      <c r="D37" s="127">
        <f>AVERAGE(D6:D36)</f>
        <v>344558.58064516127</v>
      </c>
      <c r="E37" s="127">
        <f>IFERROR(AVERAGE(E6:E36),0)</f>
        <v>330773.15384615387</v>
      </c>
      <c r="F37" s="127">
        <f>IFERROR(AVERAGE(F6:F36),0)</f>
        <v>311339.83870967739</v>
      </c>
      <c r="G37" s="127">
        <f t="shared" ref="G37:M37" si="0">IFERROR(AVERAGE(G6:G36),0)</f>
        <v>339770.13333333336</v>
      </c>
      <c r="H37" s="127">
        <f t="shared" si="0"/>
        <v>353277.3548387097</v>
      </c>
      <c r="I37" s="127">
        <f t="shared" si="0"/>
        <v>340744.29032258067</v>
      </c>
      <c r="J37" s="127">
        <f t="shared" si="0"/>
        <v>354767.53333333333</v>
      </c>
      <c r="K37" s="127">
        <f t="shared" si="0"/>
        <v>341063.80645161291</v>
      </c>
      <c r="L37" s="127">
        <f>IFERROR(AVERAGE(L6:L36),0)</f>
        <v>343123.1</v>
      </c>
      <c r="M37" s="142">
        <f t="shared" si="0"/>
        <v>337837.12903225806</v>
      </c>
    </row>
    <row r="38" spans="1:22">
      <c r="A38" s="48" t="s">
        <v>20</v>
      </c>
      <c r="B38" s="12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1:22">
      <c r="A39" s="52" t="s">
        <v>21</v>
      </c>
      <c r="B39" s="12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1"/>
    </row>
    <row r="40" spans="1:22">
      <c r="A40" s="52" t="s">
        <v>22</v>
      </c>
      <c r="B40" s="12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1"/>
    </row>
    <row r="41" spans="1:22">
      <c r="A41" s="52" t="s">
        <v>23</v>
      </c>
      <c r="B41" s="12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</row>
    <row r="42" spans="1:22">
      <c r="A42" s="52" t="s">
        <v>24</v>
      </c>
      <c r="B42" s="108">
        <f>MAX(B6:B36)</f>
        <v>415662</v>
      </c>
      <c r="C42" s="109">
        <f>MAX(C6:C36)</f>
        <v>413390</v>
      </c>
      <c r="D42" s="109">
        <f t="shared" ref="D42:M42" si="1">MAX(D6:D36)</f>
        <v>439442</v>
      </c>
      <c r="E42" s="109">
        <f t="shared" si="1"/>
        <v>414760</v>
      </c>
      <c r="F42" s="109">
        <f t="shared" si="1"/>
        <v>399697</v>
      </c>
      <c r="G42" s="109">
        <f t="shared" si="1"/>
        <v>411177</v>
      </c>
      <c r="H42" s="109">
        <f t="shared" si="1"/>
        <v>428449</v>
      </c>
      <c r="I42" s="109">
        <f t="shared" si="1"/>
        <v>432192</v>
      </c>
      <c r="J42" s="109">
        <f t="shared" si="1"/>
        <v>415823</v>
      </c>
      <c r="K42" s="109">
        <f t="shared" si="1"/>
        <v>425562</v>
      </c>
      <c r="L42" s="109">
        <f t="shared" si="1"/>
        <v>445657</v>
      </c>
      <c r="M42" s="110">
        <f t="shared" si="1"/>
        <v>452926</v>
      </c>
    </row>
    <row r="43" spans="1:22" ht="12.75" thickBot="1">
      <c r="A43" s="55" t="s">
        <v>25</v>
      </c>
      <c r="B43" s="111">
        <f t="shared" ref="B43:L43" si="2">SUM(B6:B36)</f>
        <v>10051192</v>
      </c>
      <c r="C43" s="57">
        <f>SUM(C6:C36)</f>
        <v>9837601</v>
      </c>
      <c r="D43" s="57">
        <f t="shared" si="2"/>
        <v>10681316</v>
      </c>
      <c r="E43" s="57">
        <f t="shared" si="2"/>
        <v>8600102</v>
      </c>
      <c r="F43" s="57">
        <f t="shared" si="2"/>
        <v>9651535</v>
      </c>
      <c r="G43" s="57">
        <f t="shared" si="2"/>
        <v>10193104</v>
      </c>
      <c r="H43" s="57">
        <f t="shared" si="2"/>
        <v>10951598</v>
      </c>
      <c r="I43" s="57">
        <f t="shared" si="2"/>
        <v>10563073</v>
      </c>
      <c r="J43" s="57">
        <f t="shared" si="2"/>
        <v>10643026</v>
      </c>
      <c r="K43" s="57">
        <f t="shared" si="2"/>
        <v>10572978</v>
      </c>
      <c r="L43" s="57">
        <f t="shared" si="2"/>
        <v>10293693</v>
      </c>
      <c r="M43" s="58">
        <f>SUM(M6:M36)</f>
        <v>10472951</v>
      </c>
      <c r="P43" s="59"/>
    </row>
    <row r="44" spans="1:22" s="60" customFormat="1" ht="11.25"/>
    <row r="45" spans="1:22">
      <c r="A45" s="61"/>
      <c r="B45" s="4">
        <v>20</v>
      </c>
      <c r="C45" s="4">
        <v>19</v>
      </c>
      <c r="D45" s="4">
        <v>23</v>
      </c>
      <c r="E45" s="4">
        <v>19</v>
      </c>
      <c r="F45" s="4">
        <v>20</v>
      </c>
      <c r="G45" s="4">
        <v>22</v>
      </c>
      <c r="H45" s="4">
        <v>22</v>
      </c>
      <c r="I45" s="4">
        <v>22</v>
      </c>
      <c r="J45" s="4">
        <v>22</v>
      </c>
      <c r="K45" s="4">
        <v>21</v>
      </c>
      <c r="L45" s="4">
        <v>20</v>
      </c>
      <c r="M45" s="4">
        <v>18</v>
      </c>
      <c r="N45" s="4">
        <f>SUM(B45:M45)</f>
        <v>248</v>
      </c>
      <c r="O45" s="4">
        <f>N45-23</f>
        <v>225</v>
      </c>
    </row>
    <row r="46" spans="1:22" ht="15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41" priority="3" rank="1"/>
  </conditionalFormatting>
  <printOptions horizontalCentered="1" verticalCentered="1"/>
  <pageMargins left="0.25" right="0.25" top="0.25" bottom="0.25" header="0.3" footer="0.3"/>
  <pageSetup paperSize="5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V51"/>
  <sheetViews>
    <sheetView view="pageBreakPreview" zoomScaleNormal="120" zoomScaleSheetLayoutView="100" zoomScalePageLayoutView="120" workbookViewId="0">
      <pane xSplit="1" ySplit="5" topLeftCell="B6" activePane="bottomRight" state="frozen"/>
      <selection pane="bottomRight" activeCell="M31" sqref="M31"/>
      <selection pane="bottomLeft" activeCell="Q30" sqref="Q30"/>
      <selection pane="topRight" activeCell="Q30" sqref="Q30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40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16">
        <v>105539</v>
      </c>
      <c r="C6" s="17">
        <v>438803</v>
      </c>
      <c r="D6" s="17">
        <v>402166</v>
      </c>
      <c r="E6" s="17">
        <v>403862</v>
      </c>
      <c r="F6" s="112">
        <v>183236</v>
      </c>
      <c r="G6" s="17">
        <v>411535</v>
      </c>
      <c r="H6" s="17">
        <v>427590</v>
      </c>
      <c r="I6" s="17">
        <v>414126</v>
      </c>
      <c r="J6" s="17">
        <v>415363</v>
      </c>
      <c r="K6" s="82">
        <v>302855</v>
      </c>
      <c r="L6" s="21">
        <v>122010</v>
      </c>
      <c r="M6" s="22">
        <v>430225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116">
        <v>159458</v>
      </c>
      <c r="C7" s="26">
        <v>422558</v>
      </c>
      <c r="D7" s="26">
        <v>430933</v>
      </c>
      <c r="E7" s="82">
        <v>291949</v>
      </c>
      <c r="F7" s="33">
        <v>206728</v>
      </c>
      <c r="G7" s="26">
        <v>404792</v>
      </c>
      <c r="H7" s="82">
        <v>309332</v>
      </c>
      <c r="I7" s="26">
        <v>403796</v>
      </c>
      <c r="J7" s="26">
        <v>449557</v>
      </c>
      <c r="K7" s="82">
        <v>199329</v>
      </c>
      <c r="L7" s="27">
        <v>367843</v>
      </c>
      <c r="M7" s="28">
        <v>458208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30">
        <v>376333</v>
      </c>
      <c r="C8" s="26">
        <v>393487</v>
      </c>
      <c r="D8" s="26">
        <v>382505</v>
      </c>
      <c r="E8" s="82">
        <v>167164</v>
      </c>
      <c r="F8" s="26">
        <v>426327</v>
      </c>
      <c r="G8" s="26">
        <v>415031</v>
      </c>
      <c r="H8" s="82">
        <v>185431</v>
      </c>
      <c r="I8" s="26">
        <v>429873</v>
      </c>
      <c r="J8" s="82">
        <v>309211</v>
      </c>
      <c r="K8" s="26">
        <v>412293</v>
      </c>
      <c r="L8" s="27">
        <v>380582</v>
      </c>
      <c r="M8" s="95">
        <v>337488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30">
        <v>382150</v>
      </c>
      <c r="C9" s="26">
        <v>424072</v>
      </c>
      <c r="D9" s="26">
        <v>421645</v>
      </c>
      <c r="E9" s="26">
        <v>413156</v>
      </c>
      <c r="F9" s="26">
        <v>412016</v>
      </c>
      <c r="G9" s="82">
        <v>295023</v>
      </c>
      <c r="H9" s="26">
        <v>418579</v>
      </c>
      <c r="I9" s="26">
        <v>397986</v>
      </c>
      <c r="J9" s="82">
        <v>194452</v>
      </c>
      <c r="K9" s="26">
        <v>417254</v>
      </c>
      <c r="L9" s="27">
        <v>227633</v>
      </c>
      <c r="M9" s="95">
        <v>224595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30">
        <v>412453</v>
      </c>
      <c r="C10" s="82">
        <v>299248</v>
      </c>
      <c r="D10" s="82">
        <v>290146</v>
      </c>
      <c r="E10" s="26">
        <v>403954</v>
      </c>
      <c r="F10" s="26">
        <v>410340</v>
      </c>
      <c r="G10" s="82">
        <v>179066</v>
      </c>
      <c r="H10" s="26">
        <v>390597</v>
      </c>
      <c r="I10" s="26">
        <v>418045</v>
      </c>
      <c r="J10" s="26">
        <v>433847</v>
      </c>
      <c r="K10" s="26">
        <v>438283</v>
      </c>
      <c r="L10" s="115">
        <v>250714</v>
      </c>
      <c r="M10" s="28">
        <v>440316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30">
        <v>373809</v>
      </c>
      <c r="C11" s="82">
        <v>195146</v>
      </c>
      <c r="D11" s="82">
        <v>194429</v>
      </c>
      <c r="E11" s="26">
        <v>417114</v>
      </c>
      <c r="F11" s="26">
        <v>408465</v>
      </c>
      <c r="G11" s="26">
        <v>386378</v>
      </c>
      <c r="H11" s="26">
        <v>395352</v>
      </c>
      <c r="I11" s="82">
        <v>296535</v>
      </c>
      <c r="J11" s="26">
        <v>424861</v>
      </c>
      <c r="K11" s="26">
        <v>417494</v>
      </c>
      <c r="L11" s="115">
        <v>180450</v>
      </c>
      <c r="M11" s="28">
        <v>413249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30">
        <v>412006</v>
      </c>
      <c r="C12" s="26">
        <v>416759</v>
      </c>
      <c r="D12" s="26">
        <v>411971</v>
      </c>
      <c r="E12" s="26">
        <v>395318</v>
      </c>
      <c r="F12" s="82">
        <v>266424</v>
      </c>
      <c r="G12" s="26">
        <v>389742</v>
      </c>
      <c r="H12" s="26">
        <v>403160</v>
      </c>
      <c r="I12" s="82">
        <v>185125</v>
      </c>
      <c r="J12" s="26">
        <v>465203</v>
      </c>
      <c r="K12" s="26">
        <v>425256</v>
      </c>
      <c r="L12" s="27">
        <v>384283</v>
      </c>
      <c r="M12" s="28">
        <v>451932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116">
        <v>297012</v>
      </c>
      <c r="C13" s="26">
        <v>379842</v>
      </c>
      <c r="D13" s="26">
        <v>405690</v>
      </c>
      <c r="E13" s="26">
        <v>393469</v>
      </c>
      <c r="F13" s="82">
        <v>166636</v>
      </c>
      <c r="G13" s="26">
        <v>374936</v>
      </c>
      <c r="H13" s="26">
        <v>446426</v>
      </c>
      <c r="I13" s="26">
        <v>409263</v>
      </c>
      <c r="J13" s="26">
        <v>408541</v>
      </c>
      <c r="K13" s="82">
        <v>267383</v>
      </c>
      <c r="L13" s="27">
        <v>354157</v>
      </c>
      <c r="M13" s="28">
        <v>357604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116">
        <v>184858</v>
      </c>
      <c r="C14" s="26">
        <v>398876</v>
      </c>
      <c r="D14" s="26">
        <v>413155</v>
      </c>
      <c r="E14" s="33">
        <v>232791</v>
      </c>
      <c r="F14" s="26">
        <v>391570</v>
      </c>
      <c r="G14" s="26">
        <v>397823</v>
      </c>
      <c r="H14" s="82">
        <v>352008</v>
      </c>
      <c r="I14" s="26">
        <v>412855</v>
      </c>
      <c r="J14" s="26">
        <v>442463</v>
      </c>
      <c r="K14" s="82">
        <v>194934</v>
      </c>
      <c r="L14" s="27">
        <v>414086</v>
      </c>
      <c r="M14" s="28">
        <v>445127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30">
        <v>409501</v>
      </c>
      <c r="C15" s="26">
        <v>391504</v>
      </c>
      <c r="D15" s="26">
        <v>401915</v>
      </c>
      <c r="E15" s="82">
        <v>174076</v>
      </c>
      <c r="F15" s="26">
        <v>403941</v>
      </c>
      <c r="G15" s="26">
        <v>405158</v>
      </c>
      <c r="H15" s="82">
        <v>186807</v>
      </c>
      <c r="I15" s="26">
        <v>422284</v>
      </c>
      <c r="J15" s="82">
        <v>315004</v>
      </c>
      <c r="K15" s="26">
        <v>437473</v>
      </c>
      <c r="L15" s="27">
        <v>406020</v>
      </c>
      <c r="M15" s="95">
        <v>283123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30">
        <v>410580</v>
      </c>
      <c r="C16" s="26">
        <v>408788</v>
      </c>
      <c r="D16" s="26">
        <v>425573</v>
      </c>
      <c r="E16" s="26">
        <v>391494</v>
      </c>
      <c r="F16" s="26">
        <v>396717</v>
      </c>
      <c r="G16" s="82">
        <v>281928</v>
      </c>
      <c r="H16" s="26">
        <v>420698</v>
      </c>
      <c r="I16" s="26">
        <v>395744</v>
      </c>
      <c r="J16" s="82">
        <v>194223</v>
      </c>
      <c r="K16" s="26">
        <v>421184</v>
      </c>
      <c r="L16" s="27">
        <v>434322</v>
      </c>
      <c r="M16" s="95">
        <v>284509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30">
        <v>418657</v>
      </c>
      <c r="C17" s="82">
        <v>319847</v>
      </c>
      <c r="D17" s="82">
        <v>294738</v>
      </c>
      <c r="E17" s="26">
        <v>400044</v>
      </c>
      <c r="F17" s="26">
        <v>378844</v>
      </c>
      <c r="G17" s="82">
        <v>149074</v>
      </c>
      <c r="H17" s="26">
        <v>411782</v>
      </c>
      <c r="I17" s="26">
        <v>415395</v>
      </c>
      <c r="J17" s="26">
        <v>386906</v>
      </c>
      <c r="K17" s="26">
        <v>408582</v>
      </c>
      <c r="L17" s="115">
        <v>317947</v>
      </c>
      <c r="M17" s="28">
        <v>442996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30">
        <v>415148</v>
      </c>
      <c r="C18" s="82">
        <v>190885</v>
      </c>
      <c r="D18" s="82">
        <v>182550</v>
      </c>
      <c r="E18" s="26">
        <v>408453</v>
      </c>
      <c r="F18" s="26">
        <v>382521</v>
      </c>
      <c r="G18" s="33">
        <v>198413</v>
      </c>
      <c r="H18" s="26">
        <v>427312</v>
      </c>
      <c r="I18" s="82">
        <v>305988</v>
      </c>
      <c r="J18" s="26">
        <v>437003</v>
      </c>
      <c r="K18" s="26">
        <v>401841</v>
      </c>
      <c r="L18" s="115">
        <v>195915</v>
      </c>
      <c r="M18" s="28">
        <v>363519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30">
        <v>432293</v>
      </c>
      <c r="C19" s="26">
        <v>407047</v>
      </c>
      <c r="D19" s="26">
        <v>407764</v>
      </c>
      <c r="E19" s="26">
        <v>386326</v>
      </c>
      <c r="F19" s="82">
        <v>277018</v>
      </c>
      <c r="G19" s="26">
        <v>411977</v>
      </c>
      <c r="H19" s="26">
        <v>402398</v>
      </c>
      <c r="I19" s="82">
        <v>195243</v>
      </c>
      <c r="J19" s="26">
        <v>420412</v>
      </c>
      <c r="K19" s="26">
        <v>428228</v>
      </c>
      <c r="L19" s="27">
        <v>397846</v>
      </c>
      <c r="M19" s="28">
        <v>511131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116">
        <v>304027</v>
      </c>
      <c r="C20" s="26">
        <v>403118</v>
      </c>
      <c r="D20" s="26">
        <v>417191</v>
      </c>
      <c r="E20" s="26">
        <v>403819</v>
      </c>
      <c r="F20" s="82">
        <v>174342</v>
      </c>
      <c r="G20" s="26">
        <v>424422</v>
      </c>
      <c r="H20" s="26">
        <v>366901</v>
      </c>
      <c r="I20" s="26">
        <v>428982</v>
      </c>
      <c r="J20" s="26">
        <v>431440</v>
      </c>
      <c r="K20" s="82">
        <v>321045</v>
      </c>
      <c r="L20" s="27">
        <v>444155</v>
      </c>
      <c r="M20" s="28">
        <v>442003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116">
        <v>197515</v>
      </c>
      <c r="C21" s="26">
        <v>408358</v>
      </c>
      <c r="D21" s="26">
        <v>427002</v>
      </c>
      <c r="E21" s="82">
        <v>282312</v>
      </c>
      <c r="F21" s="26">
        <v>410738</v>
      </c>
      <c r="G21" s="26">
        <v>413242</v>
      </c>
      <c r="H21" s="82">
        <v>298509</v>
      </c>
      <c r="I21" s="26">
        <v>415896</v>
      </c>
      <c r="J21" s="26">
        <v>413677</v>
      </c>
      <c r="K21" s="82">
        <v>217118</v>
      </c>
      <c r="L21" s="27">
        <v>437302</v>
      </c>
      <c r="M21" s="28">
        <v>442236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30">
        <v>409539</v>
      </c>
      <c r="C22" s="26">
        <v>386898</v>
      </c>
      <c r="D22" s="26">
        <v>414167</v>
      </c>
      <c r="E22" s="82">
        <v>177276</v>
      </c>
      <c r="F22" s="26">
        <v>387974</v>
      </c>
      <c r="G22" s="26">
        <v>403774</v>
      </c>
      <c r="H22" s="82">
        <v>214327</v>
      </c>
      <c r="I22" s="26">
        <v>427149</v>
      </c>
      <c r="J22" s="82">
        <v>323365</v>
      </c>
      <c r="K22" s="26">
        <v>421716</v>
      </c>
      <c r="L22" s="27">
        <v>411407</v>
      </c>
      <c r="M22" s="95">
        <v>316115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30">
        <v>414260</v>
      </c>
      <c r="C23" s="26">
        <v>411150</v>
      </c>
      <c r="D23" s="26">
        <v>426065</v>
      </c>
      <c r="E23" s="26">
        <v>364942</v>
      </c>
      <c r="F23" s="26">
        <v>418367</v>
      </c>
      <c r="G23" s="82">
        <v>317206</v>
      </c>
      <c r="H23" s="26">
        <v>415260</v>
      </c>
      <c r="I23" s="26">
        <v>410156</v>
      </c>
      <c r="J23" s="82">
        <v>206600</v>
      </c>
      <c r="K23" s="26">
        <v>407684</v>
      </c>
      <c r="L23" s="27">
        <v>432988</v>
      </c>
      <c r="M23" s="95">
        <v>53818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30">
        <v>411422</v>
      </c>
      <c r="C24" s="82">
        <v>292679</v>
      </c>
      <c r="D24" s="82">
        <v>318131</v>
      </c>
      <c r="E24" s="26">
        <v>409119</v>
      </c>
      <c r="F24" s="26">
        <v>401298</v>
      </c>
      <c r="G24" s="82">
        <v>183188</v>
      </c>
      <c r="H24" s="26">
        <v>419252</v>
      </c>
      <c r="I24" s="26">
        <v>402331</v>
      </c>
      <c r="J24" s="26">
        <v>416530</v>
      </c>
      <c r="K24" s="26">
        <v>423325</v>
      </c>
      <c r="L24" s="115">
        <v>352397</v>
      </c>
      <c r="M24" s="28">
        <v>391470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30">
        <v>379903</v>
      </c>
      <c r="C25" s="82">
        <v>184891</v>
      </c>
      <c r="D25" s="82">
        <v>147556</v>
      </c>
      <c r="E25" s="26">
        <v>418277</v>
      </c>
      <c r="F25" s="26">
        <v>398488</v>
      </c>
      <c r="G25" s="26">
        <v>402131</v>
      </c>
      <c r="H25" s="26">
        <v>439709</v>
      </c>
      <c r="I25" s="82">
        <v>299795</v>
      </c>
      <c r="J25" s="26">
        <v>431680</v>
      </c>
      <c r="K25" s="26">
        <v>419627</v>
      </c>
      <c r="L25" s="115">
        <v>216054</v>
      </c>
      <c r="M25" s="28">
        <v>454739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30">
        <v>447254</v>
      </c>
      <c r="C26" s="26">
        <v>405592</v>
      </c>
      <c r="D26" s="26">
        <v>417772</v>
      </c>
      <c r="E26" s="26">
        <v>404223</v>
      </c>
      <c r="F26" s="82">
        <v>271238</v>
      </c>
      <c r="G26" s="26">
        <v>412668</v>
      </c>
      <c r="H26" s="26">
        <v>410937</v>
      </c>
      <c r="I26" s="82">
        <v>192887</v>
      </c>
      <c r="J26" s="26">
        <v>440946</v>
      </c>
      <c r="K26" s="26">
        <v>411990</v>
      </c>
      <c r="L26" s="27">
        <v>416381</v>
      </c>
      <c r="M26" s="28">
        <v>433929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116">
        <v>297236</v>
      </c>
      <c r="C27" s="26">
        <v>420109</v>
      </c>
      <c r="D27" s="26">
        <v>403441</v>
      </c>
      <c r="E27" s="26">
        <v>401805</v>
      </c>
      <c r="F27" s="82">
        <v>177877</v>
      </c>
      <c r="G27" s="26">
        <v>399613</v>
      </c>
      <c r="H27" s="26">
        <v>432401</v>
      </c>
      <c r="I27" s="26">
        <v>414981</v>
      </c>
      <c r="J27" s="26">
        <v>284976</v>
      </c>
      <c r="K27" s="82">
        <v>328360</v>
      </c>
      <c r="L27" s="27">
        <v>422925</v>
      </c>
      <c r="M27" s="28">
        <v>422991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116">
        <v>188291</v>
      </c>
      <c r="C28" s="26">
        <v>410622</v>
      </c>
      <c r="D28" s="26">
        <v>343717</v>
      </c>
      <c r="E28" s="82">
        <v>272358</v>
      </c>
      <c r="F28" s="26">
        <v>391122</v>
      </c>
      <c r="G28" s="26">
        <v>415559</v>
      </c>
      <c r="H28" s="82">
        <v>301265</v>
      </c>
      <c r="I28" s="26">
        <v>454174</v>
      </c>
      <c r="J28" s="26">
        <v>445266</v>
      </c>
      <c r="K28" s="82">
        <v>165277</v>
      </c>
      <c r="L28" s="27">
        <v>447966</v>
      </c>
      <c r="M28" s="28">
        <v>416346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30">
        <v>409712</v>
      </c>
      <c r="C29" s="26">
        <v>418093</v>
      </c>
      <c r="D29" s="212" t="s">
        <v>35</v>
      </c>
      <c r="E29" s="82">
        <v>171949</v>
      </c>
      <c r="F29" s="26">
        <v>377920</v>
      </c>
      <c r="G29" s="26">
        <v>410058</v>
      </c>
      <c r="H29" s="82">
        <v>183945</v>
      </c>
      <c r="I29" s="26">
        <v>430254</v>
      </c>
      <c r="J29" s="82">
        <v>284544</v>
      </c>
      <c r="K29" s="26">
        <v>396421</v>
      </c>
      <c r="L29" s="27">
        <v>416280</v>
      </c>
      <c r="M29" s="95">
        <v>343296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30">
        <v>417794</v>
      </c>
      <c r="C30" s="33">
        <v>244174</v>
      </c>
      <c r="D30" s="212" t="s">
        <v>36</v>
      </c>
      <c r="E30" s="26">
        <v>388331</v>
      </c>
      <c r="F30" s="26">
        <v>424276</v>
      </c>
      <c r="G30" s="82">
        <v>310608</v>
      </c>
      <c r="H30" s="33">
        <v>189113</v>
      </c>
      <c r="I30" s="26">
        <v>428532</v>
      </c>
      <c r="J30" s="82">
        <v>206024</v>
      </c>
      <c r="K30" s="26">
        <v>370412</v>
      </c>
      <c r="L30" s="27">
        <v>455265</v>
      </c>
      <c r="M30" s="95">
        <v>245377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30">
        <v>417506</v>
      </c>
      <c r="C31" s="82">
        <v>263411</v>
      </c>
      <c r="D31" s="212" t="s">
        <v>37</v>
      </c>
      <c r="E31" s="26">
        <v>391519</v>
      </c>
      <c r="F31" s="26">
        <v>383003</v>
      </c>
      <c r="G31" s="82">
        <v>183679</v>
      </c>
      <c r="H31" s="26">
        <v>402138</v>
      </c>
      <c r="I31" s="26">
        <v>433595</v>
      </c>
      <c r="J31" s="26">
        <v>418729</v>
      </c>
      <c r="K31" s="26">
        <v>395064</v>
      </c>
      <c r="L31" s="115">
        <v>324633</v>
      </c>
      <c r="M31" s="634" t="s">
        <v>41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30">
        <v>393167</v>
      </c>
      <c r="C32" s="82">
        <v>184265</v>
      </c>
      <c r="D32" s="82">
        <v>126382</v>
      </c>
      <c r="E32" s="26">
        <v>411536</v>
      </c>
      <c r="F32" s="26">
        <v>403020</v>
      </c>
      <c r="G32" s="26">
        <v>412509</v>
      </c>
      <c r="H32" s="26">
        <v>392578</v>
      </c>
      <c r="I32" s="82">
        <v>286238</v>
      </c>
      <c r="J32" s="26">
        <v>417553</v>
      </c>
      <c r="K32" s="26">
        <v>380492</v>
      </c>
      <c r="L32" s="115">
        <v>72213</v>
      </c>
      <c r="M32" s="28">
        <v>374736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f>A6+27</f>
        <v>28</v>
      </c>
      <c r="B33" s="30">
        <v>415528</v>
      </c>
      <c r="C33" s="26">
        <v>421182</v>
      </c>
      <c r="D33" s="26">
        <v>385361</v>
      </c>
      <c r="E33" s="26">
        <v>394054</v>
      </c>
      <c r="F33" s="82">
        <v>282893</v>
      </c>
      <c r="G33" s="26">
        <v>401508</v>
      </c>
      <c r="H33" s="26">
        <v>382666</v>
      </c>
      <c r="I33" s="82">
        <v>179857</v>
      </c>
      <c r="J33" s="26">
        <v>428665</v>
      </c>
      <c r="K33" s="26">
        <v>397593</v>
      </c>
      <c r="L33" s="122">
        <v>237817</v>
      </c>
      <c r="M33" s="28">
        <v>374322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116">
        <v>301018</v>
      </c>
      <c r="C34" s="35"/>
      <c r="D34" s="26">
        <v>374163</v>
      </c>
      <c r="E34" s="26">
        <v>411527</v>
      </c>
      <c r="F34" s="82">
        <v>179104</v>
      </c>
      <c r="G34" s="26">
        <v>417340</v>
      </c>
      <c r="H34" s="26">
        <v>400352</v>
      </c>
      <c r="I34" s="33">
        <v>347224</v>
      </c>
      <c r="J34" s="26">
        <v>411750</v>
      </c>
      <c r="K34" s="82">
        <v>207951</v>
      </c>
      <c r="L34" s="27">
        <v>437665</v>
      </c>
      <c r="M34" s="28">
        <v>320178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116">
        <v>169073</v>
      </c>
      <c r="C35" s="37"/>
      <c r="D35" s="26">
        <v>408316</v>
      </c>
      <c r="E35" s="82">
        <v>303682</v>
      </c>
      <c r="F35" s="26">
        <v>379464</v>
      </c>
      <c r="G35" s="26">
        <v>414139</v>
      </c>
      <c r="H35" s="82">
        <v>256358</v>
      </c>
      <c r="I35" s="26">
        <v>432923</v>
      </c>
      <c r="J35" s="26">
        <v>440754</v>
      </c>
      <c r="K35" s="82">
        <v>251180</v>
      </c>
      <c r="L35" s="26">
        <v>434284</v>
      </c>
      <c r="M35" s="36">
        <v>287241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38">
        <f>A6+30</f>
        <v>31</v>
      </c>
      <c r="B36" s="70">
        <v>404493</v>
      </c>
      <c r="C36" s="40"/>
      <c r="D36" s="41">
        <v>403099</v>
      </c>
      <c r="E36" s="40"/>
      <c r="F36" s="41">
        <v>415948</v>
      </c>
      <c r="G36" s="40"/>
      <c r="H36" s="209">
        <v>231634</v>
      </c>
      <c r="I36" s="41">
        <v>439798</v>
      </c>
      <c r="J36" s="43"/>
      <c r="K36" s="44">
        <v>174143</v>
      </c>
      <c r="L36" s="43"/>
      <c r="M36" s="36">
        <v>159028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26">
        <f>AVERAGE(B6:B36)</f>
        <v>347339.83870967739</v>
      </c>
      <c r="C37" s="127">
        <f>AVERAGE(C6:C36)</f>
        <v>355050.14285714284</v>
      </c>
      <c r="D37" s="127">
        <f>AVERAGE(D6:D36)</f>
        <v>359912.25</v>
      </c>
      <c r="E37" s="127">
        <f>IFERROR(AVERAGE(E6:E36),0)</f>
        <v>349529.96666666667</v>
      </c>
      <c r="F37" s="127">
        <f>IFERROR(AVERAGE(F6:F36),0)</f>
        <v>341543.70967741933</v>
      </c>
      <c r="G37" s="127">
        <f t="shared" ref="G37:M37" si="0">IFERROR(AVERAGE(G6:G36),0)</f>
        <v>354084</v>
      </c>
      <c r="H37" s="127">
        <f t="shared" si="0"/>
        <v>352090.87096774194</v>
      </c>
      <c r="I37" s="127">
        <f t="shared" si="0"/>
        <v>371839.67741935485</v>
      </c>
      <c r="J37" s="127">
        <f t="shared" si="0"/>
        <v>376651.5</v>
      </c>
      <c r="K37" s="127">
        <f t="shared" si="0"/>
        <v>350380.22580645164</v>
      </c>
      <c r="L37" s="127">
        <f>IFERROR(AVERAGE(L6:L36),0)</f>
        <v>346451.33333333331</v>
      </c>
      <c r="M37" s="142">
        <f t="shared" si="0"/>
        <v>364061.56666666665</v>
      </c>
    </row>
    <row r="38" spans="1:22">
      <c r="A38" s="48" t="s">
        <v>20</v>
      </c>
      <c r="B38" s="12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1:22">
      <c r="A39" s="52" t="s">
        <v>21</v>
      </c>
      <c r="B39" s="12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1"/>
    </row>
    <row r="40" spans="1:22">
      <c r="A40" s="52" t="s">
        <v>22</v>
      </c>
      <c r="B40" s="12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1"/>
    </row>
    <row r="41" spans="1:22">
      <c r="A41" s="52" t="s">
        <v>23</v>
      </c>
      <c r="B41" s="12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</row>
    <row r="42" spans="1:22">
      <c r="A42" s="52" t="s">
        <v>24</v>
      </c>
      <c r="B42" s="108">
        <f>MAX(B6:B36)</f>
        <v>447254</v>
      </c>
      <c r="C42" s="109">
        <f>MAX(C6:C36)</f>
        <v>438803</v>
      </c>
      <c r="D42" s="109">
        <f t="shared" ref="D42:M42" si="1">MAX(D6:D36)</f>
        <v>430933</v>
      </c>
      <c r="E42" s="109">
        <f t="shared" si="1"/>
        <v>418277</v>
      </c>
      <c r="F42" s="109">
        <f t="shared" si="1"/>
        <v>426327</v>
      </c>
      <c r="G42" s="109">
        <f t="shared" si="1"/>
        <v>424422</v>
      </c>
      <c r="H42" s="109">
        <f t="shared" si="1"/>
        <v>446426</v>
      </c>
      <c r="I42" s="109">
        <f t="shared" si="1"/>
        <v>454174</v>
      </c>
      <c r="J42" s="109">
        <f t="shared" si="1"/>
        <v>465203</v>
      </c>
      <c r="K42" s="109">
        <f t="shared" si="1"/>
        <v>438283</v>
      </c>
      <c r="L42" s="109">
        <f t="shared" si="1"/>
        <v>455265</v>
      </c>
      <c r="M42" s="110">
        <f t="shared" si="1"/>
        <v>511131</v>
      </c>
    </row>
    <row r="43" spans="1:22" ht="12.75" thickBot="1">
      <c r="A43" s="55" t="s">
        <v>25</v>
      </c>
      <c r="B43" s="111">
        <f t="shared" ref="B43:L43" si="2">SUM(B6:B36)</f>
        <v>10767535</v>
      </c>
      <c r="C43" s="57">
        <f>SUM(C6:C36)</f>
        <v>9941404</v>
      </c>
      <c r="D43" s="57">
        <f t="shared" si="2"/>
        <v>10077543</v>
      </c>
      <c r="E43" s="57">
        <f t="shared" si="2"/>
        <v>10485899</v>
      </c>
      <c r="F43" s="57">
        <f t="shared" si="2"/>
        <v>10587855</v>
      </c>
      <c r="G43" s="57">
        <f t="shared" si="2"/>
        <v>10622520</v>
      </c>
      <c r="H43" s="57">
        <f t="shared" si="2"/>
        <v>10914817</v>
      </c>
      <c r="I43" s="57">
        <f t="shared" si="2"/>
        <v>11527030</v>
      </c>
      <c r="J43" s="57">
        <f t="shared" si="2"/>
        <v>11299545</v>
      </c>
      <c r="K43" s="57">
        <f t="shared" si="2"/>
        <v>10861787</v>
      </c>
      <c r="L43" s="57">
        <f t="shared" si="2"/>
        <v>10393540</v>
      </c>
      <c r="M43" s="58">
        <f>SUM(M6:M36)</f>
        <v>10921847</v>
      </c>
      <c r="P43" s="59"/>
    </row>
    <row r="44" spans="1:22" s="60" customFormat="1" ht="11.25"/>
    <row r="45" spans="1:22">
      <c r="A45" s="61"/>
    </row>
    <row r="46" spans="1:22" ht="15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40" priority="1" rank="1"/>
  </conditionalFormatting>
  <printOptions horizontalCentered="1" verticalCentered="1"/>
  <pageMargins left="0.25" right="0" top="0.25" bottom="0.25" header="0.31" footer="0.31"/>
  <pageSetup paperSize="5" scale="95" orientation="landscape" r:id="rId1"/>
  <rowBreaks count="1" manualBreakCount="1">
    <brk id="4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51"/>
  <sheetViews>
    <sheetView view="pageBreakPreview" zoomScaleNormal="120" zoomScaleSheetLayoutView="100" zoomScalePageLayoutView="120" workbookViewId="0">
      <pane xSplit="1" ySplit="5" topLeftCell="B36" activePane="bottomRight" state="frozen"/>
      <selection pane="bottomRight" activeCell="B43" sqref="B43:M43"/>
      <selection pane="bottomLeft" activeCell="J27" sqref="J27"/>
      <selection pane="topRight" activeCell="J27" sqref="J27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42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65" t="s">
        <v>7</v>
      </c>
      <c r="C5" s="166" t="s">
        <v>8</v>
      </c>
      <c r="D5" s="166" t="s">
        <v>9</v>
      </c>
      <c r="E5" s="166" t="s">
        <v>10</v>
      </c>
      <c r="F5" s="166" t="s">
        <v>11</v>
      </c>
      <c r="G5" s="166" t="s">
        <v>12</v>
      </c>
      <c r="H5" s="166" t="s">
        <v>13</v>
      </c>
      <c r="I5" s="166" t="s">
        <v>14</v>
      </c>
      <c r="J5" s="166" t="s">
        <v>15</v>
      </c>
      <c r="K5" s="166" t="s">
        <v>16</v>
      </c>
      <c r="L5" s="166" t="s">
        <v>17</v>
      </c>
      <c r="M5" s="167" t="s">
        <v>18</v>
      </c>
    </row>
    <row r="6" spans="1:22" s="3" customFormat="1" ht="15" customHeight="1">
      <c r="A6" s="162">
        <v>1</v>
      </c>
      <c r="B6" s="178">
        <v>134830</v>
      </c>
      <c r="C6" s="179">
        <v>458662</v>
      </c>
      <c r="D6" s="179">
        <v>445630</v>
      </c>
      <c r="E6" s="181">
        <v>312014</v>
      </c>
      <c r="F6" s="180">
        <v>195762</v>
      </c>
      <c r="G6" s="179">
        <v>405139</v>
      </c>
      <c r="H6" s="183">
        <v>324653</v>
      </c>
      <c r="I6" s="182">
        <v>419582</v>
      </c>
      <c r="J6" s="182">
        <v>448773</v>
      </c>
      <c r="K6" s="181">
        <v>154945</v>
      </c>
      <c r="L6" s="180">
        <v>185774</v>
      </c>
      <c r="M6" s="202">
        <v>223589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163">
        <f>A6+1</f>
        <v>2</v>
      </c>
      <c r="B7" s="185">
        <v>333588</v>
      </c>
      <c r="C7" s="170">
        <v>421882</v>
      </c>
      <c r="D7" s="170">
        <v>430662</v>
      </c>
      <c r="E7" s="171">
        <v>205445</v>
      </c>
      <c r="F7" s="170">
        <v>457502</v>
      </c>
      <c r="G7" s="170">
        <v>459258</v>
      </c>
      <c r="H7" s="171">
        <v>196435</v>
      </c>
      <c r="I7" s="106">
        <v>441099</v>
      </c>
      <c r="J7" s="172">
        <v>324105</v>
      </c>
      <c r="K7" s="170">
        <v>430796</v>
      </c>
      <c r="L7" s="106">
        <v>388742</v>
      </c>
      <c r="M7" s="188">
        <v>318625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163">
        <f>A6+2</f>
        <v>3</v>
      </c>
      <c r="B8" s="185">
        <v>407858</v>
      </c>
      <c r="C8" s="170">
        <v>452204</v>
      </c>
      <c r="D8" s="170">
        <v>438405</v>
      </c>
      <c r="E8" s="170">
        <v>433720</v>
      </c>
      <c r="F8" s="170">
        <v>439344</v>
      </c>
      <c r="G8" s="171">
        <v>306522</v>
      </c>
      <c r="H8" s="170">
        <v>424923</v>
      </c>
      <c r="I8" s="106">
        <v>421698</v>
      </c>
      <c r="J8" s="171">
        <v>214337</v>
      </c>
      <c r="K8" s="174">
        <v>393276</v>
      </c>
      <c r="L8" s="106">
        <v>423238</v>
      </c>
      <c r="M8" s="204">
        <v>227002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163">
        <f>A6+3</f>
        <v>4</v>
      </c>
      <c r="B9" s="185">
        <v>412720</v>
      </c>
      <c r="C9" s="171">
        <v>311947</v>
      </c>
      <c r="D9" s="171">
        <v>318666</v>
      </c>
      <c r="E9" s="170">
        <v>422839</v>
      </c>
      <c r="F9" s="170">
        <v>410260</v>
      </c>
      <c r="G9" s="171">
        <v>210602</v>
      </c>
      <c r="H9" s="106">
        <v>419532</v>
      </c>
      <c r="I9" s="174">
        <v>446349</v>
      </c>
      <c r="J9" s="170">
        <v>425295</v>
      </c>
      <c r="K9" s="174">
        <v>437150</v>
      </c>
      <c r="L9" s="172">
        <v>306749</v>
      </c>
      <c r="M9" s="186">
        <v>458188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163">
        <f>A6+4</f>
        <v>5</v>
      </c>
      <c r="B10" s="185">
        <v>401756</v>
      </c>
      <c r="C10" s="171">
        <v>223940</v>
      </c>
      <c r="D10" s="171">
        <v>204582</v>
      </c>
      <c r="E10" s="170">
        <v>440561</v>
      </c>
      <c r="F10" s="170">
        <v>435297</v>
      </c>
      <c r="G10" s="170">
        <v>419059</v>
      </c>
      <c r="H10" s="106">
        <v>446599</v>
      </c>
      <c r="I10" s="175">
        <v>323196</v>
      </c>
      <c r="J10" s="106">
        <v>413897</v>
      </c>
      <c r="K10" s="174">
        <v>396967</v>
      </c>
      <c r="L10" s="171">
        <v>199969</v>
      </c>
      <c r="M10" s="107">
        <v>457639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163">
        <f>A6+5</f>
        <v>6</v>
      </c>
      <c r="B11" s="185">
        <v>433718</v>
      </c>
      <c r="C11" s="170">
        <v>438975</v>
      </c>
      <c r="D11" s="170">
        <v>438571</v>
      </c>
      <c r="E11" s="170">
        <v>404321</v>
      </c>
      <c r="F11" s="171">
        <v>301191</v>
      </c>
      <c r="G11" s="170">
        <v>419675</v>
      </c>
      <c r="H11" s="170">
        <v>412416</v>
      </c>
      <c r="I11" s="171">
        <v>215375</v>
      </c>
      <c r="J11" s="106">
        <v>435341</v>
      </c>
      <c r="K11" s="174">
        <v>440263</v>
      </c>
      <c r="L11" s="170">
        <v>452813</v>
      </c>
      <c r="M11" s="107">
        <v>463709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163">
        <f>A6+6</f>
        <v>7</v>
      </c>
      <c r="B12" s="187">
        <v>313673</v>
      </c>
      <c r="C12" s="170">
        <v>427389</v>
      </c>
      <c r="D12" s="170">
        <v>433106</v>
      </c>
      <c r="E12" s="170">
        <v>437737</v>
      </c>
      <c r="F12" s="171">
        <v>196849</v>
      </c>
      <c r="G12" s="170">
        <v>434895</v>
      </c>
      <c r="H12" s="106">
        <v>432929</v>
      </c>
      <c r="I12" s="170">
        <v>424764</v>
      </c>
      <c r="J12" s="106">
        <v>419687</v>
      </c>
      <c r="K12" s="175">
        <v>326026</v>
      </c>
      <c r="L12" s="106">
        <v>433743</v>
      </c>
      <c r="M12" s="107">
        <v>438229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163">
        <f>A6+7</f>
        <v>8</v>
      </c>
      <c r="B13" s="187">
        <v>203674</v>
      </c>
      <c r="C13" s="170">
        <v>449928</v>
      </c>
      <c r="D13" s="170">
        <v>426242</v>
      </c>
      <c r="E13" s="171">
        <v>294871</v>
      </c>
      <c r="F13" s="170">
        <v>427962</v>
      </c>
      <c r="G13" s="170">
        <v>406307</v>
      </c>
      <c r="H13" s="172">
        <v>294954</v>
      </c>
      <c r="I13" s="106">
        <v>436085</v>
      </c>
      <c r="J13" s="106">
        <v>433214</v>
      </c>
      <c r="K13" s="171">
        <v>197727</v>
      </c>
      <c r="L13" s="106">
        <v>444788</v>
      </c>
      <c r="M13" s="107">
        <v>453492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163">
        <f>A6+8</f>
        <v>9</v>
      </c>
      <c r="B14" s="185">
        <v>398250</v>
      </c>
      <c r="C14" s="170">
        <v>407954</v>
      </c>
      <c r="D14" s="170">
        <v>418045</v>
      </c>
      <c r="E14" s="171">
        <v>189859</v>
      </c>
      <c r="F14" s="170">
        <v>425422</v>
      </c>
      <c r="G14" s="170">
        <v>445470</v>
      </c>
      <c r="H14" s="171">
        <v>207438</v>
      </c>
      <c r="I14" s="106">
        <v>428980</v>
      </c>
      <c r="J14" s="172">
        <v>326942</v>
      </c>
      <c r="K14" s="170">
        <v>413033</v>
      </c>
      <c r="L14" s="106">
        <v>433090</v>
      </c>
      <c r="M14" s="188">
        <v>345283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163">
        <f>A6+9</f>
        <v>10</v>
      </c>
      <c r="B15" s="185">
        <v>422558</v>
      </c>
      <c r="C15" s="170">
        <v>457707</v>
      </c>
      <c r="D15" s="170">
        <v>444701</v>
      </c>
      <c r="E15" s="170">
        <v>419366</v>
      </c>
      <c r="F15" s="170">
        <v>427387</v>
      </c>
      <c r="G15" s="171">
        <v>302831</v>
      </c>
      <c r="H15" s="170">
        <v>431906</v>
      </c>
      <c r="I15" s="106">
        <v>417610</v>
      </c>
      <c r="J15" s="171">
        <v>210235</v>
      </c>
      <c r="K15" s="174">
        <v>427054</v>
      </c>
      <c r="L15" s="106">
        <v>460976</v>
      </c>
      <c r="M15" s="204">
        <v>229229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163">
        <f>A6+10</f>
        <v>11</v>
      </c>
      <c r="B16" s="185">
        <v>437833</v>
      </c>
      <c r="C16" s="171">
        <v>318800</v>
      </c>
      <c r="D16" s="171">
        <v>315105</v>
      </c>
      <c r="E16" s="170">
        <v>415574</v>
      </c>
      <c r="F16" s="170">
        <v>413655</v>
      </c>
      <c r="G16" s="171">
        <v>195151</v>
      </c>
      <c r="H16" s="106">
        <v>419740</v>
      </c>
      <c r="I16" s="106">
        <v>446399</v>
      </c>
      <c r="J16" s="170">
        <v>422079</v>
      </c>
      <c r="K16" s="174">
        <v>441263</v>
      </c>
      <c r="L16" s="172">
        <v>319925</v>
      </c>
      <c r="M16" s="186">
        <v>430946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163">
        <f>A6+11</f>
        <v>12</v>
      </c>
      <c r="B17" s="185">
        <v>420555</v>
      </c>
      <c r="C17" s="171">
        <v>205491</v>
      </c>
      <c r="D17" s="171">
        <v>195734</v>
      </c>
      <c r="E17" s="170">
        <v>370822</v>
      </c>
      <c r="F17" s="170">
        <v>414973</v>
      </c>
      <c r="G17" s="169">
        <v>154725</v>
      </c>
      <c r="H17" s="106">
        <v>364125</v>
      </c>
      <c r="I17" s="172">
        <v>315878</v>
      </c>
      <c r="J17" s="106">
        <v>416919</v>
      </c>
      <c r="K17" s="174">
        <v>439298</v>
      </c>
      <c r="L17" s="171">
        <v>210998</v>
      </c>
      <c r="M17" s="107">
        <v>450981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163">
        <f>A6+12</f>
        <v>13</v>
      </c>
      <c r="B18" s="185">
        <v>435655</v>
      </c>
      <c r="C18" s="170">
        <v>420879</v>
      </c>
      <c r="D18" s="170">
        <v>428409</v>
      </c>
      <c r="E18" s="177"/>
      <c r="F18" s="171">
        <v>258696</v>
      </c>
      <c r="G18" s="170">
        <v>426559</v>
      </c>
      <c r="H18" s="106">
        <v>359320</v>
      </c>
      <c r="I18" s="171">
        <v>191857</v>
      </c>
      <c r="J18" s="106">
        <v>439888</v>
      </c>
      <c r="K18" s="174">
        <v>445637</v>
      </c>
      <c r="L18" s="170">
        <v>439645</v>
      </c>
      <c r="M18" s="107">
        <v>472942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163">
        <f>A6+13</f>
        <v>14</v>
      </c>
      <c r="B19" s="187">
        <v>322667</v>
      </c>
      <c r="C19" s="170">
        <v>440726</v>
      </c>
      <c r="D19" s="170">
        <v>418878</v>
      </c>
      <c r="E19" s="177"/>
      <c r="F19" s="171">
        <v>186008</v>
      </c>
      <c r="G19" s="170">
        <v>411303</v>
      </c>
      <c r="H19" s="106">
        <v>423032</v>
      </c>
      <c r="I19" s="170">
        <v>409735</v>
      </c>
      <c r="J19" s="106">
        <v>417208</v>
      </c>
      <c r="K19" s="175">
        <v>321122</v>
      </c>
      <c r="L19" s="106">
        <v>443071</v>
      </c>
      <c r="M19" s="107">
        <v>455182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163">
        <f>A6+14</f>
        <v>15</v>
      </c>
      <c r="B20" s="187">
        <v>211707</v>
      </c>
      <c r="C20" s="170">
        <v>448102</v>
      </c>
      <c r="D20" s="170">
        <v>447866</v>
      </c>
      <c r="E20" s="177"/>
      <c r="F20" s="170">
        <v>413537</v>
      </c>
      <c r="G20" s="170">
        <v>439005</v>
      </c>
      <c r="H20" s="172">
        <v>326767</v>
      </c>
      <c r="I20" s="106">
        <v>414333</v>
      </c>
      <c r="J20" s="106">
        <v>444554</v>
      </c>
      <c r="K20" s="171">
        <v>211324</v>
      </c>
      <c r="L20" s="106">
        <v>463067</v>
      </c>
      <c r="M20" s="107">
        <v>487735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163">
        <f>A6+15</f>
        <v>16</v>
      </c>
      <c r="B21" s="185">
        <v>441462</v>
      </c>
      <c r="C21" s="170">
        <v>432165</v>
      </c>
      <c r="D21" s="170">
        <v>437608</v>
      </c>
      <c r="E21" s="171">
        <v>170499</v>
      </c>
      <c r="F21" s="170">
        <v>447775</v>
      </c>
      <c r="G21" s="170">
        <v>444824</v>
      </c>
      <c r="H21" s="171">
        <v>210528</v>
      </c>
      <c r="I21" s="106">
        <v>435046</v>
      </c>
      <c r="J21" s="172">
        <v>335247</v>
      </c>
      <c r="K21" s="170">
        <v>443329</v>
      </c>
      <c r="L21" s="106">
        <v>438257</v>
      </c>
      <c r="M21" s="188">
        <v>368937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163">
        <f>A6+16</f>
        <v>17</v>
      </c>
      <c r="B22" s="185">
        <v>430893</v>
      </c>
      <c r="C22" s="170">
        <v>446899</v>
      </c>
      <c r="D22" s="170">
        <v>445455</v>
      </c>
      <c r="E22" s="170">
        <v>412680</v>
      </c>
      <c r="F22" s="170">
        <v>427877</v>
      </c>
      <c r="G22" s="171">
        <v>317226</v>
      </c>
      <c r="H22" s="170">
        <v>433329</v>
      </c>
      <c r="I22" s="106">
        <v>418950</v>
      </c>
      <c r="J22" s="171">
        <v>215236</v>
      </c>
      <c r="K22" s="106">
        <v>423342</v>
      </c>
      <c r="L22" s="106">
        <v>459298</v>
      </c>
      <c r="M22" s="204">
        <v>266110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163">
        <f>A6+17</f>
        <v>18</v>
      </c>
      <c r="B23" s="185">
        <v>439413</v>
      </c>
      <c r="C23" s="171">
        <v>318149</v>
      </c>
      <c r="D23" s="171">
        <v>305850</v>
      </c>
      <c r="E23" s="170">
        <v>430823</v>
      </c>
      <c r="F23" s="170">
        <v>430777</v>
      </c>
      <c r="G23" s="171">
        <v>205590</v>
      </c>
      <c r="H23" s="106">
        <v>423097</v>
      </c>
      <c r="I23" s="106">
        <v>436659</v>
      </c>
      <c r="J23" s="170">
        <v>436531</v>
      </c>
      <c r="K23" s="106">
        <v>450704</v>
      </c>
      <c r="L23" s="172">
        <v>372394</v>
      </c>
      <c r="M23" s="186">
        <v>462339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163">
        <f>A6+18</f>
        <v>19</v>
      </c>
      <c r="B24" s="185">
        <v>425377</v>
      </c>
      <c r="C24" s="171">
        <v>206182</v>
      </c>
      <c r="D24" s="171">
        <v>211697</v>
      </c>
      <c r="E24" s="170">
        <v>456058</v>
      </c>
      <c r="F24" s="170">
        <v>435408</v>
      </c>
      <c r="G24" s="170">
        <v>423762</v>
      </c>
      <c r="H24" s="106">
        <v>408626</v>
      </c>
      <c r="I24" s="172">
        <v>307338</v>
      </c>
      <c r="J24" s="174">
        <v>392853</v>
      </c>
      <c r="K24" s="106">
        <v>410956</v>
      </c>
      <c r="L24" s="171">
        <v>205627</v>
      </c>
      <c r="M24" s="107">
        <v>457306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163">
        <f>A6+19</f>
        <v>20</v>
      </c>
      <c r="B25" s="185">
        <v>451019</v>
      </c>
      <c r="C25" s="170">
        <v>437125</v>
      </c>
      <c r="D25" s="170">
        <v>433545</v>
      </c>
      <c r="E25" s="170">
        <v>413541</v>
      </c>
      <c r="F25" s="171">
        <v>304691</v>
      </c>
      <c r="G25" s="170">
        <v>415459</v>
      </c>
      <c r="H25" s="106">
        <v>459710</v>
      </c>
      <c r="I25" s="171">
        <v>198444</v>
      </c>
      <c r="J25" s="174">
        <v>408798</v>
      </c>
      <c r="K25" s="106">
        <v>455433</v>
      </c>
      <c r="L25" s="170">
        <v>455550</v>
      </c>
      <c r="M25" s="107">
        <v>466337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163">
        <f>A6+20</f>
        <v>21</v>
      </c>
      <c r="B26" s="187">
        <v>303202</v>
      </c>
      <c r="C26" s="170">
        <v>432253</v>
      </c>
      <c r="D26" s="170">
        <v>426723</v>
      </c>
      <c r="E26" s="170">
        <v>422965</v>
      </c>
      <c r="F26" s="171">
        <v>200723</v>
      </c>
      <c r="G26" s="170">
        <v>436834</v>
      </c>
      <c r="H26" s="106">
        <v>441428</v>
      </c>
      <c r="I26" s="169">
        <v>205413</v>
      </c>
      <c r="J26" s="174">
        <v>453192</v>
      </c>
      <c r="K26" s="172">
        <v>324895</v>
      </c>
      <c r="L26" s="106">
        <v>452488</v>
      </c>
      <c r="M26" s="107">
        <v>455175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163">
        <f>A6+21</f>
        <v>22</v>
      </c>
      <c r="B27" s="187">
        <v>199842</v>
      </c>
      <c r="C27" s="170">
        <v>452714</v>
      </c>
      <c r="D27" s="170">
        <v>417953</v>
      </c>
      <c r="E27" s="171">
        <v>363189</v>
      </c>
      <c r="F27" s="170">
        <v>434482</v>
      </c>
      <c r="G27" s="170">
        <v>406154</v>
      </c>
      <c r="H27" s="172">
        <v>310375</v>
      </c>
      <c r="I27" s="106">
        <v>446692</v>
      </c>
      <c r="J27" s="174">
        <v>438954</v>
      </c>
      <c r="K27" s="171">
        <v>205627</v>
      </c>
      <c r="L27" s="106">
        <v>457986</v>
      </c>
      <c r="M27" s="107">
        <v>466243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163">
        <f>A6+22</f>
        <v>23</v>
      </c>
      <c r="B28" s="185">
        <v>434048</v>
      </c>
      <c r="C28" s="170">
        <v>419596</v>
      </c>
      <c r="D28" s="170">
        <v>422767</v>
      </c>
      <c r="E28" s="171">
        <v>187171</v>
      </c>
      <c r="F28" s="170">
        <v>422719</v>
      </c>
      <c r="G28" s="170">
        <v>441686</v>
      </c>
      <c r="H28" s="171">
        <v>180192</v>
      </c>
      <c r="I28" s="106">
        <v>429367</v>
      </c>
      <c r="J28" s="175">
        <v>320401</v>
      </c>
      <c r="K28" s="170">
        <v>437796</v>
      </c>
      <c r="L28" s="106">
        <v>436491</v>
      </c>
      <c r="M28" s="188">
        <v>338860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163">
        <f>A6+23</f>
        <v>24</v>
      </c>
      <c r="B29" s="185">
        <v>425314</v>
      </c>
      <c r="C29" s="170">
        <v>420409</v>
      </c>
      <c r="D29" s="170">
        <v>428666</v>
      </c>
      <c r="E29" s="170">
        <v>417424</v>
      </c>
      <c r="F29" s="170">
        <v>457400</v>
      </c>
      <c r="G29" s="171">
        <v>298953</v>
      </c>
      <c r="H29" s="170">
        <v>307204</v>
      </c>
      <c r="I29" s="106">
        <v>416254</v>
      </c>
      <c r="J29" s="171">
        <v>203913</v>
      </c>
      <c r="K29" s="106">
        <v>243023</v>
      </c>
      <c r="L29" s="106">
        <v>455285</v>
      </c>
      <c r="M29" s="204">
        <v>211918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163">
        <f>A6+24</f>
        <v>25</v>
      </c>
      <c r="B30" s="185">
        <v>429730</v>
      </c>
      <c r="C30" s="171">
        <v>269778</v>
      </c>
      <c r="D30" s="171">
        <v>312458</v>
      </c>
      <c r="E30" s="170">
        <v>434025</v>
      </c>
      <c r="F30" s="170">
        <v>423559</v>
      </c>
      <c r="G30" s="171">
        <v>200395</v>
      </c>
      <c r="H30" s="106">
        <v>391672</v>
      </c>
      <c r="I30" s="106">
        <v>435569</v>
      </c>
      <c r="J30" s="170">
        <v>466916</v>
      </c>
      <c r="K30" s="106">
        <v>454353</v>
      </c>
      <c r="L30" s="172">
        <v>343579</v>
      </c>
      <c r="M30" s="189">
        <v>195404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163">
        <f>A6+25</f>
        <v>26</v>
      </c>
      <c r="B31" s="185">
        <v>415368</v>
      </c>
      <c r="C31" s="171">
        <v>204030</v>
      </c>
      <c r="D31" s="171">
        <v>200697</v>
      </c>
      <c r="E31" s="170">
        <v>467758</v>
      </c>
      <c r="F31" s="170">
        <v>426048</v>
      </c>
      <c r="G31" s="170">
        <v>425835</v>
      </c>
      <c r="H31" s="106">
        <v>431471</v>
      </c>
      <c r="I31" s="172">
        <v>309154</v>
      </c>
      <c r="J31" s="174">
        <v>418216</v>
      </c>
      <c r="K31" s="106">
        <v>425630</v>
      </c>
      <c r="L31" s="171">
        <v>222392</v>
      </c>
      <c r="M31" s="189">
        <v>240444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163">
        <f>A6+26</f>
        <v>27</v>
      </c>
      <c r="B32" s="185">
        <v>441678</v>
      </c>
      <c r="C32" s="170">
        <v>411367</v>
      </c>
      <c r="D32" s="170">
        <v>418526</v>
      </c>
      <c r="E32" s="170">
        <v>403388</v>
      </c>
      <c r="F32" s="171">
        <v>301161</v>
      </c>
      <c r="G32" s="170">
        <v>420177</v>
      </c>
      <c r="H32" s="106">
        <v>410479</v>
      </c>
      <c r="I32" s="171">
        <v>193572</v>
      </c>
      <c r="J32" s="174">
        <v>430233</v>
      </c>
      <c r="K32" s="106">
        <v>448224</v>
      </c>
      <c r="L32" s="170">
        <v>455237</v>
      </c>
      <c r="M32" s="107">
        <v>419035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163">
        <f>A6+27</f>
        <v>28</v>
      </c>
      <c r="B33" s="187">
        <v>319203</v>
      </c>
      <c r="C33" s="170">
        <v>433976</v>
      </c>
      <c r="D33" s="170">
        <v>424795</v>
      </c>
      <c r="E33" s="170">
        <v>462681</v>
      </c>
      <c r="F33" s="171">
        <v>199753</v>
      </c>
      <c r="G33" s="170">
        <v>428600</v>
      </c>
      <c r="H33" s="106">
        <v>426199</v>
      </c>
      <c r="I33" s="170">
        <v>406131</v>
      </c>
      <c r="J33" s="174">
        <v>49729</v>
      </c>
      <c r="K33" s="172">
        <v>336278</v>
      </c>
      <c r="L33" s="106">
        <v>438513</v>
      </c>
      <c r="M33" s="107">
        <v>395535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163">
        <f>A6+28</f>
        <v>29</v>
      </c>
      <c r="B34" s="187">
        <v>201921</v>
      </c>
      <c r="C34" s="177"/>
      <c r="D34" s="170">
        <v>423060</v>
      </c>
      <c r="E34" s="171">
        <v>312296</v>
      </c>
      <c r="F34" s="170">
        <v>429294</v>
      </c>
      <c r="G34" s="170">
        <v>413533</v>
      </c>
      <c r="H34" s="172">
        <v>289701</v>
      </c>
      <c r="I34" s="170">
        <v>429102</v>
      </c>
      <c r="J34" s="205">
        <v>0</v>
      </c>
      <c r="K34" s="171">
        <v>199635</v>
      </c>
      <c r="L34" s="106">
        <v>465245</v>
      </c>
      <c r="M34" s="107">
        <v>409008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163">
        <f>A6+29</f>
        <v>30</v>
      </c>
      <c r="B35" s="185">
        <v>433226</v>
      </c>
      <c r="C35" s="177"/>
      <c r="D35" s="170">
        <v>394666</v>
      </c>
      <c r="E35" s="171">
        <v>205582</v>
      </c>
      <c r="F35" s="170">
        <v>421618</v>
      </c>
      <c r="G35" s="170">
        <v>452360</v>
      </c>
      <c r="H35" s="171">
        <v>213110</v>
      </c>
      <c r="I35" s="106">
        <v>413420</v>
      </c>
      <c r="J35" s="175">
        <v>261047</v>
      </c>
      <c r="K35" s="170">
        <v>384482</v>
      </c>
      <c r="L35" s="170">
        <v>419567</v>
      </c>
      <c r="M35" s="189">
        <v>247709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164">
        <f>A6+30</f>
        <v>31</v>
      </c>
      <c r="B36" s="190">
        <v>455715</v>
      </c>
      <c r="C36" s="191"/>
      <c r="D36" s="192">
        <v>434396</v>
      </c>
      <c r="E36" s="191"/>
      <c r="F36" s="192">
        <v>436316</v>
      </c>
      <c r="G36" s="191"/>
      <c r="H36" s="192">
        <v>420130</v>
      </c>
      <c r="I36" s="194">
        <v>440127</v>
      </c>
      <c r="J36" s="191"/>
      <c r="K36" s="194">
        <v>401947</v>
      </c>
      <c r="L36" s="191"/>
      <c r="M36" s="195">
        <v>162370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44">
        <f>AVERAGE(B6:B36)</f>
        <v>372208.16129032261</v>
      </c>
      <c r="C37" s="130">
        <f>AVERAGE(C6:C36)</f>
        <v>384615.32142857142</v>
      </c>
      <c r="D37" s="130">
        <f>AVERAGE(D6:D36)</f>
        <v>385273.03225806454</v>
      </c>
      <c r="E37" s="130">
        <f>IFERROR(AVERAGE(E6:E36),0)</f>
        <v>366933.66666666669</v>
      </c>
      <c r="F37" s="130">
        <f>IFERROR(AVERAGE(F6:F36),0)</f>
        <v>374304.70967741933</v>
      </c>
      <c r="G37" s="130">
        <f t="shared" ref="G37:M37" si="0">IFERROR(AVERAGE(G6:G36),0)</f>
        <v>372262.96666666667</v>
      </c>
      <c r="H37" s="130">
        <f t="shared" si="0"/>
        <v>362645.80645161291</v>
      </c>
      <c r="I37" s="130">
        <f t="shared" si="0"/>
        <v>376586.38709677418</v>
      </c>
      <c r="J37" s="130">
        <f t="shared" si="0"/>
        <v>354124.66666666669</v>
      </c>
      <c r="K37" s="130">
        <f t="shared" si="0"/>
        <v>371662.41935483873</v>
      </c>
      <c r="L37" s="130">
        <f>IFERROR(AVERAGE(L6:L36),0)</f>
        <v>389483.23333333334</v>
      </c>
      <c r="M37" s="168">
        <f t="shared" si="0"/>
        <v>370177.45161290321</v>
      </c>
    </row>
    <row r="38" spans="1:22">
      <c r="A38" s="48" t="s">
        <v>20</v>
      </c>
      <c r="B38" s="12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1:22">
      <c r="A39" s="52" t="s">
        <v>21</v>
      </c>
      <c r="B39" s="12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1"/>
    </row>
    <row r="40" spans="1:22">
      <c r="A40" s="52" t="s">
        <v>22</v>
      </c>
      <c r="B40" s="12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1"/>
    </row>
    <row r="41" spans="1:22">
      <c r="A41" s="52" t="s">
        <v>23</v>
      </c>
      <c r="B41" s="12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</row>
    <row r="42" spans="1:22">
      <c r="A42" s="52" t="s">
        <v>24</v>
      </c>
      <c r="B42" s="108">
        <f>MAX(B6:B36)</f>
        <v>455715</v>
      </c>
      <c r="C42" s="109">
        <f>MAX(C6:C36)</f>
        <v>458662</v>
      </c>
      <c r="D42" s="109">
        <f t="shared" ref="D42:M42" si="1">MAX(D6:D36)</f>
        <v>447866</v>
      </c>
      <c r="E42" s="109">
        <f t="shared" si="1"/>
        <v>467758</v>
      </c>
      <c r="F42" s="109">
        <f t="shared" si="1"/>
        <v>457502</v>
      </c>
      <c r="G42" s="109">
        <f t="shared" si="1"/>
        <v>459258</v>
      </c>
      <c r="H42" s="109">
        <f t="shared" si="1"/>
        <v>459710</v>
      </c>
      <c r="I42" s="109">
        <f t="shared" si="1"/>
        <v>446692</v>
      </c>
      <c r="J42" s="109">
        <f t="shared" si="1"/>
        <v>466916</v>
      </c>
      <c r="K42" s="109">
        <f t="shared" si="1"/>
        <v>455433</v>
      </c>
      <c r="L42" s="109">
        <f t="shared" si="1"/>
        <v>465245</v>
      </c>
      <c r="M42" s="110">
        <f t="shared" si="1"/>
        <v>487735</v>
      </c>
    </row>
    <row r="43" spans="1:22" ht="12.75" thickBot="1">
      <c r="A43" s="55" t="s">
        <v>25</v>
      </c>
      <c r="B43" s="111">
        <f t="shared" ref="B43:L43" si="2">SUM(B6:B36)</f>
        <v>11538453</v>
      </c>
      <c r="C43" s="57">
        <f>SUM(C6:C36)</f>
        <v>10769229</v>
      </c>
      <c r="D43" s="57">
        <f t="shared" si="2"/>
        <v>11943464</v>
      </c>
      <c r="E43" s="57">
        <f t="shared" si="2"/>
        <v>9907209</v>
      </c>
      <c r="F43" s="57">
        <f t="shared" si="2"/>
        <v>11603446</v>
      </c>
      <c r="G43" s="57">
        <f t="shared" si="2"/>
        <v>11167889</v>
      </c>
      <c r="H43" s="57">
        <f t="shared" si="2"/>
        <v>11242020</v>
      </c>
      <c r="I43" s="57">
        <f t="shared" si="2"/>
        <v>11674178</v>
      </c>
      <c r="J43" s="57">
        <f t="shared" si="2"/>
        <v>10623740</v>
      </c>
      <c r="K43" s="57">
        <f t="shared" si="2"/>
        <v>11521535</v>
      </c>
      <c r="L43" s="57">
        <f t="shared" si="2"/>
        <v>11684497</v>
      </c>
      <c r="M43" s="58">
        <f>SUM(M6:M36)</f>
        <v>11475501</v>
      </c>
      <c r="P43" s="59"/>
    </row>
    <row r="44" spans="1:22" s="60" customFormat="1" ht="11.25"/>
    <row r="45" spans="1:22">
      <c r="A45" s="61"/>
    </row>
    <row r="46" spans="1:22" ht="15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39" priority="5" rank="1"/>
  </conditionalFormatting>
  <printOptions horizontalCentered="1" verticalCentered="1"/>
  <pageMargins left="0.25" right="0" top="0.25" bottom="0.25" header="0.31" footer="0.31"/>
  <pageSetup paperSize="5" scale="95" orientation="landscape" r:id="rId1"/>
  <rowBreaks count="1" manualBreakCount="1">
    <brk id="4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51"/>
  <sheetViews>
    <sheetView view="pageBreakPreview" zoomScaleNormal="120" zoomScaleSheetLayoutView="100" zoomScalePageLayoutView="120" workbookViewId="0">
      <pane xSplit="1" ySplit="5" topLeftCell="B31" activePane="bottomRight" state="frozen"/>
      <selection pane="bottomRight" activeCell="P49" sqref="P49"/>
      <selection pane="bottomLeft" activeCell="J27" sqref="J27"/>
      <selection pane="topRight" activeCell="J27" sqref="J27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43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65" t="s">
        <v>7</v>
      </c>
      <c r="C5" s="166" t="s">
        <v>8</v>
      </c>
      <c r="D5" s="166" t="s">
        <v>9</v>
      </c>
      <c r="E5" s="166" t="s">
        <v>10</v>
      </c>
      <c r="F5" s="166" t="s">
        <v>11</v>
      </c>
      <c r="G5" s="166" t="s">
        <v>12</v>
      </c>
      <c r="H5" s="166" t="s">
        <v>13</v>
      </c>
      <c r="I5" s="166" t="s">
        <v>14</v>
      </c>
      <c r="J5" s="166" t="s">
        <v>15</v>
      </c>
      <c r="K5" s="166" t="s">
        <v>16</v>
      </c>
      <c r="L5" s="166" t="s">
        <v>17</v>
      </c>
      <c r="M5" s="167" t="s">
        <v>18</v>
      </c>
    </row>
    <row r="6" spans="1:22" s="3" customFormat="1" ht="15" customHeight="1">
      <c r="A6" s="162">
        <v>1</v>
      </c>
      <c r="B6" s="476">
        <v>141016</v>
      </c>
      <c r="C6" s="477">
        <v>425837</v>
      </c>
      <c r="D6" s="477">
        <v>447758</v>
      </c>
      <c r="E6" s="478">
        <v>217333</v>
      </c>
      <c r="F6" s="479">
        <v>250371</v>
      </c>
      <c r="G6" s="477">
        <v>438295</v>
      </c>
      <c r="H6" s="480">
        <v>223923</v>
      </c>
      <c r="I6" s="481">
        <v>474485</v>
      </c>
      <c r="J6" s="480">
        <v>352874</v>
      </c>
      <c r="K6" s="477">
        <v>468797</v>
      </c>
      <c r="L6" s="479">
        <v>179479</v>
      </c>
      <c r="M6" s="482">
        <v>345771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163">
        <f>A6+1</f>
        <v>2</v>
      </c>
      <c r="B7" s="483">
        <v>355995</v>
      </c>
      <c r="C7" s="170">
        <v>445860</v>
      </c>
      <c r="D7" s="170">
        <v>459860</v>
      </c>
      <c r="E7" s="170">
        <v>442141</v>
      </c>
      <c r="F7" s="170">
        <v>465980</v>
      </c>
      <c r="G7" s="171">
        <v>348020</v>
      </c>
      <c r="H7" s="170">
        <v>439244</v>
      </c>
      <c r="I7" s="106">
        <v>446642</v>
      </c>
      <c r="J7" s="172">
        <v>234110</v>
      </c>
      <c r="K7" s="170">
        <v>472838</v>
      </c>
      <c r="L7" s="173">
        <v>212462</v>
      </c>
      <c r="M7" s="484">
        <v>243232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163">
        <f>A6+2</f>
        <v>3</v>
      </c>
      <c r="B8" s="483">
        <v>441916</v>
      </c>
      <c r="C8" s="171">
        <v>330610</v>
      </c>
      <c r="D8" s="171">
        <v>333803</v>
      </c>
      <c r="E8" s="170">
        <v>409467</v>
      </c>
      <c r="F8" s="170">
        <v>434291</v>
      </c>
      <c r="G8" s="171">
        <v>221653</v>
      </c>
      <c r="H8" s="170">
        <v>466687</v>
      </c>
      <c r="I8" s="106">
        <v>458676</v>
      </c>
      <c r="J8" s="170">
        <v>465532</v>
      </c>
      <c r="K8" s="174">
        <v>491047</v>
      </c>
      <c r="L8" s="172">
        <v>259272</v>
      </c>
      <c r="M8" s="485">
        <v>496474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163">
        <f>A6+3</f>
        <v>4</v>
      </c>
      <c r="B9" s="483">
        <v>406497</v>
      </c>
      <c r="C9" s="171">
        <v>229259</v>
      </c>
      <c r="D9" s="171">
        <v>218108</v>
      </c>
      <c r="E9" s="170">
        <v>422213</v>
      </c>
      <c r="F9" s="170">
        <v>462583</v>
      </c>
      <c r="G9" s="170">
        <v>466908</v>
      </c>
      <c r="H9" s="106">
        <v>462464</v>
      </c>
      <c r="I9" s="175">
        <v>350681</v>
      </c>
      <c r="J9" s="170">
        <v>461112</v>
      </c>
      <c r="K9" s="174">
        <v>468788</v>
      </c>
      <c r="L9" s="172">
        <v>205352</v>
      </c>
      <c r="M9" s="485">
        <v>482690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163">
        <f>A6+4</f>
        <v>5</v>
      </c>
      <c r="B10" s="483">
        <v>451797</v>
      </c>
      <c r="C10" s="170">
        <v>446062</v>
      </c>
      <c r="D10" s="170">
        <v>455742</v>
      </c>
      <c r="E10" s="177"/>
      <c r="F10" s="171">
        <v>313651</v>
      </c>
      <c r="G10" s="170">
        <v>440113</v>
      </c>
      <c r="H10" s="106">
        <v>449491</v>
      </c>
      <c r="I10" s="175">
        <v>221776</v>
      </c>
      <c r="J10" s="106">
        <v>483251</v>
      </c>
      <c r="K10" s="174">
        <v>509295</v>
      </c>
      <c r="L10" s="170">
        <v>471545</v>
      </c>
      <c r="M10" s="486">
        <v>492370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163">
        <f>A6+5</f>
        <v>6</v>
      </c>
      <c r="B11" s="487">
        <v>334931</v>
      </c>
      <c r="C11" s="170">
        <v>428688</v>
      </c>
      <c r="D11" s="170">
        <v>449458</v>
      </c>
      <c r="E11" s="177"/>
      <c r="F11" s="171">
        <v>213947</v>
      </c>
      <c r="G11" s="170">
        <v>460839</v>
      </c>
      <c r="H11" s="170">
        <v>456021</v>
      </c>
      <c r="I11" s="170">
        <v>433346</v>
      </c>
      <c r="J11" s="106">
        <v>456344</v>
      </c>
      <c r="K11" s="175">
        <v>358595</v>
      </c>
      <c r="L11" s="170">
        <v>462239</v>
      </c>
      <c r="M11" s="486">
        <v>479519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163">
        <f>A6+6</f>
        <v>7</v>
      </c>
      <c r="B12" s="487">
        <v>210202</v>
      </c>
      <c r="C12" s="170">
        <v>441164</v>
      </c>
      <c r="D12" s="170">
        <v>442056</v>
      </c>
      <c r="E12" s="177"/>
      <c r="F12" s="170">
        <v>443924</v>
      </c>
      <c r="G12" s="170">
        <v>439092</v>
      </c>
      <c r="H12" s="172">
        <v>332307</v>
      </c>
      <c r="I12" s="170">
        <v>422942</v>
      </c>
      <c r="J12" s="106">
        <v>472623</v>
      </c>
      <c r="K12" s="175">
        <v>221518</v>
      </c>
      <c r="L12" s="106">
        <v>480443</v>
      </c>
      <c r="M12" s="486">
        <v>515465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163">
        <f>A6+7</f>
        <v>8</v>
      </c>
      <c r="B13" s="483">
        <v>456532</v>
      </c>
      <c r="C13" s="170">
        <v>429153</v>
      </c>
      <c r="D13" s="170">
        <v>403892</v>
      </c>
      <c r="E13" s="177"/>
      <c r="F13" s="170">
        <v>440405</v>
      </c>
      <c r="G13" s="170">
        <v>462558</v>
      </c>
      <c r="H13" s="172">
        <v>211337</v>
      </c>
      <c r="I13" s="106">
        <v>386795</v>
      </c>
      <c r="J13" s="172">
        <v>358774</v>
      </c>
      <c r="K13" s="170">
        <v>467051</v>
      </c>
      <c r="L13" s="106">
        <v>442617</v>
      </c>
      <c r="M13" s="484">
        <v>379541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163">
        <f>A6+8</f>
        <v>9</v>
      </c>
      <c r="B14" s="483">
        <v>457383</v>
      </c>
      <c r="C14" s="170">
        <v>451803</v>
      </c>
      <c r="D14" s="170">
        <v>430808</v>
      </c>
      <c r="E14" s="169">
        <v>162362</v>
      </c>
      <c r="F14" s="170">
        <v>444423</v>
      </c>
      <c r="G14" s="171">
        <v>322605</v>
      </c>
      <c r="H14" s="170">
        <v>456211</v>
      </c>
      <c r="I14" s="106">
        <v>394393</v>
      </c>
      <c r="J14" s="172">
        <v>237219</v>
      </c>
      <c r="K14" s="170">
        <v>482364</v>
      </c>
      <c r="L14" s="106">
        <v>497145</v>
      </c>
      <c r="M14" s="484">
        <v>255788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163">
        <f>A6+9</f>
        <v>10</v>
      </c>
      <c r="B15" s="483">
        <v>457303</v>
      </c>
      <c r="C15" s="171">
        <v>351752</v>
      </c>
      <c r="D15" s="171">
        <v>326279</v>
      </c>
      <c r="E15" s="170">
        <v>440771</v>
      </c>
      <c r="F15" s="170">
        <v>438792</v>
      </c>
      <c r="G15" s="171">
        <v>205580</v>
      </c>
      <c r="H15" s="170">
        <v>462615</v>
      </c>
      <c r="I15" s="106">
        <v>479724</v>
      </c>
      <c r="J15" s="170">
        <v>465109</v>
      </c>
      <c r="K15" s="174">
        <v>491229</v>
      </c>
      <c r="L15" s="172">
        <v>347919</v>
      </c>
      <c r="M15" s="485">
        <v>494128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163">
        <f>A6+10</f>
        <v>11</v>
      </c>
      <c r="B16" s="483">
        <v>418053</v>
      </c>
      <c r="C16" s="171">
        <v>219034</v>
      </c>
      <c r="D16" s="171">
        <v>210067</v>
      </c>
      <c r="E16" s="170">
        <v>436744</v>
      </c>
      <c r="F16" s="170">
        <v>452061</v>
      </c>
      <c r="G16" s="169">
        <v>226956</v>
      </c>
      <c r="H16" s="106">
        <v>449950</v>
      </c>
      <c r="I16" s="172">
        <v>344032</v>
      </c>
      <c r="J16" s="170">
        <v>461803</v>
      </c>
      <c r="K16" s="174">
        <v>504885</v>
      </c>
      <c r="L16" s="172">
        <v>214090</v>
      </c>
      <c r="M16" s="485">
        <v>480506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163">
        <f>A6+11</f>
        <v>12</v>
      </c>
      <c r="B17" s="483">
        <v>475193</v>
      </c>
      <c r="C17" s="170">
        <v>449176</v>
      </c>
      <c r="D17" s="170">
        <v>439124</v>
      </c>
      <c r="E17" s="170">
        <v>432903</v>
      </c>
      <c r="F17" s="171">
        <v>317147</v>
      </c>
      <c r="G17" s="169">
        <v>297177</v>
      </c>
      <c r="H17" s="106">
        <v>450160</v>
      </c>
      <c r="I17" s="172">
        <v>209145</v>
      </c>
      <c r="J17" s="106">
        <v>454712</v>
      </c>
      <c r="K17" s="174">
        <v>305476</v>
      </c>
      <c r="L17" s="170">
        <v>477646</v>
      </c>
      <c r="M17" s="486">
        <v>503904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163">
        <f>A6+12</f>
        <v>13</v>
      </c>
      <c r="B18" s="487">
        <v>345791</v>
      </c>
      <c r="C18" s="170">
        <v>445510</v>
      </c>
      <c r="D18" s="170">
        <v>433143</v>
      </c>
      <c r="E18" s="170">
        <v>455015</v>
      </c>
      <c r="F18" s="171">
        <v>194905</v>
      </c>
      <c r="G18" s="170">
        <v>449270</v>
      </c>
      <c r="H18" s="106">
        <v>471345</v>
      </c>
      <c r="I18" s="170">
        <v>463609</v>
      </c>
      <c r="J18" s="106">
        <v>467967</v>
      </c>
      <c r="K18" s="175">
        <v>334171</v>
      </c>
      <c r="L18" s="170">
        <v>468001</v>
      </c>
      <c r="M18" s="486">
        <v>471378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163">
        <f>A6+13</f>
        <v>14</v>
      </c>
      <c r="B19" s="487">
        <v>201173</v>
      </c>
      <c r="C19" s="170">
        <v>460597</v>
      </c>
      <c r="D19" s="170">
        <v>448524</v>
      </c>
      <c r="E19" s="171">
        <v>317545</v>
      </c>
      <c r="F19" s="169">
        <v>171083</v>
      </c>
      <c r="G19" s="170">
        <v>451645</v>
      </c>
      <c r="H19" s="172">
        <v>345175</v>
      </c>
      <c r="I19" s="170">
        <v>448127</v>
      </c>
      <c r="J19" s="106">
        <v>488785</v>
      </c>
      <c r="K19" s="175">
        <v>225210</v>
      </c>
      <c r="L19" s="106">
        <v>460041</v>
      </c>
      <c r="M19" s="486">
        <v>521065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163">
        <f>A6+14</f>
        <v>15</v>
      </c>
      <c r="B20" s="483">
        <v>453773</v>
      </c>
      <c r="C20" s="170">
        <v>436259</v>
      </c>
      <c r="D20" s="170">
        <v>446552</v>
      </c>
      <c r="E20" s="171">
        <v>196366</v>
      </c>
      <c r="F20" s="170">
        <v>417705</v>
      </c>
      <c r="G20" s="170">
        <v>493010</v>
      </c>
      <c r="H20" s="172">
        <v>241422</v>
      </c>
      <c r="I20" s="106">
        <v>447536</v>
      </c>
      <c r="J20" s="172">
        <v>348359</v>
      </c>
      <c r="K20" s="170">
        <v>489825</v>
      </c>
      <c r="L20" s="106">
        <v>455900</v>
      </c>
      <c r="M20" s="484">
        <v>404692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163">
        <f>A6+15</f>
        <v>16</v>
      </c>
      <c r="B21" s="483">
        <v>447462</v>
      </c>
      <c r="C21" s="170">
        <v>460650</v>
      </c>
      <c r="D21" s="170">
        <v>431691</v>
      </c>
      <c r="E21" s="170">
        <v>452836</v>
      </c>
      <c r="F21" s="170">
        <v>453152</v>
      </c>
      <c r="G21" s="171">
        <v>347406</v>
      </c>
      <c r="H21" s="170">
        <v>470989</v>
      </c>
      <c r="I21" s="106">
        <v>432404</v>
      </c>
      <c r="J21" s="172">
        <v>243159</v>
      </c>
      <c r="K21" s="170">
        <v>482951</v>
      </c>
      <c r="L21" s="106">
        <v>500095</v>
      </c>
      <c r="M21" s="484">
        <v>310173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163">
        <f>A6+16</f>
        <v>17</v>
      </c>
      <c r="B22" s="483">
        <v>472621</v>
      </c>
      <c r="C22" s="171">
        <v>340218</v>
      </c>
      <c r="D22" s="171">
        <v>334962</v>
      </c>
      <c r="E22" s="170">
        <v>450928</v>
      </c>
      <c r="F22" s="170">
        <v>434447</v>
      </c>
      <c r="G22" s="171">
        <v>220527</v>
      </c>
      <c r="H22" s="170">
        <v>446013</v>
      </c>
      <c r="I22" s="106">
        <v>402908</v>
      </c>
      <c r="J22" s="170">
        <v>461570</v>
      </c>
      <c r="K22" s="106">
        <v>479566</v>
      </c>
      <c r="L22" s="172">
        <v>377177</v>
      </c>
      <c r="M22" s="485">
        <v>498905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163">
        <f>A6+17</f>
        <v>18</v>
      </c>
      <c r="B23" s="483">
        <v>437873</v>
      </c>
      <c r="C23" s="171">
        <v>217587</v>
      </c>
      <c r="D23" s="171">
        <v>210757</v>
      </c>
      <c r="E23" s="170">
        <v>447843</v>
      </c>
      <c r="F23" s="170">
        <v>446836</v>
      </c>
      <c r="G23" s="170">
        <v>465567</v>
      </c>
      <c r="H23" s="106">
        <v>478461</v>
      </c>
      <c r="I23" s="172">
        <v>278701</v>
      </c>
      <c r="J23" s="170">
        <v>468045</v>
      </c>
      <c r="K23" s="106">
        <v>481837</v>
      </c>
      <c r="L23" s="172">
        <v>243035</v>
      </c>
      <c r="M23" s="485">
        <v>501444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163">
        <f>A6+18</f>
        <v>19</v>
      </c>
      <c r="B24" s="483">
        <v>455903</v>
      </c>
      <c r="C24" s="170">
        <v>452588</v>
      </c>
      <c r="D24" s="170">
        <v>438549</v>
      </c>
      <c r="E24" s="170">
        <v>434225</v>
      </c>
      <c r="F24" s="171">
        <v>316082</v>
      </c>
      <c r="G24" s="170">
        <v>455748</v>
      </c>
      <c r="H24" s="106">
        <v>433378</v>
      </c>
      <c r="I24" s="172">
        <v>210439</v>
      </c>
      <c r="J24" s="174">
        <v>445921</v>
      </c>
      <c r="K24" s="106">
        <v>480873</v>
      </c>
      <c r="L24" s="170">
        <v>476454</v>
      </c>
      <c r="M24" s="486">
        <v>508929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163">
        <f>A6+19</f>
        <v>20</v>
      </c>
      <c r="B25" s="487">
        <v>334262</v>
      </c>
      <c r="C25" s="170">
        <v>434156</v>
      </c>
      <c r="D25" s="170">
        <v>444269</v>
      </c>
      <c r="E25" s="170">
        <v>453974</v>
      </c>
      <c r="F25" s="171">
        <v>208308</v>
      </c>
      <c r="G25" s="170">
        <v>468943</v>
      </c>
      <c r="H25" s="106">
        <v>487276</v>
      </c>
      <c r="I25" s="169">
        <v>262390</v>
      </c>
      <c r="J25" s="174">
        <v>488196</v>
      </c>
      <c r="K25" s="172">
        <v>332320</v>
      </c>
      <c r="L25" s="170">
        <v>498772</v>
      </c>
      <c r="M25" s="486">
        <v>464207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163">
        <f>A6+20</f>
        <v>21</v>
      </c>
      <c r="B26" s="487">
        <v>214997</v>
      </c>
      <c r="C26" s="170">
        <v>450079</v>
      </c>
      <c r="D26" s="170">
        <v>448722</v>
      </c>
      <c r="E26" s="171">
        <v>312972</v>
      </c>
      <c r="F26" s="170">
        <v>444110</v>
      </c>
      <c r="G26" s="170">
        <v>453383</v>
      </c>
      <c r="H26" s="172">
        <v>345992</v>
      </c>
      <c r="I26" s="170">
        <v>489903</v>
      </c>
      <c r="J26" s="174">
        <v>475521</v>
      </c>
      <c r="K26" s="172">
        <v>209535</v>
      </c>
      <c r="L26" s="106">
        <v>477483</v>
      </c>
      <c r="M26" s="486">
        <v>539813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163">
        <f>A6+21</f>
        <v>22</v>
      </c>
      <c r="B27" s="483">
        <v>358440</v>
      </c>
      <c r="C27" s="170">
        <v>432075</v>
      </c>
      <c r="D27" s="170">
        <v>431736</v>
      </c>
      <c r="E27" s="171">
        <v>195817</v>
      </c>
      <c r="F27" s="170">
        <v>436123</v>
      </c>
      <c r="G27" s="170">
        <v>478345</v>
      </c>
      <c r="H27" s="172">
        <v>222685</v>
      </c>
      <c r="I27" s="106">
        <v>479755</v>
      </c>
      <c r="J27" s="175">
        <v>346604</v>
      </c>
      <c r="K27" s="170">
        <v>486183</v>
      </c>
      <c r="L27" s="106">
        <v>475577</v>
      </c>
      <c r="M27" s="484">
        <v>365997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163">
        <f>A6+22</f>
        <v>23</v>
      </c>
      <c r="B28" s="483">
        <v>439600</v>
      </c>
      <c r="C28" s="170">
        <v>453111</v>
      </c>
      <c r="D28" s="170">
        <v>436306</v>
      </c>
      <c r="E28" s="170">
        <v>438609</v>
      </c>
      <c r="F28" s="170">
        <v>451718</v>
      </c>
      <c r="G28" s="171">
        <v>287337</v>
      </c>
      <c r="H28" s="170">
        <v>442137</v>
      </c>
      <c r="I28" s="106">
        <v>462789</v>
      </c>
      <c r="J28" s="175">
        <v>222877</v>
      </c>
      <c r="K28" s="170">
        <v>439952</v>
      </c>
      <c r="L28" s="106">
        <v>494197</v>
      </c>
      <c r="M28" s="484">
        <v>211865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163">
        <f>A6+23</f>
        <v>24</v>
      </c>
      <c r="B29" s="483">
        <v>449650</v>
      </c>
      <c r="C29" s="171">
        <v>319795</v>
      </c>
      <c r="D29" s="171">
        <v>323801</v>
      </c>
      <c r="E29" s="170">
        <v>441115</v>
      </c>
      <c r="F29" s="170">
        <v>432892</v>
      </c>
      <c r="G29" s="171">
        <v>211919</v>
      </c>
      <c r="H29" s="170">
        <v>452264</v>
      </c>
      <c r="I29" s="106">
        <v>485937</v>
      </c>
      <c r="J29" s="170">
        <v>461635</v>
      </c>
      <c r="K29" s="106">
        <v>453436</v>
      </c>
      <c r="L29" s="172">
        <v>342468</v>
      </c>
      <c r="M29" s="488">
        <v>221118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163">
        <f>A6+24</f>
        <v>25</v>
      </c>
      <c r="B30" s="483">
        <v>430301</v>
      </c>
      <c r="C30" s="171">
        <v>210548</v>
      </c>
      <c r="D30" s="171">
        <v>204440</v>
      </c>
      <c r="E30" s="170">
        <v>449212</v>
      </c>
      <c r="F30" s="170">
        <v>445751</v>
      </c>
      <c r="G30" s="170">
        <v>443233</v>
      </c>
      <c r="H30" s="106">
        <v>460759</v>
      </c>
      <c r="I30" s="172">
        <v>349453</v>
      </c>
      <c r="J30" s="170">
        <v>483120</v>
      </c>
      <c r="K30" s="106">
        <v>444005</v>
      </c>
      <c r="L30" s="172">
        <v>237212</v>
      </c>
      <c r="M30" s="488">
        <v>214061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163">
        <f>A6+25</f>
        <v>26</v>
      </c>
      <c r="B31" s="483">
        <v>465514</v>
      </c>
      <c r="C31" s="170">
        <v>449611</v>
      </c>
      <c r="D31" s="170">
        <v>447819</v>
      </c>
      <c r="E31" s="170">
        <v>421373</v>
      </c>
      <c r="F31" s="171">
        <v>321561</v>
      </c>
      <c r="G31" s="170">
        <v>452544</v>
      </c>
      <c r="H31" s="106">
        <v>445281</v>
      </c>
      <c r="I31" s="172">
        <v>218445</v>
      </c>
      <c r="J31" s="174">
        <v>480919</v>
      </c>
      <c r="K31" s="106">
        <v>488475</v>
      </c>
      <c r="L31" s="170">
        <v>463317</v>
      </c>
      <c r="M31" s="488">
        <v>360925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163">
        <f>A6+26</f>
        <v>27</v>
      </c>
      <c r="B32" s="487">
        <v>329624</v>
      </c>
      <c r="C32" s="170">
        <v>438783</v>
      </c>
      <c r="D32" s="170">
        <v>426395</v>
      </c>
      <c r="E32" s="170">
        <v>463272</v>
      </c>
      <c r="F32" s="171">
        <v>217383</v>
      </c>
      <c r="G32" s="170">
        <v>457532</v>
      </c>
      <c r="H32" s="106">
        <v>452554</v>
      </c>
      <c r="I32" s="169">
        <v>233402</v>
      </c>
      <c r="J32" s="174">
        <v>476866</v>
      </c>
      <c r="K32" s="172">
        <v>340217</v>
      </c>
      <c r="L32" s="170">
        <v>463506</v>
      </c>
      <c r="M32" s="486">
        <v>432010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163">
        <f>A6+27</f>
        <v>28</v>
      </c>
      <c r="B33" s="487">
        <v>212412</v>
      </c>
      <c r="C33" s="170">
        <v>452579</v>
      </c>
      <c r="D33" s="170">
        <v>459161</v>
      </c>
      <c r="E33" s="171">
        <v>315095</v>
      </c>
      <c r="F33" s="170">
        <v>435716</v>
      </c>
      <c r="G33" s="170">
        <v>437312</v>
      </c>
      <c r="H33" s="172">
        <v>336578</v>
      </c>
      <c r="I33" s="170">
        <v>466813</v>
      </c>
      <c r="J33" s="174">
        <v>501109</v>
      </c>
      <c r="K33" s="172">
        <v>211430</v>
      </c>
      <c r="L33" s="106">
        <v>506761</v>
      </c>
      <c r="M33" s="486">
        <v>443515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163">
        <f>A6+28</f>
        <v>29</v>
      </c>
      <c r="B34" s="489">
        <v>445072</v>
      </c>
      <c r="C34" s="464"/>
      <c r="D34" s="465">
        <v>414267</v>
      </c>
      <c r="E34" s="466">
        <v>196964</v>
      </c>
      <c r="F34" s="465">
        <v>435161</v>
      </c>
      <c r="G34" s="465">
        <v>475832</v>
      </c>
      <c r="H34" s="467">
        <v>219293</v>
      </c>
      <c r="I34" s="465">
        <v>463267</v>
      </c>
      <c r="J34" s="468">
        <v>345354</v>
      </c>
      <c r="K34" s="469">
        <v>209609</v>
      </c>
      <c r="L34" s="470">
        <v>514090</v>
      </c>
      <c r="M34" s="490">
        <v>327034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163">
        <f>A6+29</f>
        <v>30</v>
      </c>
      <c r="B35" s="491">
        <v>442416</v>
      </c>
      <c r="C35" s="459"/>
      <c r="D35" s="458">
        <v>468723</v>
      </c>
      <c r="E35" s="458">
        <v>440230</v>
      </c>
      <c r="F35" s="458">
        <v>449164</v>
      </c>
      <c r="G35" s="460">
        <v>347570</v>
      </c>
      <c r="H35" s="458">
        <v>443388</v>
      </c>
      <c r="I35" s="461">
        <v>455442</v>
      </c>
      <c r="J35" s="462">
        <v>239882</v>
      </c>
      <c r="K35" s="458">
        <v>446385</v>
      </c>
      <c r="L35" s="463">
        <v>310732</v>
      </c>
      <c r="M35" s="492">
        <v>211702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>
      <c r="A36" s="164">
        <f>A6+30</f>
        <v>31</v>
      </c>
      <c r="B36" s="493">
        <v>459531</v>
      </c>
      <c r="C36" s="472"/>
      <c r="D36" s="472">
        <v>319697</v>
      </c>
      <c r="E36" s="473"/>
      <c r="F36" s="471">
        <v>445576</v>
      </c>
      <c r="G36" s="472"/>
      <c r="H36" s="474">
        <v>489680</v>
      </c>
      <c r="I36" s="475">
        <v>489554</v>
      </c>
      <c r="J36" s="474"/>
      <c r="K36" s="472">
        <v>470997</v>
      </c>
      <c r="L36" s="471"/>
      <c r="M36" s="494">
        <v>184268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503" t="s">
        <v>19</v>
      </c>
      <c r="B37" s="495">
        <f>AVERAGE(B6:B36)</f>
        <v>387201.06451612903</v>
      </c>
      <c r="C37" s="130">
        <f>AVERAGE(C6:C36)</f>
        <v>396519.42857142858</v>
      </c>
      <c r="D37" s="130">
        <f>AVERAGE(D6:D36)</f>
        <v>393111.90322580643</v>
      </c>
      <c r="E37" s="130">
        <f>IFERROR(AVERAGE(E6:E36),0)</f>
        <v>378743.26923076925</v>
      </c>
      <c r="F37" s="130">
        <f>IFERROR(AVERAGE(F6:F36),0)</f>
        <v>381782.19354838709</v>
      </c>
      <c r="G37" s="130">
        <f t="shared" ref="G37:M37" si="0">IFERROR(AVERAGE(G6:G36),0)</f>
        <v>390897.3</v>
      </c>
      <c r="H37" s="130">
        <f t="shared" si="0"/>
        <v>404680</v>
      </c>
      <c r="I37" s="130">
        <f t="shared" si="0"/>
        <v>392371.32258064515</v>
      </c>
      <c r="J37" s="130">
        <f t="shared" si="0"/>
        <v>411645.06666666665</v>
      </c>
      <c r="K37" s="130">
        <f t="shared" si="0"/>
        <v>411253.54838709679</v>
      </c>
      <c r="L37" s="130">
        <f>IFERROR(AVERAGE(L6:L36),0)</f>
        <v>400500.9</v>
      </c>
      <c r="M37" s="496">
        <f t="shared" si="0"/>
        <v>398789.96774193546</v>
      </c>
    </row>
    <row r="38" spans="1:22">
      <c r="A38" s="504" t="s">
        <v>20</v>
      </c>
      <c r="B38" s="37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497"/>
    </row>
    <row r="39" spans="1:22">
      <c r="A39" s="505" t="s">
        <v>21</v>
      </c>
      <c r="B39" s="37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497"/>
    </row>
    <row r="40" spans="1:22">
      <c r="A40" s="505" t="s">
        <v>22</v>
      </c>
      <c r="B40" s="37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497"/>
    </row>
    <row r="41" spans="1:22">
      <c r="A41" s="505" t="s">
        <v>23</v>
      </c>
      <c r="B41" s="37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497"/>
    </row>
    <row r="42" spans="1:22">
      <c r="A42" s="505" t="s">
        <v>24</v>
      </c>
      <c r="B42" s="498">
        <f>MAX(B6:B36)</f>
        <v>475193</v>
      </c>
      <c r="C42" s="109">
        <f>MAX(C6:C36)</f>
        <v>460650</v>
      </c>
      <c r="D42" s="109">
        <f t="shared" ref="D42:M42" si="1">MAX(D6:D36)</f>
        <v>468723</v>
      </c>
      <c r="E42" s="109">
        <f t="shared" si="1"/>
        <v>463272</v>
      </c>
      <c r="F42" s="109">
        <f t="shared" si="1"/>
        <v>465980</v>
      </c>
      <c r="G42" s="109">
        <f t="shared" si="1"/>
        <v>493010</v>
      </c>
      <c r="H42" s="109">
        <f t="shared" si="1"/>
        <v>489680</v>
      </c>
      <c r="I42" s="109">
        <f t="shared" si="1"/>
        <v>489903</v>
      </c>
      <c r="J42" s="109">
        <f t="shared" si="1"/>
        <v>501109</v>
      </c>
      <c r="K42" s="109">
        <f t="shared" si="1"/>
        <v>509295</v>
      </c>
      <c r="L42" s="109">
        <f t="shared" si="1"/>
        <v>514090</v>
      </c>
      <c r="M42" s="499">
        <f t="shared" si="1"/>
        <v>539813</v>
      </c>
    </row>
    <row r="43" spans="1:22" ht="12.75" thickBot="1">
      <c r="A43" s="506" t="s">
        <v>25</v>
      </c>
      <c r="B43" s="500">
        <f t="shared" ref="B43:L43" si="2">SUM(B6:B36)</f>
        <v>12003233</v>
      </c>
      <c r="C43" s="501">
        <f>SUM(C6:C36)</f>
        <v>11102544</v>
      </c>
      <c r="D43" s="501">
        <f t="shared" si="2"/>
        <v>12186469</v>
      </c>
      <c r="E43" s="501">
        <f t="shared" si="2"/>
        <v>9847325</v>
      </c>
      <c r="F43" s="501">
        <f t="shared" si="2"/>
        <v>11835248</v>
      </c>
      <c r="G43" s="501">
        <f t="shared" si="2"/>
        <v>11726919</v>
      </c>
      <c r="H43" s="501">
        <f t="shared" si="2"/>
        <v>12545080</v>
      </c>
      <c r="I43" s="501">
        <f t="shared" si="2"/>
        <v>12163511</v>
      </c>
      <c r="J43" s="501">
        <f t="shared" si="2"/>
        <v>12349352</v>
      </c>
      <c r="K43" s="501">
        <f t="shared" si="2"/>
        <v>12748860</v>
      </c>
      <c r="L43" s="501">
        <f t="shared" si="2"/>
        <v>12015027</v>
      </c>
      <c r="M43" s="502">
        <f>SUM(M6:M36)</f>
        <v>12362489</v>
      </c>
      <c r="P43" s="59"/>
    </row>
    <row r="44" spans="1:22" s="60" customFormat="1" ht="11.25"/>
    <row r="45" spans="1:22">
      <c r="A45" s="61"/>
    </row>
    <row r="46" spans="1:22" ht="15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38" priority="5" rank="1"/>
  </conditionalFormatting>
  <printOptions horizontalCentered="1" verticalCentered="1"/>
  <pageMargins left="0.25" right="0" top="0.25" bottom="0.25" header="0.31" footer="0.31"/>
  <pageSetup paperSize="5" scale="95" orientation="landscape" r:id="rId1"/>
  <rowBreaks count="1" manualBreakCount="1">
    <brk id="4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V51"/>
  <sheetViews>
    <sheetView view="pageBreakPreview" zoomScaleNormal="120" zoomScaleSheetLayoutView="100" zoomScalePageLayoutView="120" workbookViewId="0">
      <pane xSplit="1" ySplit="5" topLeftCell="B64" activePane="bottomRight" state="frozen"/>
      <selection pane="bottomRight" activeCell="B43" sqref="B43:M43"/>
      <selection pane="bottomLeft" activeCell="D24" sqref="D24"/>
      <selection pane="topRight" activeCell="D24" sqref="D24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44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65" t="s">
        <v>7</v>
      </c>
      <c r="C5" s="166" t="s">
        <v>8</v>
      </c>
      <c r="D5" s="166" t="s">
        <v>9</v>
      </c>
      <c r="E5" s="166" t="s">
        <v>10</v>
      </c>
      <c r="F5" s="166" t="s">
        <v>11</v>
      </c>
      <c r="G5" s="166" t="s">
        <v>12</v>
      </c>
      <c r="H5" s="166" t="s">
        <v>13</v>
      </c>
      <c r="I5" s="166" t="s">
        <v>14</v>
      </c>
      <c r="J5" s="166" t="s">
        <v>15</v>
      </c>
      <c r="K5" s="166" t="s">
        <v>16</v>
      </c>
      <c r="L5" s="166" t="s">
        <v>17</v>
      </c>
      <c r="M5" s="167" t="s">
        <v>18</v>
      </c>
    </row>
    <row r="6" spans="1:22" s="3" customFormat="1" ht="15" customHeight="1">
      <c r="A6" s="162">
        <v>1</v>
      </c>
      <c r="B6" s="178">
        <v>110192</v>
      </c>
      <c r="C6" s="179">
        <v>496150</v>
      </c>
      <c r="D6" s="181">
        <v>358578</v>
      </c>
      <c r="E6" s="179">
        <v>473962</v>
      </c>
      <c r="F6" s="180">
        <v>274414</v>
      </c>
      <c r="G6" s="181">
        <v>252782</v>
      </c>
      <c r="H6" s="182">
        <v>485100</v>
      </c>
      <c r="I6" s="182">
        <v>488953</v>
      </c>
      <c r="J6" s="182">
        <v>482906</v>
      </c>
      <c r="K6" s="180">
        <v>261054</v>
      </c>
      <c r="L6" s="180">
        <v>190397</v>
      </c>
      <c r="M6" s="202">
        <v>273023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163">
        <f>A6+1</f>
        <v>2</v>
      </c>
      <c r="B7" s="185">
        <v>397889</v>
      </c>
      <c r="C7" s="171">
        <v>348464</v>
      </c>
      <c r="D7" s="171">
        <v>231854</v>
      </c>
      <c r="E7" s="170">
        <v>483520</v>
      </c>
      <c r="F7" s="170">
        <v>486246</v>
      </c>
      <c r="G7" s="170">
        <v>474364</v>
      </c>
      <c r="H7" s="170">
        <v>466124</v>
      </c>
      <c r="I7" s="172">
        <v>360058</v>
      </c>
      <c r="J7" s="106">
        <v>479518</v>
      </c>
      <c r="K7" s="170">
        <v>478853</v>
      </c>
      <c r="L7" s="172">
        <v>213145</v>
      </c>
      <c r="M7" s="107">
        <v>507355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163">
        <f>A6+2</f>
        <v>3</v>
      </c>
      <c r="B8" s="185">
        <v>435271</v>
      </c>
      <c r="C8" s="171">
        <v>231437</v>
      </c>
      <c r="D8" s="170">
        <v>469549</v>
      </c>
      <c r="E8" s="170">
        <v>454974</v>
      </c>
      <c r="F8" s="171">
        <v>323486</v>
      </c>
      <c r="G8" s="170">
        <v>479539</v>
      </c>
      <c r="H8" s="170">
        <v>442153</v>
      </c>
      <c r="I8" s="172">
        <v>249625</v>
      </c>
      <c r="J8" s="170">
        <v>471470</v>
      </c>
      <c r="K8" s="174">
        <v>507647</v>
      </c>
      <c r="L8" s="106">
        <v>441818</v>
      </c>
      <c r="M8" s="186">
        <v>495686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163">
        <f>A6+3</f>
        <v>4</v>
      </c>
      <c r="B9" s="185">
        <v>454534</v>
      </c>
      <c r="C9" s="170">
        <v>466930</v>
      </c>
      <c r="D9" s="170">
        <v>491624</v>
      </c>
      <c r="E9" s="170">
        <v>487748</v>
      </c>
      <c r="F9" s="171">
        <v>220067</v>
      </c>
      <c r="G9" s="170">
        <v>473906</v>
      </c>
      <c r="H9" s="106">
        <v>490396</v>
      </c>
      <c r="I9" s="106">
        <v>473879</v>
      </c>
      <c r="J9" s="170">
        <v>471435</v>
      </c>
      <c r="K9" s="175">
        <v>357326</v>
      </c>
      <c r="L9" s="106">
        <v>475222</v>
      </c>
      <c r="M9" s="186">
        <v>471006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163">
        <f>A6+4</f>
        <v>5</v>
      </c>
      <c r="B10" s="187">
        <v>330697</v>
      </c>
      <c r="C10" s="170">
        <v>476218</v>
      </c>
      <c r="D10" s="170">
        <v>496438</v>
      </c>
      <c r="E10" s="171">
        <v>345511</v>
      </c>
      <c r="F10" s="170">
        <v>471519</v>
      </c>
      <c r="G10" s="170">
        <v>483120</v>
      </c>
      <c r="H10" s="172">
        <v>355491</v>
      </c>
      <c r="I10" s="106">
        <v>478523</v>
      </c>
      <c r="J10" s="106">
        <v>493645</v>
      </c>
      <c r="K10" s="175">
        <v>231110</v>
      </c>
      <c r="L10" s="170">
        <v>487197</v>
      </c>
      <c r="M10" s="107">
        <v>498044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163">
        <f>A6+5</f>
        <v>6</v>
      </c>
      <c r="B11" s="187">
        <v>218580</v>
      </c>
      <c r="C11" s="170">
        <v>489912</v>
      </c>
      <c r="D11" s="170">
        <v>464628</v>
      </c>
      <c r="E11" s="171">
        <v>211946</v>
      </c>
      <c r="F11" s="170">
        <v>470167</v>
      </c>
      <c r="G11" s="170">
        <v>486242</v>
      </c>
      <c r="H11" s="171">
        <v>259442</v>
      </c>
      <c r="I11" s="170">
        <v>493475</v>
      </c>
      <c r="J11" s="172">
        <v>357342</v>
      </c>
      <c r="K11" s="174">
        <v>518574</v>
      </c>
      <c r="L11" s="170">
        <v>452948</v>
      </c>
      <c r="M11" s="188">
        <v>416379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163">
        <f>A6+6</f>
        <v>7</v>
      </c>
      <c r="B12" s="185">
        <v>475154</v>
      </c>
      <c r="C12" s="170">
        <v>459899</v>
      </c>
      <c r="D12" s="170">
        <v>498048</v>
      </c>
      <c r="E12" s="169">
        <v>239869</v>
      </c>
      <c r="F12" s="170">
        <v>476142</v>
      </c>
      <c r="G12" s="171">
        <v>344637</v>
      </c>
      <c r="H12" s="106">
        <v>468890</v>
      </c>
      <c r="I12" s="170">
        <v>474011</v>
      </c>
      <c r="J12" s="172">
        <v>240428</v>
      </c>
      <c r="K12" s="174">
        <v>465237</v>
      </c>
      <c r="L12" s="106">
        <v>480913</v>
      </c>
      <c r="M12" s="188">
        <v>245724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163">
        <f>A6+7</f>
        <v>8</v>
      </c>
      <c r="B13" s="185">
        <v>473893</v>
      </c>
      <c r="C13" s="170">
        <v>484928</v>
      </c>
      <c r="D13" s="171">
        <v>353720</v>
      </c>
      <c r="E13" s="170">
        <v>480448</v>
      </c>
      <c r="F13" s="170">
        <v>461775</v>
      </c>
      <c r="G13" s="171">
        <v>188900</v>
      </c>
      <c r="H13" s="106">
        <v>447680</v>
      </c>
      <c r="I13" s="106">
        <v>490096</v>
      </c>
      <c r="J13" s="106">
        <v>474109</v>
      </c>
      <c r="K13" s="170">
        <v>475272</v>
      </c>
      <c r="L13" s="172">
        <v>325608</v>
      </c>
      <c r="M13" s="107">
        <v>478187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163">
        <f>A6+8</f>
        <v>9</v>
      </c>
      <c r="B14" s="185">
        <v>490839</v>
      </c>
      <c r="C14" s="171">
        <v>337779</v>
      </c>
      <c r="D14" s="171">
        <v>230258</v>
      </c>
      <c r="E14" s="170">
        <v>467754</v>
      </c>
      <c r="F14" s="170">
        <v>498560</v>
      </c>
      <c r="G14" s="169">
        <v>242756</v>
      </c>
      <c r="H14" s="170">
        <v>493932</v>
      </c>
      <c r="I14" s="172">
        <v>347190</v>
      </c>
      <c r="J14" s="106">
        <v>470328</v>
      </c>
      <c r="K14" s="170">
        <v>449645</v>
      </c>
      <c r="L14" s="172">
        <v>218852</v>
      </c>
      <c r="M14" s="107">
        <v>482838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163">
        <f>A6+9</f>
        <v>10</v>
      </c>
      <c r="B15" s="185">
        <v>465305</v>
      </c>
      <c r="C15" s="171">
        <v>223146</v>
      </c>
      <c r="D15" s="170">
        <v>478680</v>
      </c>
      <c r="E15" s="170">
        <v>477489</v>
      </c>
      <c r="F15" s="171">
        <v>326643</v>
      </c>
      <c r="G15" s="170">
        <v>479448</v>
      </c>
      <c r="H15" s="170">
        <v>466815</v>
      </c>
      <c r="I15" s="172">
        <v>260251</v>
      </c>
      <c r="J15" s="170">
        <v>469212</v>
      </c>
      <c r="K15" s="174">
        <v>467580</v>
      </c>
      <c r="L15" s="106">
        <v>457673</v>
      </c>
      <c r="M15" s="186">
        <v>496893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163">
        <f>A6+10</f>
        <v>11</v>
      </c>
      <c r="B16" s="185">
        <v>502950</v>
      </c>
      <c r="C16" s="170">
        <v>469214</v>
      </c>
      <c r="D16" s="170">
        <v>416049</v>
      </c>
      <c r="E16" s="170">
        <v>461560</v>
      </c>
      <c r="F16" s="171">
        <v>196141</v>
      </c>
      <c r="G16" s="170">
        <v>488404</v>
      </c>
      <c r="H16" s="106">
        <v>470705</v>
      </c>
      <c r="I16" s="106">
        <v>463596</v>
      </c>
      <c r="J16" s="170">
        <v>455801</v>
      </c>
      <c r="K16" s="175">
        <v>374031</v>
      </c>
      <c r="L16" s="106">
        <v>469996</v>
      </c>
      <c r="M16" s="186">
        <v>484324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163">
        <f>A6+11</f>
        <v>12</v>
      </c>
      <c r="B17" s="187">
        <v>328346</v>
      </c>
      <c r="C17" s="170">
        <v>463151</v>
      </c>
      <c r="D17" s="170">
        <v>488468</v>
      </c>
      <c r="E17" s="171">
        <v>350113</v>
      </c>
      <c r="F17" s="170">
        <v>410343</v>
      </c>
      <c r="G17" s="169">
        <v>290583</v>
      </c>
      <c r="H17" s="172">
        <v>349784</v>
      </c>
      <c r="I17" s="106">
        <v>474226</v>
      </c>
      <c r="J17" s="106">
        <v>486074</v>
      </c>
      <c r="K17" s="175">
        <v>232573</v>
      </c>
      <c r="L17" s="170">
        <v>442021</v>
      </c>
      <c r="M17" s="107">
        <v>501537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163">
        <f>A6+12</f>
        <v>13</v>
      </c>
      <c r="B18" s="187">
        <v>221956</v>
      </c>
      <c r="C18" s="170">
        <v>466930</v>
      </c>
      <c r="D18" s="170">
        <v>454643</v>
      </c>
      <c r="E18" s="171">
        <v>209930</v>
      </c>
      <c r="F18" s="170">
        <v>436925</v>
      </c>
      <c r="G18" s="170">
        <v>479074</v>
      </c>
      <c r="H18" s="172">
        <v>223162</v>
      </c>
      <c r="I18" s="170">
        <v>486746</v>
      </c>
      <c r="J18" s="172">
        <v>360676</v>
      </c>
      <c r="K18" s="174">
        <v>464140</v>
      </c>
      <c r="L18" s="170">
        <v>451097</v>
      </c>
      <c r="M18" s="188">
        <v>394346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163">
        <f>A6+13</f>
        <v>14</v>
      </c>
      <c r="B19" s="185">
        <v>477105</v>
      </c>
      <c r="C19" s="170">
        <v>470343</v>
      </c>
      <c r="D19" s="170">
        <v>463960</v>
      </c>
      <c r="E19" s="170">
        <v>457650</v>
      </c>
      <c r="F19" s="170">
        <v>488472</v>
      </c>
      <c r="G19" s="171">
        <v>341452</v>
      </c>
      <c r="H19" s="106">
        <v>456680</v>
      </c>
      <c r="I19" s="170">
        <v>468838</v>
      </c>
      <c r="J19" s="172">
        <v>244047</v>
      </c>
      <c r="K19" s="174">
        <v>449632</v>
      </c>
      <c r="L19" s="106">
        <v>443146</v>
      </c>
      <c r="M19" s="188">
        <v>272766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163">
        <f>A6+14</f>
        <v>15</v>
      </c>
      <c r="B20" s="185">
        <v>480501</v>
      </c>
      <c r="C20" s="170">
        <v>493331</v>
      </c>
      <c r="D20" s="171">
        <v>378831</v>
      </c>
      <c r="E20" s="170">
        <v>500542</v>
      </c>
      <c r="F20" s="170">
        <v>490560</v>
      </c>
      <c r="G20" s="171">
        <v>237614</v>
      </c>
      <c r="H20" s="106">
        <v>454678</v>
      </c>
      <c r="I20" s="106">
        <v>502064</v>
      </c>
      <c r="J20" s="106">
        <v>487889</v>
      </c>
      <c r="K20" s="170">
        <v>527530</v>
      </c>
      <c r="L20" s="172">
        <v>397628</v>
      </c>
      <c r="M20" s="107">
        <v>492482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163">
        <f>A6+15</f>
        <v>16</v>
      </c>
      <c r="B21" s="185">
        <v>498088</v>
      </c>
      <c r="C21" s="171">
        <v>372593</v>
      </c>
      <c r="D21" s="171">
        <v>216635</v>
      </c>
      <c r="E21" s="170">
        <v>498004</v>
      </c>
      <c r="F21" s="170">
        <v>488729</v>
      </c>
      <c r="G21" s="170">
        <v>474203</v>
      </c>
      <c r="H21" s="170">
        <v>463818</v>
      </c>
      <c r="I21" s="172">
        <v>365588</v>
      </c>
      <c r="J21" s="106">
        <v>481326</v>
      </c>
      <c r="K21" s="170">
        <v>471154</v>
      </c>
      <c r="L21" s="172">
        <v>254265</v>
      </c>
      <c r="M21" s="107">
        <v>507041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163">
        <f>A6+16</f>
        <v>17</v>
      </c>
      <c r="B22" s="185">
        <v>463965</v>
      </c>
      <c r="C22" s="171">
        <v>230508</v>
      </c>
      <c r="D22" s="170">
        <v>463239</v>
      </c>
      <c r="E22" s="170">
        <v>475781</v>
      </c>
      <c r="F22" s="171">
        <v>304577</v>
      </c>
      <c r="G22" s="170">
        <v>478571</v>
      </c>
      <c r="H22" s="170">
        <v>466010</v>
      </c>
      <c r="I22" s="172">
        <v>235736</v>
      </c>
      <c r="J22" s="170">
        <v>485482</v>
      </c>
      <c r="K22" s="106">
        <v>492781</v>
      </c>
      <c r="L22" s="106">
        <v>500363</v>
      </c>
      <c r="M22" s="186">
        <v>505913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163">
        <f>A6+17</f>
        <v>18</v>
      </c>
      <c r="B23" s="185">
        <v>471918</v>
      </c>
      <c r="C23" s="170">
        <v>469294</v>
      </c>
      <c r="D23" s="170">
        <v>467891</v>
      </c>
      <c r="E23" s="170">
        <v>476250</v>
      </c>
      <c r="F23" s="171">
        <v>256083</v>
      </c>
      <c r="G23" s="170">
        <v>456475</v>
      </c>
      <c r="H23" s="106">
        <v>477073</v>
      </c>
      <c r="I23" s="173">
        <v>261495</v>
      </c>
      <c r="J23" s="170">
        <v>465718</v>
      </c>
      <c r="K23" s="172">
        <v>360960</v>
      </c>
      <c r="L23" s="106">
        <v>489229</v>
      </c>
      <c r="M23" s="186">
        <v>490592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163">
        <f>A6+18</f>
        <v>19</v>
      </c>
      <c r="B24" s="187">
        <v>366345</v>
      </c>
      <c r="C24" s="170">
        <v>465468</v>
      </c>
      <c r="D24" s="170">
        <v>456642</v>
      </c>
      <c r="E24" s="171">
        <v>365044</v>
      </c>
      <c r="F24" s="170">
        <v>470816</v>
      </c>
      <c r="G24" s="170">
        <v>457908</v>
      </c>
      <c r="H24" s="172">
        <v>366056</v>
      </c>
      <c r="I24" s="106">
        <v>465486</v>
      </c>
      <c r="J24" s="174">
        <v>491821</v>
      </c>
      <c r="K24" s="172">
        <v>240660</v>
      </c>
      <c r="L24" s="170">
        <v>494089</v>
      </c>
      <c r="M24" s="107">
        <v>498945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163">
        <f>A6+19</f>
        <v>20</v>
      </c>
      <c r="B25" s="187">
        <v>225488</v>
      </c>
      <c r="C25" s="170">
        <v>484032</v>
      </c>
      <c r="D25" s="177"/>
      <c r="E25" s="171">
        <v>222873</v>
      </c>
      <c r="F25" s="170">
        <v>491917</v>
      </c>
      <c r="G25" s="170">
        <v>481598</v>
      </c>
      <c r="H25" s="172">
        <v>239898</v>
      </c>
      <c r="I25" s="170">
        <v>456012</v>
      </c>
      <c r="J25" s="175">
        <v>360758</v>
      </c>
      <c r="K25" s="106">
        <v>461926</v>
      </c>
      <c r="L25" s="170">
        <v>485350</v>
      </c>
      <c r="M25" s="188">
        <v>372848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163">
        <f>A6+20</f>
        <v>21</v>
      </c>
      <c r="B26" s="185">
        <v>475249</v>
      </c>
      <c r="C26" s="170">
        <v>464403</v>
      </c>
      <c r="D26" s="177"/>
      <c r="E26" s="170">
        <v>485472</v>
      </c>
      <c r="F26" s="170">
        <v>475659</v>
      </c>
      <c r="G26" s="171">
        <v>331864</v>
      </c>
      <c r="H26" s="106">
        <v>483210</v>
      </c>
      <c r="I26" s="170">
        <v>458098</v>
      </c>
      <c r="J26" s="175">
        <v>237663</v>
      </c>
      <c r="K26" s="106">
        <v>482076</v>
      </c>
      <c r="L26" s="106">
        <v>493579</v>
      </c>
      <c r="M26" s="188">
        <v>268869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163">
        <f>A6+21</f>
        <v>22</v>
      </c>
      <c r="B27" s="185">
        <v>475118</v>
      </c>
      <c r="C27" s="170">
        <v>472777</v>
      </c>
      <c r="D27" s="177"/>
      <c r="E27" s="170">
        <v>484136</v>
      </c>
      <c r="F27" s="170">
        <v>478225</v>
      </c>
      <c r="G27" s="201">
        <v>21631</v>
      </c>
      <c r="H27" s="106">
        <v>480551</v>
      </c>
      <c r="I27" s="106">
        <v>507374</v>
      </c>
      <c r="J27" s="174">
        <v>466860</v>
      </c>
      <c r="K27" s="170">
        <v>479695</v>
      </c>
      <c r="L27" s="172">
        <v>363941</v>
      </c>
      <c r="M27" s="107">
        <v>485331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163">
        <f>A6+22</f>
        <v>23</v>
      </c>
      <c r="B28" s="185">
        <v>477850</v>
      </c>
      <c r="C28" s="171">
        <v>357637</v>
      </c>
      <c r="D28" s="177"/>
      <c r="E28" s="170">
        <v>474215</v>
      </c>
      <c r="F28" s="170">
        <v>485976</v>
      </c>
      <c r="G28" s="170">
        <v>424526</v>
      </c>
      <c r="H28" s="170">
        <v>469530</v>
      </c>
      <c r="I28" s="172">
        <v>365699</v>
      </c>
      <c r="J28" s="174">
        <v>463412</v>
      </c>
      <c r="K28" s="170">
        <v>454226</v>
      </c>
      <c r="L28" s="172">
        <v>261912</v>
      </c>
      <c r="M28" s="107">
        <v>470116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163">
        <f>A6+23</f>
        <v>24</v>
      </c>
      <c r="B29" s="185">
        <v>474477</v>
      </c>
      <c r="C29" s="171">
        <v>222306</v>
      </c>
      <c r="D29" s="170">
        <v>444796</v>
      </c>
      <c r="E29" s="170">
        <v>465829</v>
      </c>
      <c r="F29" s="171">
        <v>336654</v>
      </c>
      <c r="G29" s="170">
        <v>478015</v>
      </c>
      <c r="H29" s="170">
        <v>485340</v>
      </c>
      <c r="I29" s="172">
        <v>217611</v>
      </c>
      <c r="J29" s="170">
        <v>469101</v>
      </c>
      <c r="K29" s="106">
        <v>464547</v>
      </c>
      <c r="L29" s="106">
        <v>481287</v>
      </c>
      <c r="M29" s="186">
        <v>371302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163">
        <f>A6+24</f>
        <v>25</v>
      </c>
      <c r="B30" s="185">
        <v>497828</v>
      </c>
      <c r="C30" s="169">
        <v>286608</v>
      </c>
      <c r="D30" s="170">
        <v>453459</v>
      </c>
      <c r="E30" s="170">
        <v>494146</v>
      </c>
      <c r="F30" s="171">
        <v>217882</v>
      </c>
      <c r="G30" s="170">
        <v>510343</v>
      </c>
      <c r="H30" s="106">
        <v>476630</v>
      </c>
      <c r="I30" s="173">
        <v>251140</v>
      </c>
      <c r="J30" s="170">
        <v>467917</v>
      </c>
      <c r="K30" s="172">
        <v>363972</v>
      </c>
      <c r="L30" s="106">
        <v>486883</v>
      </c>
      <c r="M30" s="189">
        <v>202850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163">
        <f>A6+25</f>
        <v>26</v>
      </c>
      <c r="B31" s="187">
        <v>353162</v>
      </c>
      <c r="C31" s="170">
        <v>473666</v>
      </c>
      <c r="D31" s="170">
        <v>455351</v>
      </c>
      <c r="E31" s="171">
        <v>338030</v>
      </c>
      <c r="F31" s="170">
        <v>481730</v>
      </c>
      <c r="G31" s="170">
        <v>463045</v>
      </c>
      <c r="H31" s="172">
        <v>366168</v>
      </c>
      <c r="I31" s="106">
        <v>495141</v>
      </c>
      <c r="J31" s="174">
        <v>478491</v>
      </c>
      <c r="K31" s="172">
        <v>235920</v>
      </c>
      <c r="L31" s="170">
        <v>500264</v>
      </c>
      <c r="M31" s="189">
        <v>272419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163">
        <f>A6+26</f>
        <v>27</v>
      </c>
      <c r="B32" s="187">
        <v>217603</v>
      </c>
      <c r="C32" s="170">
        <v>486850</v>
      </c>
      <c r="D32" s="170">
        <v>482864</v>
      </c>
      <c r="E32" s="171">
        <v>208968</v>
      </c>
      <c r="F32" s="170">
        <v>461989</v>
      </c>
      <c r="G32" s="170">
        <v>483849</v>
      </c>
      <c r="H32" s="172">
        <v>219895</v>
      </c>
      <c r="I32" s="170">
        <v>478094</v>
      </c>
      <c r="J32" s="175">
        <v>361201</v>
      </c>
      <c r="K32" s="106">
        <v>477940</v>
      </c>
      <c r="L32" s="170">
        <v>514904</v>
      </c>
      <c r="M32" s="188">
        <v>273411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163">
        <f>A6+27</f>
        <v>28</v>
      </c>
      <c r="B33" s="185">
        <v>478450</v>
      </c>
      <c r="C33" s="170">
        <v>466556</v>
      </c>
      <c r="D33" s="170">
        <v>464071</v>
      </c>
      <c r="E33" s="170">
        <v>476885</v>
      </c>
      <c r="F33" s="170">
        <v>472523</v>
      </c>
      <c r="G33" s="171">
        <v>353436</v>
      </c>
      <c r="H33" s="106">
        <v>450466</v>
      </c>
      <c r="I33" s="170">
        <v>470644</v>
      </c>
      <c r="J33" s="175">
        <v>208717</v>
      </c>
      <c r="K33" s="106">
        <v>459361</v>
      </c>
      <c r="L33" s="106">
        <v>506628</v>
      </c>
      <c r="M33" s="188">
        <v>212256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163">
        <f>A6+28</f>
        <v>29</v>
      </c>
      <c r="B34" s="185">
        <v>468649</v>
      </c>
      <c r="C34" s="170">
        <v>509636</v>
      </c>
      <c r="D34" s="171">
        <v>325212</v>
      </c>
      <c r="E34" s="170">
        <v>478539</v>
      </c>
      <c r="F34" s="170">
        <v>481910</v>
      </c>
      <c r="G34" s="171">
        <v>210984</v>
      </c>
      <c r="H34" s="106">
        <v>459941</v>
      </c>
      <c r="I34" s="170">
        <v>490460</v>
      </c>
      <c r="J34" s="174">
        <v>469942</v>
      </c>
      <c r="K34" s="170">
        <v>480425</v>
      </c>
      <c r="L34" s="172">
        <v>391462</v>
      </c>
      <c r="M34" s="203">
        <v>263254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163">
        <f>A6+29</f>
        <v>30</v>
      </c>
      <c r="B35" s="185">
        <v>478915</v>
      </c>
      <c r="C35" s="177"/>
      <c r="D35" s="171">
        <v>208934</v>
      </c>
      <c r="E35" s="170">
        <v>499976</v>
      </c>
      <c r="F35" s="170">
        <v>494302</v>
      </c>
      <c r="G35" s="170">
        <v>484251</v>
      </c>
      <c r="H35" s="170">
        <v>489915</v>
      </c>
      <c r="I35" s="172">
        <v>364555</v>
      </c>
      <c r="J35" s="174">
        <v>495928</v>
      </c>
      <c r="K35" s="170">
        <v>452475</v>
      </c>
      <c r="L35" s="171">
        <v>257829</v>
      </c>
      <c r="M35" s="189">
        <v>245532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164">
        <f>A6+30</f>
        <v>31</v>
      </c>
      <c r="B36" s="190">
        <v>473944</v>
      </c>
      <c r="C36" s="191"/>
      <c r="D36" s="192">
        <v>467660</v>
      </c>
      <c r="E36" s="191"/>
      <c r="F36" s="199">
        <v>340482</v>
      </c>
      <c r="G36" s="191"/>
      <c r="H36" s="192">
        <v>472196</v>
      </c>
      <c r="I36" s="193">
        <v>227106</v>
      </c>
      <c r="J36" s="191"/>
      <c r="K36" s="194">
        <v>465587</v>
      </c>
      <c r="L36" s="191"/>
      <c r="M36" s="195">
        <v>177916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44">
        <f>AVERAGE(B6:B36)</f>
        <v>411621.32258064515</v>
      </c>
      <c r="C37" s="130">
        <f>AVERAGE(C6:C36)</f>
        <v>418626.41379310342</v>
      </c>
      <c r="D37" s="130">
        <f>AVERAGE(D6:D36)</f>
        <v>414151.18518518517</v>
      </c>
      <c r="E37" s="130">
        <f>IFERROR(AVERAGE(E6:E36),0)</f>
        <v>418238.8</v>
      </c>
      <c r="F37" s="130">
        <f>IFERROR(AVERAGE(F6:F36),0)</f>
        <v>411964.96774193546</v>
      </c>
      <c r="G37" s="130">
        <f t="shared" ref="G37:M37" si="0">IFERROR(AVERAGE(G6:G36),0)</f>
        <v>395117.33333333331</v>
      </c>
      <c r="H37" s="130">
        <f t="shared" si="0"/>
        <v>425733.19354838709</v>
      </c>
      <c r="I37" s="130">
        <f t="shared" si="0"/>
        <v>407153.87096774194</v>
      </c>
      <c r="J37" s="130">
        <f t="shared" si="0"/>
        <v>428307.23333333334</v>
      </c>
      <c r="K37" s="130">
        <f t="shared" si="0"/>
        <v>422706.74193548388</v>
      </c>
      <c r="L37" s="130">
        <f>IFERROR(AVERAGE(L6:L36),0)</f>
        <v>414321.53333333333</v>
      </c>
      <c r="M37" s="168">
        <f t="shared" si="0"/>
        <v>391264.03225806454</v>
      </c>
    </row>
    <row r="38" spans="1:22">
      <c r="A38" s="48" t="s">
        <v>20</v>
      </c>
      <c r="B38" s="12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1:22">
      <c r="A39" s="52" t="s">
        <v>21</v>
      </c>
      <c r="B39" s="12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1"/>
    </row>
    <row r="40" spans="1:22">
      <c r="A40" s="52" t="s">
        <v>22</v>
      </c>
      <c r="B40" s="12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1"/>
    </row>
    <row r="41" spans="1:22">
      <c r="A41" s="52" t="s">
        <v>23</v>
      </c>
      <c r="B41" s="12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</row>
    <row r="42" spans="1:22">
      <c r="A42" s="52" t="s">
        <v>24</v>
      </c>
      <c r="B42" s="108">
        <f>MAX(B6:B36)</f>
        <v>502950</v>
      </c>
      <c r="C42" s="109">
        <f>MAX(C6:C36)</f>
        <v>509636</v>
      </c>
      <c r="D42" s="109">
        <f t="shared" ref="D42:M42" si="1">MAX(D6:D36)</f>
        <v>498048</v>
      </c>
      <c r="E42" s="109">
        <f t="shared" si="1"/>
        <v>500542</v>
      </c>
      <c r="F42" s="109">
        <f t="shared" si="1"/>
        <v>498560</v>
      </c>
      <c r="G42" s="109">
        <f t="shared" si="1"/>
        <v>510343</v>
      </c>
      <c r="H42" s="109">
        <f t="shared" si="1"/>
        <v>493932</v>
      </c>
      <c r="I42" s="109">
        <f t="shared" si="1"/>
        <v>507374</v>
      </c>
      <c r="J42" s="109">
        <f t="shared" si="1"/>
        <v>495928</v>
      </c>
      <c r="K42" s="109">
        <f t="shared" si="1"/>
        <v>527530</v>
      </c>
      <c r="L42" s="109">
        <f t="shared" si="1"/>
        <v>514904</v>
      </c>
      <c r="M42" s="110">
        <f t="shared" si="1"/>
        <v>507355</v>
      </c>
    </row>
    <row r="43" spans="1:22" ht="12.75" thickBot="1">
      <c r="A43" s="55" t="s">
        <v>25</v>
      </c>
      <c r="B43" s="111">
        <f t="shared" ref="B43:L43" si="2">SUM(B6:B36)</f>
        <v>12760261</v>
      </c>
      <c r="C43" s="57">
        <f>SUM(C6:C36)</f>
        <v>12140166</v>
      </c>
      <c r="D43" s="57">
        <f t="shared" si="2"/>
        <v>11182082</v>
      </c>
      <c r="E43" s="57">
        <f t="shared" si="2"/>
        <v>12547164</v>
      </c>
      <c r="F43" s="57">
        <f t="shared" si="2"/>
        <v>12770914</v>
      </c>
      <c r="G43" s="57">
        <f t="shared" si="2"/>
        <v>11853520</v>
      </c>
      <c r="H43" s="57">
        <f t="shared" si="2"/>
        <v>13197729</v>
      </c>
      <c r="I43" s="57">
        <f t="shared" si="2"/>
        <v>12621770</v>
      </c>
      <c r="J43" s="57">
        <f t="shared" si="2"/>
        <v>12849217</v>
      </c>
      <c r="K43" s="57">
        <f t="shared" si="2"/>
        <v>13103909</v>
      </c>
      <c r="L43" s="57">
        <f t="shared" si="2"/>
        <v>12429646</v>
      </c>
      <c r="M43" s="58">
        <f>SUM(M6:M36)</f>
        <v>12129185</v>
      </c>
      <c r="P43" s="59"/>
    </row>
    <row r="44" spans="1:22" s="60" customFormat="1" ht="11.25"/>
    <row r="45" spans="1:22">
      <c r="A45" s="61"/>
    </row>
    <row r="46" spans="1:22" ht="15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37" priority="7" rank="1"/>
  </conditionalFormatting>
  <printOptions horizontalCentered="1" verticalCentered="1"/>
  <pageMargins left="0.25" right="0" top="0.25" bottom="0.25" header="0.31" footer="0.31"/>
  <pageSetup paperSize="5" scale="95" orientation="landscape" r:id="rId1"/>
  <rowBreaks count="1" manualBreakCount="1">
    <brk id="4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V51"/>
  <sheetViews>
    <sheetView view="pageBreakPreview" zoomScaleNormal="120" zoomScaleSheetLayoutView="100" zoomScalePageLayoutView="120" workbookViewId="0">
      <pane xSplit="1" ySplit="5" topLeftCell="B20" activePane="bottomRight" state="frozen"/>
      <selection pane="bottomRight" activeCell="B43" sqref="B43:M43"/>
      <selection pane="bottomLeft" activeCell="D24" sqref="D24"/>
      <selection pane="topRight" activeCell="D24" sqref="D24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45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65" t="s">
        <v>7</v>
      </c>
      <c r="C5" s="166" t="s">
        <v>8</v>
      </c>
      <c r="D5" s="166" t="s">
        <v>9</v>
      </c>
      <c r="E5" s="166" t="s">
        <v>10</v>
      </c>
      <c r="F5" s="166" t="s">
        <v>11</v>
      </c>
      <c r="G5" s="166" t="s">
        <v>12</v>
      </c>
      <c r="H5" s="166" t="s">
        <v>13</v>
      </c>
      <c r="I5" s="166" t="s">
        <v>14</v>
      </c>
      <c r="J5" s="166" t="s">
        <v>15</v>
      </c>
      <c r="K5" s="166" t="s">
        <v>16</v>
      </c>
      <c r="L5" s="166" t="s">
        <v>17</v>
      </c>
      <c r="M5" s="167" t="s">
        <v>18</v>
      </c>
    </row>
    <row r="6" spans="1:22" s="3" customFormat="1" ht="15" customHeight="1">
      <c r="A6" s="162">
        <v>1</v>
      </c>
      <c r="B6" s="178">
        <v>127298</v>
      </c>
      <c r="C6" s="181">
        <v>241185</v>
      </c>
      <c r="D6" s="181">
        <v>230882</v>
      </c>
      <c r="E6" s="179">
        <v>498061</v>
      </c>
      <c r="F6" s="180">
        <v>307232</v>
      </c>
      <c r="G6" s="179">
        <v>457997</v>
      </c>
      <c r="H6" s="182">
        <v>494814</v>
      </c>
      <c r="I6" s="183">
        <v>355693</v>
      </c>
      <c r="J6" s="182">
        <v>515893</v>
      </c>
      <c r="K6" s="179">
        <v>472283</v>
      </c>
      <c r="L6" s="180">
        <v>185257</v>
      </c>
      <c r="M6" s="196">
        <v>492283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163">
        <f>A6+1</f>
        <v>2</v>
      </c>
      <c r="B7" s="197">
        <v>229137</v>
      </c>
      <c r="C7" s="170">
        <v>493540</v>
      </c>
      <c r="D7" s="170">
        <v>471035</v>
      </c>
      <c r="E7" s="170">
        <v>473586</v>
      </c>
      <c r="F7" s="171">
        <v>309735</v>
      </c>
      <c r="G7" s="170">
        <v>483864</v>
      </c>
      <c r="H7" s="170">
        <v>463542</v>
      </c>
      <c r="I7" s="172">
        <v>250715</v>
      </c>
      <c r="J7" s="106">
        <v>497392</v>
      </c>
      <c r="K7" s="170">
        <v>457268</v>
      </c>
      <c r="L7" s="173">
        <v>243694</v>
      </c>
      <c r="M7" s="107">
        <v>502922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163">
        <f>A6+2</f>
        <v>3</v>
      </c>
      <c r="B8" s="187">
        <v>474086</v>
      </c>
      <c r="C8" s="170">
        <v>482317</v>
      </c>
      <c r="D8" s="170">
        <v>487136</v>
      </c>
      <c r="E8" s="170">
        <v>483897</v>
      </c>
      <c r="F8" s="171">
        <v>204541</v>
      </c>
      <c r="G8" s="170">
        <v>476921</v>
      </c>
      <c r="H8" s="170">
        <v>478762</v>
      </c>
      <c r="I8" s="106">
        <v>475915</v>
      </c>
      <c r="J8" s="170">
        <v>472283</v>
      </c>
      <c r="K8" s="176">
        <v>257293</v>
      </c>
      <c r="L8" s="106">
        <v>490833</v>
      </c>
      <c r="M8" s="186">
        <v>498186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163">
        <f>A6+3</f>
        <v>4</v>
      </c>
      <c r="B9" s="187">
        <v>199787</v>
      </c>
      <c r="C9" s="170">
        <v>493693</v>
      </c>
      <c r="D9" s="170">
        <v>482315</v>
      </c>
      <c r="E9" s="171">
        <v>347251</v>
      </c>
      <c r="F9" s="170">
        <v>474876</v>
      </c>
      <c r="G9" s="170">
        <v>443145</v>
      </c>
      <c r="H9" s="172">
        <v>357638</v>
      </c>
      <c r="I9" s="106">
        <v>501562</v>
      </c>
      <c r="J9" s="170">
        <v>503392</v>
      </c>
      <c r="K9" s="175">
        <v>243527</v>
      </c>
      <c r="L9" s="106">
        <v>486643</v>
      </c>
      <c r="M9" s="186">
        <v>510301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163">
        <f>A6+4</f>
        <v>5</v>
      </c>
      <c r="B10" s="185">
        <v>451847</v>
      </c>
      <c r="C10" s="170">
        <v>491164</v>
      </c>
      <c r="D10" s="170">
        <v>471025</v>
      </c>
      <c r="E10" s="171">
        <v>233745</v>
      </c>
      <c r="F10" s="170">
        <v>478907</v>
      </c>
      <c r="G10" s="170">
        <v>486431</v>
      </c>
      <c r="H10" s="172">
        <v>226216</v>
      </c>
      <c r="I10" s="173">
        <v>262749</v>
      </c>
      <c r="J10" s="172">
        <v>369355</v>
      </c>
      <c r="K10" s="174">
        <v>504078</v>
      </c>
      <c r="L10" s="170">
        <v>485860</v>
      </c>
      <c r="M10" s="188">
        <v>395257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163">
        <f>A6+5</f>
        <v>6</v>
      </c>
      <c r="B11" s="185">
        <v>469569</v>
      </c>
      <c r="C11" s="170">
        <v>510668</v>
      </c>
      <c r="D11" s="170">
        <v>507380</v>
      </c>
      <c r="E11" s="169">
        <v>262196</v>
      </c>
      <c r="F11" s="170">
        <v>491718</v>
      </c>
      <c r="G11" s="171">
        <v>307654</v>
      </c>
      <c r="H11" s="170">
        <v>480663</v>
      </c>
      <c r="I11" s="170">
        <v>468940</v>
      </c>
      <c r="J11" s="172">
        <v>266581</v>
      </c>
      <c r="K11" s="174">
        <v>507253</v>
      </c>
      <c r="L11" s="170">
        <v>517580</v>
      </c>
      <c r="M11" s="188">
        <v>272321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163">
        <f>A6+6</f>
        <v>7</v>
      </c>
      <c r="B12" s="185">
        <v>485825</v>
      </c>
      <c r="C12" s="171">
        <v>357563</v>
      </c>
      <c r="D12" s="171">
        <v>355318</v>
      </c>
      <c r="E12" s="170">
        <v>459636</v>
      </c>
      <c r="F12" s="170">
        <v>406828</v>
      </c>
      <c r="G12" s="171">
        <v>235635</v>
      </c>
      <c r="H12" s="106">
        <v>473457</v>
      </c>
      <c r="I12" s="170">
        <v>491421</v>
      </c>
      <c r="J12" s="173">
        <v>257323</v>
      </c>
      <c r="K12" s="174">
        <v>500026</v>
      </c>
      <c r="L12" s="172">
        <v>382514</v>
      </c>
      <c r="M12" s="107">
        <v>477289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163">
        <f>A6+7</f>
        <v>8</v>
      </c>
      <c r="B13" s="185">
        <v>453748</v>
      </c>
      <c r="C13" s="171">
        <v>230460</v>
      </c>
      <c r="D13" s="171">
        <v>263509</v>
      </c>
      <c r="E13" s="170">
        <v>416238</v>
      </c>
      <c r="F13" s="170">
        <v>514030</v>
      </c>
      <c r="G13" s="170">
        <v>487624</v>
      </c>
      <c r="H13" s="106">
        <v>460013</v>
      </c>
      <c r="I13" s="172">
        <v>374458</v>
      </c>
      <c r="J13" s="106">
        <v>480570</v>
      </c>
      <c r="K13" s="170">
        <v>434150</v>
      </c>
      <c r="L13" s="172">
        <v>250799</v>
      </c>
      <c r="M13" s="107">
        <v>480869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163">
        <f>A6+8</f>
        <v>9</v>
      </c>
      <c r="B14" s="185">
        <v>498750</v>
      </c>
      <c r="C14" s="170">
        <v>486918</v>
      </c>
      <c r="D14" s="170">
        <v>464759</v>
      </c>
      <c r="E14" s="177"/>
      <c r="F14" s="171">
        <v>371214</v>
      </c>
      <c r="G14" s="170">
        <v>477367</v>
      </c>
      <c r="H14" s="170">
        <v>456769</v>
      </c>
      <c r="I14" s="172">
        <v>248998</v>
      </c>
      <c r="J14" s="106">
        <v>476898</v>
      </c>
      <c r="K14" s="170">
        <v>501775</v>
      </c>
      <c r="L14" s="106">
        <v>494022</v>
      </c>
      <c r="M14" s="107">
        <v>509839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163">
        <f>A6+9</f>
        <v>10</v>
      </c>
      <c r="B15" s="187">
        <v>350329</v>
      </c>
      <c r="C15" s="170">
        <v>503477</v>
      </c>
      <c r="D15" s="170">
        <v>479030</v>
      </c>
      <c r="E15" s="177"/>
      <c r="F15" s="171">
        <v>233825</v>
      </c>
      <c r="G15" s="170">
        <v>474203</v>
      </c>
      <c r="H15" s="170">
        <v>501069</v>
      </c>
      <c r="I15" s="106">
        <v>492947</v>
      </c>
      <c r="J15" s="170">
        <v>483458</v>
      </c>
      <c r="K15" s="175">
        <v>375189</v>
      </c>
      <c r="L15" s="106">
        <v>488122</v>
      </c>
      <c r="M15" s="186">
        <v>487993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163">
        <f>A6+10</f>
        <v>11</v>
      </c>
      <c r="B16" s="187">
        <v>247967</v>
      </c>
      <c r="C16" s="170">
        <v>506862</v>
      </c>
      <c r="D16" s="170">
        <v>477711</v>
      </c>
      <c r="E16" s="177"/>
      <c r="F16" s="170">
        <v>454582</v>
      </c>
      <c r="G16" s="170">
        <v>470436</v>
      </c>
      <c r="H16" s="172">
        <v>388575</v>
      </c>
      <c r="I16" s="106">
        <v>496639</v>
      </c>
      <c r="J16" s="170">
        <v>507995</v>
      </c>
      <c r="K16" s="175">
        <v>261506</v>
      </c>
      <c r="L16" s="106">
        <v>491127</v>
      </c>
      <c r="M16" s="186">
        <v>516430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163">
        <f>A6+11</f>
        <v>12</v>
      </c>
      <c r="B17" s="185">
        <v>469719</v>
      </c>
      <c r="C17" s="170">
        <v>483278</v>
      </c>
      <c r="D17" s="170">
        <v>454663</v>
      </c>
      <c r="E17" s="177"/>
      <c r="F17" s="170">
        <v>486982</v>
      </c>
      <c r="G17" s="169">
        <v>219169</v>
      </c>
      <c r="H17" s="172">
        <v>225855</v>
      </c>
      <c r="I17" s="106">
        <v>474536</v>
      </c>
      <c r="J17" s="172">
        <v>353725</v>
      </c>
      <c r="K17" s="174">
        <v>486733</v>
      </c>
      <c r="L17" s="170">
        <v>486072</v>
      </c>
      <c r="M17" s="188">
        <v>408793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163">
        <f>A6+12</f>
        <v>13</v>
      </c>
      <c r="B18" s="185">
        <v>470825</v>
      </c>
      <c r="C18" s="170">
        <v>508122</v>
      </c>
      <c r="D18" s="170">
        <v>482919</v>
      </c>
      <c r="E18" s="170">
        <v>461600</v>
      </c>
      <c r="F18" s="170">
        <v>475387</v>
      </c>
      <c r="G18" s="171">
        <v>318899</v>
      </c>
      <c r="H18" s="106">
        <v>468962</v>
      </c>
      <c r="I18" s="170">
        <v>527227</v>
      </c>
      <c r="J18" s="172">
        <v>236852</v>
      </c>
      <c r="K18" s="174">
        <v>466023</v>
      </c>
      <c r="L18" s="170">
        <v>524164</v>
      </c>
      <c r="M18" s="188">
        <v>280862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163">
        <f>A6+13</f>
        <v>14</v>
      </c>
      <c r="B19" s="185">
        <v>511247</v>
      </c>
      <c r="C19" s="171">
        <v>370068</v>
      </c>
      <c r="D19" s="171">
        <v>357899</v>
      </c>
      <c r="E19" s="170">
        <v>468993</v>
      </c>
      <c r="F19" s="170">
        <v>456626</v>
      </c>
      <c r="G19" s="171">
        <v>216064</v>
      </c>
      <c r="H19" s="106">
        <v>469077</v>
      </c>
      <c r="I19" s="170">
        <v>501136</v>
      </c>
      <c r="J19" s="106">
        <v>469966</v>
      </c>
      <c r="K19" s="174">
        <v>512120</v>
      </c>
      <c r="L19" s="172">
        <v>396869</v>
      </c>
      <c r="M19" s="107">
        <v>488378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163">
        <f>A6+14</f>
        <v>15</v>
      </c>
      <c r="B20" s="185">
        <v>486483</v>
      </c>
      <c r="C20" s="171">
        <v>245889</v>
      </c>
      <c r="D20" s="171">
        <v>230702</v>
      </c>
      <c r="E20" s="170">
        <v>502203</v>
      </c>
      <c r="F20" s="170">
        <v>490024</v>
      </c>
      <c r="G20" s="170">
        <v>472317</v>
      </c>
      <c r="H20" s="106">
        <v>514351</v>
      </c>
      <c r="I20" s="172">
        <v>381650</v>
      </c>
      <c r="J20" s="106">
        <v>560637</v>
      </c>
      <c r="K20" s="170">
        <v>465928</v>
      </c>
      <c r="L20" s="172">
        <v>250180</v>
      </c>
      <c r="M20" s="107">
        <v>500432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163">
        <f>A6+15</f>
        <v>16</v>
      </c>
      <c r="B21" s="185">
        <v>507865</v>
      </c>
      <c r="C21" s="170">
        <v>477381</v>
      </c>
      <c r="D21" s="170">
        <v>509560</v>
      </c>
      <c r="E21" s="170">
        <v>456393</v>
      </c>
      <c r="F21" s="171">
        <v>350070</v>
      </c>
      <c r="G21" s="170">
        <v>460197</v>
      </c>
      <c r="H21" s="170">
        <v>449783</v>
      </c>
      <c r="I21" s="172">
        <v>217986</v>
      </c>
      <c r="J21" s="106">
        <v>512034</v>
      </c>
      <c r="K21" s="170">
        <v>540457</v>
      </c>
      <c r="L21" s="106">
        <v>499487</v>
      </c>
      <c r="M21" s="107">
        <v>518718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163">
        <f>A6+16</f>
        <v>17</v>
      </c>
      <c r="B22" s="187">
        <v>361646</v>
      </c>
      <c r="C22" s="170">
        <v>498786</v>
      </c>
      <c r="D22" s="170">
        <v>469032</v>
      </c>
      <c r="E22" s="170">
        <v>465034</v>
      </c>
      <c r="F22" s="171">
        <v>231346</v>
      </c>
      <c r="G22" s="170">
        <v>468318</v>
      </c>
      <c r="H22" s="170">
        <v>413332</v>
      </c>
      <c r="I22" s="106">
        <v>492253</v>
      </c>
      <c r="J22" s="170">
        <v>496381</v>
      </c>
      <c r="K22" s="172">
        <v>372211</v>
      </c>
      <c r="L22" s="106">
        <v>501706</v>
      </c>
      <c r="M22" s="186">
        <v>490533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163">
        <f>A6+17</f>
        <v>18</v>
      </c>
      <c r="B23" s="187">
        <v>230910</v>
      </c>
      <c r="C23" s="170">
        <v>495663</v>
      </c>
      <c r="D23" s="170">
        <v>482150</v>
      </c>
      <c r="E23" s="171">
        <v>333972</v>
      </c>
      <c r="F23" s="170">
        <v>462155</v>
      </c>
      <c r="G23" s="170">
        <v>453229</v>
      </c>
      <c r="H23" s="172">
        <v>363179</v>
      </c>
      <c r="I23" s="106">
        <v>435018</v>
      </c>
      <c r="J23" s="170">
        <v>522305</v>
      </c>
      <c r="K23" s="172">
        <v>290419</v>
      </c>
      <c r="L23" s="106">
        <v>479273</v>
      </c>
      <c r="M23" s="186">
        <v>474444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163">
        <f>A6+18</f>
        <v>19</v>
      </c>
      <c r="B24" s="185">
        <v>483670</v>
      </c>
      <c r="C24" s="170">
        <v>467785</v>
      </c>
      <c r="D24" s="170">
        <v>477125</v>
      </c>
      <c r="E24" s="171">
        <v>222561</v>
      </c>
      <c r="F24" s="170">
        <v>467731</v>
      </c>
      <c r="G24" s="170">
        <v>479563</v>
      </c>
      <c r="H24" s="172">
        <v>231928</v>
      </c>
      <c r="I24" s="106">
        <v>488329</v>
      </c>
      <c r="J24" s="175">
        <v>379438</v>
      </c>
      <c r="K24" s="106">
        <v>486061</v>
      </c>
      <c r="L24" s="170">
        <v>479005</v>
      </c>
      <c r="M24" s="188">
        <v>418771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163">
        <f>A6+19</f>
        <v>20</v>
      </c>
      <c r="B25" s="185">
        <v>472034</v>
      </c>
      <c r="C25" s="170">
        <v>512475</v>
      </c>
      <c r="D25" s="170">
        <v>483046</v>
      </c>
      <c r="E25" s="170">
        <v>465281</v>
      </c>
      <c r="F25" s="170">
        <v>483989</v>
      </c>
      <c r="G25" s="171">
        <v>399356</v>
      </c>
      <c r="H25" s="106">
        <v>507396</v>
      </c>
      <c r="I25" s="170">
        <v>503376</v>
      </c>
      <c r="J25" s="175">
        <v>233817</v>
      </c>
      <c r="K25" s="106">
        <v>540905</v>
      </c>
      <c r="L25" s="170">
        <v>519095</v>
      </c>
      <c r="M25" s="188">
        <v>279449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163">
        <f>A6+20</f>
        <v>21</v>
      </c>
      <c r="B26" s="185">
        <v>511867</v>
      </c>
      <c r="C26" s="171">
        <v>345252</v>
      </c>
      <c r="D26" s="171">
        <v>354091</v>
      </c>
      <c r="E26" s="170">
        <v>470114</v>
      </c>
      <c r="F26" s="170">
        <v>456787</v>
      </c>
      <c r="G26" s="171">
        <v>234156</v>
      </c>
      <c r="H26" s="106">
        <v>497032</v>
      </c>
      <c r="I26" s="169">
        <v>322283</v>
      </c>
      <c r="J26" s="176">
        <v>276186</v>
      </c>
      <c r="K26" s="106">
        <v>498543</v>
      </c>
      <c r="L26" s="172">
        <v>384330</v>
      </c>
      <c r="M26" s="107">
        <v>491332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163">
        <f>A6+21</f>
        <v>22</v>
      </c>
      <c r="B27" s="185">
        <v>481722</v>
      </c>
      <c r="C27" s="171">
        <v>232551</v>
      </c>
      <c r="D27" s="171">
        <v>234497</v>
      </c>
      <c r="E27" s="170">
        <v>461742</v>
      </c>
      <c r="F27" s="170">
        <v>476205</v>
      </c>
      <c r="G27" s="170">
        <v>484072</v>
      </c>
      <c r="H27" s="106">
        <v>481143</v>
      </c>
      <c r="I27" s="172">
        <v>334687</v>
      </c>
      <c r="J27" s="174">
        <v>504570</v>
      </c>
      <c r="K27" s="170">
        <v>473577</v>
      </c>
      <c r="L27" s="172">
        <v>257204</v>
      </c>
      <c r="M27" s="107">
        <v>491811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163">
        <f>A6+22</f>
        <v>23</v>
      </c>
      <c r="B28" s="185">
        <v>509402</v>
      </c>
      <c r="C28" s="170">
        <v>464588</v>
      </c>
      <c r="D28" s="170">
        <v>478444</v>
      </c>
      <c r="E28" s="170">
        <v>474566</v>
      </c>
      <c r="F28" s="171">
        <v>326941</v>
      </c>
      <c r="G28" s="170">
        <v>471051</v>
      </c>
      <c r="H28" s="170">
        <v>463360</v>
      </c>
      <c r="I28" s="172">
        <v>239032</v>
      </c>
      <c r="J28" s="174">
        <v>510407</v>
      </c>
      <c r="K28" s="170">
        <v>497166</v>
      </c>
      <c r="L28" s="106">
        <v>475685</v>
      </c>
      <c r="M28" s="107">
        <v>464344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163">
        <f>A6+23</f>
        <v>24</v>
      </c>
      <c r="B29" s="187">
        <v>354648</v>
      </c>
      <c r="C29" s="170">
        <v>480685</v>
      </c>
      <c r="D29" s="170">
        <v>468260</v>
      </c>
      <c r="E29" s="170">
        <v>482065</v>
      </c>
      <c r="F29" s="171">
        <v>229360</v>
      </c>
      <c r="G29" s="170">
        <v>454603</v>
      </c>
      <c r="H29" s="170">
        <v>509040</v>
      </c>
      <c r="I29" s="106">
        <v>480719</v>
      </c>
      <c r="J29" s="170">
        <v>484730</v>
      </c>
      <c r="K29" s="172">
        <v>314374</v>
      </c>
      <c r="L29" s="106">
        <v>488939</v>
      </c>
      <c r="M29" s="189">
        <v>248942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163">
        <f>A6+24</f>
        <v>25</v>
      </c>
      <c r="B30" s="187">
        <v>221979</v>
      </c>
      <c r="C30" s="170">
        <v>500408</v>
      </c>
      <c r="D30" s="170">
        <v>485643</v>
      </c>
      <c r="E30" s="171">
        <v>327775</v>
      </c>
      <c r="F30" s="170">
        <v>456261</v>
      </c>
      <c r="G30" s="170">
        <v>447807</v>
      </c>
      <c r="H30" s="172">
        <v>353839</v>
      </c>
      <c r="I30" s="106">
        <v>475691</v>
      </c>
      <c r="J30" s="170">
        <v>528384</v>
      </c>
      <c r="K30" s="172">
        <v>258409</v>
      </c>
      <c r="L30" s="106">
        <v>493626</v>
      </c>
      <c r="M30" s="189">
        <v>214812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163">
        <f>A6+25</f>
        <v>26</v>
      </c>
      <c r="B31" s="185">
        <v>479007</v>
      </c>
      <c r="C31" s="170">
        <v>480693</v>
      </c>
      <c r="D31" s="170">
        <v>458752</v>
      </c>
      <c r="E31" s="171">
        <v>221942</v>
      </c>
      <c r="F31" s="170">
        <v>462093</v>
      </c>
      <c r="G31" s="170">
        <v>491406</v>
      </c>
      <c r="H31" s="172">
        <v>235172</v>
      </c>
      <c r="I31" s="106">
        <v>491769</v>
      </c>
      <c r="J31" s="175">
        <v>300621</v>
      </c>
      <c r="K31" s="106">
        <v>499391</v>
      </c>
      <c r="L31" s="170">
        <v>490891</v>
      </c>
      <c r="M31" s="189">
        <v>257483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163">
        <f>A6+26</f>
        <v>27</v>
      </c>
      <c r="B32" s="185">
        <v>491195</v>
      </c>
      <c r="C32" s="170">
        <v>496609</v>
      </c>
      <c r="D32" s="170">
        <v>478989</v>
      </c>
      <c r="E32" s="170">
        <v>464934</v>
      </c>
      <c r="F32" s="170">
        <v>481311</v>
      </c>
      <c r="G32" s="171">
        <v>353282</v>
      </c>
      <c r="H32" s="106">
        <v>443153</v>
      </c>
      <c r="I32" s="170">
        <v>493372</v>
      </c>
      <c r="J32" s="175">
        <v>181419</v>
      </c>
      <c r="K32" s="106">
        <v>500355</v>
      </c>
      <c r="L32" s="170">
        <v>506767</v>
      </c>
      <c r="M32" s="188">
        <v>248858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163">
        <f>A6+27</f>
        <v>28</v>
      </c>
      <c r="B33" s="185">
        <v>490628</v>
      </c>
      <c r="C33" s="171">
        <v>368371</v>
      </c>
      <c r="D33" s="171">
        <v>346166</v>
      </c>
      <c r="E33" s="170">
        <v>459694</v>
      </c>
      <c r="F33" s="170">
        <v>449634</v>
      </c>
      <c r="G33" s="171">
        <v>231111</v>
      </c>
      <c r="H33" s="106">
        <v>477238</v>
      </c>
      <c r="I33" s="170">
        <v>499695</v>
      </c>
      <c r="J33" s="174">
        <v>363282</v>
      </c>
      <c r="K33" s="106">
        <v>493265</v>
      </c>
      <c r="L33" s="172">
        <v>392092</v>
      </c>
      <c r="M33" s="107">
        <v>417369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163">
        <f>A6+28</f>
        <v>29</v>
      </c>
      <c r="B34" s="185">
        <v>496042</v>
      </c>
      <c r="C34" s="177"/>
      <c r="D34" s="171">
        <v>226104</v>
      </c>
      <c r="E34" s="170">
        <v>496808</v>
      </c>
      <c r="F34" s="170">
        <v>478262</v>
      </c>
      <c r="G34" s="170">
        <v>470108</v>
      </c>
      <c r="H34" s="106">
        <v>479244</v>
      </c>
      <c r="I34" s="171">
        <v>383026</v>
      </c>
      <c r="J34" s="174">
        <v>461941</v>
      </c>
      <c r="K34" s="170">
        <v>481224</v>
      </c>
      <c r="L34" s="172">
        <v>263657</v>
      </c>
      <c r="M34" s="107">
        <v>421779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163">
        <f>A6+29</f>
        <v>30</v>
      </c>
      <c r="B35" s="185">
        <v>484708</v>
      </c>
      <c r="C35" s="177"/>
      <c r="D35" s="170">
        <v>472660</v>
      </c>
      <c r="E35" s="170">
        <v>469959</v>
      </c>
      <c r="F35" s="171">
        <v>357719</v>
      </c>
      <c r="G35" s="170">
        <v>476662</v>
      </c>
      <c r="H35" s="170">
        <v>461964</v>
      </c>
      <c r="I35" s="172">
        <v>248492</v>
      </c>
      <c r="J35" s="174">
        <v>486721</v>
      </c>
      <c r="K35" s="170">
        <v>497703</v>
      </c>
      <c r="L35" s="169">
        <v>289548</v>
      </c>
      <c r="M35" s="189">
        <v>243897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164">
        <f>A6+30</f>
        <v>31</v>
      </c>
      <c r="B36" s="198">
        <v>387226</v>
      </c>
      <c r="C36" s="191"/>
      <c r="D36" s="192">
        <v>477341</v>
      </c>
      <c r="E36" s="191"/>
      <c r="F36" s="199">
        <v>236373</v>
      </c>
      <c r="G36" s="191"/>
      <c r="H36" s="192">
        <v>508749</v>
      </c>
      <c r="I36" s="200">
        <v>271144</v>
      </c>
      <c r="J36" s="191"/>
      <c r="K36" s="200">
        <v>145902</v>
      </c>
      <c r="L36" s="191"/>
      <c r="M36" s="195">
        <v>194186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44">
        <f>AVERAGE(B6:B36)</f>
        <v>415844.06451612903</v>
      </c>
      <c r="C37" s="144">
        <f t="shared" ref="C37:G37" si="0">AVERAGE(C6:C36)</f>
        <v>436658.96428571426</v>
      </c>
      <c r="D37" s="144">
        <f t="shared" si="0"/>
        <v>423165.90322580643</v>
      </c>
      <c r="E37" s="144">
        <f t="shared" si="0"/>
        <v>418471</v>
      </c>
      <c r="F37" s="144">
        <f t="shared" si="0"/>
        <v>405249.80645161291</v>
      </c>
      <c r="G37" s="144">
        <f t="shared" si="0"/>
        <v>413421.56666666665</v>
      </c>
      <c r="H37" s="130">
        <f t="shared" ref="H37:M37" si="1">IFERROR(AVERAGE(H6:H36),0)</f>
        <v>430171.45161290321</v>
      </c>
      <c r="I37" s="130">
        <f t="shared" si="1"/>
        <v>409079.29032258067</v>
      </c>
      <c r="J37" s="130">
        <f t="shared" si="1"/>
        <v>423151.86666666664</v>
      </c>
      <c r="K37" s="130">
        <f t="shared" si="1"/>
        <v>430164.96774193546</v>
      </c>
      <c r="L37" s="130">
        <f>IFERROR(AVERAGE(L6:L36),0)</f>
        <v>423168.03333333333</v>
      </c>
      <c r="M37" s="168">
        <f t="shared" si="1"/>
        <v>409641.38709677418</v>
      </c>
    </row>
    <row r="38" spans="1:22">
      <c r="A38" s="48" t="s">
        <v>20</v>
      </c>
      <c r="B38" s="12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1:22">
      <c r="A39" s="52" t="s">
        <v>21</v>
      </c>
      <c r="B39" s="12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1"/>
    </row>
    <row r="40" spans="1:22">
      <c r="A40" s="52" t="s">
        <v>22</v>
      </c>
      <c r="B40" s="12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1"/>
    </row>
    <row r="41" spans="1:22">
      <c r="A41" s="52" t="s">
        <v>23</v>
      </c>
      <c r="B41" s="12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</row>
    <row r="42" spans="1:22">
      <c r="A42" s="52" t="s">
        <v>24</v>
      </c>
      <c r="B42" s="108">
        <f>MAX(B6:B36)</f>
        <v>511867</v>
      </c>
      <c r="C42" s="109">
        <f>MAX(C6:C36)</f>
        <v>512475</v>
      </c>
      <c r="D42" s="109">
        <f t="shared" ref="D42:M42" si="2">MAX(D6:D36)</f>
        <v>509560</v>
      </c>
      <c r="E42" s="109">
        <f t="shared" si="2"/>
        <v>502203</v>
      </c>
      <c r="F42" s="109">
        <f t="shared" si="2"/>
        <v>514030</v>
      </c>
      <c r="G42" s="109">
        <f t="shared" si="2"/>
        <v>491406</v>
      </c>
      <c r="H42" s="109">
        <f t="shared" si="2"/>
        <v>514351</v>
      </c>
      <c r="I42" s="109">
        <f t="shared" si="2"/>
        <v>527227</v>
      </c>
      <c r="J42" s="109">
        <f t="shared" si="2"/>
        <v>560637</v>
      </c>
      <c r="K42" s="109">
        <f t="shared" si="2"/>
        <v>540905</v>
      </c>
      <c r="L42" s="109">
        <f t="shared" si="2"/>
        <v>524164</v>
      </c>
      <c r="M42" s="110">
        <f t="shared" si="2"/>
        <v>518718</v>
      </c>
    </row>
    <row r="43" spans="1:22" ht="12.75" thickBot="1">
      <c r="A43" s="55" t="s">
        <v>25</v>
      </c>
      <c r="B43" s="111">
        <f t="shared" ref="B43:L43" si="3">SUM(B6:B36)</f>
        <v>12891166</v>
      </c>
      <c r="C43" s="57">
        <f>SUM(C6:C36)</f>
        <v>12226451</v>
      </c>
      <c r="D43" s="57">
        <f t="shared" si="3"/>
        <v>13118143</v>
      </c>
      <c r="E43" s="57">
        <f t="shared" si="3"/>
        <v>10880246</v>
      </c>
      <c r="F43" s="57">
        <f t="shared" si="3"/>
        <v>12562744</v>
      </c>
      <c r="G43" s="57">
        <f t="shared" si="3"/>
        <v>12402647</v>
      </c>
      <c r="H43" s="57">
        <f t="shared" si="3"/>
        <v>13335315</v>
      </c>
      <c r="I43" s="57">
        <f t="shared" si="3"/>
        <v>12681458</v>
      </c>
      <c r="J43" s="57">
        <f t="shared" si="3"/>
        <v>12694556</v>
      </c>
      <c r="K43" s="57">
        <f t="shared" si="3"/>
        <v>13335114</v>
      </c>
      <c r="L43" s="57">
        <f t="shared" si="3"/>
        <v>12695041</v>
      </c>
      <c r="M43" s="58">
        <f>SUM(M6:M36)</f>
        <v>12698883</v>
      </c>
      <c r="P43" s="59"/>
    </row>
    <row r="44" spans="1:22" s="60" customFormat="1" ht="11.25"/>
    <row r="45" spans="1:22">
      <c r="A45" s="61"/>
    </row>
    <row r="46" spans="1:22" ht="15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O46" s="64"/>
    </row>
    <row r="47" spans="1:22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</row>
    <row r="48" spans="1:2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spans="1:13">
      <c r="A49" s="65"/>
      <c r="H49" s="66"/>
      <c r="I49" s="66"/>
      <c r="J49" s="66"/>
      <c r="K49" s="66"/>
      <c r="L49" s="66"/>
      <c r="M49" s="66"/>
    </row>
    <row r="51" spans="1:13">
      <c r="A51" s="67"/>
      <c r="B51" s="68"/>
    </row>
  </sheetData>
  <mergeCells count="3">
    <mergeCell ref="E1:H1"/>
    <mergeCell ref="E2:I2"/>
    <mergeCell ref="E3:I3"/>
  </mergeCells>
  <conditionalFormatting sqref="B6:M36">
    <cfRule type="top10" dxfId="36" priority="14" rank="1"/>
  </conditionalFormatting>
  <printOptions horizontalCentered="1" verticalCentered="1"/>
  <pageMargins left="0.25" right="0" top="0.25" bottom="0.25" header="0.31" footer="0.31"/>
  <pageSetup paperSize="5" scale="95" orientation="landscape" r:id="rId1"/>
  <rowBreaks count="1" manualBreakCount="1">
    <brk id="44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V52"/>
  <sheetViews>
    <sheetView view="pageBreakPreview" zoomScaleNormal="120" zoomScaleSheetLayoutView="100" zoomScalePageLayoutView="120" workbookViewId="0">
      <pane xSplit="1" ySplit="5" topLeftCell="B6" activePane="bottomRight" state="frozen"/>
      <selection pane="bottomRight" activeCell="N41" sqref="N41"/>
      <selection pane="bottomLeft" activeCell="Q11" sqref="P11:Q11"/>
      <selection pane="topRight" activeCell="Q11" sqref="P11:Q1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4" width="11" style="4" customWidth="1"/>
    <col min="15" max="15" width="8.85546875" style="4"/>
    <col min="16" max="16" width="9.42578125" style="4" bestFit="1" customWidth="1"/>
    <col min="17" max="16384" width="8.85546875" style="4"/>
  </cols>
  <sheetData>
    <row r="1" spans="1:22" s="3" customFormat="1" ht="18" customHeight="1">
      <c r="A1" s="1"/>
      <c r="B1" s="2"/>
      <c r="C1" s="2"/>
      <c r="E1" s="747" t="s">
        <v>0</v>
      </c>
      <c r="F1" s="747"/>
      <c r="G1" s="747"/>
      <c r="H1" s="747"/>
      <c r="I1" s="747"/>
    </row>
    <row r="2" spans="1:22" s="3" customFormat="1" ht="18" customHeight="1">
      <c r="A2" s="1"/>
      <c r="B2" s="2"/>
      <c r="C2" s="2"/>
      <c r="E2" s="747" t="s">
        <v>1</v>
      </c>
      <c r="F2" s="747"/>
      <c r="G2" s="747"/>
      <c r="H2" s="747"/>
      <c r="I2" s="747"/>
    </row>
    <row r="3" spans="1:22" s="3" customFormat="1" ht="15" customHeight="1">
      <c r="A3" s="5" t="s">
        <v>46</v>
      </c>
      <c r="B3" s="6"/>
      <c r="C3" s="2"/>
      <c r="E3" s="747"/>
      <c r="F3" s="747"/>
      <c r="G3" s="747"/>
      <c r="H3" s="747"/>
      <c r="I3" s="747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16">
        <v>139850</v>
      </c>
      <c r="C6" s="17">
        <v>495391</v>
      </c>
      <c r="D6" s="17">
        <v>495063</v>
      </c>
      <c r="E6" s="136"/>
      <c r="F6" s="116">
        <v>331935</v>
      </c>
      <c r="G6" s="17">
        <v>483783</v>
      </c>
      <c r="H6" s="17">
        <v>475884</v>
      </c>
      <c r="I6" s="112">
        <v>249568</v>
      </c>
      <c r="J6" s="17">
        <v>511759</v>
      </c>
      <c r="K6" s="26">
        <v>505462</v>
      </c>
      <c r="L6" s="21">
        <v>422416</v>
      </c>
      <c r="M6" s="22">
        <v>533098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116">
        <v>229728</v>
      </c>
      <c r="C7" s="26">
        <v>488295</v>
      </c>
      <c r="D7" s="26">
        <v>499166</v>
      </c>
      <c r="E7" s="35"/>
      <c r="F7" s="116">
        <v>228600</v>
      </c>
      <c r="G7" s="26">
        <v>494201</v>
      </c>
      <c r="H7" s="26">
        <v>472821</v>
      </c>
      <c r="I7" s="26">
        <v>477649</v>
      </c>
      <c r="J7" s="26">
        <v>477291</v>
      </c>
      <c r="K7" s="116">
        <v>375483</v>
      </c>
      <c r="L7" s="27">
        <v>443752</v>
      </c>
      <c r="M7" s="28">
        <v>496934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116">
        <v>214940</v>
      </c>
      <c r="C8" s="26">
        <v>500554</v>
      </c>
      <c r="D8" s="26">
        <v>500491</v>
      </c>
      <c r="E8" s="35"/>
      <c r="F8" s="123">
        <v>260751</v>
      </c>
      <c r="G8" s="26">
        <v>470649</v>
      </c>
      <c r="H8" s="116">
        <v>396227</v>
      </c>
      <c r="I8" s="26">
        <v>491573</v>
      </c>
      <c r="J8" s="26">
        <v>519277</v>
      </c>
      <c r="K8" s="116">
        <v>248574</v>
      </c>
      <c r="L8" s="27">
        <v>500965</v>
      </c>
      <c r="M8" s="28">
        <v>535646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30">
        <v>474541</v>
      </c>
      <c r="C9" s="26">
        <v>476445</v>
      </c>
      <c r="D9" s="26">
        <v>474460</v>
      </c>
      <c r="E9" s="35"/>
      <c r="F9" s="30">
        <v>496952</v>
      </c>
      <c r="G9" s="26">
        <v>494497</v>
      </c>
      <c r="H9" s="116">
        <v>234546</v>
      </c>
      <c r="I9" s="26">
        <v>481674</v>
      </c>
      <c r="J9" s="116">
        <v>370546</v>
      </c>
      <c r="K9" s="30">
        <v>458613</v>
      </c>
      <c r="L9" s="27">
        <v>492571</v>
      </c>
      <c r="M9" s="95">
        <v>391318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30">
        <v>461126</v>
      </c>
      <c r="C10" s="26">
        <v>519856</v>
      </c>
      <c r="D10" s="26">
        <v>494491</v>
      </c>
      <c r="E10" s="26">
        <v>446767</v>
      </c>
      <c r="F10" s="30">
        <v>492654</v>
      </c>
      <c r="G10" s="116">
        <v>336038</v>
      </c>
      <c r="H10" s="30">
        <v>473844</v>
      </c>
      <c r="I10" s="26">
        <v>492344</v>
      </c>
      <c r="J10" s="116">
        <v>265203</v>
      </c>
      <c r="K10" s="30">
        <v>501663</v>
      </c>
      <c r="L10" s="27">
        <v>516519</v>
      </c>
      <c r="M10" s="95">
        <v>265271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30">
        <v>503986</v>
      </c>
      <c r="C11" s="82">
        <v>372069</v>
      </c>
      <c r="D11" s="82">
        <v>359405</v>
      </c>
      <c r="E11" s="26">
        <v>471637</v>
      </c>
      <c r="F11" s="30">
        <v>476797</v>
      </c>
      <c r="G11" s="116">
        <v>202731</v>
      </c>
      <c r="H11" s="30">
        <v>503629</v>
      </c>
      <c r="I11" s="26">
        <v>493638</v>
      </c>
      <c r="J11" s="30">
        <v>494366</v>
      </c>
      <c r="K11" s="30">
        <v>502719</v>
      </c>
      <c r="L11" s="116">
        <v>372209</v>
      </c>
      <c r="M11" s="28">
        <v>499409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30">
        <v>467744</v>
      </c>
      <c r="C12" s="82">
        <v>242562</v>
      </c>
      <c r="D12" s="82">
        <v>239403</v>
      </c>
      <c r="E12" s="26">
        <v>484123</v>
      </c>
      <c r="F12" s="30">
        <v>494284</v>
      </c>
      <c r="G12" s="30">
        <v>501975</v>
      </c>
      <c r="H12" s="30">
        <v>489985</v>
      </c>
      <c r="I12" s="116">
        <v>340998</v>
      </c>
      <c r="J12" s="30">
        <v>491937</v>
      </c>
      <c r="K12" s="30">
        <v>495741</v>
      </c>
      <c r="L12" s="116">
        <v>235777</v>
      </c>
      <c r="M12" s="28">
        <v>495270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30">
        <v>501251</v>
      </c>
      <c r="C13" s="26">
        <v>493578</v>
      </c>
      <c r="D13" s="26">
        <v>472740</v>
      </c>
      <c r="E13" s="26">
        <v>487176</v>
      </c>
      <c r="F13" s="116">
        <v>361310</v>
      </c>
      <c r="G13" s="30">
        <v>479480</v>
      </c>
      <c r="H13" s="30">
        <v>478350</v>
      </c>
      <c r="I13" s="116">
        <v>230491</v>
      </c>
      <c r="J13" s="30">
        <v>488425</v>
      </c>
      <c r="K13" s="30">
        <v>518797</v>
      </c>
      <c r="L13" s="30">
        <v>501633</v>
      </c>
      <c r="M13" s="28">
        <v>504183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116">
        <v>370554</v>
      </c>
      <c r="C14" s="26">
        <v>488414</v>
      </c>
      <c r="D14" s="26">
        <v>479151</v>
      </c>
      <c r="E14" s="33">
        <v>283214</v>
      </c>
      <c r="F14" s="116">
        <v>214905</v>
      </c>
      <c r="G14" s="30">
        <v>465797</v>
      </c>
      <c r="H14" s="30">
        <v>487314</v>
      </c>
      <c r="I14" s="30">
        <v>494706</v>
      </c>
      <c r="J14" s="30">
        <v>513342</v>
      </c>
      <c r="K14" s="116">
        <v>360802</v>
      </c>
      <c r="L14" s="30">
        <v>499508</v>
      </c>
      <c r="M14" s="28">
        <v>499487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116">
        <v>236715</v>
      </c>
      <c r="C15" s="26">
        <v>497292</v>
      </c>
      <c r="D15" s="26">
        <v>483543</v>
      </c>
      <c r="E15" s="82">
        <v>312402</v>
      </c>
      <c r="F15" s="123">
        <v>185214</v>
      </c>
      <c r="G15" s="30">
        <v>460626</v>
      </c>
      <c r="H15" s="116">
        <v>367590</v>
      </c>
      <c r="I15" s="30">
        <v>498862</v>
      </c>
      <c r="J15" s="123">
        <v>325061</v>
      </c>
      <c r="K15" s="116">
        <v>266312</v>
      </c>
      <c r="L15" s="30">
        <v>485723</v>
      </c>
      <c r="M15" s="28">
        <v>529280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30">
        <v>494796</v>
      </c>
      <c r="C16" s="26">
        <v>487421</v>
      </c>
      <c r="D16" s="26">
        <v>466874</v>
      </c>
      <c r="E16" s="82">
        <v>215640</v>
      </c>
      <c r="F16" s="30">
        <v>460504</v>
      </c>
      <c r="G16" s="30">
        <v>481718</v>
      </c>
      <c r="H16" s="116">
        <v>239046</v>
      </c>
      <c r="I16" s="30">
        <v>495785</v>
      </c>
      <c r="J16" s="116">
        <v>336454</v>
      </c>
      <c r="K16" s="30">
        <v>483078</v>
      </c>
      <c r="L16" s="30">
        <v>491662</v>
      </c>
      <c r="M16" s="95">
        <v>403878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30">
        <v>490687</v>
      </c>
      <c r="C17" s="26">
        <v>505715</v>
      </c>
      <c r="D17" s="26">
        <v>463907</v>
      </c>
      <c r="E17" s="26">
        <v>485716</v>
      </c>
      <c r="F17" s="30">
        <v>459486</v>
      </c>
      <c r="G17" s="116">
        <v>176277</v>
      </c>
      <c r="H17" s="30">
        <v>472363</v>
      </c>
      <c r="I17" s="30">
        <v>481617</v>
      </c>
      <c r="J17" s="116">
        <v>238185</v>
      </c>
      <c r="K17" s="30">
        <v>482545</v>
      </c>
      <c r="L17" s="30">
        <v>502257</v>
      </c>
      <c r="M17" s="95">
        <v>280246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30">
        <v>482394</v>
      </c>
      <c r="C18" s="82">
        <v>379747</v>
      </c>
      <c r="D18" s="82">
        <v>361436</v>
      </c>
      <c r="E18" s="26">
        <v>482491</v>
      </c>
      <c r="F18" s="30">
        <v>483074</v>
      </c>
      <c r="G18" s="116">
        <v>235006</v>
      </c>
      <c r="H18" s="30">
        <v>469583</v>
      </c>
      <c r="I18" s="30">
        <v>502901</v>
      </c>
      <c r="J18" s="30">
        <v>476726</v>
      </c>
      <c r="K18" s="30">
        <v>473135</v>
      </c>
      <c r="L18" s="116">
        <v>408583</v>
      </c>
      <c r="M18" s="28">
        <v>495876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30">
        <v>455712</v>
      </c>
      <c r="C19" s="82">
        <v>214089</v>
      </c>
      <c r="D19" s="82">
        <v>216724</v>
      </c>
      <c r="E19" s="26">
        <v>478259</v>
      </c>
      <c r="F19" s="30">
        <v>488036</v>
      </c>
      <c r="G19" s="123">
        <v>239323</v>
      </c>
      <c r="H19" s="30">
        <v>66379</v>
      </c>
      <c r="I19" s="116">
        <v>380045</v>
      </c>
      <c r="J19" s="30">
        <v>489925</v>
      </c>
      <c r="K19" s="30">
        <v>466843</v>
      </c>
      <c r="L19" s="116">
        <v>231374</v>
      </c>
      <c r="M19" s="28">
        <v>476509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30">
        <v>494604</v>
      </c>
      <c r="C20" s="26">
        <v>491880</v>
      </c>
      <c r="D20" s="26">
        <v>497363</v>
      </c>
      <c r="E20" s="26">
        <v>485609</v>
      </c>
      <c r="F20" s="116">
        <v>356074</v>
      </c>
      <c r="G20" s="30">
        <v>510598</v>
      </c>
      <c r="H20" s="30">
        <v>467976</v>
      </c>
      <c r="I20" s="116">
        <v>240765</v>
      </c>
      <c r="J20" s="30">
        <v>512927</v>
      </c>
      <c r="K20" s="30">
        <v>552509</v>
      </c>
      <c r="L20" s="30">
        <v>516912</v>
      </c>
      <c r="M20" s="28">
        <v>541954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116">
        <v>354150</v>
      </c>
      <c r="C21" s="26">
        <v>497899</v>
      </c>
      <c r="D21" s="26">
        <v>474312</v>
      </c>
      <c r="E21" s="26">
        <v>497858</v>
      </c>
      <c r="F21" s="116">
        <v>234229</v>
      </c>
      <c r="G21" s="30">
        <v>486793</v>
      </c>
      <c r="H21" s="30">
        <v>514906</v>
      </c>
      <c r="I21" s="30">
        <v>504370</v>
      </c>
      <c r="J21" s="30">
        <v>504859</v>
      </c>
      <c r="K21" s="116">
        <v>382788</v>
      </c>
      <c r="L21" s="30">
        <v>318007</v>
      </c>
      <c r="M21" s="28">
        <v>512309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116">
        <v>234140</v>
      </c>
      <c r="C22" s="26">
        <v>502688</v>
      </c>
      <c r="D22" s="26">
        <v>460476</v>
      </c>
      <c r="E22" s="82">
        <v>373008</v>
      </c>
      <c r="F22" s="30">
        <v>481509</v>
      </c>
      <c r="G22" s="30">
        <v>508190</v>
      </c>
      <c r="H22" s="116">
        <v>348959</v>
      </c>
      <c r="I22" s="30">
        <v>478575</v>
      </c>
      <c r="J22" s="30">
        <v>528320</v>
      </c>
      <c r="K22" s="116">
        <v>257494</v>
      </c>
      <c r="L22" s="30">
        <v>530170</v>
      </c>
      <c r="M22" s="28">
        <v>526264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30">
        <v>459843</v>
      </c>
      <c r="C23" s="26">
        <v>467532</v>
      </c>
      <c r="D23" s="26">
        <v>475349</v>
      </c>
      <c r="E23" s="82">
        <v>232474</v>
      </c>
      <c r="F23" s="30">
        <v>478100</v>
      </c>
      <c r="G23" s="30">
        <v>490600</v>
      </c>
      <c r="H23" s="116">
        <v>228340</v>
      </c>
      <c r="I23" s="30">
        <v>490759</v>
      </c>
      <c r="J23" s="116">
        <v>366944</v>
      </c>
      <c r="K23" s="30">
        <v>470207</v>
      </c>
      <c r="L23" s="30">
        <v>504147</v>
      </c>
      <c r="M23" s="95">
        <v>394739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30">
        <v>475662</v>
      </c>
      <c r="C24" s="26">
        <v>501336</v>
      </c>
      <c r="D24" s="26">
        <v>497373</v>
      </c>
      <c r="E24" s="26">
        <v>480977</v>
      </c>
      <c r="F24" s="30">
        <v>492786</v>
      </c>
      <c r="G24" s="116">
        <v>385980</v>
      </c>
      <c r="H24" s="30">
        <v>504594</v>
      </c>
      <c r="I24" s="30">
        <v>457875</v>
      </c>
      <c r="J24" s="116">
        <v>240614</v>
      </c>
      <c r="K24" s="30">
        <v>401063</v>
      </c>
      <c r="L24" s="30">
        <v>519025</v>
      </c>
      <c r="M24" s="95">
        <v>288121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30">
        <v>460227</v>
      </c>
      <c r="C25" s="82">
        <v>369867</v>
      </c>
      <c r="D25" s="82">
        <v>353742</v>
      </c>
      <c r="E25" s="26">
        <v>496921</v>
      </c>
      <c r="F25" s="30">
        <v>479539</v>
      </c>
      <c r="G25" s="116">
        <v>238965</v>
      </c>
      <c r="H25" s="30">
        <v>489848</v>
      </c>
      <c r="I25" s="30">
        <v>513679</v>
      </c>
      <c r="J25" s="30">
        <v>509568</v>
      </c>
      <c r="K25" s="30">
        <v>494015</v>
      </c>
      <c r="L25" s="116">
        <v>391064</v>
      </c>
      <c r="M25" s="28">
        <v>494179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30">
        <v>486226</v>
      </c>
      <c r="C26" s="82">
        <v>247188</v>
      </c>
      <c r="D26" s="82">
        <v>255370</v>
      </c>
      <c r="E26" s="26">
        <v>498206</v>
      </c>
      <c r="F26" s="30">
        <v>478203</v>
      </c>
      <c r="G26" s="30">
        <v>495695</v>
      </c>
      <c r="H26" s="30">
        <v>477075</v>
      </c>
      <c r="I26" s="116">
        <v>317091</v>
      </c>
      <c r="J26" s="30">
        <v>489986</v>
      </c>
      <c r="K26" s="30">
        <v>494723</v>
      </c>
      <c r="L26" s="116">
        <v>253075</v>
      </c>
      <c r="M26" s="28">
        <v>509274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30">
        <v>496749</v>
      </c>
      <c r="C27" s="26">
        <v>451540</v>
      </c>
      <c r="D27" s="26">
        <v>476186</v>
      </c>
      <c r="E27" s="26">
        <v>483977</v>
      </c>
      <c r="F27" s="116">
        <v>350608</v>
      </c>
      <c r="G27" s="30">
        <v>466789</v>
      </c>
      <c r="H27" s="30">
        <v>471588</v>
      </c>
      <c r="I27" s="116">
        <v>229446</v>
      </c>
      <c r="J27" s="30">
        <v>484794</v>
      </c>
      <c r="K27" s="30">
        <v>514087</v>
      </c>
      <c r="L27" s="30">
        <v>516482</v>
      </c>
      <c r="M27" s="28">
        <v>506244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116">
        <v>378219</v>
      </c>
      <c r="C28" s="26">
        <v>477610</v>
      </c>
      <c r="D28" s="26">
        <v>468746</v>
      </c>
      <c r="E28" s="26">
        <v>492200</v>
      </c>
      <c r="F28" s="116">
        <v>219566</v>
      </c>
      <c r="G28" s="30">
        <v>479937</v>
      </c>
      <c r="H28" s="30">
        <v>493994</v>
      </c>
      <c r="I28" s="30">
        <v>477749</v>
      </c>
      <c r="J28" s="30">
        <v>494815</v>
      </c>
      <c r="K28" s="116">
        <v>365001</v>
      </c>
      <c r="L28" s="30">
        <v>502794</v>
      </c>
      <c r="M28" s="28">
        <v>494499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116">
        <v>245412</v>
      </c>
      <c r="C29" s="26">
        <v>517008</v>
      </c>
      <c r="D29" s="26">
        <v>482052</v>
      </c>
      <c r="E29" s="82">
        <v>334585</v>
      </c>
      <c r="F29" s="26">
        <v>482311</v>
      </c>
      <c r="G29" s="30">
        <v>473355</v>
      </c>
      <c r="H29" s="116">
        <v>361589</v>
      </c>
      <c r="I29" s="30">
        <v>486072</v>
      </c>
      <c r="J29" s="30">
        <v>521063</v>
      </c>
      <c r="K29" s="116">
        <v>238293</v>
      </c>
      <c r="L29" s="30">
        <v>508483</v>
      </c>
      <c r="M29" s="36">
        <v>267252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30">
        <v>496653</v>
      </c>
      <c r="C30" s="26">
        <v>498832</v>
      </c>
      <c r="D30" s="26">
        <v>473923</v>
      </c>
      <c r="E30" s="82">
        <v>242075</v>
      </c>
      <c r="F30" s="26">
        <v>472920</v>
      </c>
      <c r="G30" s="30">
        <v>507870</v>
      </c>
      <c r="H30" s="116">
        <v>225827</v>
      </c>
      <c r="I30" s="30">
        <v>478132</v>
      </c>
      <c r="J30" s="116">
        <v>381468</v>
      </c>
      <c r="K30" s="33">
        <v>239041</v>
      </c>
      <c r="L30" s="30">
        <v>479291</v>
      </c>
      <c r="M30" s="36">
        <v>215495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30">
        <v>482880</v>
      </c>
      <c r="C31" s="26">
        <v>501191</v>
      </c>
      <c r="D31" s="26">
        <v>489811</v>
      </c>
      <c r="E31" s="26">
        <v>486893</v>
      </c>
      <c r="F31" s="26">
        <v>474249</v>
      </c>
      <c r="G31" s="116">
        <v>351508</v>
      </c>
      <c r="H31" s="26">
        <v>450268</v>
      </c>
      <c r="I31" s="30">
        <v>509071</v>
      </c>
      <c r="J31" s="116">
        <v>241222</v>
      </c>
      <c r="K31" s="26">
        <v>511366</v>
      </c>
      <c r="L31" s="30">
        <v>539171</v>
      </c>
      <c r="M31" s="95">
        <v>246497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30">
        <v>497846</v>
      </c>
      <c r="C32" s="82">
        <v>355398</v>
      </c>
      <c r="D32" s="82">
        <v>348583</v>
      </c>
      <c r="E32" s="26">
        <v>474602</v>
      </c>
      <c r="F32" s="26">
        <v>462679</v>
      </c>
      <c r="G32" s="116">
        <v>233557</v>
      </c>
      <c r="H32" s="26">
        <v>496226</v>
      </c>
      <c r="I32" s="30">
        <v>509999</v>
      </c>
      <c r="J32" s="26">
        <v>498053</v>
      </c>
      <c r="K32" s="26">
        <v>500292</v>
      </c>
      <c r="L32" s="116">
        <v>390209</v>
      </c>
      <c r="M32" s="36">
        <v>279039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f>A6+27</f>
        <v>28</v>
      </c>
      <c r="B33" s="30">
        <v>483606</v>
      </c>
      <c r="C33" s="82">
        <v>239003</v>
      </c>
      <c r="D33" s="82">
        <v>212951</v>
      </c>
      <c r="E33" s="26">
        <v>477889</v>
      </c>
      <c r="F33" s="26">
        <v>491520</v>
      </c>
      <c r="G33" s="26">
        <v>488339</v>
      </c>
      <c r="H33" s="26">
        <v>477381</v>
      </c>
      <c r="I33" s="116">
        <v>349207</v>
      </c>
      <c r="J33" s="26">
        <v>484957</v>
      </c>
      <c r="K33" s="26">
        <v>504978</v>
      </c>
      <c r="L33" s="116">
        <v>260311</v>
      </c>
      <c r="M33" s="28">
        <v>454367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30">
        <v>501997</v>
      </c>
      <c r="C34" s="35"/>
      <c r="D34" s="26">
        <v>483000</v>
      </c>
      <c r="E34" s="26">
        <v>464300</v>
      </c>
      <c r="F34" s="82">
        <v>351583</v>
      </c>
      <c r="G34" s="26">
        <v>503100</v>
      </c>
      <c r="H34" s="26">
        <v>444992</v>
      </c>
      <c r="I34" s="116">
        <v>251653</v>
      </c>
      <c r="J34" s="26">
        <v>498268</v>
      </c>
      <c r="K34" s="26">
        <v>526558</v>
      </c>
      <c r="L34" s="122">
        <v>281951</v>
      </c>
      <c r="M34" s="28">
        <v>421165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116">
        <v>335748</v>
      </c>
      <c r="C35" s="37"/>
      <c r="D35" s="26">
        <v>460920</v>
      </c>
      <c r="E35" s="26">
        <v>503470</v>
      </c>
      <c r="F35" s="82">
        <v>238818</v>
      </c>
      <c r="G35" s="33">
        <v>134415</v>
      </c>
      <c r="H35" s="26">
        <v>506044</v>
      </c>
      <c r="I35" s="33">
        <v>269907</v>
      </c>
      <c r="J35" s="26">
        <v>479896</v>
      </c>
      <c r="K35" s="82">
        <v>355098</v>
      </c>
      <c r="L35" s="26">
        <v>507279</v>
      </c>
      <c r="M35" s="36">
        <v>406546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38">
        <f>A6+30</f>
        <v>31</v>
      </c>
      <c r="B36" s="211">
        <v>256353</v>
      </c>
      <c r="C36" s="40"/>
      <c r="D36" s="41">
        <v>438275</v>
      </c>
      <c r="E36" s="40"/>
      <c r="F36" s="41">
        <v>484189</v>
      </c>
      <c r="G36" s="40"/>
      <c r="H36" s="209">
        <v>374491</v>
      </c>
      <c r="I36" s="41">
        <v>508024</v>
      </c>
      <c r="J36" s="43"/>
      <c r="K36" s="98">
        <v>238351</v>
      </c>
      <c r="L36" s="43"/>
      <c r="M36" s="36">
        <v>209664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26">
        <f>AVERAGE(B6:B36)</f>
        <v>408527.06451612903</v>
      </c>
      <c r="C37" s="127">
        <f>AVERAGE(C6:C36)</f>
        <v>438585.71428571426</v>
      </c>
      <c r="D37" s="127">
        <f>AVERAGE(D6:D36)</f>
        <v>430815.67741935485</v>
      </c>
      <c r="E37" s="127">
        <f>IFERROR(AVERAGE(E6:E36),0)</f>
        <v>429710.34615384613</v>
      </c>
      <c r="F37" s="127">
        <f>IFERROR(AVERAGE(F6:F36),0)</f>
        <v>402044.67741935485</v>
      </c>
      <c r="G37" s="127">
        <f t="shared" ref="G37:M37" si="0">IFERROR(AVERAGE(G6:G36),0)</f>
        <v>409259.73333333334</v>
      </c>
      <c r="H37" s="127">
        <f t="shared" si="0"/>
        <v>418118.03225806454</v>
      </c>
      <c r="I37" s="127">
        <f t="shared" si="0"/>
        <v>425297.58064516127</v>
      </c>
      <c r="J37" s="127">
        <f t="shared" si="0"/>
        <v>441208.36666666664</v>
      </c>
      <c r="K37" s="127">
        <f t="shared" si="0"/>
        <v>425342.93548387097</v>
      </c>
      <c r="L37" s="127">
        <f>IFERROR(AVERAGE(L6:L36),0)</f>
        <v>437444</v>
      </c>
      <c r="M37" s="142">
        <f t="shared" si="0"/>
        <v>424968.16129032261</v>
      </c>
      <c r="N37" s="252">
        <f>SUM(B37:M37)/12</f>
        <v>424276.85745598486</v>
      </c>
    </row>
    <row r="38" spans="1:22">
      <c r="A38" s="48" t="s">
        <v>20</v>
      </c>
      <c r="B38" s="129">
        <f>AVERAGE(B9:B13,B16:B20,B23:B27,B30:B34)</f>
        <v>483426.5</v>
      </c>
      <c r="C38" s="50">
        <f>AVERAGE(C6:C10,C13:C17,C20:C24,C27:C31)</f>
        <v>493023.85</v>
      </c>
      <c r="D38" s="50">
        <f>AVERAGE(D6:D10,D13:D17,D20:D24,D27:D31,D34:D36)</f>
        <v>478594.4347826087</v>
      </c>
      <c r="E38" s="50">
        <f>AVERAGE(E10:E13,E17:E21,E24:E28,E31:E35)</f>
        <v>483109</v>
      </c>
      <c r="F38" s="50">
        <f>AVERAGE(F9:F12,F16:F19,F22:F26,F29:F33,F36)</f>
        <v>480515.36842105264</v>
      </c>
      <c r="G38" s="50">
        <f>AVERAGE(G6:G9,G12:G16,G20:G23,G26:G30,G33:G34)</f>
        <v>487199.6</v>
      </c>
      <c r="H38" s="50">
        <f>AVERAGE(H6:H7,H10:H14,H17:H21,H24:H28,H31:H35)</f>
        <v>462956.54545454547</v>
      </c>
      <c r="I38" s="50">
        <f>AVERAGE(I7:I11,I14:I18,I21:I25,I28:I32)</f>
        <v>490851.5</v>
      </c>
      <c r="J38" s="317">
        <f>AVERAGE(J6:J8,J11:J14,J18:J22,J25:J29,J32:J35)</f>
        <v>498597.80952380953</v>
      </c>
      <c r="K38" s="50">
        <f>AVERAGE(K9:K13,K16:K20,K23:K27,K31:K34,K6)</f>
        <v>492919.7</v>
      </c>
      <c r="L38" s="50">
        <f>AVERAGE(L7:L10,L13:L17,L20:L24,L27:L31,L35)</f>
        <v>493817.55</v>
      </c>
      <c r="M38" s="51">
        <f>AVERAGE(M6:M8,M11:M15,M18:M22,M25:M28,M33:M34)</f>
        <v>501365.63157894736</v>
      </c>
      <c r="N38" s="252">
        <f t="shared" ref="N38:N44" si="1">SUM(B38:M38)/12</f>
        <v>487198.124146747</v>
      </c>
    </row>
    <row r="39" spans="1:22">
      <c r="A39" s="52" t="s">
        <v>21</v>
      </c>
      <c r="B39" s="129">
        <f>AVERAGE(B7,B14,B21,B28,B35)</f>
        <v>333679.8</v>
      </c>
      <c r="C39" s="50">
        <f>AVERAGE(C11,C18,C25,C32)</f>
        <v>369270.25</v>
      </c>
      <c r="D39" s="50">
        <f>AVERAGE(D11,D18,D25,D32)</f>
        <v>355791.5</v>
      </c>
      <c r="E39" s="50">
        <f>AVERAGE(E15,E22,E29)</f>
        <v>339998.33333333331</v>
      </c>
      <c r="F39" s="50">
        <f>AVERAGE(F6,F13,F20,F27,F34)</f>
        <v>350302</v>
      </c>
      <c r="G39" s="50">
        <f>AVERAGE(G10,G17,G24,G31)</f>
        <v>312450.75</v>
      </c>
      <c r="H39" s="50">
        <f>AVERAGE(H8,H15,H22,H29)</f>
        <v>368591.25</v>
      </c>
      <c r="I39" s="50">
        <f>AVERAGE(I12,I19,I26,I33)</f>
        <v>346835.25</v>
      </c>
      <c r="J39" s="50">
        <f>AVERAGE(J9,J16,J23,J30)</f>
        <v>363853</v>
      </c>
      <c r="K39" s="50">
        <f>AVERAGE(K7,K14,K21,K28,K35)</f>
        <v>367834.4</v>
      </c>
      <c r="L39" s="50">
        <f>AVERAGE(L11,L18,L25,L32)</f>
        <v>390516.25</v>
      </c>
      <c r="M39" s="51">
        <f>AVERAGE(M9,M16,M23)</f>
        <v>396645</v>
      </c>
      <c r="N39" s="252">
        <f t="shared" si="1"/>
        <v>357980.6486111111</v>
      </c>
    </row>
    <row r="40" spans="1:22">
      <c r="A40" s="52" t="s">
        <v>22</v>
      </c>
      <c r="B40" s="129">
        <f>AVERAGE(B6,B8,B15,B22,B29,B36)</f>
        <v>221235</v>
      </c>
      <c r="C40" s="50">
        <f>AVERAGE(C12,C19,C26,C33)</f>
        <v>235710.5</v>
      </c>
      <c r="D40" s="50">
        <f>AVERAGE(D12,D19,D26,D33)</f>
        <v>231112</v>
      </c>
      <c r="E40" s="50">
        <f>AVERAGE(E16,E23,E30,E14)</f>
        <v>243350.75</v>
      </c>
      <c r="F40" s="50">
        <f>AVERAGE(F7:F8,F14:F15,F21,F28,F35)</f>
        <v>226011.85714285713</v>
      </c>
      <c r="G40" s="50">
        <f>AVERAGE(G11,G18:G19,G25,G32,G35)</f>
        <v>213999.5</v>
      </c>
      <c r="H40" s="50">
        <f>AVERAGE(H9,H16,H23,H30,H36)</f>
        <v>260450</v>
      </c>
      <c r="I40" s="50">
        <f>AVERAGE(I13,I20,I27,I34:I35,I6)</f>
        <v>245305</v>
      </c>
      <c r="J40" s="50">
        <f>AVERAGE(J10,J17,J24,J31,J15)</f>
        <v>262057</v>
      </c>
      <c r="K40" s="50">
        <f>AVERAGE(K30,K8,K15,K22,K29,K36)</f>
        <v>248010.83333333334</v>
      </c>
      <c r="L40" s="50">
        <f>AVERAGE(L12,L19,L26,L33:L34,L6)</f>
        <v>280817.33333333331</v>
      </c>
      <c r="M40" s="51">
        <f>AVERAGE(M10,M24,M29:M32,M17,M35:M36)</f>
        <v>273125.66666666669</v>
      </c>
      <c r="N40" s="252">
        <f t="shared" si="1"/>
        <v>245098.78670634923</v>
      </c>
    </row>
    <row r="41" spans="1:22">
      <c r="A41" s="52" t="s">
        <v>23</v>
      </c>
      <c r="B41" s="129">
        <f>AVERAGE(B6:B8,B14:B15,B21:B22,B28:B29,B35:B36)</f>
        <v>272346.27272727271</v>
      </c>
      <c r="C41" s="50">
        <f>AVERAGE(C11:C12,C18:C19,C25:C26,C32:C33)</f>
        <v>302490.375</v>
      </c>
      <c r="D41" s="50">
        <f>AVERAGE(D11:D12,D18:D19,D25:D26,D32:D33)</f>
        <v>293451.75</v>
      </c>
      <c r="E41" s="50">
        <f>AVERAGE(E14:E16,E22:E23,E29:E30)</f>
        <v>284771.14285714284</v>
      </c>
      <c r="F41" s="50">
        <f>AVERAGE(F6:F8,F13:F15,F20:F21,F27:F28,F34:F35)</f>
        <v>277799.41666666669</v>
      </c>
      <c r="G41" s="50">
        <f>AVERAGE(G10:G11,G17:G19,G24:G25,G31:G32,G35)</f>
        <v>253380</v>
      </c>
      <c r="H41" s="50">
        <f>AVERAGE(H8:H9,H15:H16,H22:H23,H29:H30,H36)</f>
        <v>308512.77777777775</v>
      </c>
      <c r="I41" s="50">
        <f>AVERAGE(I6,I12:I13,I19:I20,I26:I27,I33:I35)</f>
        <v>285917.09999999998</v>
      </c>
      <c r="J41" s="50">
        <f>AVERAGE(J9:J10,J15:J17,J23:J24,J30:J31)</f>
        <v>307299.66666666669</v>
      </c>
      <c r="K41" s="50">
        <f>AVERAGE(K7:K8,K14:K15,K21:K22,K28:K30,K35:K36)</f>
        <v>302476.09090909088</v>
      </c>
      <c r="L41" s="50">
        <f>AVERAGE(L11:L12,L18:L19,L25:L26,L32:L34,L6)</f>
        <v>324696.90000000002</v>
      </c>
      <c r="M41" s="51">
        <f>AVERAGE(M9:M10,M16:M17,M23:M24,M29:M32,M35:M36)</f>
        <v>304005.5</v>
      </c>
      <c r="N41" s="252">
        <f t="shared" si="1"/>
        <v>293095.58271705144</v>
      </c>
    </row>
    <row r="42" spans="1:22">
      <c r="A42" s="52" t="s">
        <v>24</v>
      </c>
      <c r="B42" s="108">
        <f>MAX(B6:B36)</f>
        <v>503986</v>
      </c>
      <c r="C42" s="109">
        <f>MAX(C6:C36)</f>
        <v>519856</v>
      </c>
      <c r="D42" s="109">
        <f t="shared" ref="D42:M42" si="2">MAX(D6:D36)</f>
        <v>500491</v>
      </c>
      <c r="E42" s="109">
        <f t="shared" si="2"/>
        <v>503470</v>
      </c>
      <c r="F42" s="109">
        <f t="shared" si="2"/>
        <v>496952</v>
      </c>
      <c r="G42" s="109">
        <f t="shared" si="2"/>
        <v>510598</v>
      </c>
      <c r="H42" s="109">
        <f t="shared" si="2"/>
        <v>514906</v>
      </c>
      <c r="I42" s="109">
        <f t="shared" si="2"/>
        <v>513679</v>
      </c>
      <c r="J42" s="109">
        <f t="shared" si="2"/>
        <v>528320</v>
      </c>
      <c r="K42" s="109">
        <f t="shared" si="2"/>
        <v>552509</v>
      </c>
      <c r="L42" s="109">
        <f t="shared" si="2"/>
        <v>539171</v>
      </c>
      <c r="M42" s="110">
        <f t="shared" si="2"/>
        <v>541954</v>
      </c>
      <c r="N42" s="252">
        <f t="shared" si="1"/>
        <v>518824.33333333331</v>
      </c>
    </row>
    <row r="43" spans="1:22">
      <c r="A43" s="52" t="s">
        <v>47</v>
      </c>
      <c r="B43" s="129">
        <f>MIN(B6:B36)</f>
        <v>139850</v>
      </c>
      <c r="C43" s="53">
        <f t="shared" ref="C43:M43" si="3">MIN(C6:C36)</f>
        <v>214089</v>
      </c>
      <c r="D43" s="53">
        <f t="shared" si="3"/>
        <v>212951</v>
      </c>
      <c r="E43" s="53">
        <f t="shared" si="3"/>
        <v>215640</v>
      </c>
      <c r="F43" s="53">
        <f t="shared" si="3"/>
        <v>185214</v>
      </c>
      <c r="G43" s="53">
        <f t="shared" si="3"/>
        <v>134415</v>
      </c>
      <c r="H43" s="53">
        <f t="shared" si="3"/>
        <v>66379</v>
      </c>
      <c r="I43" s="53">
        <f t="shared" si="3"/>
        <v>229446</v>
      </c>
      <c r="J43" s="53">
        <f t="shared" si="3"/>
        <v>238185</v>
      </c>
      <c r="K43" s="53">
        <f t="shared" si="3"/>
        <v>238293</v>
      </c>
      <c r="L43" s="53">
        <f t="shared" si="3"/>
        <v>231374</v>
      </c>
      <c r="M43" s="54">
        <f t="shared" si="3"/>
        <v>209664</v>
      </c>
      <c r="N43" s="252">
        <f t="shared" si="1"/>
        <v>192958.33333333334</v>
      </c>
    </row>
    <row r="44" spans="1:22" ht="12.75" thickBot="1">
      <c r="A44" s="55" t="s">
        <v>25</v>
      </c>
      <c r="B44" s="111">
        <f t="shared" ref="B44:L44" si="4">SUM(B6:B36)</f>
        <v>12664339</v>
      </c>
      <c r="C44" s="57">
        <f>SUM(C6:C36)</f>
        <v>12280400</v>
      </c>
      <c r="D44" s="57">
        <f t="shared" si="4"/>
        <v>13355286</v>
      </c>
      <c r="E44" s="57">
        <f t="shared" si="4"/>
        <v>11172469</v>
      </c>
      <c r="F44" s="57">
        <f t="shared" si="4"/>
        <v>12463385</v>
      </c>
      <c r="G44" s="57">
        <f t="shared" si="4"/>
        <v>12277792</v>
      </c>
      <c r="H44" s="57">
        <f t="shared" si="4"/>
        <v>12961659</v>
      </c>
      <c r="I44" s="57">
        <f t="shared" si="4"/>
        <v>13184225</v>
      </c>
      <c r="J44" s="57">
        <f t="shared" si="4"/>
        <v>13236251</v>
      </c>
      <c r="K44" s="57">
        <f t="shared" si="4"/>
        <v>13185631</v>
      </c>
      <c r="L44" s="57">
        <f t="shared" si="4"/>
        <v>13123320</v>
      </c>
      <c r="M44" s="58">
        <f>SUM(M6:M36)</f>
        <v>13174013</v>
      </c>
      <c r="N44" s="252">
        <f t="shared" si="1"/>
        <v>12756564.166666666</v>
      </c>
      <c r="P44" s="59"/>
    </row>
    <row r="45" spans="1:22" s="60" customFormat="1" ht="11.25"/>
    <row r="46" spans="1:22">
      <c r="A46" s="61"/>
    </row>
    <row r="47" spans="1:22" ht="15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O47" s="64"/>
    </row>
    <row r="48" spans="1:22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</row>
    <row r="49" spans="1:13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1:13">
      <c r="A50" s="65"/>
      <c r="H50" s="66"/>
      <c r="I50" s="66"/>
      <c r="J50" s="66"/>
      <c r="K50" s="66"/>
      <c r="L50" s="66"/>
      <c r="M50" s="66"/>
    </row>
    <row r="52" spans="1:13">
      <c r="A52" s="67"/>
      <c r="B52" s="68"/>
    </row>
  </sheetData>
  <mergeCells count="2">
    <mergeCell ref="E1:I1"/>
    <mergeCell ref="E2:I3"/>
  </mergeCells>
  <conditionalFormatting sqref="B6:M36">
    <cfRule type="top10" dxfId="35" priority="1" rank="1"/>
  </conditionalFormatting>
  <printOptions horizontalCentered="1" verticalCentered="1"/>
  <pageMargins left="0.25" right="0" top="0.25" bottom="0.25" header="0.31" footer="0.31"/>
  <pageSetup paperSize="5" scale="94" orientation="landscape" r:id="rId1"/>
  <rowBreaks count="1" manualBreakCount="1">
    <brk id="45" max="16383" man="1"/>
  </rowBreaks>
  <ignoredErrors>
    <ignoredError sqref="C44:M44 C42:M4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52"/>
  <sheetViews>
    <sheetView view="pageBreakPreview" zoomScaleNormal="120" zoomScaleSheetLayoutView="100" zoomScalePageLayoutView="120" workbookViewId="0">
      <pane xSplit="1" ySplit="5" topLeftCell="B22" activePane="bottomRight" state="frozen"/>
      <selection pane="bottomRight" activeCell="N37" sqref="N37:N44"/>
      <selection pane="bottomLeft" activeCell="Q11" sqref="P11:Q11"/>
      <selection pane="topRight" activeCell="Q11" sqref="P11:Q1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4" width="12.140625" style="4" customWidth="1"/>
    <col min="15" max="15" width="8.85546875" style="4"/>
    <col min="16" max="16" width="9.42578125" style="4" bestFit="1" customWidth="1"/>
    <col min="17" max="16384" width="8.85546875" style="4"/>
  </cols>
  <sheetData>
    <row r="1" spans="1:22" s="3" customFormat="1" ht="18" customHeight="1">
      <c r="A1" s="1"/>
      <c r="B1" s="2"/>
      <c r="C1" s="2"/>
      <c r="E1" s="747" t="s">
        <v>0</v>
      </c>
      <c r="F1" s="747"/>
      <c r="G1" s="747"/>
      <c r="H1" s="747"/>
      <c r="I1" s="747"/>
    </row>
    <row r="2" spans="1:22" s="3" customFormat="1" ht="18" customHeight="1">
      <c r="A2" s="1"/>
      <c r="B2" s="2"/>
      <c r="C2" s="2"/>
      <c r="E2" s="747" t="s">
        <v>1</v>
      </c>
      <c r="F2" s="747"/>
      <c r="G2" s="747"/>
      <c r="H2" s="747"/>
      <c r="I2" s="747"/>
    </row>
    <row r="3" spans="1:22" s="3" customFormat="1" ht="15" customHeight="1">
      <c r="A3" s="5" t="s">
        <v>48</v>
      </c>
      <c r="B3" s="6"/>
      <c r="C3" s="2"/>
      <c r="E3" s="747"/>
      <c r="F3" s="747"/>
      <c r="G3" s="747"/>
      <c r="H3" s="747"/>
      <c r="I3" s="747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65" t="s">
        <v>7</v>
      </c>
      <c r="C5" s="166" t="s">
        <v>8</v>
      </c>
      <c r="D5" s="166" t="s">
        <v>9</v>
      </c>
      <c r="E5" s="166" t="s">
        <v>10</v>
      </c>
      <c r="F5" s="166" t="s">
        <v>11</v>
      </c>
      <c r="G5" s="166" t="s">
        <v>12</v>
      </c>
      <c r="H5" s="166" t="s">
        <v>13</v>
      </c>
      <c r="I5" s="166" t="s">
        <v>14</v>
      </c>
      <c r="J5" s="166" t="s">
        <v>15</v>
      </c>
      <c r="K5" s="166" t="s">
        <v>16</v>
      </c>
      <c r="L5" s="166" t="s">
        <v>17</v>
      </c>
      <c r="M5" s="167" t="s">
        <v>18</v>
      </c>
    </row>
    <row r="6" spans="1:22" s="3" customFormat="1" ht="15" customHeight="1">
      <c r="A6" s="162">
        <v>1</v>
      </c>
      <c r="B6" s="73">
        <v>153372</v>
      </c>
      <c r="C6" s="75">
        <v>506164</v>
      </c>
      <c r="D6" s="75">
        <v>471434</v>
      </c>
      <c r="E6" s="75">
        <v>490458</v>
      </c>
      <c r="F6" s="74">
        <v>226679</v>
      </c>
      <c r="G6" s="75">
        <v>518963</v>
      </c>
      <c r="H6" s="75">
        <v>529469</v>
      </c>
      <c r="I6" s="75">
        <v>501071</v>
      </c>
      <c r="J6" s="75">
        <v>507327</v>
      </c>
      <c r="K6" s="74">
        <v>172161</v>
      </c>
      <c r="L6" s="76">
        <v>193263</v>
      </c>
      <c r="M6" s="22">
        <v>534021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163">
        <f>A6+1</f>
        <v>2</v>
      </c>
      <c r="B7" s="87">
        <v>221945</v>
      </c>
      <c r="C7" s="26">
        <v>489889</v>
      </c>
      <c r="D7" s="26">
        <v>478007</v>
      </c>
      <c r="E7" s="82">
        <v>354580</v>
      </c>
      <c r="F7" s="26">
        <v>480247</v>
      </c>
      <c r="G7" s="26">
        <v>488633</v>
      </c>
      <c r="H7" s="82">
        <v>395782</v>
      </c>
      <c r="I7" s="26">
        <v>472138</v>
      </c>
      <c r="J7" s="26">
        <v>533484</v>
      </c>
      <c r="K7" s="82">
        <v>245621</v>
      </c>
      <c r="L7" s="26">
        <v>457682</v>
      </c>
      <c r="M7" s="28">
        <v>555240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163">
        <f>A6+2</f>
        <v>3</v>
      </c>
      <c r="B8" s="89">
        <v>451472</v>
      </c>
      <c r="C8" s="26">
        <v>470226</v>
      </c>
      <c r="D8" s="26">
        <v>512872</v>
      </c>
      <c r="E8" s="82">
        <v>240876</v>
      </c>
      <c r="F8" s="26">
        <v>482400</v>
      </c>
      <c r="G8" s="26">
        <v>516677</v>
      </c>
      <c r="H8" s="82">
        <v>259520</v>
      </c>
      <c r="I8" s="26">
        <v>507955</v>
      </c>
      <c r="J8" s="82">
        <v>388507</v>
      </c>
      <c r="K8" s="26">
        <v>505749</v>
      </c>
      <c r="L8" s="26">
        <v>523654</v>
      </c>
      <c r="M8" s="95">
        <v>419802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163">
        <f>A6+3</f>
        <v>4</v>
      </c>
      <c r="B9" s="89">
        <v>491378</v>
      </c>
      <c r="C9" s="26">
        <v>506197</v>
      </c>
      <c r="D9" s="26">
        <v>501280</v>
      </c>
      <c r="E9" s="26">
        <v>483480</v>
      </c>
      <c r="F9" s="26">
        <v>488761</v>
      </c>
      <c r="G9" s="82">
        <v>346949</v>
      </c>
      <c r="H9" s="26">
        <v>499607</v>
      </c>
      <c r="I9" s="26">
        <v>479598</v>
      </c>
      <c r="J9" s="82">
        <v>250917</v>
      </c>
      <c r="K9" s="26">
        <v>504849</v>
      </c>
      <c r="L9" s="26">
        <v>523875</v>
      </c>
      <c r="M9" s="95">
        <v>249939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163">
        <f>A6+4</f>
        <v>5</v>
      </c>
      <c r="B10" s="89">
        <v>506431</v>
      </c>
      <c r="C10" s="82">
        <v>370289</v>
      </c>
      <c r="D10" s="82">
        <v>367800</v>
      </c>
      <c r="E10" s="26">
        <v>486493</v>
      </c>
      <c r="F10" s="26">
        <v>461227</v>
      </c>
      <c r="G10" s="82">
        <v>250341</v>
      </c>
      <c r="H10" s="26">
        <v>509545</v>
      </c>
      <c r="I10" s="26">
        <v>530646</v>
      </c>
      <c r="J10" s="26">
        <v>508871</v>
      </c>
      <c r="K10" s="26">
        <v>521782</v>
      </c>
      <c r="L10" s="82">
        <v>376959</v>
      </c>
      <c r="M10" s="28">
        <v>534704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163">
        <f>A6+5</f>
        <v>6</v>
      </c>
      <c r="B11" s="89">
        <v>476178</v>
      </c>
      <c r="C11" s="82">
        <v>231773</v>
      </c>
      <c r="D11" s="82">
        <v>240701</v>
      </c>
      <c r="E11" s="26">
        <v>500924</v>
      </c>
      <c r="F11" s="26">
        <v>501997</v>
      </c>
      <c r="G11" s="26">
        <v>489057</v>
      </c>
      <c r="H11" s="26">
        <v>500772</v>
      </c>
      <c r="I11" s="82">
        <v>377461</v>
      </c>
      <c r="J11" s="26">
        <v>506251</v>
      </c>
      <c r="K11" s="26">
        <v>501171</v>
      </c>
      <c r="L11" s="82">
        <v>246131</v>
      </c>
      <c r="M11" s="28">
        <v>533335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163">
        <f>A6+6</f>
        <v>7</v>
      </c>
      <c r="B12" s="89">
        <v>526514</v>
      </c>
      <c r="C12" s="26">
        <v>476965</v>
      </c>
      <c r="D12" s="26">
        <v>485967</v>
      </c>
      <c r="E12" s="26">
        <v>489514</v>
      </c>
      <c r="F12" s="82">
        <v>330726</v>
      </c>
      <c r="G12" s="26">
        <v>486995</v>
      </c>
      <c r="H12" s="26">
        <v>507123</v>
      </c>
      <c r="I12" s="82">
        <v>249507</v>
      </c>
      <c r="J12" s="26">
        <v>517389</v>
      </c>
      <c r="K12" s="26">
        <v>533769</v>
      </c>
      <c r="L12" s="33">
        <v>292039</v>
      </c>
      <c r="M12" s="28">
        <v>532097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163">
        <f>A6+7</f>
        <v>8</v>
      </c>
      <c r="B13" s="87">
        <v>360176</v>
      </c>
      <c r="C13" s="26">
        <v>482793</v>
      </c>
      <c r="D13" s="26">
        <v>502923</v>
      </c>
      <c r="E13" s="26">
        <v>514600</v>
      </c>
      <c r="F13" s="82">
        <v>206003</v>
      </c>
      <c r="G13" s="26">
        <v>457212</v>
      </c>
      <c r="H13" s="26">
        <v>532139</v>
      </c>
      <c r="I13" s="26">
        <v>499036</v>
      </c>
      <c r="J13" s="26">
        <v>502931</v>
      </c>
      <c r="K13" s="82">
        <v>375306</v>
      </c>
      <c r="L13" s="26">
        <v>539169</v>
      </c>
      <c r="M13" s="28">
        <v>531401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163">
        <f>A6+8</f>
        <v>9</v>
      </c>
      <c r="B14" s="87">
        <v>238727</v>
      </c>
      <c r="C14" s="26">
        <v>453166</v>
      </c>
      <c r="D14" s="26">
        <v>475985</v>
      </c>
      <c r="E14" s="82">
        <v>304515</v>
      </c>
      <c r="F14" s="26">
        <v>444403</v>
      </c>
      <c r="G14" s="26">
        <v>451031</v>
      </c>
      <c r="H14" s="82">
        <v>368879</v>
      </c>
      <c r="I14" s="26">
        <v>519182</v>
      </c>
      <c r="J14" s="26">
        <v>510117</v>
      </c>
      <c r="K14" s="82">
        <v>245853</v>
      </c>
      <c r="L14" s="26">
        <v>531063</v>
      </c>
      <c r="M14" s="28">
        <v>544885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163">
        <f>A6+9</f>
        <v>10</v>
      </c>
      <c r="B15" s="89">
        <v>506415</v>
      </c>
      <c r="C15" s="26">
        <v>492953</v>
      </c>
      <c r="D15" s="26">
        <v>488809</v>
      </c>
      <c r="E15" s="82">
        <v>239754</v>
      </c>
      <c r="F15" s="26">
        <v>500937</v>
      </c>
      <c r="G15" s="26">
        <v>512066</v>
      </c>
      <c r="H15" s="82">
        <v>240356</v>
      </c>
      <c r="I15" s="26">
        <v>517934</v>
      </c>
      <c r="J15" s="82">
        <v>402676</v>
      </c>
      <c r="K15" s="26">
        <v>517316</v>
      </c>
      <c r="L15" s="26">
        <v>511289</v>
      </c>
      <c r="M15" s="95">
        <v>431442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163">
        <f>A6+10</f>
        <v>11</v>
      </c>
      <c r="B16" s="89">
        <v>509732</v>
      </c>
      <c r="C16" s="26">
        <v>485368</v>
      </c>
      <c r="D16" s="26">
        <v>501390</v>
      </c>
      <c r="E16" s="26">
        <v>491086</v>
      </c>
      <c r="F16" s="26">
        <v>497756</v>
      </c>
      <c r="G16" s="82">
        <v>359317</v>
      </c>
      <c r="H16" s="26">
        <v>485269</v>
      </c>
      <c r="I16" s="26">
        <v>488130</v>
      </c>
      <c r="J16" s="82">
        <v>256084</v>
      </c>
      <c r="K16" s="26">
        <v>509013</v>
      </c>
      <c r="L16" s="26">
        <v>540629</v>
      </c>
      <c r="M16" s="95">
        <v>300057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163">
        <f>A6+11</f>
        <v>12</v>
      </c>
      <c r="B17" s="89">
        <v>503228</v>
      </c>
      <c r="C17" s="82">
        <v>356872</v>
      </c>
      <c r="D17" s="82">
        <v>361144</v>
      </c>
      <c r="E17" s="26">
        <v>499258</v>
      </c>
      <c r="F17" s="26">
        <v>471840</v>
      </c>
      <c r="G17" s="82">
        <v>186551</v>
      </c>
      <c r="H17" s="26">
        <v>483544</v>
      </c>
      <c r="I17" s="26">
        <v>492408</v>
      </c>
      <c r="J17" s="26">
        <v>503334</v>
      </c>
      <c r="K17" s="26">
        <v>526015</v>
      </c>
      <c r="L17" s="82">
        <v>388604</v>
      </c>
      <c r="M17" s="28">
        <v>548785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163">
        <f>A6+12</f>
        <v>13</v>
      </c>
      <c r="B18" s="89">
        <v>498108</v>
      </c>
      <c r="C18" s="82">
        <v>234509</v>
      </c>
      <c r="D18" s="82">
        <v>242004</v>
      </c>
      <c r="E18" s="26">
        <v>502107</v>
      </c>
      <c r="F18" s="26">
        <v>511002</v>
      </c>
      <c r="G18" s="26">
        <v>472089</v>
      </c>
      <c r="H18" s="26">
        <v>510650</v>
      </c>
      <c r="I18" s="82">
        <v>403775</v>
      </c>
      <c r="J18" s="26">
        <v>518095</v>
      </c>
      <c r="K18" s="26">
        <v>463340</v>
      </c>
      <c r="L18" s="82">
        <v>241202</v>
      </c>
      <c r="M18" s="28">
        <v>543302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163">
        <f>A6+13</f>
        <v>14</v>
      </c>
      <c r="B19" s="89">
        <v>521444</v>
      </c>
      <c r="C19" s="26">
        <v>487629</v>
      </c>
      <c r="D19" s="26">
        <v>471494</v>
      </c>
      <c r="E19" s="26">
        <v>493480</v>
      </c>
      <c r="F19" s="82">
        <v>354026</v>
      </c>
      <c r="G19" s="26">
        <v>509553</v>
      </c>
      <c r="H19" s="26">
        <v>510819</v>
      </c>
      <c r="I19" s="82">
        <v>279407</v>
      </c>
      <c r="J19" s="26">
        <v>507964</v>
      </c>
      <c r="K19" s="26">
        <v>577015</v>
      </c>
      <c r="L19" s="26">
        <v>499489</v>
      </c>
      <c r="M19" s="28">
        <v>551700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163">
        <f>A6+14</f>
        <v>15</v>
      </c>
      <c r="B20" s="87">
        <v>374810</v>
      </c>
      <c r="C20" s="26">
        <v>491802</v>
      </c>
      <c r="D20" s="26">
        <v>510605</v>
      </c>
      <c r="E20" s="26">
        <v>513430</v>
      </c>
      <c r="F20" s="82">
        <v>228055</v>
      </c>
      <c r="G20" s="26">
        <v>515431</v>
      </c>
      <c r="H20" s="26">
        <v>546995</v>
      </c>
      <c r="I20" s="26">
        <v>535344</v>
      </c>
      <c r="J20" s="26">
        <v>523120</v>
      </c>
      <c r="K20" s="82">
        <v>404133</v>
      </c>
      <c r="L20" s="26">
        <v>530206</v>
      </c>
      <c r="M20" s="28">
        <v>560341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163">
        <f>A6+15</f>
        <v>16</v>
      </c>
      <c r="B21" s="87">
        <v>261578</v>
      </c>
      <c r="C21" s="26">
        <v>476319</v>
      </c>
      <c r="D21" s="26">
        <v>505724</v>
      </c>
      <c r="E21" s="82">
        <v>367297</v>
      </c>
      <c r="F21" s="26">
        <v>485000</v>
      </c>
      <c r="G21" s="26">
        <v>507076</v>
      </c>
      <c r="H21" s="82">
        <v>411008</v>
      </c>
      <c r="I21" s="26">
        <v>515545</v>
      </c>
      <c r="J21" s="26">
        <v>536713</v>
      </c>
      <c r="K21" s="82">
        <v>283231</v>
      </c>
      <c r="L21" s="26">
        <v>536099</v>
      </c>
      <c r="M21" s="28">
        <v>556826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163">
        <f>A6+16</f>
        <v>17</v>
      </c>
      <c r="B22" s="89">
        <v>493150</v>
      </c>
      <c r="C22" s="26">
        <v>494166</v>
      </c>
      <c r="D22" s="26">
        <v>485068</v>
      </c>
      <c r="E22" s="82">
        <v>239008</v>
      </c>
      <c r="F22" s="26">
        <v>497000</v>
      </c>
      <c r="G22" s="26">
        <v>521970</v>
      </c>
      <c r="H22" s="82">
        <v>259613</v>
      </c>
      <c r="I22" s="26">
        <v>508974</v>
      </c>
      <c r="J22" s="82">
        <v>395988</v>
      </c>
      <c r="K22" s="26">
        <v>513886</v>
      </c>
      <c r="L22" s="26">
        <v>532600</v>
      </c>
      <c r="M22" s="95">
        <v>448467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163">
        <f>A6+17</f>
        <v>18</v>
      </c>
      <c r="B23" s="89">
        <v>480058</v>
      </c>
      <c r="C23" s="26">
        <v>530486</v>
      </c>
      <c r="D23" s="26">
        <v>506220</v>
      </c>
      <c r="E23" s="26">
        <v>489811</v>
      </c>
      <c r="F23" s="26">
        <v>489243</v>
      </c>
      <c r="G23" s="82">
        <v>387502</v>
      </c>
      <c r="H23" s="26">
        <v>515022</v>
      </c>
      <c r="I23" s="26">
        <v>526716</v>
      </c>
      <c r="J23" s="82">
        <v>268642</v>
      </c>
      <c r="K23" s="26">
        <v>497788</v>
      </c>
      <c r="L23" s="26">
        <v>534657</v>
      </c>
      <c r="M23" s="95">
        <v>314624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163">
        <f>A6+18</f>
        <v>19</v>
      </c>
      <c r="B24" s="89">
        <v>515654</v>
      </c>
      <c r="C24" s="82">
        <v>376869</v>
      </c>
      <c r="D24" s="82">
        <v>354174</v>
      </c>
      <c r="E24" s="26">
        <v>472908</v>
      </c>
      <c r="F24" s="26">
        <v>476586</v>
      </c>
      <c r="G24" s="82">
        <v>216832</v>
      </c>
      <c r="H24" s="26">
        <v>507716</v>
      </c>
      <c r="I24" s="26">
        <v>499380</v>
      </c>
      <c r="J24" s="26">
        <v>467140</v>
      </c>
      <c r="K24" s="26">
        <v>532025</v>
      </c>
      <c r="L24" s="82">
        <v>413375</v>
      </c>
      <c r="M24" s="28">
        <v>536064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163">
        <f>A6+19</f>
        <v>20</v>
      </c>
      <c r="B25" s="89">
        <v>475656</v>
      </c>
      <c r="C25" s="82">
        <v>240060</v>
      </c>
      <c r="D25" s="82">
        <v>259183</v>
      </c>
      <c r="E25" s="26">
        <v>465367</v>
      </c>
      <c r="F25" s="26">
        <v>492642</v>
      </c>
      <c r="G25" s="33">
        <v>266873</v>
      </c>
      <c r="H25" s="26">
        <v>528923</v>
      </c>
      <c r="I25" s="82">
        <v>386338</v>
      </c>
      <c r="J25" s="26">
        <v>525091</v>
      </c>
      <c r="K25" s="26">
        <v>501568</v>
      </c>
      <c r="L25" s="82">
        <v>291514</v>
      </c>
      <c r="M25" s="28">
        <v>524408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163">
        <f>A6+20</f>
        <v>21</v>
      </c>
      <c r="B26" s="89">
        <v>505656</v>
      </c>
      <c r="C26" s="26">
        <v>480310</v>
      </c>
      <c r="D26" s="26">
        <v>483777</v>
      </c>
      <c r="E26" s="35"/>
      <c r="F26" s="82">
        <v>364796</v>
      </c>
      <c r="G26" s="26">
        <v>517102</v>
      </c>
      <c r="H26" s="26">
        <v>492674</v>
      </c>
      <c r="I26" s="82">
        <v>248011</v>
      </c>
      <c r="J26" s="26">
        <v>530381</v>
      </c>
      <c r="K26" s="26">
        <v>533470</v>
      </c>
      <c r="L26" s="26">
        <v>526124</v>
      </c>
      <c r="M26" s="28">
        <v>526571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163">
        <f>A6+21</f>
        <v>22</v>
      </c>
      <c r="B27" s="87">
        <v>361916</v>
      </c>
      <c r="C27" s="26">
        <v>495597</v>
      </c>
      <c r="D27" s="26">
        <v>486678</v>
      </c>
      <c r="E27" s="35"/>
      <c r="F27" s="82">
        <v>235462</v>
      </c>
      <c r="G27" s="26">
        <v>490951</v>
      </c>
      <c r="H27" s="26">
        <v>527109</v>
      </c>
      <c r="I27" s="26">
        <v>514215</v>
      </c>
      <c r="J27" s="26">
        <v>501779</v>
      </c>
      <c r="K27" s="82">
        <v>382332</v>
      </c>
      <c r="L27" s="26">
        <v>496522</v>
      </c>
      <c r="M27" s="28">
        <v>528904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163">
        <f>A6+22</f>
        <v>23</v>
      </c>
      <c r="B28" s="87">
        <v>234024</v>
      </c>
      <c r="C28" s="26">
        <v>485189</v>
      </c>
      <c r="D28" s="26">
        <v>484007</v>
      </c>
      <c r="E28" s="35"/>
      <c r="F28" s="26">
        <v>474348</v>
      </c>
      <c r="G28" s="26">
        <v>493233</v>
      </c>
      <c r="H28" s="82">
        <v>380960</v>
      </c>
      <c r="I28" s="26">
        <v>488843</v>
      </c>
      <c r="J28" s="26">
        <v>519878</v>
      </c>
      <c r="K28" s="82">
        <v>254293</v>
      </c>
      <c r="L28" s="26">
        <v>557069</v>
      </c>
      <c r="M28" s="28">
        <v>526270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163">
        <f>A6+23</f>
        <v>24</v>
      </c>
      <c r="B29" s="89">
        <v>474550</v>
      </c>
      <c r="C29" s="26">
        <v>508199</v>
      </c>
      <c r="D29" s="26">
        <v>474317</v>
      </c>
      <c r="E29" s="35"/>
      <c r="F29" s="26">
        <v>488728</v>
      </c>
      <c r="G29" s="26">
        <v>385904</v>
      </c>
      <c r="H29" s="82">
        <v>262363</v>
      </c>
      <c r="I29" s="26">
        <v>518533</v>
      </c>
      <c r="J29" s="82">
        <v>391522</v>
      </c>
      <c r="K29" s="26">
        <v>511293</v>
      </c>
      <c r="L29" s="26">
        <v>523577</v>
      </c>
      <c r="M29" s="95">
        <v>283651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163">
        <f>A6+24</f>
        <v>25</v>
      </c>
      <c r="B30" s="89">
        <v>512600</v>
      </c>
      <c r="C30" s="26">
        <v>510148</v>
      </c>
      <c r="D30" s="26">
        <v>502272</v>
      </c>
      <c r="E30" s="26">
        <v>463194</v>
      </c>
      <c r="F30" s="26">
        <v>496943</v>
      </c>
      <c r="G30" s="82">
        <v>292262</v>
      </c>
      <c r="H30" s="26">
        <v>485600</v>
      </c>
      <c r="I30" s="26">
        <v>538200</v>
      </c>
      <c r="J30" s="82">
        <v>256633</v>
      </c>
      <c r="K30" s="26">
        <v>529724</v>
      </c>
      <c r="L30" s="26">
        <v>540460</v>
      </c>
      <c r="M30" s="95">
        <v>244410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163">
        <f>A6+25</f>
        <v>26</v>
      </c>
      <c r="B31" s="89">
        <v>489507</v>
      </c>
      <c r="C31" s="82">
        <v>379077</v>
      </c>
      <c r="D31" s="82">
        <v>365274</v>
      </c>
      <c r="E31" s="26">
        <v>466884</v>
      </c>
      <c r="F31" s="26">
        <v>499404</v>
      </c>
      <c r="G31" s="82">
        <v>238261</v>
      </c>
      <c r="H31" s="26">
        <v>473236</v>
      </c>
      <c r="I31" s="26">
        <v>525276</v>
      </c>
      <c r="J31" s="26">
        <v>477542</v>
      </c>
      <c r="K31" s="26">
        <v>529326</v>
      </c>
      <c r="L31" s="82">
        <v>409263</v>
      </c>
      <c r="M31" s="28">
        <v>422409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163">
        <f>A6+26</f>
        <v>27</v>
      </c>
      <c r="B32" s="89">
        <v>457129</v>
      </c>
      <c r="C32" s="82">
        <v>227528</v>
      </c>
      <c r="D32" s="82">
        <v>232390</v>
      </c>
      <c r="E32" s="26">
        <v>451563</v>
      </c>
      <c r="F32" s="26">
        <v>490362</v>
      </c>
      <c r="G32" s="26">
        <v>511168</v>
      </c>
      <c r="H32" s="26">
        <v>416140</v>
      </c>
      <c r="I32" s="82">
        <v>358240</v>
      </c>
      <c r="J32" s="213">
        <v>97802</v>
      </c>
      <c r="K32" s="26">
        <v>511710</v>
      </c>
      <c r="L32" s="82">
        <v>281819</v>
      </c>
      <c r="M32" s="28">
        <v>467141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163">
        <f>A6+27</f>
        <v>28</v>
      </c>
      <c r="B33" s="89">
        <v>500152</v>
      </c>
      <c r="C33" s="26">
        <v>481400</v>
      </c>
      <c r="D33" s="26">
        <v>476326</v>
      </c>
      <c r="E33" s="26">
        <v>452396</v>
      </c>
      <c r="F33" s="82">
        <v>356583</v>
      </c>
      <c r="G33" s="26">
        <v>512809</v>
      </c>
      <c r="H33" s="26">
        <v>499269</v>
      </c>
      <c r="I33" s="82">
        <v>242145</v>
      </c>
      <c r="J33" s="26">
        <v>453659</v>
      </c>
      <c r="K33" s="26">
        <v>547244</v>
      </c>
      <c r="L33" s="26">
        <v>530467</v>
      </c>
      <c r="M33" s="28">
        <v>477425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163">
        <f>A6+28</f>
        <v>29</v>
      </c>
      <c r="B34" s="87">
        <v>359976</v>
      </c>
      <c r="C34" s="35"/>
      <c r="D34" s="26">
        <v>488766</v>
      </c>
      <c r="E34" s="26">
        <v>472140</v>
      </c>
      <c r="F34" s="82">
        <v>237069</v>
      </c>
      <c r="G34" s="26">
        <v>508565</v>
      </c>
      <c r="H34" s="26">
        <v>545526</v>
      </c>
      <c r="I34" s="33">
        <v>263328</v>
      </c>
      <c r="J34" s="26">
        <v>499138</v>
      </c>
      <c r="K34" s="82">
        <v>382795</v>
      </c>
      <c r="L34" s="26">
        <v>555819</v>
      </c>
      <c r="M34" s="28">
        <v>471358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163">
        <f>A6+29</f>
        <v>30</v>
      </c>
      <c r="B35" s="87">
        <v>243296</v>
      </c>
      <c r="C35" s="37"/>
      <c r="D35" s="26">
        <v>489756</v>
      </c>
      <c r="E35" s="82">
        <v>347315</v>
      </c>
      <c r="F35" s="26">
        <v>480837</v>
      </c>
      <c r="G35" s="26">
        <v>503202</v>
      </c>
      <c r="H35" s="82">
        <v>377058</v>
      </c>
      <c r="I35" s="33">
        <v>294072</v>
      </c>
      <c r="J35" s="26">
        <v>545988</v>
      </c>
      <c r="K35" s="82">
        <v>239000</v>
      </c>
      <c r="L35" s="33">
        <v>366603</v>
      </c>
      <c r="M35" s="36">
        <v>237507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164">
        <f>A6+30</f>
        <v>31</v>
      </c>
      <c r="B36" s="206">
        <v>476683</v>
      </c>
      <c r="C36" s="207"/>
      <c r="D36" s="72">
        <v>478954</v>
      </c>
      <c r="E36" s="207"/>
      <c r="F36" s="72">
        <v>506085</v>
      </c>
      <c r="G36" s="207"/>
      <c r="H36" s="98">
        <v>253850</v>
      </c>
      <c r="I36" s="72">
        <v>517676</v>
      </c>
      <c r="J36" s="97"/>
      <c r="K36" s="44">
        <v>247578</v>
      </c>
      <c r="L36" s="97"/>
      <c r="M36" s="101">
        <v>203883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44">
        <f>AVERAGE(B6:B36)/12</f>
        <v>35434.180107526881</v>
      </c>
      <c r="C37" s="130">
        <f>AVERAGE(C6:C36)</f>
        <v>436497.96428571426</v>
      </c>
      <c r="D37" s="130">
        <f>AVERAGE(D6:D36)</f>
        <v>441461.32258064515</v>
      </c>
      <c r="E37" s="130">
        <f>IFERROR(AVERAGE(E6:E36),0)</f>
        <v>434324.53846153844</v>
      </c>
      <c r="F37" s="130">
        <f>IFERROR(AVERAGE(F6:F36),0)</f>
        <v>427649.90322580643</v>
      </c>
      <c r="G37" s="130">
        <f t="shared" ref="G37:M37" si="0">IFERROR(AVERAGE(G6:G36),0)</f>
        <v>430485.83333333331</v>
      </c>
      <c r="H37" s="130">
        <f t="shared" si="0"/>
        <v>445694.70967741933</v>
      </c>
      <c r="I37" s="130">
        <f t="shared" si="0"/>
        <v>445131.74193548388</v>
      </c>
      <c r="J37" s="130">
        <f t="shared" si="0"/>
        <v>446832.1</v>
      </c>
      <c r="K37" s="130">
        <f t="shared" si="0"/>
        <v>438721.16129032261</v>
      </c>
      <c r="L37" s="130">
        <f>IFERROR(AVERAGE(L6:L36),0)</f>
        <v>449707.4</v>
      </c>
      <c r="M37" s="168">
        <f t="shared" si="0"/>
        <v>456160.29032258067</v>
      </c>
      <c r="N37" s="252">
        <f>SUM(B37:M37)/12</f>
        <v>407341.76210169756</v>
      </c>
    </row>
    <row r="38" spans="1:22">
      <c r="A38" s="48" t="s">
        <v>20</v>
      </c>
      <c r="B38" s="129">
        <f>AVERAGE(B8:B12,B15:B19,B22:B26,B29:B33,B36)</f>
        <v>493890.23809523811</v>
      </c>
      <c r="C38" s="50">
        <f>AVERAGE(C6:C9,C12:C16,C19:C23,C26:C30,C33)</f>
        <v>490248.3</v>
      </c>
      <c r="D38" s="50">
        <f>AVERAGE(D6:D9,D12:D16,D19:D23,D26:D30,D33:D36)</f>
        <v>489679.60869565216</v>
      </c>
      <c r="E38" s="50">
        <f>AVERAGE(E6,E9:E13,E16:E20,E23:E25,E30:E34)</f>
        <v>484162.78947368421</v>
      </c>
      <c r="F38" s="50">
        <f>AVERAGE(F7:F11,F14:F18,F21:F25,F28:F32,F35:F36)</f>
        <v>487170.36363636365</v>
      </c>
      <c r="G38" s="50">
        <f>AVERAGE(G6:G8,G11:G15,G18:G22,G26:G29,G32:G35)</f>
        <v>493794.61904761905</v>
      </c>
      <c r="H38" s="50">
        <f>AVERAGE(H6,H9:H13,H16:H20,H23:H27,H30:H34)</f>
        <v>505102.23809523811</v>
      </c>
      <c r="I38" s="50">
        <f>AVERAGE(I6:I10,I13:I17,I20:I24,I27:I31,I36)</f>
        <v>509371.42857142858</v>
      </c>
      <c r="J38" s="50">
        <f>AVERAGE(J6:J7,J10:J14,J17:J21,J24:J28,J31,J33:J35)</f>
        <v>509342.47619047621</v>
      </c>
      <c r="K38" s="50">
        <f>AVERAGE(K8:K12,K15:K19,K22:K26,K29:K33)</f>
        <v>518402.65</v>
      </c>
      <c r="L38" s="50">
        <f>AVERAGE(L7:L9,L13:L16,L19:L23,L26:L30,L33:L34)</f>
        <v>525813.15789473685</v>
      </c>
      <c r="M38" s="50">
        <f>AVERAGE(M6:M7,M10:M14,M17:M21,M24:M28,M31,M32:M34)</f>
        <v>524151.76190476189</v>
      </c>
      <c r="N38" s="252">
        <f t="shared" ref="N38:N44" si="1">SUM(B38:M38)/12</f>
        <v>502594.13596709998</v>
      </c>
    </row>
    <row r="39" spans="1:22">
      <c r="A39" s="52" t="s">
        <v>21</v>
      </c>
      <c r="B39" s="129">
        <f>AVERAGE(B13,B20,B27,B34)</f>
        <v>364219.5</v>
      </c>
      <c r="C39" s="50">
        <f>AVERAGE(C10,C17,C24,C31)</f>
        <v>370776.75</v>
      </c>
      <c r="D39" s="50">
        <f>AVERAGE(D10,D17,D24,D31)</f>
        <v>362098</v>
      </c>
      <c r="E39" s="50">
        <f>AVERAGE(E7,E14,E21,E35)</f>
        <v>343426.75</v>
      </c>
      <c r="F39" s="50">
        <f>AVERAGE(F12,F19,F26,F33)</f>
        <v>351532.75</v>
      </c>
      <c r="G39" s="50">
        <f>AVERAGE(G9,G16,G23,G30)</f>
        <v>346507.5</v>
      </c>
      <c r="H39" s="50">
        <f>AVERAGE(H7,H14,H21,H35,H28)</f>
        <v>386737.4</v>
      </c>
      <c r="I39" s="50">
        <f>AVERAGE(I11,I18,I25,I32)</f>
        <v>381453.5</v>
      </c>
      <c r="J39" s="50">
        <f>AVERAGE(J8,J15,J22,J29)</f>
        <v>394673.25</v>
      </c>
      <c r="K39" s="50">
        <f>AVERAGE(K13,K20,K27,K34,K6)</f>
        <v>343345.4</v>
      </c>
      <c r="L39" s="50">
        <f>AVERAGE(L10,L17,L24,L31)</f>
        <v>397050.25</v>
      </c>
      <c r="M39" s="50">
        <f>AVERAGE(M8,M15,M22,M29)</f>
        <v>395840.5</v>
      </c>
      <c r="N39" s="252">
        <f t="shared" si="1"/>
        <v>369805.12916666665</v>
      </c>
    </row>
    <row r="40" spans="1:22">
      <c r="A40" s="52" t="s">
        <v>22</v>
      </c>
      <c r="B40" s="129">
        <f>AVERAGE(B14,B21,B28,B35,B6:B7)</f>
        <v>225490.33333333334</v>
      </c>
      <c r="C40" s="50">
        <f>AVERAGE(C11,C18,C25,C32)</f>
        <v>233467.5</v>
      </c>
      <c r="D40" s="50">
        <f>AVERAGE(D11,D18,D25,D32)</f>
        <v>243569.5</v>
      </c>
      <c r="E40" s="50">
        <f>AVERAGE(E8,E15,E22)</f>
        <v>239879.33333333334</v>
      </c>
      <c r="F40" s="50">
        <f>AVERAGE(F13,F20,F27,F34,F6)</f>
        <v>226653.6</v>
      </c>
      <c r="G40" s="50">
        <f>AVERAGE(G10,G17,G24:G25,G31)</f>
        <v>231771.6</v>
      </c>
      <c r="H40" s="50">
        <f>AVERAGE(H8,H15,H22,H36,H29)</f>
        <v>255140.4</v>
      </c>
      <c r="I40" s="50">
        <f>AVERAGE(I12,I19,I26,I33:I35)</f>
        <v>262745</v>
      </c>
      <c r="J40" s="50">
        <f>AVERAGE(J9,J16,J23,J30)</f>
        <v>258069</v>
      </c>
      <c r="K40" s="50">
        <f>AVERAGE(K14,K21,K28,K35:K36,K7)</f>
        <v>252596</v>
      </c>
      <c r="L40" s="50">
        <f>AVERAGE(L11:L12,L18,L25,L32,L6,L35)</f>
        <v>273224.42857142858</v>
      </c>
      <c r="M40" s="50">
        <f>AVERAGE(M9,M16,M23,M30,M35:M36)</f>
        <v>258403.33333333334</v>
      </c>
      <c r="N40" s="252">
        <f t="shared" si="1"/>
        <v>246750.83571428573</v>
      </c>
    </row>
    <row r="41" spans="1:22">
      <c r="A41" s="52" t="s">
        <v>23</v>
      </c>
      <c r="B41" s="129">
        <f>AVERAGE(B6:B7,B13:B14,B20:B21,B27:B28,B34:B35)</f>
        <v>280982</v>
      </c>
      <c r="C41" s="50">
        <f>AVERAGE(C10:C11,C17:C18,C24:C25,C31:C32)</f>
        <v>302122.125</v>
      </c>
      <c r="D41" s="50">
        <f>AVERAGE(D10:D11,D17:D18,D24:D25,D31:D32)</f>
        <v>302833.75</v>
      </c>
      <c r="E41" s="50">
        <f>AVERAGE(E7:E8,E14:E15,E21:E22,E35)</f>
        <v>299049.28571428574</v>
      </c>
      <c r="F41" s="50">
        <f>AVERAGE(F6,F12:F13,F19:F20,F26:F27,F33:F34)</f>
        <v>282155.44444444444</v>
      </c>
      <c r="G41" s="50">
        <f>AVERAGE(G9:G10,G16:G17,G23:G25,G30:G31)</f>
        <v>282765.33333333331</v>
      </c>
      <c r="H41" s="50">
        <f>AVERAGE(H7:H8,H14:H15,H21:H22,H35:H36,H28:H29)</f>
        <v>320938.90000000002</v>
      </c>
      <c r="I41" s="50">
        <f>AVERAGE(I11:I12,I18:I19,I25:I26,I32:I35)</f>
        <v>310228.40000000002</v>
      </c>
      <c r="J41" s="50">
        <f>AVERAGE(J8:J9,J15:J16,J22:J23,J29:J30)</f>
        <v>326371.125</v>
      </c>
      <c r="K41" s="50">
        <f>AVERAGE(K6:K7,K13:K14,K20:K21,K27:K28,K34:K36)</f>
        <v>293845.72727272729</v>
      </c>
      <c r="L41" s="50">
        <f>AVERAGE(L10:L12,L17:L18,L24:L25,L31:L32,L6,L35)</f>
        <v>318252</v>
      </c>
      <c r="M41" s="50">
        <f>AVERAGE(M8:M9,M15:M16,M22:M23,M29:M30,M35:M36)</f>
        <v>313378.2</v>
      </c>
      <c r="N41" s="252">
        <f t="shared" si="1"/>
        <v>302743.52423039923</v>
      </c>
    </row>
    <row r="42" spans="1:22">
      <c r="A42" s="52" t="s">
        <v>24</v>
      </c>
      <c r="B42" s="108">
        <f>MAX(B6:B36)</f>
        <v>526514</v>
      </c>
      <c r="C42" s="109">
        <f>MAX(C6:C36)</f>
        <v>530486</v>
      </c>
      <c r="D42" s="109">
        <f t="shared" ref="D42:M42" si="2">MAX(D6:D36)</f>
        <v>512872</v>
      </c>
      <c r="E42" s="109">
        <f t="shared" si="2"/>
        <v>514600</v>
      </c>
      <c r="F42" s="109">
        <f t="shared" si="2"/>
        <v>511002</v>
      </c>
      <c r="G42" s="109">
        <f t="shared" si="2"/>
        <v>521970</v>
      </c>
      <c r="H42" s="109">
        <f t="shared" si="2"/>
        <v>546995</v>
      </c>
      <c r="I42" s="109">
        <f t="shared" si="2"/>
        <v>538200</v>
      </c>
      <c r="J42" s="109">
        <f t="shared" si="2"/>
        <v>545988</v>
      </c>
      <c r="K42" s="109">
        <f t="shared" si="2"/>
        <v>577015</v>
      </c>
      <c r="L42" s="109">
        <f t="shared" si="2"/>
        <v>557069</v>
      </c>
      <c r="M42" s="110">
        <f t="shared" si="2"/>
        <v>560341</v>
      </c>
      <c r="N42" s="252">
        <f t="shared" si="1"/>
        <v>536921</v>
      </c>
    </row>
    <row r="43" spans="1:22">
      <c r="A43" s="52" t="s">
        <v>47</v>
      </c>
      <c r="B43" s="129">
        <f>MIN(B6:B36)</f>
        <v>153372</v>
      </c>
      <c r="C43" s="53">
        <f t="shared" ref="C43:M43" si="3">MIN(C6:C36)</f>
        <v>227528</v>
      </c>
      <c r="D43" s="53">
        <f t="shared" si="3"/>
        <v>232390</v>
      </c>
      <c r="E43" s="53">
        <f t="shared" si="3"/>
        <v>239008</v>
      </c>
      <c r="F43" s="53">
        <f t="shared" si="3"/>
        <v>206003</v>
      </c>
      <c r="G43" s="53">
        <f t="shared" si="3"/>
        <v>186551</v>
      </c>
      <c r="H43" s="53">
        <f t="shared" si="3"/>
        <v>240356</v>
      </c>
      <c r="I43" s="53">
        <f t="shared" si="3"/>
        <v>242145</v>
      </c>
      <c r="J43" s="53">
        <f t="shared" si="3"/>
        <v>97802</v>
      </c>
      <c r="K43" s="53">
        <f t="shared" si="3"/>
        <v>172161</v>
      </c>
      <c r="L43" s="53">
        <f t="shared" si="3"/>
        <v>193263</v>
      </c>
      <c r="M43" s="54">
        <f t="shared" si="3"/>
        <v>203883</v>
      </c>
      <c r="N43" s="252">
        <f t="shared" si="1"/>
        <v>199538.5</v>
      </c>
    </row>
    <row r="44" spans="1:22" ht="12.75" thickBot="1">
      <c r="A44" s="55" t="s">
        <v>25</v>
      </c>
      <c r="B44" s="111">
        <f t="shared" ref="B44:L44" si="4">SUM(B6:B36)</f>
        <v>13181515</v>
      </c>
      <c r="C44" s="57">
        <f>SUM(C6:C36)</f>
        <v>12221943</v>
      </c>
      <c r="D44" s="57">
        <f t="shared" si="4"/>
        <v>13685301</v>
      </c>
      <c r="E44" s="57">
        <f t="shared" si="4"/>
        <v>11292438</v>
      </c>
      <c r="F44" s="57">
        <f t="shared" si="4"/>
        <v>13257147</v>
      </c>
      <c r="G44" s="57">
        <f t="shared" si="4"/>
        <v>12914575</v>
      </c>
      <c r="H44" s="57">
        <f t="shared" si="4"/>
        <v>13816536</v>
      </c>
      <c r="I44" s="57">
        <f t="shared" si="4"/>
        <v>13799084</v>
      </c>
      <c r="J44" s="57">
        <f t="shared" si="4"/>
        <v>13404963</v>
      </c>
      <c r="K44" s="57">
        <f t="shared" si="4"/>
        <v>13600356</v>
      </c>
      <c r="L44" s="57">
        <f t="shared" si="4"/>
        <v>13491222</v>
      </c>
      <c r="M44" s="58">
        <f>SUM(M6:M36)</f>
        <v>14140969</v>
      </c>
      <c r="N44" s="252">
        <f t="shared" si="1"/>
        <v>13233837.416666666</v>
      </c>
      <c r="P44" s="59"/>
    </row>
    <row r="45" spans="1:22" s="60" customFormat="1" ht="11.25"/>
    <row r="46" spans="1:22">
      <c r="A46" s="61"/>
    </row>
    <row r="47" spans="1:22" ht="15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O47" s="64"/>
    </row>
    <row r="48" spans="1:22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</row>
    <row r="49" spans="1:13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1:13">
      <c r="A50" s="65"/>
      <c r="H50" s="66"/>
      <c r="I50" s="66"/>
      <c r="J50" s="66"/>
      <c r="K50" s="66"/>
      <c r="L50" s="66"/>
      <c r="M50" s="66"/>
    </row>
    <row r="52" spans="1:13">
      <c r="A52" s="67"/>
      <c r="B52" s="68"/>
    </row>
  </sheetData>
  <mergeCells count="2">
    <mergeCell ref="E1:I1"/>
    <mergeCell ref="E2:I3"/>
  </mergeCells>
  <conditionalFormatting sqref="B6:M31 B33:M36 B32:I32 K32:M32">
    <cfRule type="top10" dxfId="34" priority="2" rank="1"/>
  </conditionalFormatting>
  <printOptions horizontalCentered="1" verticalCentered="1"/>
  <pageMargins left="0.25" right="0" top="0.25" bottom="0.25" header="0.31" footer="0.31"/>
  <pageSetup paperSize="5" scale="94" orientation="landscape" r:id="rId1"/>
  <rowBreaks count="1" manualBreakCount="1">
    <brk id="45" max="16383" man="1"/>
  </rowBreaks>
  <ignoredErrors>
    <ignoredError sqref="C44:M44 C42:M42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V52"/>
  <sheetViews>
    <sheetView zoomScaleNormal="100" zoomScaleSheetLayoutView="100" zoomScalePageLayoutView="120" workbookViewId="0">
      <pane xSplit="1" ySplit="5" topLeftCell="N44" activePane="bottomRight" state="frozen"/>
      <selection pane="bottomRight" activeCell="N44" sqref="N44"/>
      <selection pane="bottomLeft" activeCell="Q11" sqref="P11:Q11"/>
      <selection pane="topRight" activeCell="Q11" sqref="P11:Q1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4" width="13.28515625" style="4" customWidth="1"/>
    <col min="15" max="15" width="8.85546875" style="4"/>
    <col min="16" max="16" width="9.42578125" style="4" bestFit="1" customWidth="1"/>
    <col min="17" max="16384" width="8.85546875" style="4"/>
  </cols>
  <sheetData>
    <row r="1" spans="1:22" s="3" customFormat="1" ht="18" customHeight="1">
      <c r="A1" s="1"/>
      <c r="B1" s="2"/>
      <c r="C1" s="2"/>
      <c r="E1" s="747" t="s">
        <v>0</v>
      </c>
      <c r="F1" s="747"/>
      <c r="G1" s="747"/>
      <c r="H1" s="747"/>
      <c r="I1" s="747"/>
    </row>
    <row r="2" spans="1:22" s="3" customFormat="1" ht="18" customHeight="1">
      <c r="A2" s="1"/>
      <c r="B2" s="2"/>
      <c r="C2" s="2"/>
      <c r="E2" s="747" t="s">
        <v>1</v>
      </c>
      <c r="F2" s="747"/>
      <c r="G2" s="747"/>
      <c r="H2" s="747"/>
      <c r="I2" s="747"/>
    </row>
    <row r="3" spans="1:22" s="3" customFormat="1" ht="15" customHeight="1">
      <c r="A3" s="5" t="s">
        <v>49</v>
      </c>
      <c r="B3" s="6"/>
      <c r="C3" s="2"/>
      <c r="E3" s="747"/>
      <c r="F3" s="747"/>
      <c r="G3" s="747"/>
      <c r="H3" s="747"/>
      <c r="I3" s="747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65" t="s">
        <v>7</v>
      </c>
      <c r="C5" s="166" t="s">
        <v>8</v>
      </c>
      <c r="D5" s="166" t="s">
        <v>9</v>
      </c>
      <c r="E5" s="166" t="s">
        <v>10</v>
      </c>
      <c r="F5" s="166" t="s">
        <v>11</v>
      </c>
      <c r="G5" s="166" t="s">
        <v>12</v>
      </c>
      <c r="H5" s="166" t="s">
        <v>13</v>
      </c>
      <c r="I5" s="166" t="s">
        <v>14</v>
      </c>
      <c r="J5" s="166" t="s">
        <v>15</v>
      </c>
      <c r="K5" s="166" t="s">
        <v>16</v>
      </c>
      <c r="L5" s="166" t="s">
        <v>17</v>
      </c>
      <c r="M5" s="167" t="s">
        <v>18</v>
      </c>
    </row>
    <row r="6" spans="1:22" s="3" customFormat="1" ht="15" customHeight="1">
      <c r="A6" s="162">
        <v>1</v>
      </c>
      <c r="B6" s="215">
        <v>168980</v>
      </c>
      <c r="C6" s="75">
        <v>555035</v>
      </c>
      <c r="D6" s="75">
        <v>535650</v>
      </c>
      <c r="E6" s="74">
        <v>240077</v>
      </c>
      <c r="F6" s="76">
        <v>308966</v>
      </c>
      <c r="G6" s="75">
        <v>555237</v>
      </c>
      <c r="H6" s="74">
        <v>267650</v>
      </c>
      <c r="I6" s="75">
        <v>560114</v>
      </c>
      <c r="J6" s="74">
        <v>451756</v>
      </c>
      <c r="K6" s="75">
        <v>574480</v>
      </c>
      <c r="L6" s="76">
        <v>230388</v>
      </c>
      <c r="M6" s="138">
        <v>441284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163">
        <f>A6+1</f>
        <v>2</v>
      </c>
      <c r="B7" s="89">
        <v>429076</v>
      </c>
      <c r="C7" s="26">
        <v>532057</v>
      </c>
      <c r="D7" s="26">
        <v>559488</v>
      </c>
      <c r="E7" s="26">
        <v>539170</v>
      </c>
      <c r="F7" s="26">
        <v>550388</v>
      </c>
      <c r="G7" s="82">
        <v>402496</v>
      </c>
      <c r="H7" s="26">
        <v>533408</v>
      </c>
      <c r="I7" s="26">
        <v>551763</v>
      </c>
      <c r="J7" s="82">
        <v>284745</v>
      </c>
      <c r="K7" s="26">
        <v>566311</v>
      </c>
      <c r="L7" s="33">
        <v>275577</v>
      </c>
      <c r="M7" s="95">
        <v>305760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163">
        <f>A6+2</f>
        <v>3</v>
      </c>
      <c r="B8" s="89">
        <v>501922</v>
      </c>
      <c r="C8" s="26">
        <v>552901</v>
      </c>
      <c r="D8" s="82">
        <v>404068</v>
      </c>
      <c r="E8" s="26">
        <v>490204</v>
      </c>
      <c r="F8" s="26">
        <v>545702</v>
      </c>
      <c r="G8" s="82">
        <v>277369</v>
      </c>
      <c r="H8" s="26">
        <v>479231</v>
      </c>
      <c r="I8" s="26">
        <v>578642</v>
      </c>
      <c r="J8" s="26">
        <v>558469</v>
      </c>
      <c r="K8" s="26">
        <v>539891</v>
      </c>
      <c r="L8" s="82">
        <v>317852</v>
      </c>
      <c r="M8" s="28">
        <v>588967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163">
        <f>A6+3</f>
        <v>4</v>
      </c>
      <c r="B9" s="89">
        <v>506575</v>
      </c>
      <c r="C9" s="82">
        <v>403313</v>
      </c>
      <c r="D9" s="82">
        <v>261107</v>
      </c>
      <c r="E9" s="26">
        <v>503650</v>
      </c>
      <c r="F9" s="26">
        <v>560537</v>
      </c>
      <c r="G9" s="26">
        <v>528293</v>
      </c>
      <c r="H9" s="26">
        <v>555613</v>
      </c>
      <c r="I9" s="82">
        <v>433009</v>
      </c>
      <c r="J9" s="26">
        <v>579091</v>
      </c>
      <c r="K9" s="26">
        <v>536182</v>
      </c>
      <c r="L9" s="82">
        <v>261450</v>
      </c>
      <c r="M9" s="28">
        <v>566424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163">
        <f>A6+4</f>
        <v>5</v>
      </c>
      <c r="B10" s="89">
        <v>507024</v>
      </c>
      <c r="C10" s="82">
        <v>261835</v>
      </c>
      <c r="D10" s="26">
        <v>538642</v>
      </c>
      <c r="E10" s="35"/>
      <c r="F10" s="82">
        <v>397740</v>
      </c>
      <c r="G10" s="26">
        <v>529670</v>
      </c>
      <c r="H10" s="26">
        <v>554915</v>
      </c>
      <c r="I10" s="82">
        <v>271508</v>
      </c>
      <c r="J10" s="26">
        <v>574514</v>
      </c>
      <c r="K10" s="26">
        <v>552454</v>
      </c>
      <c r="L10" s="26">
        <v>577207</v>
      </c>
      <c r="M10" s="28">
        <v>609137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163">
        <f>A6+5</f>
        <v>6</v>
      </c>
      <c r="B11" s="89">
        <v>516067</v>
      </c>
      <c r="C11" s="26">
        <v>531759</v>
      </c>
      <c r="D11" s="26">
        <v>538600</v>
      </c>
      <c r="E11" s="35"/>
      <c r="F11" s="82">
        <v>264747</v>
      </c>
      <c r="G11" s="26">
        <v>542179</v>
      </c>
      <c r="H11" s="26">
        <v>573937</v>
      </c>
      <c r="I11" s="26">
        <v>559288</v>
      </c>
      <c r="J11" s="26">
        <v>578757</v>
      </c>
      <c r="K11" s="82">
        <v>434470</v>
      </c>
      <c r="L11" s="26">
        <v>579988</v>
      </c>
      <c r="M11" s="28">
        <v>590608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163">
        <f>A6+6</f>
        <v>7</v>
      </c>
      <c r="B12" s="87">
        <v>420294</v>
      </c>
      <c r="C12" s="26">
        <v>451868</v>
      </c>
      <c r="D12" s="26">
        <v>550347</v>
      </c>
      <c r="E12" s="35"/>
      <c r="F12" s="26">
        <v>538395</v>
      </c>
      <c r="G12" s="26">
        <v>514539</v>
      </c>
      <c r="H12" s="82">
        <v>414408</v>
      </c>
      <c r="I12" s="33">
        <v>155396</v>
      </c>
      <c r="J12" s="26">
        <v>593521</v>
      </c>
      <c r="K12" s="82">
        <v>290288</v>
      </c>
      <c r="L12" s="26">
        <v>591090</v>
      </c>
      <c r="M12" s="28">
        <v>614868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163">
        <f>A6+7</f>
        <v>8</v>
      </c>
      <c r="B13" s="87">
        <v>245087</v>
      </c>
      <c r="C13" s="26">
        <v>517305</v>
      </c>
      <c r="D13" s="26">
        <v>532290</v>
      </c>
      <c r="E13" s="35"/>
      <c r="F13" s="26">
        <v>546157</v>
      </c>
      <c r="G13" s="26">
        <v>548534</v>
      </c>
      <c r="H13" s="82">
        <v>266584</v>
      </c>
      <c r="I13" s="33">
        <v>295177</v>
      </c>
      <c r="J13" s="82">
        <v>453155</v>
      </c>
      <c r="K13" s="26">
        <v>560867</v>
      </c>
      <c r="L13" s="26">
        <v>553398</v>
      </c>
      <c r="M13" s="95">
        <v>472617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163">
        <f>A6+8</f>
        <v>9</v>
      </c>
      <c r="B14" s="89">
        <v>519590</v>
      </c>
      <c r="C14" s="26">
        <v>532848</v>
      </c>
      <c r="D14" s="26">
        <v>541341</v>
      </c>
      <c r="E14" s="26">
        <v>233171</v>
      </c>
      <c r="F14" s="26">
        <v>548685</v>
      </c>
      <c r="G14" s="82">
        <v>396218</v>
      </c>
      <c r="H14" s="26">
        <v>549648</v>
      </c>
      <c r="I14" s="26">
        <v>426534</v>
      </c>
      <c r="J14" s="82">
        <v>284731</v>
      </c>
      <c r="K14" s="26">
        <v>585934</v>
      </c>
      <c r="L14" s="26">
        <v>619807</v>
      </c>
      <c r="M14" s="95">
        <v>305845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163">
        <f>A6+9</f>
        <v>10</v>
      </c>
      <c r="B15" s="89">
        <v>535427</v>
      </c>
      <c r="C15" s="26">
        <v>554874</v>
      </c>
      <c r="D15" s="82">
        <v>393114</v>
      </c>
      <c r="E15" s="26">
        <v>519963</v>
      </c>
      <c r="F15" s="26">
        <v>525841</v>
      </c>
      <c r="G15" s="82">
        <v>254169</v>
      </c>
      <c r="H15" s="26">
        <v>574851</v>
      </c>
      <c r="I15" s="26">
        <v>566650</v>
      </c>
      <c r="J15" s="26">
        <v>579532</v>
      </c>
      <c r="K15" s="26">
        <v>590557</v>
      </c>
      <c r="L15" s="82">
        <v>446267</v>
      </c>
      <c r="M15" s="28">
        <v>586515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163">
        <f>A6+10</f>
        <v>11</v>
      </c>
      <c r="B16" s="89">
        <v>539664</v>
      </c>
      <c r="C16" s="82">
        <v>400219</v>
      </c>
      <c r="D16" s="82">
        <v>255841</v>
      </c>
      <c r="E16" s="26">
        <v>539137</v>
      </c>
      <c r="F16" s="26">
        <v>559238</v>
      </c>
      <c r="G16" s="26">
        <v>520094</v>
      </c>
      <c r="H16" s="26">
        <v>550969</v>
      </c>
      <c r="I16" s="82">
        <v>421196</v>
      </c>
      <c r="J16" s="26">
        <v>579767</v>
      </c>
      <c r="K16" s="26">
        <v>567516</v>
      </c>
      <c r="L16" s="82">
        <v>298166</v>
      </c>
      <c r="M16" s="28">
        <v>583887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163">
        <f>A6+11</f>
        <v>12</v>
      </c>
      <c r="B17" s="89">
        <v>526242</v>
      </c>
      <c r="C17" s="82">
        <v>252674</v>
      </c>
      <c r="D17" s="26">
        <v>524036</v>
      </c>
      <c r="E17" s="26">
        <v>523304</v>
      </c>
      <c r="F17" s="82">
        <v>372800</v>
      </c>
      <c r="G17" s="33">
        <v>224046</v>
      </c>
      <c r="H17" s="26">
        <v>579283</v>
      </c>
      <c r="I17" s="82">
        <v>266300</v>
      </c>
      <c r="J17" s="26">
        <v>583356</v>
      </c>
      <c r="K17" s="26">
        <v>587711</v>
      </c>
      <c r="L17" s="26">
        <v>577319</v>
      </c>
      <c r="M17" s="28">
        <v>595398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163">
        <f>A6+12</f>
        <v>13</v>
      </c>
      <c r="B18" s="89">
        <v>544725</v>
      </c>
      <c r="C18" s="26">
        <v>515914</v>
      </c>
      <c r="D18" s="26">
        <v>523340</v>
      </c>
      <c r="E18" s="26">
        <v>560319</v>
      </c>
      <c r="F18" s="82">
        <v>267582</v>
      </c>
      <c r="G18" s="26">
        <v>539383</v>
      </c>
      <c r="H18" s="26">
        <v>594047</v>
      </c>
      <c r="I18" s="26">
        <v>590686</v>
      </c>
      <c r="J18" s="26">
        <v>571861</v>
      </c>
      <c r="K18" s="82">
        <v>444533</v>
      </c>
      <c r="L18" s="26">
        <v>572810</v>
      </c>
      <c r="M18" s="28">
        <v>591006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163">
        <f>A6+13</f>
        <v>14</v>
      </c>
      <c r="B19" s="87">
        <v>412340</v>
      </c>
      <c r="C19" s="26">
        <v>536687</v>
      </c>
      <c r="D19" s="26">
        <v>533208</v>
      </c>
      <c r="E19" s="82">
        <v>391872</v>
      </c>
      <c r="F19" s="26">
        <v>510432</v>
      </c>
      <c r="G19" s="26">
        <v>526938</v>
      </c>
      <c r="H19" s="82">
        <v>443293</v>
      </c>
      <c r="I19" s="26">
        <v>557265</v>
      </c>
      <c r="J19" s="26">
        <v>590478</v>
      </c>
      <c r="K19" s="82">
        <v>290215</v>
      </c>
      <c r="L19" s="26">
        <v>591025</v>
      </c>
      <c r="M19" s="28">
        <v>608761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163">
        <f>A6+14</f>
        <v>15</v>
      </c>
      <c r="B20" s="87">
        <v>270779</v>
      </c>
      <c r="C20" s="26">
        <v>549637</v>
      </c>
      <c r="D20" s="26">
        <v>517820</v>
      </c>
      <c r="E20" s="82">
        <v>258156</v>
      </c>
      <c r="F20" s="26">
        <v>547506</v>
      </c>
      <c r="G20" s="26">
        <v>577808</v>
      </c>
      <c r="H20" s="82">
        <v>289008</v>
      </c>
      <c r="I20" s="26">
        <v>606969</v>
      </c>
      <c r="J20" s="82">
        <v>450789</v>
      </c>
      <c r="K20" s="26">
        <v>582546</v>
      </c>
      <c r="L20" s="26">
        <v>566661</v>
      </c>
      <c r="M20" s="95">
        <v>485694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163">
        <f>A6+15</f>
        <v>16</v>
      </c>
      <c r="B21" s="89">
        <v>526594</v>
      </c>
      <c r="C21" s="26">
        <v>520554</v>
      </c>
      <c r="D21" s="26">
        <v>560959</v>
      </c>
      <c r="E21" s="26">
        <v>539161</v>
      </c>
      <c r="F21" s="26">
        <v>549323</v>
      </c>
      <c r="G21" s="82">
        <v>413573</v>
      </c>
      <c r="H21" s="26">
        <v>547767</v>
      </c>
      <c r="I21" s="26">
        <v>563874</v>
      </c>
      <c r="J21" s="82">
        <v>268672</v>
      </c>
      <c r="K21" s="26">
        <v>573003</v>
      </c>
      <c r="L21" s="26">
        <v>619459</v>
      </c>
      <c r="M21" s="95">
        <v>332046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163">
        <f>A6+16</f>
        <v>17</v>
      </c>
      <c r="B22" s="89">
        <v>526939</v>
      </c>
      <c r="C22" s="26">
        <v>562878</v>
      </c>
      <c r="D22" s="82">
        <v>424297</v>
      </c>
      <c r="E22" s="26">
        <v>539813</v>
      </c>
      <c r="F22" s="26">
        <v>549504</v>
      </c>
      <c r="G22" s="82">
        <v>265239</v>
      </c>
      <c r="H22" s="26">
        <v>584593</v>
      </c>
      <c r="I22" s="26">
        <v>622880</v>
      </c>
      <c r="J22" s="26">
        <v>582854</v>
      </c>
      <c r="K22" s="26">
        <v>590678</v>
      </c>
      <c r="L22" s="82">
        <v>480082</v>
      </c>
      <c r="M22" s="28">
        <v>581087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163">
        <f>A6+17</f>
        <v>18</v>
      </c>
      <c r="B23" s="89">
        <v>546085</v>
      </c>
      <c r="C23" s="82">
        <v>407036</v>
      </c>
      <c r="D23" s="82">
        <v>270316</v>
      </c>
      <c r="E23" s="26">
        <v>541471</v>
      </c>
      <c r="F23" s="26">
        <v>538130</v>
      </c>
      <c r="G23" s="26">
        <v>512290</v>
      </c>
      <c r="H23" s="26">
        <v>555715</v>
      </c>
      <c r="I23" s="82">
        <v>466607</v>
      </c>
      <c r="J23" s="26">
        <v>586884.22655999998</v>
      </c>
      <c r="K23" s="26">
        <v>565152</v>
      </c>
      <c r="L23" s="82">
        <v>310691</v>
      </c>
      <c r="M23" s="28">
        <v>598568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163">
        <f>A6+18</f>
        <v>19</v>
      </c>
      <c r="B24" s="89">
        <v>535052</v>
      </c>
      <c r="C24" s="82">
        <v>270410</v>
      </c>
      <c r="D24" s="26">
        <v>527266</v>
      </c>
      <c r="E24" s="26">
        <v>510813</v>
      </c>
      <c r="F24" s="82">
        <v>387564</v>
      </c>
      <c r="G24" s="26">
        <v>559252</v>
      </c>
      <c r="H24" s="26">
        <v>574320</v>
      </c>
      <c r="I24" s="82">
        <v>284310</v>
      </c>
      <c r="J24" s="26">
        <v>563337</v>
      </c>
      <c r="K24" s="26">
        <v>610082</v>
      </c>
      <c r="L24" s="26">
        <v>572300</v>
      </c>
      <c r="M24" s="28">
        <v>604729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163">
        <f>A6+19</f>
        <v>20</v>
      </c>
      <c r="B25" s="89">
        <v>548432</v>
      </c>
      <c r="C25" s="26">
        <v>517620</v>
      </c>
      <c r="D25" s="26">
        <v>535716</v>
      </c>
      <c r="E25" s="26">
        <v>527003</v>
      </c>
      <c r="F25" s="82">
        <v>263512</v>
      </c>
      <c r="G25" s="26">
        <v>559442</v>
      </c>
      <c r="H25" s="26">
        <v>548652</v>
      </c>
      <c r="I25" s="33">
        <v>331132</v>
      </c>
      <c r="J25" s="26">
        <v>578177</v>
      </c>
      <c r="K25" s="82">
        <v>451836</v>
      </c>
      <c r="L25" s="26">
        <v>583158</v>
      </c>
      <c r="M25" s="28">
        <v>588748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163">
        <f>A6+20</f>
        <v>21</v>
      </c>
      <c r="B26" s="87">
        <v>412846</v>
      </c>
      <c r="C26" s="26">
        <v>545371</v>
      </c>
      <c r="D26" s="26">
        <v>522590</v>
      </c>
      <c r="E26" s="82">
        <v>365303</v>
      </c>
      <c r="F26" s="26">
        <v>539966</v>
      </c>
      <c r="G26" s="26">
        <v>541521</v>
      </c>
      <c r="H26" s="82">
        <v>359587</v>
      </c>
      <c r="I26" s="33">
        <v>324756</v>
      </c>
      <c r="J26" s="26">
        <v>597268</v>
      </c>
      <c r="K26" s="82">
        <v>296478</v>
      </c>
      <c r="L26" s="26">
        <v>593364</v>
      </c>
      <c r="M26" s="28">
        <v>599255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163">
        <f>A6+21</f>
        <v>22</v>
      </c>
      <c r="B27" s="87">
        <v>261107</v>
      </c>
      <c r="C27" s="26">
        <v>538989</v>
      </c>
      <c r="D27" s="26">
        <v>503531</v>
      </c>
      <c r="E27" s="82">
        <v>254763</v>
      </c>
      <c r="F27" s="26">
        <v>523978</v>
      </c>
      <c r="G27" s="26">
        <v>566485</v>
      </c>
      <c r="H27" s="82">
        <v>260418</v>
      </c>
      <c r="I27" s="26">
        <v>608453</v>
      </c>
      <c r="J27" s="82">
        <v>454323</v>
      </c>
      <c r="K27" s="26">
        <v>547840</v>
      </c>
      <c r="L27" s="26">
        <v>572928</v>
      </c>
      <c r="M27" s="95">
        <v>453140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163">
        <f>A6+22</f>
        <v>23</v>
      </c>
      <c r="B28" s="81">
        <v>292347</v>
      </c>
      <c r="C28" s="26">
        <v>523521</v>
      </c>
      <c r="D28" s="26">
        <v>563879</v>
      </c>
      <c r="E28" s="26">
        <v>525940</v>
      </c>
      <c r="F28" s="26">
        <v>545888</v>
      </c>
      <c r="G28" s="82">
        <v>410018</v>
      </c>
      <c r="H28" s="26">
        <v>543068</v>
      </c>
      <c r="I28" s="26">
        <v>578637</v>
      </c>
      <c r="J28" s="82">
        <v>281217</v>
      </c>
      <c r="K28" s="26">
        <v>592645</v>
      </c>
      <c r="L28" s="26">
        <v>590626</v>
      </c>
      <c r="M28" s="95">
        <v>328826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163">
        <f>A6+23</f>
        <v>24</v>
      </c>
      <c r="B29" s="89">
        <v>540607</v>
      </c>
      <c r="C29" s="26">
        <v>550553</v>
      </c>
      <c r="D29" s="82">
        <v>386944</v>
      </c>
      <c r="E29" s="26">
        <v>525049</v>
      </c>
      <c r="F29" s="26">
        <v>516006</v>
      </c>
      <c r="G29" s="82">
        <v>264437</v>
      </c>
      <c r="H29" s="26">
        <v>558459</v>
      </c>
      <c r="I29" s="26">
        <v>595212</v>
      </c>
      <c r="J29" s="26">
        <v>582024</v>
      </c>
      <c r="K29" s="26">
        <v>560786</v>
      </c>
      <c r="L29" s="82">
        <v>452930</v>
      </c>
      <c r="M29" s="36">
        <v>256649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163">
        <f>A6+24</f>
        <v>25</v>
      </c>
      <c r="B30" s="89">
        <v>520745</v>
      </c>
      <c r="C30" s="82">
        <v>412195</v>
      </c>
      <c r="D30" s="82">
        <v>262293</v>
      </c>
      <c r="E30" s="26">
        <v>542527</v>
      </c>
      <c r="F30" s="26">
        <v>550552</v>
      </c>
      <c r="G30" s="26">
        <v>540917</v>
      </c>
      <c r="H30" s="26">
        <v>585210</v>
      </c>
      <c r="I30" s="82">
        <v>438396</v>
      </c>
      <c r="J30" s="26">
        <v>585498</v>
      </c>
      <c r="K30" s="26">
        <v>599807</v>
      </c>
      <c r="L30" s="82">
        <v>299973</v>
      </c>
      <c r="M30" s="36">
        <v>257316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163">
        <f>A6+25</f>
        <v>26</v>
      </c>
      <c r="B31" s="89">
        <v>545255</v>
      </c>
      <c r="C31" s="82">
        <v>254920</v>
      </c>
      <c r="D31" s="26">
        <v>526093</v>
      </c>
      <c r="E31" s="26">
        <v>546194</v>
      </c>
      <c r="F31" s="82">
        <v>386571</v>
      </c>
      <c r="G31" s="26">
        <v>544150</v>
      </c>
      <c r="H31" s="26">
        <v>561643</v>
      </c>
      <c r="I31" s="82">
        <v>282889</v>
      </c>
      <c r="J31" s="26">
        <v>584742</v>
      </c>
      <c r="K31" s="33">
        <v>380907</v>
      </c>
      <c r="L31" s="26">
        <v>577714</v>
      </c>
      <c r="M31" s="28">
        <v>484530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163">
        <f>A6+26</f>
        <v>27</v>
      </c>
      <c r="B32" s="89">
        <v>557153</v>
      </c>
      <c r="C32" s="26">
        <v>516077</v>
      </c>
      <c r="D32" s="26">
        <v>527911</v>
      </c>
      <c r="E32" s="26">
        <v>556855</v>
      </c>
      <c r="F32" s="82">
        <v>247994</v>
      </c>
      <c r="G32" s="26">
        <v>538262</v>
      </c>
      <c r="H32" s="26">
        <v>589682</v>
      </c>
      <c r="I32" s="33">
        <v>319725</v>
      </c>
      <c r="J32" s="26">
        <v>566171</v>
      </c>
      <c r="K32" s="82">
        <v>395592</v>
      </c>
      <c r="L32" s="26">
        <v>586410</v>
      </c>
      <c r="M32" s="28">
        <v>506426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163">
        <f>A6+27</f>
        <v>28</v>
      </c>
      <c r="B33" s="87">
        <v>394426</v>
      </c>
      <c r="C33" s="26">
        <v>574281</v>
      </c>
      <c r="D33" s="26">
        <v>529792</v>
      </c>
      <c r="E33" s="82">
        <v>384525</v>
      </c>
      <c r="F33" s="26">
        <v>520368</v>
      </c>
      <c r="G33" s="26">
        <v>530736</v>
      </c>
      <c r="H33" s="82">
        <v>431644</v>
      </c>
      <c r="I33" s="26">
        <v>587052</v>
      </c>
      <c r="J33" s="26">
        <v>571809</v>
      </c>
      <c r="K33" s="82">
        <v>283331</v>
      </c>
      <c r="L33" s="26">
        <v>594476</v>
      </c>
      <c r="M33" s="28">
        <v>522500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163">
        <f>A6+28</f>
        <v>29</v>
      </c>
      <c r="B34" s="87">
        <v>261350</v>
      </c>
      <c r="C34" s="26">
        <v>543016</v>
      </c>
      <c r="D34" s="26">
        <v>495730</v>
      </c>
      <c r="E34" s="82">
        <v>258750</v>
      </c>
      <c r="F34" s="26">
        <v>534750</v>
      </c>
      <c r="G34" s="26">
        <v>569741</v>
      </c>
      <c r="H34" s="82">
        <v>274498</v>
      </c>
      <c r="I34" s="26">
        <v>587958</v>
      </c>
      <c r="J34" s="82">
        <v>432660</v>
      </c>
      <c r="K34" s="26">
        <v>576259</v>
      </c>
      <c r="L34" s="26">
        <v>600385</v>
      </c>
      <c r="M34" s="95">
        <v>391169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163">
        <f>A6+29</f>
        <v>30</v>
      </c>
      <c r="B35" s="89">
        <v>539982</v>
      </c>
      <c r="C35" s="37"/>
      <c r="D35" s="26">
        <v>554252</v>
      </c>
      <c r="E35" s="26">
        <v>521070</v>
      </c>
      <c r="F35" s="26">
        <v>537926</v>
      </c>
      <c r="G35" s="82">
        <v>405853</v>
      </c>
      <c r="H35" s="26">
        <v>459612</v>
      </c>
      <c r="I35" s="26">
        <v>579838</v>
      </c>
      <c r="J35" s="82">
        <v>304640</v>
      </c>
      <c r="K35" s="26">
        <v>567011</v>
      </c>
      <c r="L35" s="33">
        <v>399883</v>
      </c>
      <c r="M35" s="95">
        <v>204761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164">
        <f>A6+30</f>
        <v>31</v>
      </c>
      <c r="B36" s="206">
        <v>540949</v>
      </c>
      <c r="C36" s="207"/>
      <c r="D36" s="98">
        <v>391990</v>
      </c>
      <c r="E36" s="207"/>
      <c r="F36" s="72">
        <v>526240</v>
      </c>
      <c r="G36" s="207"/>
      <c r="H36" s="72">
        <v>560505</v>
      </c>
      <c r="I36" s="72">
        <v>600083</v>
      </c>
      <c r="J36" s="97"/>
      <c r="K36" s="72">
        <v>583141</v>
      </c>
      <c r="L36" s="97"/>
      <c r="M36" s="101">
        <v>203827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44">
        <f>AVERAGE(B6:B36)/12</f>
        <v>38155.002688172048</v>
      </c>
      <c r="C37" s="130">
        <f>AVERAGE(C6:C36)</f>
        <v>478839.55172413791</v>
      </c>
      <c r="D37" s="130">
        <f>AVERAGE(D6:D36)</f>
        <v>477175.83870967739</v>
      </c>
      <c r="E37" s="130">
        <f>IFERROR(AVERAGE(E6:E36),0)</f>
        <v>459163.84615384613</v>
      </c>
      <c r="F37" s="130">
        <f>IFERROR(AVERAGE(F6:F36),0)</f>
        <v>476225.41935483873</v>
      </c>
      <c r="G37" s="130">
        <f t="shared" ref="G37:M37" si="0">IFERROR(AVERAGE(G6:G36),0)</f>
        <v>471962.96666666667</v>
      </c>
      <c r="H37" s="130">
        <f t="shared" si="0"/>
        <v>491039.29032258067</v>
      </c>
      <c r="I37" s="130">
        <f t="shared" si="0"/>
        <v>471364.48387096776</v>
      </c>
      <c r="J37" s="130">
        <f t="shared" si="0"/>
        <v>508493.27421866666</v>
      </c>
      <c r="K37" s="130">
        <f t="shared" si="0"/>
        <v>512209.77419354836</v>
      </c>
      <c r="L37" s="130">
        <f>IFERROR(AVERAGE(L6:L36),0)</f>
        <v>496446.13333333336</v>
      </c>
      <c r="M37" s="168">
        <f t="shared" si="0"/>
        <v>479366.06451612903</v>
      </c>
      <c r="N37" s="252">
        <f>SUM(B37:M37)/12</f>
        <v>446703.47047938051</v>
      </c>
    </row>
    <row r="38" spans="1:22">
      <c r="A38" s="48" t="s">
        <v>20</v>
      </c>
      <c r="B38" s="129">
        <f>AVERAGE(B7:B11,B14:B18,B21:B25,B29:B32,B35:B36)</f>
        <v>526385.95238095243</v>
      </c>
      <c r="C38" s="50">
        <f>AVERAGE(C11:C15,C18:C22,C25:C29,C32:C34,C6:C8)</f>
        <v>534464.04761904757</v>
      </c>
      <c r="D38" s="50">
        <f>AVERAGE(D10:D14,D17:D21,D24:D28,D31:D35,D6:D7)</f>
        <v>533749.13636363635</v>
      </c>
      <c r="E38" s="50">
        <f>AVERAGE(E7:E9,E14:E18,E21:E25,E28:E32,E35)</f>
        <v>514990.21052631579</v>
      </c>
      <c r="F38" s="50">
        <f>AVERAGE(F7:F9,F12:F16,F19:F23,F26:F30,F33:F36)</f>
        <v>539341.45454545459</v>
      </c>
      <c r="G38" s="50">
        <f>AVERAGE(G6,G9:G13,G16,G18:G20,G23:G27,G30:G34)</f>
        <v>542273.55000000005</v>
      </c>
      <c r="H38" s="50">
        <f>AVERAGE(H7:H11,H14:H18,H21:H25,H28:H32,H35:H36)</f>
        <v>555233.09090909094</v>
      </c>
      <c r="I38" s="50">
        <f>AVERAGE(I14:I15,I18:I22,I27:I29,I33:I36,I6:I8,I11)</f>
        <v>573438.77777777775</v>
      </c>
      <c r="J38" s="50">
        <f>AVERAGE(J8:J12,J15:J19,J22:J26,J29:J33)</f>
        <v>579405.51132799999</v>
      </c>
      <c r="K38" s="50">
        <f>AVERAGE(K6:K10,K13:K17,K20:K24,K27:K30,K34:K36)</f>
        <v>573220.59090909094</v>
      </c>
      <c r="L38" s="50">
        <f>AVERAGE(L10:L14,L17:L21,L24:L28,L31:L34)</f>
        <v>585269.73684210528</v>
      </c>
      <c r="M38" s="51">
        <f>AVERAGE(M8:M12,M15:M19,M22:M26,M31:M33)</f>
        <v>578967.4444444445</v>
      </c>
      <c r="N38" s="252">
        <f t="shared" ref="N38:N44" si="1">SUM(B38:M38)/12</f>
        <v>553061.62530382629</v>
      </c>
    </row>
    <row r="39" spans="1:22">
      <c r="A39" s="52" t="s">
        <v>21</v>
      </c>
      <c r="B39" s="129">
        <f>AVERAGE(B12,B19,B26,B33)</f>
        <v>409976.5</v>
      </c>
      <c r="C39" s="50">
        <f>AVERAGE(C16,C23,C30,C9)</f>
        <v>405690.75</v>
      </c>
      <c r="D39" s="50">
        <f>AVERAGE(D15,D22,D29,D36,D8)</f>
        <v>400082.6</v>
      </c>
      <c r="E39" s="50">
        <f>AVERAGE(E19,E26,E33)</f>
        <v>380566.66666666669</v>
      </c>
      <c r="F39" s="50">
        <f>AVERAGE(F10,F17,F24,F31)</f>
        <v>386168.75</v>
      </c>
      <c r="G39" s="50">
        <f>AVERAGE(G7,G14,G21,G28,G35)</f>
        <v>405631.6</v>
      </c>
      <c r="H39" s="50">
        <f>AVERAGE(H12,H19,H26,H33)</f>
        <v>412233</v>
      </c>
      <c r="I39" s="50">
        <f>AVERAGE(I16,I23,I30,I9)</f>
        <v>439802</v>
      </c>
      <c r="J39" s="50">
        <f>AVERAGE(J6,J13,J20,J27,J34)</f>
        <v>448536.6</v>
      </c>
      <c r="K39" s="50">
        <f>AVERAGE(K11,K18,K25,K32)</f>
        <v>431607.75</v>
      </c>
      <c r="L39" s="50">
        <f>AVERAGE(L15,L22,L29,L8)</f>
        <v>424282.75</v>
      </c>
      <c r="M39" s="51">
        <f>AVERAGE(M6,M13,M20,M27,M34)</f>
        <v>448780.79999999999</v>
      </c>
      <c r="N39" s="252">
        <f t="shared" si="1"/>
        <v>416113.31388888886</v>
      </c>
    </row>
    <row r="40" spans="1:22">
      <c r="A40" s="52" t="s">
        <v>22</v>
      </c>
      <c r="B40" s="129">
        <f>AVERAGE(B6,B13,B20,B27:B28,B34)</f>
        <v>249941.66666666666</v>
      </c>
      <c r="C40" s="50">
        <f>AVERAGE(C17,C24,C31,C10)</f>
        <v>259959.75</v>
      </c>
      <c r="D40" s="50">
        <f>AVERAGE(D16,D23,D30,D9)</f>
        <v>262389.25</v>
      </c>
      <c r="E40" s="50">
        <f>AVERAGE(E20,E27,E34,E6)</f>
        <v>252936.5</v>
      </c>
      <c r="F40" s="50">
        <f>AVERAGE(F11,F18,F25,F32,F6)</f>
        <v>270560.2</v>
      </c>
      <c r="G40" s="50">
        <f>AVERAGE(G8,G15,G22,G29,G17)</f>
        <v>257052</v>
      </c>
      <c r="H40" s="50">
        <f>AVERAGE(H13,H20,H27,H34,H6)</f>
        <v>271631.59999999998</v>
      </c>
      <c r="I40" s="50">
        <f>AVERAGE(I17,I24:I26,I31:I32,I10,I12:I13)</f>
        <v>281243.66666666669</v>
      </c>
      <c r="J40" s="50">
        <f>AVERAGE(J7,J14,J21,J28,J35)</f>
        <v>284801</v>
      </c>
      <c r="K40" s="50">
        <f>AVERAGE(K12,K19,K26,K33,K31)</f>
        <v>308243.8</v>
      </c>
      <c r="L40" s="50">
        <f>AVERAGE(L16,L23,L30,L35,L9,L6:L7)</f>
        <v>296589.71428571426</v>
      </c>
      <c r="M40" s="51">
        <f>AVERAGE(M7,M14,M21,M28:M30,M35:M36)</f>
        <v>274378.75</v>
      </c>
      <c r="N40" s="252">
        <f t="shared" si="1"/>
        <v>272477.32480158727</v>
      </c>
    </row>
    <row r="41" spans="1:22">
      <c r="A41" s="52" t="s">
        <v>23</v>
      </c>
      <c r="B41" s="129">
        <f>AVERAGE(B6,B12:B13,B19:B20,B26:B28,B33:B34)</f>
        <v>313955.59999999998</v>
      </c>
      <c r="C41" s="50">
        <f>AVERAGE(C16:C17,C23:C24,C30:C31,C9:C10)</f>
        <v>332825.25</v>
      </c>
      <c r="D41" s="50">
        <f>AVERAGE(D15:D16,D22:D23,D29:D30,D36,D8:D9)</f>
        <v>338885.55555555556</v>
      </c>
      <c r="E41" s="50">
        <f>AVERAGE(E6,E19:E20,E26:E27,E33:E34)</f>
        <v>307635.14285714284</v>
      </c>
      <c r="F41" s="50">
        <f>AVERAGE(F6,F10:F11,F17:F18,F24:F25,F31:F32)</f>
        <v>321941.77777777775</v>
      </c>
      <c r="G41" s="50">
        <f>AVERAGE(G7:G8,G14:G15,G17,G21:G22,G28:G29,G35)</f>
        <v>331341.8</v>
      </c>
      <c r="H41" s="50">
        <f>AVERAGE(H6,H12:H13,H19:H20,H26:H27,H33:H34)</f>
        <v>334121.11111111112</v>
      </c>
      <c r="I41" s="50">
        <f>AVERAGE(I16:I17,I23:I26,I30:I32,I9:I10,I12:I14)</f>
        <v>336923.92857142858</v>
      </c>
      <c r="J41" s="50">
        <f>AVERAGE(J6:J7,J13:J14,J20:J21,J27:J28,J34:J35)</f>
        <v>366668.79999999999</v>
      </c>
      <c r="K41" s="50">
        <f>AVERAGE(K11:K12,K18:K19,K25:K26,K31:K33)</f>
        <v>363072.22222222225</v>
      </c>
      <c r="L41" s="50">
        <f>AVERAGE(L15:L16,L22:L23,L29:L30,L35,L6:L9)</f>
        <v>343023.54545454547</v>
      </c>
      <c r="M41" s="51">
        <f>AVERAGE(M6:M7,M13:M14,M20:M21,M27:M30,M34:M36)</f>
        <v>341456.46153846156</v>
      </c>
      <c r="N41" s="252">
        <f t="shared" si="1"/>
        <v>335987.59959068708</v>
      </c>
    </row>
    <row r="42" spans="1:22">
      <c r="A42" s="52" t="s">
        <v>24</v>
      </c>
      <c r="B42" s="108">
        <f>MAX(B6:B36)</f>
        <v>557153</v>
      </c>
      <c r="C42" s="109">
        <f>MAX(C6:C36)</f>
        <v>574281</v>
      </c>
      <c r="D42" s="109">
        <f t="shared" ref="D42:M42" si="2">MAX(D6:D36)</f>
        <v>563879</v>
      </c>
      <c r="E42" s="109">
        <f t="shared" si="2"/>
        <v>560319</v>
      </c>
      <c r="F42" s="109">
        <f t="shared" si="2"/>
        <v>560537</v>
      </c>
      <c r="G42" s="109">
        <f t="shared" si="2"/>
        <v>577808</v>
      </c>
      <c r="H42" s="109">
        <f t="shared" si="2"/>
        <v>594047</v>
      </c>
      <c r="I42" s="109">
        <f t="shared" si="2"/>
        <v>622880</v>
      </c>
      <c r="J42" s="109">
        <f t="shared" si="2"/>
        <v>597268</v>
      </c>
      <c r="K42" s="109">
        <f t="shared" si="2"/>
        <v>610082</v>
      </c>
      <c r="L42" s="109">
        <f t="shared" si="2"/>
        <v>619807</v>
      </c>
      <c r="M42" s="110">
        <f t="shared" si="2"/>
        <v>614868</v>
      </c>
      <c r="N42" s="252">
        <f t="shared" si="1"/>
        <v>587744.08333333337</v>
      </c>
    </row>
    <row r="43" spans="1:22">
      <c r="A43" s="52" t="s">
        <v>47</v>
      </c>
      <c r="B43" s="129">
        <f>MIN(B6:B36)</f>
        <v>168980</v>
      </c>
      <c r="C43" s="53">
        <f t="shared" ref="C43:M43" si="3">MIN(C6:C36)</f>
        <v>252674</v>
      </c>
      <c r="D43" s="53">
        <f t="shared" si="3"/>
        <v>255841</v>
      </c>
      <c r="E43" s="53">
        <f t="shared" si="3"/>
        <v>233171</v>
      </c>
      <c r="F43" s="53">
        <f t="shared" si="3"/>
        <v>247994</v>
      </c>
      <c r="G43" s="53">
        <f t="shared" si="3"/>
        <v>224046</v>
      </c>
      <c r="H43" s="53">
        <f t="shared" si="3"/>
        <v>260418</v>
      </c>
      <c r="I43" s="53">
        <f t="shared" si="3"/>
        <v>155396</v>
      </c>
      <c r="J43" s="53">
        <f t="shared" si="3"/>
        <v>268672</v>
      </c>
      <c r="K43" s="53">
        <f t="shared" si="3"/>
        <v>283331</v>
      </c>
      <c r="L43" s="53">
        <f t="shared" si="3"/>
        <v>230388</v>
      </c>
      <c r="M43" s="54">
        <f t="shared" si="3"/>
        <v>203827</v>
      </c>
      <c r="N43" s="252">
        <f t="shared" si="1"/>
        <v>232061.5</v>
      </c>
    </row>
    <row r="44" spans="1:22" ht="12.75" thickBot="1">
      <c r="A44" s="55" t="s">
        <v>25</v>
      </c>
      <c r="B44" s="111">
        <f t="shared" ref="B44:L44" si="4">SUM(B6:B36)</f>
        <v>14193661</v>
      </c>
      <c r="C44" s="57">
        <f>SUM(C6:C36)</f>
        <v>13886347</v>
      </c>
      <c r="D44" s="57">
        <f t="shared" si="4"/>
        <v>14792451</v>
      </c>
      <c r="E44" s="57">
        <f t="shared" si="4"/>
        <v>11938260</v>
      </c>
      <c r="F44" s="57">
        <f t="shared" si="4"/>
        <v>14762988</v>
      </c>
      <c r="G44" s="57">
        <f t="shared" si="4"/>
        <v>14158889</v>
      </c>
      <c r="H44" s="57">
        <f t="shared" si="4"/>
        <v>15222218</v>
      </c>
      <c r="I44" s="57">
        <f t="shared" si="4"/>
        <v>14612299</v>
      </c>
      <c r="J44" s="57">
        <f t="shared" si="4"/>
        <v>15254798.22656</v>
      </c>
      <c r="K44" s="57">
        <f t="shared" si="4"/>
        <v>15878503</v>
      </c>
      <c r="L44" s="57">
        <f t="shared" si="4"/>
        <v>14893384</v>
      </c>
      <c r="M44" s="58">
        <f>SUM(M6:M36)</f>
        <v>14860348</v>
      </c>
      <c r="N44" s="252">
        <f t="shared" si="1"/>
        <v>14537845.51888</v>
      </c>
      <c r="P44" s="59"/>
    </row>
    <row r="45" spans="1:22" s="60" customFormat="1" ht="11.25"/>
    <row r="46" spans="1:22">
      <c r="A46" s="61"/>
    </row>
    <row r="47" spans="1:22" ht="15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O47" s="64"/>
    </row>
    <row r="48" spans="1:22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</row>
    <row r="49" spans="1:13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1:13">
      <c r="A50" s="65"/>
      <c r="H50" s="66"/>
      <c r="I50" s="66"/>
      <c r="J50" s="66"/>
      <c r="K50" s="66"/>
      <c r="L50" s="66"/>
      <c r="M50" s="66"/>
    </row>
    <row r="52" spans="1:13">
      <c r="A52" s="67"/>
      <c r="B52" s="68"/>
    </row>
  </sheetData>
  <mergeCells count="2">
    <mergeCell ref="E1:I1"/>
    <mergeCell ref="E2:I3"/>
  </mergeCells>
  <conditionalFormatting sqref="B6:M36">
    <cfRule type="top10" dxfId="33" priority="1" rank="1"/>
  </conditionalFormatting>
  <printOptions horizontalCentered="1" verticalCentered="1"/>
  <pageMargins left="0.25" right="0" top="0.25" bottom="0.25" header="0.31" footer="0.31"/>
  <pageSetup paperSize="5" scale="98" orientation="landscape" r:id="rId1"/>
  <rowBreaks count="1" manualBreakCount="1">
    <brk id="45" max="16383" man="1"/>
  </rowBreaks>
  <ignoredErrors>
    <ignoredError sqref="C44:M44 C42:M42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V52"/>
  <sheetViews>
    <sheetView view="pageBreakPreview" zoomScaleNormal="120" zoomScaleSheetLayoutView="100" zoomScalePageLayoutView="120" workbookViewId="0">
      <pane xSplit="1" ySplit="5" topLeftCell="M8" activePane="bottomRight" state="frozen"/>
      <selection pane="bottomRight" activeCell="M8" sqref="M8"/>
      <selection pane="bottomLeft" activeCell="Q11" sqref="P11:Q11"/>
      <selection pane="topRight" activeCell="Q11" sqref="P11:Q1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4" width="12" style="4" customWidth="1"/>
    <col min="15" max="15" width="8.85546875" style="4"/>
    <col min="16" max="16" width="9.42578125" style="4" bestFit="1" customWidth="1"/>
    <col min="17" max="16384" width="8.85546875" style="4"/>
  </cols>
  <sheetData>
    <row r="1" spans="1:22" s="3" customFormat="1" ht="18" customHeight="1">
      <c r="A1" s="1"/>
      <c r="B1" s="2"/>
      <c r="C1" s="2"/>
      <c r="E1" s="747" t="s">
        <v>0</v>
      </c>
      <c r="F1" s="747"/>
      <c r="G1" s="747"/>
      <c r="H1" s="747"/>
      <c r="I1" s="747"/>
    </row>
    <row r="2" spans="1:22" s="3" customFormat="1" ht="18" customHeight="1">
      <c r="A2" s="1"/>
      <c r="B2" s="2"/>
      <c r="C2" s="2"/>
      <c r="E2" s="747" t="s">
        <v>1</v>
      </c>
      <c r="F2" s="747"/>
      <c r="G2" s="747"/>
      <c r="H2" s="747"/>
      <c r="I2" s="747"/>
    </row>
    <row r="3" spans="1:22" s="3" customFormat="1" ht="15" customHeight="1">
      <c r="A3" s="5" t="s">
        <v>50</v>
      </c>
      <c r="B3" s="6"/>
      <c r="C3" s="2"/>
      <c r="E3" s="747"/>
      <c r="F3" s="747"/>
      <c r="G3" s="747"/>
      <c r="H3" s="747"/>
      <c r="I3" s="747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65" t="s">
        <v>7</v>
      </c>
      <c r="C5" s="166" t="s">
        <v>8</v>
      </c>
      <c r="D5" s="166" t="s">
        <v>9</v>
      </c>
      <c r="E5" s="166" t="s">
        <v>10</v>
      </c>
      <c r="F5" s="166" t="s">
        <v>11</v>
      </c>
      <c r="G5" s="166" t="s">
        <v>12</v>
      </c>
      <c r="H5" s="166" t="s">
        <v>13</v>
      </c>
      <c r="I5" s="166" t="s">
        <v>14</v>
      </c>
      <c r="J5" s="166" t="s">
        <v>15</v>
      </c>
      <c r="K5" s="166" t="s">
        <v>16</v>
      </c>
      <c r="L5" s="166" t="s">
        <v>17</v>
      </c>
      <c r="M5" s="167" t="s">
        <v>18</v>
      </c>
    </row>
    <row r="6" spans="1:22" s="3" customFormat="1" ht="15" customHeight="1">
      <c r="A6" s="162">
        <v>1</v>
      </c>
      <c r="B6" s="178">
        <v>181222</v>
      </c>
      <c r="C6" s="179">
        <v>578820</v>
      </c>
      <c r="D6" s="179">
        <v>576856</v>
      </c>
      <c r="E6" s="179">
        <v>514938</v>
      </c>
      <c r="F6" s="180">
        <v>336453</v>
      </c>
      <c r="G6" s="181">
        <v>422327</v>
      </c>
      <c r="H6" s="182">
        <v>581686</v>
      </c>
      <c r="I6" s="182">
        <v>586149</v>
      </c>
      <c r="J6" s="183">
        <v>277498</v>
      </c>
      <c r="K6" s="179">
        <v>587135</v>
      </c>
      <c r="L6" s="180">
        <v>253621</v>
      </c>
      <c r="M6" s="184">
        <v>307531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163">
        <f>A6+1</f>
        <v>2</v>
      </c>
      <c r="B7" s="185">
        <v>476252</v>
      </c>
      <c r="C7" s="171">
        <v>428838</v>
      </c>
      <c r="D7" s="171">
        <v>359620</v>
      </c>
      <c r="E7" s="170">
        <v>540635</v>
      </c>
      <c r="F7" s="170">
        <v>551756</v>
      </c>
      <c r="G7" s="171">
        <v>247252</v>
      </c>
      <c r="H7" s="170">
        <v>552586</v>
      </c>
      <c r="I7" s="106">
        <v>612596</v>
      </c>
      <c r="J7" s="106">
        <v>572361</v>
      </c>
      <c r="K7" s="170">
        <v>574859</v>
      </c>
      <c r="L7" s="173">
        <v>271200</v>
      </c>
      <c r="M7" s="107">
        <v>550186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163">
        <f>A6+2</f>
        <v>3</v>
      </c>
      <c r="B8" s="185">
        <v>509964</v>
      </c>
      <c r="C8" s="171">
        <v>278295</v>
      </c>
      <c r="D8" s="171">
        <v>267633</v>
      </c>
      <c r="E8" s="170">
        <v>555031</v>
      </c>
      <c r="F8" s="170">
        <v>560951</v>
      </c>
      <c r="G8" s="170">
        <v>546145</v>
      </c>
      <c r="H8" s="170">
        <v>560469</v>
      </c>
      <c r="I8" s="172">
        <v>440719</v>
      </c>
      <c r="J8" s="170">
        <v>524759</v>
      </c>
      <c r="K8" s="174">
        <v>548744</v>
      </c>
      <c r="L8" s="172">
        <v>293944</v>
      </c>
      <c r="M8" s="685">
        <v>616265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163">
        <f>A6+3</f>
        <v>4</v>
      </c>
      <c r="B9" s="185">
        <v>543636</v>
      </c>
      <c r="C9" s="170">
        <v>564351</v>
      </c>
      <c r="D9" s="170">
        <v>562138</v>
      </c>
      <c r="E9" s="170">
        <v>515674</v>
      </c>
      <c r="F9" s="171">
        <v>408593</v>
      </c>
      <c r="G9" s="170">
        <v>547669</v>
      </c>
      <c r="H9" s="106">
        <v>568839</v>
      </c>
      <c r="I9" s="172">
        <v>280724</v>
      </c>
      <c r="J9" s="170">
        <v>556040</v>
      </c>
      <c r="K9" s="174">
        <v>615734</v>
      </c>
      <c r="L9" s="106">
        <v>548421</v>
      </c>
      <c r="M9" s="186">
        <v>570218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163">
        <f>A6+4</f>
        <v>5</v>
      </c>
      <c r="B10" s="187">
        <v>408704</v>
      </c>
      <c r="C10" s="170">
        <v>568209</v>
      </c>
      <c r="D10" s="170">
        <v>555313</v>
      </c>
      <c r="E10" s="170">
        <v>556033</v>
      </c>
      <c r="F10" s="171">
        <v>269993</v>
      </c>
      <c r="G10" s="170">
        <v>544060</v>
      </c>
      <c r="H10" s="106">
        <v>588493</v>
      </c>
      <c r="I10" s="106">
        <v>575654</v>
      </c>
      <c r="J10" s="106">
        <v>589591</v>
      </c>
      <c r="K10" s="175">
        <v>439909</v>
      </c>
      <c r="L10" s="170">
        <v>565169</v>
      </c>
      <c r="M10" s="107">
        <v>571896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163">
        <f>A6+5</f>
        <v>6</v>
      </c>
      <c r="B11" s="187">
        <v>276066</v>
      </c>
      <c r="C11" s="170">
        <v>532576</v>
      </c>
      <c r="D11" s="680">
        <v>576375</v>
      </c>
      <c r="E11" s="171">
        <v>392310</v>
      </c>
      <c r="F11" s="170">
        <v>553361</v>
      </c>
      <c r="G11" s="170">
        <v>551398</v>
      </c>
      <c r="H11" s="171">
        <v>436429</v>
      </c>
      <c r="I11" s="170">
        <v>547223</v>
      </c>
      <c r="J11" s="106">
        <v>548699</v>
      </c>
      <c r="K11" s="175">
        <v>290163</v>
      </c>
      <c r="L11" s="170">
        <v>597087</v>
      </c>
      <c r="M11" s="107">
        <v>609863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163">
        <f>A6+6</f>
        <v>7</v>
      </c>
      <c r="B12" s="185">
        <v>568895</v>
      </c>
      <c r="C12" s="170">
        <v>546003</v>
      </c>
      <c r="D12" s="170">
        <v>539223</v>
      </c>
      <c r="E12" s="171">
        <v>255954</v>
      </c>
      <c r="F12" s="170">
        <v>552811</v>
      </c>
      <c r="G12" s="170">
        <v>566796</v>
      </c>
      <c r="H12" s="172">
        <v>283151</v>
      </c>
      <c r="I12" s="170">
        <v>582322</v>
      </c>
      <c r="J12" s="172">
        <v>450245</v>
      </c>
      <c r="K12" s="174">
        <v>541997</v>
      </c>
      <c r="L12" s="106">
        <v>564642</v>
      </c>
      <c r="M12" s="188">
        <v>424605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163">
        <f>A6+7</f>
        <v>8</v>
      </c>
      <c r="B13" s="185">
        <v>583442</v>
      </c>
      <c r="C13" s="170">
        <v>575662</v>
      </c>
      <c r="D13" s="170">
        <v>530865</v>
      </c>
      <c r="E13" s="170">
        <v>538454</v>
      </c>
      <c r="F13" s="170">
        <v>461639</v>
      </c>
      <c r="G13" s="171">
        <v>407508</v>
      </c>
      <c r="H13" s="106">
        <v>537758</v>
      </c>
      <c r="I13" s="106">
        <v>615322</v>
      </c>
      <c r="J13" s="172">
        <v>275091</v>
      </c>
      <c r="K13" s="170">
        <v>574667</v>
      </c>
      <c r="L13" s="106">
        <v>511585</v>
      </c>
      <c r="M13" s="188">
        <v>322771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163">
        <f>A6+8</f>
        <v>9</v>
      </c>
      <c r="B14" s="681">
        <v>592343</v>
      </c>
      <c r="C14" s="171">
        <v>402288</v>
      </c>
      <c r="D14" s="171">
        <v>431672</v>
      </c>
      <c r="E14" s="169">
        <v>323697</v>
      </c>
      <c r="F14" s="170">
        <v>548549</v>
      </c>
      <c r="G14" s="171">
        <v>257330</v>
      </c>
      <c r="H14" s="170">
        <v>578837</v>
      </c>
      <c r="I14" s="173">
        <v>357761</v>
      </c>
      <c r="J14" s="106">
        <v>549109</v>
      </c>
      <c r="K14" s="170">
        <v>569270</v>
      </c>
      <c r="L14" s="172">
        <v>448501</v>
      </c>
      <c r="M14" s="107">
        <v>567666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163">
        <f>A6+9</f>
        <v>10</v>
      </c>
      <c r="B15" s="185">
        <v>556365</v>
      </c>
      <c r="C15" s="171">
        <v>293743</v>
      </c>
      <c r="D15" s="171">
        <v>291564</v>
      </c>
      <c r="E15" s="170">
        <v>553620</v>
      </c>
      <c r="F15" s="170">
        <v>565115</v>
      </c>
      <c r="G15" s="170">
        <v>528828</v>
      </c>
      <c r="H15" s="170">
        <v>577295</v>
      </c>
      <c r="I15" s="172">
        <v>385640</v>
      </c>
      <c r="J15" s="680">
        <v>614133</v>
      </c>
      <c r="K15" s="174">
        <v>589185</v>
      </c>
      <c r="L15" s="172">
        <v>271389</v>
      </c>
      <c r="M15" s="186">
        <v>579437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163">
        <f>A6+10</f>
        <v>11</v>
      </c>
      <c r="B16" s="185">
        <v>585008</v>
      </c>
      <c r="C16" s="170">
        <v>544436</v>
      </c>
      <c r="D16" s="170">
        <v>543890</v>
      </c>
      <c r="E16" s="170">
        <v>551152</v>
      </c>
      <c r="F16" s="171">
        <v>391320</v>
      </c>
      <c r="G16" s="170">
        <v>561882</v>
      </c>
      <c r="H16" s="106">
        <v>555493</v>
      </c>
      <c r="I16" s="172">
        <v>267431</v>
      </c>
      <c r="J16" s="170">
        <v>585900</v>
      </c>
      <c r="K16" s="174">
        <v>559726</v>
      </c>
      <c r="L16" s="106">
        <v>540523</v>
      </c>
      <c r="M16" s="186">
        <v>561455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163">
        <f>A6+11</f>
        <v>12</v>
      </c>
      <c r="B17" s="187">
        <v>408164</v>
      </c>
      <c r="C17" s="170">
        <v>558093</v>
      </c>
      <c r="D17" s="170">
        <v>549419</v>
      </c>
      <c r="E17" s="170">
        <v>554445</v>
      </c>
      <c r="F17" s="171">
        <v>266543</v>
      </c>
      <c r="G17" s="169">
        <v>238349</v>
      </c>
      <c r="H17" s="106">
        <v>573547</v>
      </c>
      <c r="I17" s="106">
        <v>497490</v>
      </c>
      <c r="J17" s="106">
        <v>576806</v>
      </c>
      <c r="K17" s="175">
        <v>360333</v>
      </c>
      <c r="L17" s="170">
        <v>588064</v>
      </c>
      <c r="M17" s="107">
        <v>562277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163">
        <f>A6+12</f>
        <v>13</v>
      </c>
      <c r="B18" s="187">
        <v>270083</v>
      </c>
      <c r="C18" s="170">
        <v>560530</v>
      </c>
      <c r="D18" s="170">
        <v>550739</v>
      </c>
      <c r="E18" s="171">
        <v>405982</v>
      </c>
      <c r="F18" s="169">
        <v>226417</v>
      </c>
      <c r="G18" s="170">
        <v>552386</v>
      </c>
      <c r="H18" s="172">
        <v>431494</v>
      </c>
      <c r="I18" s="170">
        <v>564561</v>
      </c>
      <c r="J18" s="106">
        <v>594989</v>
      </c>
      <c r="K18" s="175">
        <v>279143</v>
      </c>
      <c r="L18" s="170">
        <v>563498</v>
      </c>
      <c r="M18" s="107">
        <v>588228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163">
        <f>A6+13</f>
        <v>14</v>
      </c>
      <c r="B19" s="185">
        <v>563877</v>
      </c>
      <c r="C19" s="170">
        <v>576370</v>
      </c>
      <c r="D19" s="170">
        <v>536370</v>
      </c>
      <c r="E19" s="171">
        <v>275956</v>
      </c>
      <c r="F19" s="170">
        <v>518686</v>
      </c>
      <c r="G19" s="170">
        <v>551836</v>
      </c>
      <c r="H19" s="172">
        <v>273573</v>
      </c>
      <c r="I19" s="170">
        <v>583955</v>
      </c>
      <c r="J19" s="172">
        <v>453798</v>
      </c>
      <c r="K19" s="174">
        <v>553206</v>
      </c>
      <c r="L19" s="106">
        <v>590068</v>
      </c>
      <c r="M19" s="188">
        <v>453485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163">
        <f>A6+14</f>
        <v>15</v>
      </c>
      <c r="B20" s="185">
        <v>581662</v>
      </c>
      <c r="C20" s="680">
        <v>584122</v>
      </c>
      <c r="D20" s="170">
        <v>575693</v>
      </c>
      <c r="E20" s="170">
        <v>557321</v>
      </c>
      <c r="F20" s="170">
        <v>563394</v>
      </c>
      <c r="G20" s="171">
        <v>444889</v>
      </c>
      <c r="H20" s="106">
        <v>567386</v>
      </c>
      <c r="I20" s="106">
        <v>575789</v>
      </c>
      <c r="J20" s="172">
        <v>271970</v>
      </c>
      <c r="K20" s="169">
        <v>359325</v>
      </c>
      <c r="L20" s="106">
        <v>612564</v>
      </c>
      <c r="M20" s="188">
        <v>330172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163">
        <f>A6+15</f>
        <v>16</v>
      </c>
      <c r="B21" s="185">
        <v>559820</v>
      </c>
      <c r="C21" s="171">
        <v>431980</v>
      </c>
      <c r="D21" s="171">
        <v>429284</v>
      </c>
      <c r="E21" s="170">
        <v>564299</v>
      </c>
      <c r="F21" s="170">
        <v>546219</v>
      </c>
      <c r="G21" s="171">
        <v>267009</v>
      </c>
      <c r="H21" s="170">
        <v>582644</v>
      </c>
      <c r="I21" s="106">
        <v>609796</v>
      </c>
      <c r="J21" s="106">
        <v>544919</v>
      </c>
      <c r="K21" s="170">
        <v>595874</v>
      </c>
      <c r="L21" s="172">
        <v>465279</v>
      </c>
      <c r="M21" s="107">
        <v>586568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163">
        <f>A6+16</f>
        <v>17</v>
      </c>
      <c r="B22" s="185">
        <v>556927</v>
      </c>
      <c r="C22" s="171">
        <v>292497</v>
      </c>
      <c r="D22" s="171">
        <v>288613</v>
      </c>
      <c r="E22" s="170">
        <v>555341</v>
      </c>
      <c r="F22" s="170">
        <v>557032</v>
      </c>
      <c r="G22" s="170">
        <v>575416</v>
      </c>
      <c r="H22" s="170">
        <v>574699</v>
      </c>
      <c r="I22" s="172">
        <v>421388</v>
      </c>
      <c r="J22" s="170">
        <v>576039</v>
      </c>
      <c r="K22" s="106">
        <v>586145</v>
      </c>
      <c r="L22" s="172">
        <v>309736</v>
      </c>
      <c r="M22" s="186">
        <v>589668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163">
        <f>A6+17</f>
        <v>18</v>
      </c>
      <c r="B23" s="185">
        <v>575723</v>
      </c>
      <c r="C23" s="170">
        <v>564910</v>
      </c>
      <c r="D23" s="170">
        <v>539812</v>
      </c>
      <c r="E23" s="170">
        <v>526122</v>
      </c>
      <c r="F23" s="171">
        <v>402591</v>
      </c>
      <c r="G23" s="170">
        <v>558142</v>
      </c>
      <c r="H23" s="106">
        <v>573353</v>
      </c>
      <c r="I23" s="172">
        <v>254726</v>
      </c>
      <c r="J23" s="170">
        <v>560200</v>
      </c>
      <c r="K23" s="106">
        <v>575077</v>
      </c>
      <c r="L23" s="106">
        <v>526573</v>
      </c>
      <c r="M23" s="186">
        <v>573813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163">
        <f>A6+18</f>
        <v>19</v>
      </c>
      <c r="B24" s="187">
        <v>433027</v>
      </c>
      <c r="C24" s="170">
        <v>562483</v>
      </c>
      <c r="D24" s="170">
        <v>476790</v>
      </c>
      <c r="E24" s="170">
        <v>556950</v>
      </c>
      <c r="F24" s="171">
        <v>268637</v>
      </c>
      <c r="G24" s="170">
        <v>558950</v>
      </c>
      <c r="H24" s="106">
        <v>598925</v>
      </c>
      <c r="I24" s="173">
        <v>333277</v>
      </c>
      <c r="J24" s="174">
        <v>563223</v>
      </c>
      <c r="K24" s="172">
        <v>430808</v>
      </c>
      <c r="L24" s="170">
        <v>563088</v>
      </c>
      <c r="M24" s="107">
        <v>585455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163">
        <f>A6+19</f>
        <v>20</v>
      </c>
      <c r="B25" s="187">
        <v>280665</v>
      </c>
      <c r="C25" s="170">
        <v>571942</v>
      </c>
      <c r="D25" s="170">
        <v>545930</v>
      </c>
      <c r="E25" s="171">
        <v>406748</v>
      </c>
      <c r="F25" s="170">
        <v>555052</v>
      </c>
      <c r="G25" s="170">
        <v>556120</v>
      </c>
      <c r="H25" s="172">
        <v>436446</v>
      </c>
      <c r="I25" s="169">
        <v>207367</v>
      </c>
      <c r="J25" s="174">
        <v>585934</v>
      </c>
      <c r="K25" s="172">
        <v>294236</v>
      </c>
      <c r="L25" s="170">
        <v>548138</v>
      </c>
      <c r="M25" s="107">
        <v>610946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163">
        <f>A6+20</f>
        <v>21</v>
      </c>
      <c r="B26" s="185">
        <v>550667</v>
      </c>
      <c r="C26" s="170">
        <v>560096</v>
      </c>
      <c r="D26" s="170">
        <v>530410</v>
      </c>
      <c r="E26" s="171">
        <v>255374</v>
      </c>
      <c r="F26" s="170">
        <v>547286</v>
      </c>
      <c r="G26" s="170">
        <v>581366</v>
      </c>
      <c r="H26" s="172">
        <v>281105</v>
      </c>
      <c r="I26" s="169">
        <v>218048</v>
      </c>
      <c r="J26" s="175">
        <v>431803</v>
      </c>
      <c r="K26" s="106">
        <v>568736</v>
      </c>
      <c r="L26" s="684">
        <v>616313</v>
      </c>
      <c r="M26" s="188">
        <v>455020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163">
        <f>A6+21</f>
        <v>22</v>
      </c>
      <c r="B27" s="185">
        <v>552473</v>
      </c>
      <c r="C27" s="170">
        <v>518874</v>
      </c>
      <c r="D27" s="170">
        <v>551680</v>
      </c>
      <c r="E27" s="170">
        <v>541733</v>
      </c>
      <c r="F27" s="170">
        <v>549747</v>
      </c>
      <c r="G27" s="171">
        <v>415942</v>
      </c>
      <c r="H27" s="106">
        <v>552349</v>
      </c>
      <c r="I27" s="106">
        <v>508004</v>
      </c>
      <c r="J27" s="175">
        <v>225091</v>
      </c>
      <c r="K27" s="170">
        <v>577172</v>
      </c>
      <c r="L27" s="106">
        <v>603091</v>
      </c>
      <c r="M27" s="188">
        <v>313068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163">
        <f>A6+22</f>
        <v>23</v>
      </c>
      <c r="B28" s="185">
        <v>564327</v>
      </c>
      <c r="C28" s="171">
        <v>419832</v>
      </c>
      <c r="D28" s="171">
        <v>405241</v>
      </c>
      <c r="E28" s="170">
        <v>543525</v>
      </c>
      <c r="F28" s="170">
        <v>551675</v>
      </c>
      <c r="G28" s="171">
        <v>289303</v>
      </c>
      <c r="H28" s="170">
        <v>579546</v>
      </c>
      <c r="I28" s="106">
        <v>592014</v>
      </c>
      <c r="J28" s="176">
        <v>406279</v>
      </c>
      <c r="K28" s="170">
        <v>566640</v>
      </c>
      <c r="L28" s="172">
        <v>445821</v>
      </c>
      <c r="M28" s="107">
        <v>525327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163">
        <f>A6+23</f>
        <v>24</v>
      </c>
      <c r="B29" s="185">
        <v>531014</v>
      </c>
      <c r="C29" s="171">
        <v>273310</v>
      </c>
      <c r="D29" s="171">
        <v>262827</v>
      </c>
      <c r="E29" s="170">
        <v>544301</v>
      </c>
      <c r="F29" s="170">
        <v>548618</v>
      </c>
      <c r="G29" s="170">
        <v>534302</v>
      </c>
      <c r="H29" s="170">
        <v>567742</v>
      </c>
      <c r="I29" s="172">
        <v>412482</v>
      </c>
      <c r="J29" s="170">
        <v>584723</v>
      </c>
      <c r="K29" s="106">
        <v>558015</v>
      </c>
      <c r="L29" s="172">
        <v>272349</v>
      </c>
      <c r="M29" s="189">
        <v>298497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163">
        <f>A6+24</f>
        <v>25</v>
      </c>
      <c r="B30" s="185">
        <v>564580</v>
      </c>
      <c r="C30" s="170">
        <v>543038</v>
      </c>
      <c r="D30" s="170">
        <v>536985</v>
      </c>
      <c r="E30" s="170">
        <v>527687</v>
      </c>
      <c r="F30" s="171">
        <v>405318</v>
      </c>
      <c r="G30" s="680">
        <v>608486</v>
      </c>
      <c r="H30" s="106">
        <v>574492</v>
      </c>
      <c r="I30" s="172">
        <v>281393</v>
      </c>
      <c r="J30" s="170">
        <v>589152</v>
      </c>
      <c r="K30" s="683">
        <v>621913</v>
      </c>
      <c r="L30" s="106">
        <v>548863</v>
      </c>
      <c r="M30" s="189">
        <v>256597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163">
        <f>A6+25</f>
        <v>26</v>
      </c>
      <c r="B31" s="187">
        <v>431230</v>
      </c>
      <c r="C31" s="170">
        <v>568900</v>
      </c>
      <c r="D31" s="170">
        <v>538844</v>
      </c>
      <c r="E31" s="170">
        <v>565509</v>
      </c>
      <c r="F31" s="171">
        <v>262226</v>
      </c>
      <c r="G31" s="170">
        <v>575364</v>
      </c>
      <c r="H31" s="106">
        <v>600291</v>
      </c>
      <c r="I31" s="173">
        <v>318169</v>
      </c>
      <c r="J31" s="174">
        <v>578077</v>
      </c>
      <c r="K31" s="172">
        <v>433093</v>
      </c>
      <c r="L31" s="170">
        <v>544677</v>
      </c>
      <c r="M31" s="186">
        <v>482708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163">
        <f>A6+26</f>
        <v>27</v>
      </c>
      <c r="B32" s="187">
        <v>255878</v>
      </c>
      <c r="C32" s="170">
        <v>566030</v>
      </c>
      <c r="D32" s="170">
        <v>523055</v>
      </c>
      <c r="E32" s="171">
        <v>393360</v>
      </c>
      <c r="F32" s="170">
        <v>537036</v>
      </c>
      <c r="G32" s="170">
        <v>574662</v>
      </c>
      <c r="H32" s="172">
        <v>428013</v>
      </c>
      <c r="I32" s="170">
        <v>580711</v>
      </c>
      <c r="J32" s="174">
        <v>586839</v>
      </c>
      <c r="K32" s="172">
        <v>286061</v>
      </c>
      <c r="L32" s="170">
        <v>566027</v>
      </c>
      <c r="M32" s="107">
        <v>528943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163">
        <f>A6+27</f>
        <v>28</v>
      </c>
      <c r="B33" s="185">
        <v>557374</v>
      </c>
      <c r="C33" s="170">
        <v>572403</v>
      </c>
      <c r="D33" s="177"/>
      <c r="E33" s="171">
        <v>259903</v>
      </c>
      <c r="F33" s="170">
        <v>537530</v>
      </c>
      <c r="G33" s="170">
        <v>586042</v>
      </c>
      <c r="H33" s="172">
        <v>270136</v>
      </c>
      <c r="I33" s="170">
        <v>588133</v>
      </c>
      <c r="J33" s="175">
        <v>444541</v>
      </c>
      <c r="K33" s="173">
        <v>288121</v>
      </c>
      <c r="L33" s="106">
        <v>548620</v>
      </c>
      <c r="M33" s="188">
        <v>401004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163">
        <f>A6+28</f>
        <v>29</v>
      </c>
      <c r="B34" s="185">
        <v>545387</v>
      </c>
      <c r="C34" s="177"/>
      <c r="D34" s="177"/>
      <c r="E34" s="170">
        <v>537781</v>
      </c>
      <c r="F34" s="170">
        <v>569594</v>
      </c>
      <c r="G34" s="171">
        <v>435314</v>
      </c>
      <c r="H34" s="106">
        <v>562550</v>
      </c>
      <c r="I34" s="170">
        <v>573401</v>
      </c>
      <c r="J34" s="175">
        <v>288745</v>
      </c>
      <c r="K34" s="170">
        <v>573272</v>
      </c>
      <c r="L34" s="106">
        <v>607076</v>
      </c>
      <c r="M34" s="188">
        <v>283705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163">
        <f>A6+29</f>
        <v>30</v>
      </c>
      <c r="B35" s="185">
        <v>563647</v>
      </c>
      <c r="C35" s="177"/>
      <c r="D35" s="177"/>
      <c r="E35" s="680">
        <v>567780</v>
      </c>
      <c r="F35" s="170">
        <v>540902</v>
      </c>
      <c r="G35" s="171">
        <v>256221</v>
      </c>
      <c r="H35" s="170">
        <v>550001</v>
      </c>
      <c r="I35" s="684">
        <v>620963</v>
      </c>
      <c r="J35" s="174">
        <v>569029</v>
      </c>
      <c r="K35" s="170">
        <v>546219</v>
      </c>
      <c r="L35" s="169">
        <v>394704</v>
      </c>
      <c r="M35" s="189">
        <v>210126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>
      <c r="A36" s="164">
        <f>A6+30</f>
        <v>31</v>
      </c>
      <c r="B36" s="190">
        <v>564045</v>
      </c>
      <c r="C36" s="191"/>
      <c r="D36" s="191"/>
      <c r="E36" s="191"/>
      <c r="F36" s="682">
        <v>591754</v>
      </c>
      <c r="G36" s="191"/>
      <c r="H36" s="682">
        <v>601608</v>
      </c>
      <c r="I36" s="193">
        <v>444503</v>
      </c>
      <c r="J36" s="191"/>
      <c r="K36" s="194">
        <v>546611</v>
      </c>
      <c r="L36" s="191"/>
      <c r="M36" s="195">
        <v>220882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44">
        <f>AVERAGE(B6:B36)/12</f>
        <v>40839.965053763437</v>
      </c>
      <c r="C37" s="130">
        <f>AVERAGE(C6:C36)</f>
        <v>501379.67857142858</v>
      </c>
      <c r="D37" s="130">
        <f>AVERAGE(D6:D36)</f>
        <v>484327.44444444444</v>
      </c>
      <c r="E37" s="130">
        <f>IFERROR(AVERAGE(E6:E36),0)</f>
        <v>481253.83333333331</v>
      </c>
      <c r="F37" s="130">
        <f>IFERROR(AVERAGE(F6:F36),0)</f>
        <v>475703.16129032261</v>
      </c>
      <c r="G37" s="130">
        <f t="shared" ref="G37:M37" si="0">IFERROR(AVERAGE(G6:G36),0)</f>
        <v>478043.13333333336</v>
      </c>
      <c r="H37" s="130">
        <f t="shared" si="0"/>
        <v>516159.22580645164</v>
      </c>
      <c r="I37" s="130">
        <f t="shared" si="0"/>
        <v>465732.61290322582</v>
      </c>
      <c r="J37" s="130">
        <f t="shared" si="0"/>
        <v>499186.1</v>
      </c>
      <c r="K37" s="130">
        <f t="shared" si="0"/>
        <v>499722.22580645164</v>
      </c>
      <c r="L37" s="130">
        <f>IFERROR(AVERAGE(L6:L36),0)</f>
        <v>492687.7</v>
      </c>
      <c r="M37" s="168">
        <f t="shared" si="0"/>
        <v>468980.06451612903</v>
      </c>
      <c r="N37" s="252">
        <f>SUM(B37:M37)/12</f>
        <v>450334.59542157361</v>
      </c>
    </row>
    <row r="38" spans="1:22">
      <c r="A38" s="48" t="s">
        <v>20</v>
      </c>
      <c r="B38" s="129">
        <f>AVERAGE(B7:B9,B12:B16,B19:B23,B26:B30,B33:B36)</f>
        <v>556701.27272727271</v>
      </c>
      <c r="C38" s="50">
        <f>AVERAGE(C6,C9:C13,C16:C20,C23:C27,C30:C33)</f>
        <v>560892.4</v>
      </c>
      <c r="D38" s="50">
        <f>AVERAGE(D6,D9:D13,D16:D20,D23:D27,D30:D33)</f>
        <v>544230.89473684214</v>
      </c>
      <c r="E38" s="50">
        <f>AVERAGE(E6:E10,E13,E15:E17,E20:E24,E27:E31,E34:E35)</f>
        <v>546111</v>
      </c>
      <c r="F38" s="50">
        <f>AVERAGE(F7:F8,F11:F15,F19:F22,F25:F29,F32:F36)</f>
        <v>548033.66666666663</v>
      </c>
      <c r="G38" s="50">
        <f>AVERAGE(G8:G12,G15:G16,G18:G19,G22:G26,G29:G33)</f>
        <v>561044.73684210528</v>
      </c>
      <c r="H38" s="50">
        <f>AVERAGE(H6:H10,H13:H17,H20:H24,H27:H31,H34:H36)</f>
        <v>572199.52173913049</v>
      </c>
      <c r="I38" s="50">
        <f>AVERAGE(I6:I7,I17:I21,I27:I28,I32:I35)</f>
        <v>576427.84615384613</v>
      </c>
      <c r="J38" s="50">
        <f>AVERAGE(J7:J11,J14:J18,J21:J25,J29:J32,J35)</f>
        <v>572526.1</v>
      </c>
      <c r="K38" s="50">
        <f>AVERAGE(K6:K9,K12:K16,K19,K21:K23,K26:K30,K34:K37)</f>
        <v>569541.78299120243</v>
      </c>
      <c r="L38" s="50">
        <f>AVERAGE(L9:L13,L16:L20,L23:L27,L30:L34)</f>
        <v>567704.35</v>
      </c>
      <c r="M38" s="51">
        <f>AVERAGE(M7:M11,M14:M18,M21:M25,M28,M31:M32)</f>
        <v>570051.0555555555</v>
      </c>
      <c r="N38" s="252">
        <f t="shared" ref="N38:N44" si="1">SUM(B38:M38)/12</f>
        <v>562122.05228438508</v>
      </c>
    </row>
    <row r="39" spans="1:22">
      <c r="A39" s="52" t="s">
        <v>21</v>
      </c>
      <c r="B39" s="129">
        <f>AVERAGE(B10,B17,B24,B31)</f>
        <v>420281.25</v>
      </c>
      <c r="C39" s="50">
        <f>AVERAGE(C7,C14,C21,C28)</f>
        <v>420734.5</v>
      </c>
      <c r="D39" s="50">
        <f>AVERAGE(D7,D14,D21,D28)</f>
        <v>406454.25</v>
      </c>
      <c r="E39" s="50">
        <f>AVERAGE(E11,E18,E25,E32)</f>
        <v>399600</v>
      </c>
      <c r="F39" s="50">
        <f>AVERAGE(F9,F16,F23,F30)</f>
        <v>401955.5</v>
      </c>
      <c r="G39" s="50">
        <f>AVERAGE(G6,G13,G20,G27,G34)</f>
        <v>425196</v>
      </c>
      <c r="H39" s="50">
        <f>AVERAGE(H11,H18,H25,H32)</f>
        <v>433095.5</v>
      </c>
      <c r="I39" s="50">
        <f>AVERAGE(I8,I15,I22,I29)</f>
        <v>415057.25</v>
      </c>
      <c r="J39" s="50">
        <f>AVERAGE(J12,J19,J26,J33)</f>
        <v>445096.75</v>
      </c>
      <c r="K39" s="50">
        <f>AVERAGE(K10,K17,K24,K31)</f>
        <v>416035.75</v>
      </c>
      <c r="L39" s="50">
        <f>AVERAGE(L14,L21,L28)</f>
        <v>453200.33333333331</v>
      </c>
      <c r="M39" s="50">
        <f>AVERAGE(M12,M19,M26,M33)</f>
        <v>433528.5</v>
      </c>
      <c r="N39" s="252">
        <f t="shared" si="1"/>
        <v>422519.63194444444</v>
      </c>
    </row>
    <row r="40" spans="1:22">
      <c r="A40" s="52" t="s">
        <v>22</v>
      </c>
      <c r="B40" s="129">
        <f>AVERAGE(B6,B11,B18,B25,B32)</f>
        <v>252782.8</v>
      </c>
      <c r="C40" s="50">
        <f>AVERAGE(C8,C15,C22,C29)</f>
        <v>284461.25</v>
      </c>
      <c r="D40" s="50">
        <f>AVERAGE(D8,D15,D22,D29)</f>
        <v>277659.25</v>
      </c>
      <c r="E40" s="50">
        <f>AVERAGE(E12,E14,E19,E26,E33)</f>
        <v>274176.8</v>
      </c>
      <c r="F40" s="50">
        <f>AVERAGE(F6,F10,F17:F18,F24,F31)</f>
        <v>271711.5</v>
      </c>
      <c r="G40" s="50">
        <f>AVERAGE(G7,G14,G17,G21,G28,G35)</f>
        <v>259244</v>
      </c>
      <c r="H40" s="50">
        <f>AVERAGE(H12,H19,H26,H33)</f>
        <v>276991.25</v>
      </c>
      <c r="I40" s="50">
        <f>AVERAGE(I9,I14,I16,I23:I26,I30:I31)</f>
        <v>279877.33333333331</v>
      </c>
      <c r="J40" s="50">
        <f>AVERAGE(J6,J13,J20,J27:J28,J34)</f>
        <v>290779</v>
      </c>
      <c r="K40" s="50">
        <f>AVERAGE(K11,K18,K25,K32:K33,K20)</f>
        <v>299508.16666666669</v>
      </c>
      <c r="L40" s="50">
        <f>AVERAGE(L6:L8,L15,L22,L29,L35)</f>
        <v>295277.57142857142</v>
      </c>
      <c r="M40" s="50">
        <f>AVERAGE(M6,M13,M20,M27,M34:M36,M29:M30)</f>
        <v>282594.33333333331</v>
      </c>
      <c r="N40" s="252">
        <f t="shared" si="1"/>
        <v>278755.27123015875</v>
      </c>
    </row>
    <row r="41" spans="1:22">
      <c r="A41" s="52" t="s">
        <v>23</v>
      </c>
      <c r="B41" s="129">
        <f>AVERAGE(B6,B10:B11,B17:B18,B24:B25,B31:B32)</f>
        <v>327226.55555555556</v>
      </c>
      <c r="C41" s="50">
        <f>AVERAGE(C7:C8,C14:C15,C21:C22,C28:C29)</f>
        <v>352597.875</v>
      </c>
      <c r="D41" s="50">
        <f>AVERAGE(D7:D8,D14:D15,D21:D22,D28:D29)</f>
        <v>342056.75</v>
      </c>
      <c r="E41" s="50">
        <f>AVERAGE(E11:E12,E14,E18:E19,E25:E26,E32:E33)</f>
        <v>329920.44444444444</v>
      </c>
      <c r="F41" s="50">
        <f>AVERAGE(F6,F9:F10,F16:F18,F23:F24,F30:F31)</f>
        <v>323809.09999999998</v>
      </c>
      <c r="G41" s="50">
        <f>AVERAGE(G6:G7,G13:G14,G17,G20:G21,G27:G28,G34:G35)</f>
        <v>334676.72727272729</v>
      </c>
      <c r="H41" s="50">
        <f>AVERAGE(H11:H12,H18:H19,H25:H26,H32:H33)</f>
        <v>355043.375</v>
      </c>
      <c r="I41" s="50">
        <f>AVERAGE(I8:I9,I14:I16,I22:I26,I29:I31,I36)</f>
        <v>330259.14285714284</v>
      </c>
      <c r="J41" s="50">
        <f>AVERAGE(J6,J12:J13,J19:J20,J26:J28,J33:J34)</f>
        <v>352506.1</v>
      </c>
      <c r="K41" s="50">
        <f>AVERAGE(K10:K11,K17:K18,K24:K25,K31:K33,K20)</f>
        <v>346119.2</v>
      </c>
      <c r="L41" s="50">
        <f>AVERAGE(L6:L8,L14:L15,L21:L22,L28:L29,L35)</f>
        <v>342654.4</v>
      </c>
      <c r="M41" s="50">
        <f>AVERAGE(M6,M12:M13,M19:M20,M26:M27,M33:M36,M29:M30)</f>
        <v>329035.61538461538</v>
      </c>
      <c r="N41" s="252">
        <f t="shared" si="1"/>
        <v>338825.44045954046</v>
      </c>
    </row>
    <row r="42" spans="1:22">
      <c r="A42" s="52" t="s">
        <v>24</v>
      </c>
      <c r="B42" s="108">
        <f>MAX(B6:B36)</f>
        <v>592343</v>
      </c>
      <c r="C42" s="109">
        <f>MAX(C6:C36)</f>
        <v>584122</v>
      </c>
      <c r="D42" s="109">
        <f t="shared" ref="D42:M42" si="2">MAX(D6:D36)</f>
        <v>576856</v>
      </c>
      <c r="E42" s="109">
        <f t="shared" si="2"/>
        <v>567780</v>
      </c>
      <c r="F42" s="109">
        <f t="shared" si="2"/>
        <v>591754</v>
      </c>
      <c r="G42" s="109">
        <f t="shared" si="2"/>
        <v>608486</v>
      </c>
      <c r="H42" s="109">
        <f t="shared" si="2"/>
        <v>601608</v>
      </c>
      <c r="I42" s="109">
        <f t="shared" si="2"/>
        <v>620963</v>
      </c>
      <c r="J42" s="109">
        <f t="shared" si="2"/>
        <v>614133</v>
      </c>
      <c r="K42" s="109">
        <f t="shared" si="2"/>
        <v>621913</v>
      </c>
      <c r="L42" s="109">
        <f t="shared" si="2"/>
        <v>616313</v>
      </c>
      <c r="M42" s="110">
        <f t="shared" si="2"/>
        <v>616265</v>
      </c>
      <c r="N42" s="252">
        <f t="shared" si="1"/>
        <v>601044.66666666663</v>
      </c>
    </row>
    <row r="43" spans="1:22">
      <c r="A43" s="52" t="s">
        <v>47</v>
      </c>
      <c r="B43" s="129">
        <f>MIN(B6:B36)</f>
        <v>181222</v>
      </c>
      <c r="C43" s="53">
        <f t="shared" ref="C43:M43" si="3">MIN(C6:C36)</f>
        <v>273310</v>
      </c>
      <c r="D43" s="53">
        <f t="shared" si="3"/>
        <v>262827</v>
      </c>
      <c r="E43" s="53">
        <f t="shared" si="3"/>
        <v>255374</v>
      </c>
      <c r="F43" s="53">
        <f t="shared" si="3"/>
        <v>226417</v>
      </c>
      <c r="G43" s="53">
        <f t="shared" si="3"/>
        <v>238349</v>
      </c>
      <c r="H43" s="53">
        <f t="shared" si="3"/>
        <v>270136</v>
      </c>
      <c r="I43" s="53">
        <f t="shared" si="3"/>
        <v>207367</v>
      </c>
      <c r="J43" s="53">
        <f t="shared" si="3"/>
        <v>225091</v>
      </c>
      <c r="K43" s="53">
        <f t="shared" si="3"/>
        <v>279143</v>
      </c>
      <c r="L43" s="53">
        <f t="shared" si="3"/>
        <v>253621</v>
      </c>
      <c r="M43" s="54">
        <f t="shared" si="3"/>
        <v>210126</v>
      </c>
      <c r="N43" s="252">
        <f t="shared" si="1"/>
        <v>240248.58333333334</v>
      </c>
    </row>
    <row r="44" spans="1:22" ht="12.75" thickBot="1">
      <c r="A44" s="55" t="s">
        <v>25</v>
      </c>
      <c r="B44" s="111">
        <f t="shared" ref="B44:L44" si="4">SUM(B6:B36)</f>
        <v>15192467</v>
      </c>
      <c r="C44" s="57">
        <f>SUM(C6:C36)</f>
        <v>14038631</v>
      </c>
      <c r="D44" s="57">
        <f t="shared" si="4"/>
        <v>13076841</v>
      </c>
      <c r="E44" s="57">
        <f t="shared" si="4"/>
        <v>14437615</v>
      </c>
      <c r="F44" s="57">
        <f t="shared" si="4"/>
        <v>14746798</v>
      </c>
      <c r="G44" s="57">
        <f t="shared" si="4"/>
        <v>14341294</v>
      </c>
      <c r="H44" s="57">
        <f t="shared" si="4"/>
        <v>16000936</v>
      </c>
      <c r="I44" s="57">
        <f t="shared" si="4"/>
        <v>14437711</v>
      </c>
      <c r="J44" s="57">
        <f t="shared" si="4"/>
        <v>14975583</v>
      </c>
      <c r="K44" s="57">
        <f t="shared" si="4"/>
        <v>15491389</v>
      </c>
      <c r="L44" s="57">
        <f t="shared" si="4"/>
        <v>14780631</v>
      </c>
      <c r="M44" s="58">
        <f>SUM(M6:M36)</f>
        <v>14538382</v>
      </c>
      <c r="N44" s="252">
        <f t="shared" si="1"/>
        <v>14671523.166666666</v>
      </c>
      <c r="P44" s="59"/>
    </row>
    <row r="45" spans="1:22" s="60" customFormat="1" ht="11.25"/>
    <row r="46" spans="1:22">
      <c r="A46" s="61"/>
    </row>
    <row r="47" spans="1:22" ht="15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O47" s="64"/>
    </row>
    <row r="48" spans="1:22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</row>
    <row r="49" spans="1:13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1:13">
      <c r="A50" s="65"/>
      <c r="H50" s="66"/>
      <c r="I50" s="66"/>
      <c r="J50" s="66"/>
      <c r="K50" s="66"/>
      <c r="L50" s="66"/>
      <c r="M50" s="66"/>
    </row>
    <row r="52" spans="1:13">
      <c r="A52" s="67"/>
      <c r="B52" s="68"/>
    </row>
  </sheetData>
  <mergeCells count="2">
    <mergeCell ref="E1:I1"/>
    <mergeCell ref="E2:I3"/>
  </mergeCells>
  <conditionalFormatting sqref="B6:M36">
    <cfRule type="top10" dxfId="32" priority="12" rank="1"/>
  </conditionalFormatting>
  <printOptions horizontalCentered="1" verticalCentered="1"/>
  <pageMargins left="0.25" right="0" top="0.25" bottom="0.25" header="0.31" footer="0.31"/>
  <pageSetup paperSize="5" scale="94" orientation="landscape" r:id="rId1"/>
  <rowBreaks count="1" manualBreakCount="1">
    <brk id="45" max="16383" man="1"/>
  </rowBreaks>
  <ignoredErrors>
    <ignoredError sqref="C44:M44 D42:M42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V52"/>
  <sheetViews>
    <sheetView view="pageBreakPreview" zoomScaleNormal="120" zoomScaleSheetLayoutView="100" zoomScalePageLayoutView="120" workbookViewId="0">
      <pane xSplit="1" ySplit="5" topLeftCell="F29" activePane="bottomRight" state="frozen"/>
      <selection pane="bottomRight" activeCell="N45" sqref="N45"/>
      <selection pane="bottomLeft" activeCell="Q11" sqref="P11:Q11"/>
      <selection pane="topRight" activeCell="Q11" sqref="P11:Q1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4" width="11.28515625" style="4" customWidth="1"/>
    <col min="15" max="15" width="8.85546875" style="4"/>
    <col min="16" max="16" width="9.42578125" style="4" bestFit="1" customWidth="1"/>
    <col min="17" max="16384" width="8.85546875" style="4"/>
  </cols>
  <sheetData>
    <row r="1" spans="1:22" s="3" customFormat="1" ht="18" customHeight="1">
      <c r="A1" s="1"/>
      <c r="B1" s="2"/>
      <c r="C1" s="2"/>
      <c r="E1" s="747" t="s">
        <v>0</v>
      </c>
      <c r="F1" s="747"/>
      <c r="G1" s="747"/>
      <c r="H1" s="747"/>
      <c r="I1" s="747"/>
    </row>
    <row r="2" spans="1:22" s="3" customFormat="1" ht="18" customHeight="1">
      <c r="A2" s="1"/>
      <c r="B2" s="2"/>
      <c r="C2" s="2"/>
      <c r="E2" s="747" t="s">
        <v>1</v>
      </c>
      <c r="F2" s="747"/>
      <c r="G2" s="747"/>
      <c r="H2" s="747"/>
      <c r="I2" s="747"/>
    </row>
    <row r="3" spans="1:22" s="3" customFormat="1" ht="15" customHeight="1">
      <c r="A3" s="5" t="s">
        <v>51</v>
      </c>
      <c r="B3" s="6"/>
      <c r="C3" s="2"/>
      <c r="E3" s="747"/>
      <c r="F3" s="747"/>
      <c r="G3" s="747"/>
      <c r="H3" s="747"/>
      <c r="I3" s="747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65" t="s">
        <v>7</v>
      </c>
      <c r="C5" s="166" t="s">
        <v>8</v>
      </c>
      <c r="D5" s="166" t="s">
        <v>9</v>
      </c>
      <c r="E5" s="166" t="s">
        <v>10</v>
      </c>
      <c r="F5" s="166" t="s">
        <v>11</v>
      </c>
      <c r="G5" s="166" t="s">
        <v>12</v>
      </c>
      <c r="H5" s="166" t="s">
        <v>13</v>
      </c>
      <c r="I5" s="166" t="s">
        <v>14</v>
      </c>
      <c r="J5" s="166" t="s">
        <v>15</v>
      </c>
      <c r="K5" s="166" t="s">
        <v>16</v>
      </c>
      <c r="L5" s="166" t="s">
        <v>17</v>
      </c>
      <c r="M5" s="167" t="s">
        <v>18</v>
      </c>
    </row>
    <row r="6" spans="1:22" s="3" customFormat="1" ht="15" customHeight="1">
      <c r="A6" s="162">
        <v>1</v>
      </c>
      <c r="B6" s="178">
        <v>195089</v>
      </c>
      <c r="C6" s="181">
        <v>419109</v>
      </c>
      <c r="D6" s="181">
        <v>449778</v>
      </c>
      <c r="E6" s="179">
        <v>490259</v>
      </c>
      <c r="F6" s="180">
        <v>313443</v>
      </c>
      <c r="G6" s="181">
        <v>283610</v>
      </c>
      <c r="H6" s="182">
        <v>572018</v>
      </c>
      <c r="I6" s="182">
        <v>582959</v>
      </c>
      <c r="J6" s="182">
        <v>467141</v>
      </c>
      <c r="K6" s="686">
        <v>554740</v>
      </c>
      <c r="L6" s="180">
        <v>204813</v>
      </c>
      <c r="M6" s="196">
        <v>518213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163">
        <f>A6+1</f>
        <v>2</v>
      </c>
      <c r="B7" s="185">
        <v>460305</v>
      </c>
      <c r="C7" s="171">
        <v>275274</v>
      </c>
      <c r="D7" s="171">
        <v>293162</v>
      </c>
      <c r="E7" s="170">
        <v>512304</v>
      </c>
      <c r="F7" s="170">
        <v>527380</v>
      </c>
      <c r="G7" s="170">
        <v>522611</v>
      </c>
      <c r="H7" s="170">
        <v>553119</v>
      </c>
      <c r="I7" s="172">
        <v>430249</v>
      </c>
      <c r="J7" s="106">
        <v>510567</v>
      </c>
      <c r="K7" s="170">
        <v>494203</v>
      </c>
      <c r="L7" s="172">
        <v>225710</v>
      </c>
      <c r="M7" s="107">
        <v>525794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163">
        <f>A6+2</f>
        <v>3</v>
      </c>
      <c r="B8" s="185">
        <v>515462</v>
      </c>
      <c r="C8" s="170">
        <v>572155</v>
      </c>
      <c r="D8" s="170">
        <v>555507</v>
      </c>
      <c r="E8" s="170">
        <v>512129</v>
      </c>
      <c r="F8" s="171">
        <v>379614</v>
      </c>
      <c r="G8" s="170">
        <v>491003</v>
      </c>
      <c r="H8" s="170">
        <v>563748</v>
      </c>
      <c r="I8" s="172">
        <v>278727</v>
      </c>
      <c r="J8" s="170">
        <v>525394</v>
      </c>
      <c r="K8" s="174">
        <v>544457</v>
      </c>
      <c r="L8" s="106">
        <v>498423</v>
      </c>
      <c r="M8" s="186">
        <v>522577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163">
        <f>A6+3</f>
        <v>4</v>
      </c>
      <c r="B9" s="187">
        <v>388761</v>
      </c>
      <c r="C9" s="170">
        <v>565869</v>
      </c>
      <c r="D9" s="170">
        <v>555738</v>
      </c>
      <c r="E9" s="170">
        <v>535710</v>
      </c>
      <c r="F9" s="171">
        <v>256569</v>
      </c>
      <c r="G9" s="170">
        <v>514877</v>
      </c>
      <c r="H9" s="106">
        <v>561954</v>
      </c>
      <c r="I9" s="106">
        <v>578137</v>
      </c>
      <c r="J9" s="170">
        <v>483555</v>
      </c>
      <c r="K9" s="175">
        <v>403175</v>
      </c>
      <c r="L9" s="106">
        <v>501365</v>
      </c>
      <c r="M9" s="186">
        <v>526923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163">
        <f>A6+4</f>
        <v>5</v>
      </c>
      <c r="B10" s="187">
        <v>275516</v>
      </c>
      <c r="C10" s="170">
        <v>570365</v>
      </c>
      <c r="D10" s="170">
        <v>569432</v>
      </c>
      <c r="E10" s="171">
        <v>419908</v>
      </c>
      <c r="F10" s="170">
        <v>521546</v>
      </c>
      <c r="G10" s="170">
        <v>514859</v>
      </c>
      <c r="H10" s="172">
        <v>434458</v>
      </c>
      <c r="I10" s="106">
        <v>567963</v>
      </c>
      <c r="J10" s="106">
        <v>526061</v>
      </c>
      <c r="K10" s="175">
        <v>271331</v>
      </c>
      <c r="L10" s="170">
        <v>530140</v>
      </c>
      <c r="M10" s="687">
        <v>555683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163">
        <f>A6+5</f>
        <v>6</v>
      </c>
      <c r="B11" s="185">
        <v>580021</v>
      </c>
      <c r="C11" s="170">
        <v>555702</v>
      </c>
      <c r="D11" s="170">
        <v>553420</v>
      </c>
      <c r="E11" s="171">
        <v>276646</v>
      </c>
      <c r="F11" s="170">
        <v>524896</v>
      </c>
      <c r="G11" s="170">
        <v>547785</v>
      </c>
      <c r="H11" s="171">
        <v>275295</v>
      </c>
      <c r="I11" s="170">
        <v>583239</v>
      </c>
      <c r="J11" s="172">
        <v>393432</v>
      </c>
      <c r="K11" s="176">
        <v>296187</v>
      </c>
      <c r="L11" s="170">
        <v>521996</v>
      </c>
      <c r="M11" s="188">
        <v>422192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163">
        <f>A6+6</f>
        <v>7</v>
      </c>
      <c r="B12" s="185">
        <v>570347</v>
      </c>
      <c r="C12" s="170">
        <v>580123</v>
      </c>
      <c r="D12" s="170">
        <v>575076</v>
      </c>
      <c r="E12" s="170">
        <v>512659</v>
      </c>
      <c r="F12" s="170">
        <v>520579</v>
      </c>
      <c r="G12" s="171">
        <v>402674</v>
      </c>
      <c r="H12" s="106">
        <v>567958</v>
      </c>
      <c r="I12" s="170">
        <v>571954</v>
      </c>
      <c r="J12" s="172">
        <v>246171</v>
      </c>
      <c r="K12" s="174">
        <v>535896</v>
      </c>
      <c r="L12" s="106">
        <v>534534</v>
      </c>
      <c r="M12" s="188">
        <v>273669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163">
        <f>A6+7</f>
        <v>8</v>
      </c>
      <c r="B13" s="185">
        <v>580404</v>
      </c>
      <c r="C13" s="171">
        <v>444079</v>
      </c>
      <c r="D13" s="171">
        <v>436770</v>
      </c>
      <c r="E13" s="170">
        <v>531302</v>
      </c>
      <c r="F13" s="170">
        <v>517068</v>
      </c>
      <c r="G13" s="171">
        <v>263011</v>
      </c>
      <c r="H13" s="106">
        <v>565708</v>
      </c>
      <c r="I13" s="684">
        <v>597103</v>
      </c>
      <c r="J13" s="106">
        <v>509983</v>
      </c>
      <c r="K13" s="170">
        <v>527628</v>
      </c>
      <c r="L13" s="172">
        <v>407367</v>
      </c>
      <c r="M13" s="203">
        <v>268698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163">
        <f>A6+8</f>
        <v>9</v>
      </c>
      <c r="B14" s="185">
        <v>575683</v>
      </c>
      <c r="C14" s="171">
        <v>283849</v>
      </c>
      <c r="D14" s="171">
        <v>279868</v>
      </c>
      <c r="E14" s="169">
        <v>311904</v>
      </c>
      <c r="F14" s="170">
        <v>529574</v>
      </c>
      <c r="G14" s="170">
        <v>516834</v>
      </c>
      <c r="H14" s="170">
        <v>562873</v>
      </c>
      <c r="I14" s="172">
        <v>445759</v>
      </c>
      <c r="J14" s="106">
        <v>500354</v>
      </c>
      <c r="K14" s="170">
        <v>523126</v>
      </c>
      <c r="L14" s="172">
        <v>257952</v>
      </c>
      <c r="M14" s="107">
        <v>378660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163">
        <f>A6+9</f>
        <v>10</v>
      </c>
      <c r="B15" s="681">
        <v>605421</v>
      </c>
      <c r="C15" s="170">
        <v>574843</v>
      </c>
      <c r="D15" s="170">
        <v>539347</v>
      </c>
      <c r="E15" s="170">
        <v>477377</v>
      </c>
      <c r="F15" s="171">
        <v>418219</v>
      </c>
      <c r="G15" s="170">
        <v>538473</v>
      </c>
      <c r="H15" s="170">
        <v>565026</v>
      </c>
      <c r="I15" s="172">
        <v>277744</v>
      </c>
      <c r="J15" s="170">
        <v>511073</v>
      </c>
      <c r="K15" s="174">
        <v>531191</v>
      </c>
      <c r="L15" s="106">
        <v>507502</v>
      </c>
      <c r="M15" s="186">
        <v>469101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163">
        <f>A6+10</f>
        <v>11</v>
      </c>
      <c r="B16" s="187">
        <v>443124</v>
      </c>
      <c r="C16" s="170">
        <v>567856</v>
      </c>
      <c r="D16" s="170">
        <v>554367</v>
      </c>
      <c r="E16" s="170">
        <v>494090</v>
      </c>
      <c r="F16" s="171">
        <v>270794</v>
      </c>
      <c r="G16" s="170">
        <v>561998</v>
      </c>
      <c r="H16" s="106">
        <v>594709</v>
      </c>
      <c r="I16" s="106">
        <v>554101</v>
      </c>
      <c r="J16" s="170">
        <v>502547</v>
      </c>
      <c r="K16" s="175">
        <v>402279</v>
      </c>
      <c r="L16" s="106">
        <v>520972</v>
      </c>
      <c r="M16" s="186">
        <v>500881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163">
        <f>A6+11</f>
        <v>12</v>
      </c>
      <c r="B17" s="187">
        <v>282063</v>
      </c>
      <c r="C17" s="170">
        <v>578611</v>
      </c>
      <c r="D17" s="170">
        <v>548047</v>
      </c>
      <c r="E17" s="171">
        <v>401917</v>
      </c>
      <c r="F17" s="170">
        <v>519851</v>
      </c>
      <c r="G17" s="169">
        <v>231039</v>
      </c>
      <c r="H17" s="172">
        <v>436703</v>
      </c>
      <c r="I17" s="106">
        <v>567912</v>
      </c>
      <c r="J17" s="684">
        <v>540801</v>
      </c>
      <c r="K17" s="175">
        <v>248799</v>
      </c>
      <c r="L17" s="170">
        <v>523992</v>
      </c>
      <c r="M17" s="107">
        <v>522758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163">
        <f>A6+12</f>
        <v>13</v>
      </c>
      <c r="B18" s="185">
        <v>560213</v>
      </c>
      <c r="C18" s="170">
        <v>550709</v>
      </c>
      <c r="D18" s="170">
        <v>544331</v>
      </c>
      <c r="E18" s="171">
        <v>249828</v>
      </c>
      <c r="F18" s="170">
        <v>523413</v>
      </c>
      <c r="G18" s="170">
        <v>539099</v>
      </c>
      <c r="H18" s="172">
        <v>274534</v>
      </c>
      <c r="I18" s="170">
        <v>518063</v>
      </c>
      <c r="J18" s="172">
        <v>408000</v>
      </c>
      <c r="K18" s="174">
        <v>511230</v>
      </c>
      <c r="L18" s="170">
        <v>507775</v>
      </c>
      <c r="M18" s="188">
        <v>429003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163">
        <f>A6+13</f>
        <v>14</v>
      </c>
      <c r="B19" s="185">
        <v>536672</v>
      </c>
      <c r="C19" s="680">
        <v>614807</v>
      </c>
      <c r="D19" s="680">
        <v>581904</v>
      </c>
      <c r="E19" s="170">
        <v>516615</v>
      </c>
      <c r="F19" s="170">
        <v>522874</v>
      </c>
      <c r="G19" s="171">
        <v>412165</v>
      </c>
      <c r="H19" s="106">
        <v>563427</v>
      </c>
      <c r="I19" s="170">
        <v>500473</v>
      </c>
      <c r="J19" s="172">
        <v>233083</v>
      </c>
      <c r="K19" s="174">
        <v>519789</v>
      </c>
      <c r="L19" s="106">
        <v>531749</v>
      </c>
      <c r="M19" s="188">
        <v>314406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163">
        <f>A6+14</f>
        <v>15</v>
      </c>
      <c r="B20" s="185">
        <v>552580</v>
      </c>
      <c r="C20" s="171">
        <v>475357</v>
      </c>
      <c r="D20" s="171">
        <v>450167</v>
      </c>
      <c r="E20" s="170">
        <v>465535</v>
      </c>
      <c r="F20" s="170">
        <v>521287</v>
      </c>
      <c r="G20" s="171">
        <v>274431</v>
      </c>
      <c r="H20" s="106">
        <v>543173</v>
      </c>
      <c r="I20" s="106">
        <v>522933</v>
      </c>
      <c r="J20" s="106">
        <v>456634</v>
      </c>
      <c r="K20" s="170">
        <v>528394</v>
      </c>
      <c r="L20" s="172">
        <v>424099</v>
      </c>
      <c r="M20" s="107">
        <v>499549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163">
        <f>A6+15</f>
        <v>16</v>
      </c>
      <c r="B21" s="185">
        <v>567031</v>
      </c>
      <c r="C21" s="171">
        <v>302515</v>
      </c>
      <c r="D21" s="171">
        <v>292348</v>
      </c>
      <c r="E21" s="170">
        <v>536040</v>
      </c>
      <c r="F21" s="170">
        <v>542231</v>
      </c>
      <c r="G21" s="170">
        <v>550382</v>
      </c>
      <c r="H21" s="213">
        <v>14195</v>
      </c>
      <c r="I21" s="172">
        <v>410977</v>
      </c>
      <c r="J21" s="106">
        <v>531591</v>
      </c>
      <c r="K21" s="170">
        <v>520553</v>
      </c>
      <c r="L21" s="172">
        <v>286582</v>
      </c>
      <c r="M21" s="107">
        <v>514454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163">
        <f>A6+16</f>
        <v>17</v>
      </c>
      <c r="B22" s="185">
        <v>589825</v>
      </c>
      <c r="C22" s="170">
        <v>582985</v>
      </c>
      <c r="D22" s="170">
        <v>561966</v>
      </c>
      <c r="E22" s="177"/>
      <c r="F22" s="171">
        <v>412569</v>
      </c>
      <c r="G22" s="170">
        <v>554970</v>
      </c>
      <c r="H22" s="170">
        <v>518821</v>
      </c>
      <c r="I22" s="172">
        <v>249950</v>
      </c>
      <c r="J22" s="170">
        <v>525064</v>
      </c>
      <c r="K22" s="106">
        <v>553069</v>
      </c>
      <c r="L22" s="106">
        <v>511894</v>
      </c>
      <c r="M22" s="186">
        <v>511593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163">
        <f>A6+17</f>
        <v>18</v>
      </c>
      <c r="B23" s="187">
        <v>443451</v>
      </c>
      <c r="C23" s="170">
        <v>578689</v>
      </c>
      <c r="D23" s="170">
        <v>552977</v>
      </c>
      <c r="E23" s="177"/>
      <c r="F23" s="171">
        <v>269939</v>
      </c>
      <c r="G23" s="170">
        <v>557731</v>
      </c>
      <c r="H23" s="106">
        <v>596559</v>
      </c>
      <c r="I23" s="106">
        <v>536822</v>
      </c>
      <c r="J23" s="170">
        <v>510114</v>
      </c>
      <c r="K23" s="172">
        <v>405002</v>
      </c>
      <c r="L23" s="106">
        <v>515738</v>
      </c>
      <c r="M23" s="186">
        <v>470989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163">
        <f>A6+18</f>
        <v>19</v>
      </c>
      <c r="B24" s="187">
        <v>281354</v>
      </c>
      <c r="C24" s="170">
        <v>593204</v>
      </c>
      <c r="D24" s="170">
        <v>550719</v>
      </c>
      <c r="E24" s="177"/>
      <c r="F24" s="170">
        <v>530417</v>
      </c>
      <c r="G24" s="170">
        <v>544042</v>
      </c>
      <c r="H24" s="172">
        <v>425854</v>
      </c>
      <c r="I24" s="106">
        <v>492351</v>
      </c>
      <c r="J24" s="176">
        <v>264706</v>
      </c>
      <c r="K24" s="172">
        <v>259980</v>
      </c>
      <c r="L24" s="170">
        <v>510857</v>
      </c>
      <c r="M24" s="107">
        <v>514948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163">
        <f>A6+19</f>
        <v>20</v>
      </c>
      <c r="B25" s="185">
        <v>557065</v>
      </c>
      <c r="C25" s="170">
        <v>576872</v>
      </c>
      <c r="D25" s="170">
        <v>544856</v>
      </c>
      <c r="E25" s="177"/>
      <c r="F25" s="170">
        <v>532523</v>
      </c>
      <c r="G25" s="680">
        <v>567851</v>
      </c>
      <c r="H25" s="172">
        <v>285533</v>
      </c>
      <c r="I25" s="170">
        <v>540513</v>
      </c>
      <c r="J25" s="175">
        <v>354196</v>
      </c>
      <c r="K25" s="106">
        <v>519817</v>
      </c>
      <c r="L25" s="170">
        <v>503129</v>
      </c>
      <c r="M25" s="188">
        <v>409348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163">
        <f>A6+20</f>
        <v>21</v>
      </c>
      <c r="B26" s="185">
        <v>545223</v>
      </c>
      <c r="C26" s="170">
        <v>596057</v>
      </c>
      <c r="D26" s="170">
        <v>581763</v>
      </c>
      <c r="E26" s="170">
        <v>504168</v>
      </c>
      <c r="F26" s="170">
        <v>530710</v>
      </c>
      <c r="G26" s="171">
        <v>439313</v>
      </c>
      <c r="H26" s="106">
        <v>539614</v>
      </c>
      <c r="I26" s="169">
        <v>341351</v>
      </c>
      <c r="J26" s="175">
        <v>249584</v>
      </c>
      <c r="K26" s="106">
        <v>517666</v>
      </c>
      <c r="L26" s="106">
        <v>533619</v>
      </c>
      <c r="M26" s="188">
        <v>295460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163">
        <f>A6+21</f>
        <v>22</v>
      </c>
      <c r="B27" s="185">
        <v>576105</v>
      </c>
      <c r="C27" s="171">
        <v>453070</v>
      </c>
      <c r="D27" s="171">
        <v>289965</v>
      </c>
      <c r="E27" s="170">
        <v>514833</v>
      </c>
      <c r="F27" s="170">
        <v>532627</v>
      </c>
      <c r="G27" s="171">
        <v>272567</v>
      </c>
      <c r="H27" s="106">
        <v>533076</v>
      </c>
      <c r="I27" s="106">
        <v>520123</v>
      </c>
      <c r="J27" s="174">
        <v>512576</v>
      </c>
      <c r="K27" s="170">
        <v>488552</v>
      </c>
      <c r="L27" s="172">
        <v>422948</v>
      </c>
      <c r="M27" s="107">
        <v>484845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163">
        <f>A6+22</f>
        <v>23</v>
      </c>
      <c r="B28" s="185">
        <v>559819</v>
      </c>
      <c r="C28" s="171">
        <v>287617</v>
      </c>
      <c r="D28" s="171">
        <v>272986</v>
      </c>
      <c r="E28" s="170">
        <v>505795</v>
      </c>
      <c r="F28" s="170">
        <v>541587</v>
      </c>
      <c r="G28" s="170">
        <v>545292</v>
      </c>
      <c r="H28" s="170">
        <v>557158</v>
      </c>
      <c r="I28" s="172">
        <v>153212</v>
      </c>
      <c r="J28" s="174">
        <v>532729</v>
      </c>
      <c r="K28" s="170">
        <v>509286</v>
      </c>
      <c r="L28" s="172">
        <v>267846</v>
      </c>
      <c r="M28" s="107">
        <v>478148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163">
        <f>A6+23</f>
        <v>24</v>
      </c>
      <c r="B29" s="185">
        <v>587835</v>
      </c>
      <c r="C29" s="170">
        <v>562235</v>
      </c>
      <c r="D29" s="170">
        <v>462900</v>
      </c>
      <c r="E29" s="170">
        <v>529190</v>
      </c>
      <c r="F29" s="171">
        <v>402319</v>
      </c>
      <c r="G29" s="170">
        <v>550572</v>
      </c>
      <c r="H29" s="170">
        <v>506654</v>
      </c>
      <c r="I29" s="172">
        <v>231020</v>
      </c>
      <c r="J29" s="170">
        <v>521255</v>
      </c>
      <c r="K29" s="106">
        <v>526115</v>
      </c>
      <c r="L29" s="106">
        <v>484557</v>
      </c>
      <c r="M29" s="189">
        <v>236950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163">
        <f>A6+24</f>
        <v>25</v>
      </c>
      <c r="B30" s="187">
        <v>430405</v>
      </c>
      <c r="C30" s="170">
        <v>552171</v>
      </c>
      <c r="D30" s="170">
        <v>502893</v>
      </c>
      <c r="E30" s="680">
        <v>543138</v>
      </c>
      <c r="F30" s="171">
        <v>269118</v>
      </c>
      <c r="G30" s="170">
        <v>562729</v>
      </c>
      <c r="H30" s="684">
        <v>596700</v>
      </c>
      <c r="I30" s="173">
        <v>264847</v>
      </c>
      <c r="J30" s="170">
        <v>497995</v>
      </c>
      <c r="K30" s="172">
        <v>400038</v>
      </c>
      <c r="L30" s="106">
        <v>507385</v>
      </c>
      <c r="M30" s="189">
        <v>215949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163">
        <f>A6+25</f>
        <v>26</v>
      </c>
      <c r="B31" s="187">
        <v>271893</v>
      </c>
      <c r="C31" s="170">
        <v>572685</v>
      </c>
      <c r="D31" s="170">
        <v>454024</v>
      </c>
      <c r="E31" s="171">
        <v>401708</v>
      </c>
      <c r="F31" s="170">
        <v>518655</v>
      </c>
      <c r="G31" s="170">
        <v>564368</v>
      </c>
      <c r="H31" s="172">
        <v>423360</v>
      </c>
      <c r="I31" s="106">
        <v>500262</v>
      </c>
      <c r="J31" s="174">
        <v>535882</v>
      </c>
      <c r="K31" s="172">
        <v>264907</v>
      </c>
      <c r="L31" s="170">
        <v>514078</v>
      </c>
      <c r="M31" s="189">
        <v>275005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163">
        <f>A6+26</f>
        <v>27</v>
      </c>
      <c r="B32" s="185">
        <v>549886</v>
      </c>
      <c r="C32" s="170">
        <v>555690</v>
      </c>
      <c r="D32" s="170">
        <v>365953</v>
      </c>
      <c r="E32" s="171">
        <v>255760</v>
      </c>
      <c r="F32" s="170">
        <v>537351</v>
      </c>
      <c r="G32" s="170">
        <v>567498</v>
      </c>
      <c r="H32" s="172">
        <v>266682</v>
      </c>
      <c r="I32" s="170">
        <v>472672</v>
      </c>
      <c r="J32" s="175">
        <v>410615</v>
      </c>
      <c r="K32" s="106">
        <v>517026</v>
      </c>
      <c r="L32" s="170">
        <v>507451</v>
      </c>
      <c r="M32" s="188">
        <v>298392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163">
        <f>A6+27</f>
        <v>28</v>
      </c>
      <c r="B33" s="185">
        <v>560922</v>
      </c>
      <c r="C33" s="170">
        <v>595990</v>
      </c>
      <c r="D33" s="170">
        <v>470144</v>
      </c>
      <c r="E33" s="170">
        <v>516692</v>
      </c>
      <c r="F33" s="170">
        <v>546233</v>
      </c>
      <c r="G33" s="171">
        <v>424257</v>
      </c>
      <c r="H33" s="106">
        <v>538364</v>
      </c>
      <c r="I33" s="170">
        <v>502565</v>
      </c>
      <c r="J33" s="175">
        <v>254721</v>
      </c>
      <c r="K33" s="106">
        <v>517464</v>
      </c>
      <c r="L33" s="684">
        <v>548350</v>
      </c>
      <c r="M33" s="188">
        <v>248031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163">
        <f>A6+28</f>
        <v>29</v>
      </c>
      <c r="B34" s="185">
        <v>558639</v>
      </c>
      <c r="C34" s="177"/>
      <c r="D34" s="171">
        <v>397064</v>
      </c>
      <c r="E34" s="170">
        <v>508585</v>
      </c>
      <c r="F34" s="170">
        <v>530680</v>
      </c>
      <c r="G34" s="171">
        <v>272563</v>
      </c>
      <c r="H34" s="173">
        <v>334207</v>
      </c>
      <c r="I34" s="170">
        <v>523201</v>
      </c>
      <c r="J34" s="174">
        <v>515223</v>
      </c>
      <c r="K34" s="170">
        <v>508782</v>
      </c>
      <c r="L34" s="172">
        <v>436449</v>
      </c>
      <c r="M34" s="107">
        <v>372879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163">
        <f>A6+29</f>
        <v>30</v>
      </c>
      <c r="B35" s="185">
        <v>579278</v>
      </c>
      <c r="C35" s="177"/>
      <c r="D35" s="171">
        <v>264553</v>
      </c>
      <c r="E35" s="170">
        <v>529533</v>
      </c>
      <c r="F35" s="680">
        <v>556813</v>
      </c>
      <c r="G35" s="170">
        <v>560306</v>
      </c>
      <c r="H35" s="170">
        <v>580709</v>
      </c>
      <c r="I35" s="172">
        <v>406977</v>
      </c>
      <c r="J35" s="174">
        <v>530653</v>
      </c>
      <c r="K35" s="170">
        <v>512536</v>
      </c>
      <c r="L35" s="171">
        <v>298108</v>
      </c>
      <c r="M35" s="189">
        <v>220020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164">
        <f>A6+30</f>
        <v>31</v>
      </c>
      <c r="B36" s="214">
        <v>402975</v>
      </c>
      <c r="C36" s="191"/>
      <c r="D36" s="192">
        <v>485027</v>
      </c>
      <c r="E36" s="143"/>
      <c r="F36" s="199">
        <v>426295</v>
      </c>
      <c r="G36" s="191"/>
      <c r="H36" s="192">
        <v>576355</v>
      </c>
      <c r="I36" s="193">
        <v>262268</v>
      </c>
      <c r="J36" s="191"/>
      <c r="K36" s="194">
        <v>510609</v>
      </c>
      <c r="L36" s="191"/>
      <c r="M36" s="195">
        <v>186724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44">
        <f>AVERAGE(B6:B36)/12</f>
        <v>40815.502688172048</v>
      </c>
      <c r="C37" s="130">
        <f>AVERAGE(C6:C36)</f>
        <v>515660.28571428574</v>
      </c>
      <c r="D37" s="130">
        <f>AVERAGE(D6:D36)</f>
        <v>468937.16129032261</v>
      </c>
      <c r="E37" s="130">
        <f>AVERAGE(E6:E36)</f>
        <v>463600.96153846156</v>
      </c>
      <c r="F37" s="145">
        <f>AVERAGE(F6:F36)</f>
        <v>469263.67741935485</v>
      </c>
      <c r="G37" s="109">
        <f>AVERAGE(G6:G35)</f>
        <v>471630.33333333331</v>
      </c>
      <c r="H37" s="109">
        <f>AVERAGE(H6:H36)</f>
        <v>481565.93548387097</v>
      </c>
      <c r="I37" s="109">
        <f>AVERAGE(I6:I36)</f>
        <v>451175.06451612903</v>
      </c>
      <c r="J37" s="109">
        <f>AVERAGE(J6:J35)</f>
        <v>452056.66666666669</v>
      </c>
      <c r="K37" s="109">
        <f>AVERAGE(K6:K36)</f>
        <v>465284.74193548388</v>
      </c>
      <c r="L37" s="109">
        <f>AVERAGE(L6:L35)</f>
        <v>451579.33333333331</v>
      </c>
      <c r="M37" s="110">
        <f>AVERAGE(M6:M36)</f>
        <v>401994.90322580643</v>
      </c>
      <c r="N37" s="252">
        <f>SUM(B37:M37)/12</f>
        <v>427797.04726210167</v>
      </c>
    </row>
    <row r="38" spans="1:22">
      <c r="A38" s="48" t="s">
        <v>20</v>
      </c>
      <c r="B38" s="129">
        <f>AVERAGE(B7:B8,B11:B15,B18:B22,B25:B29,B32:B35)</f>
        <v>560416</v>
      </c>
      <c r="C38" s="50">
        <f>AVERAGE(C8:C12,C15:C19,C22:C26,C29:C33)</f>
        <v>574880.9</v>
      </c>
      <c r="D38" s="50">
        <f>AVERAGE(D8:D12,D15:D19,D22:D26,D29:D33,D36)</f>
        <v>529066.23809523811</v>
      </c>
      <c r="E38" s="50">
        <f>AVERAGE(E6:E9,E12:E13,E15:E16,E19:E21,E26:E30,E33:E35)</f>
        <v>512418.63157894736</v>
      </c>
      <c r="F38" s="50">
        <f>AVERAGE(F7,F10:F14,F17:F21,F24:F28,F31:F35)</f>
        <v>529918.80952380947</v>
      </c>
      <c r="G38" s="50">
        <f>AVERAGE(G7:G11,G14:G16,G18,G21:G25,G28:G32,G35)</f>
        <v>543664</v>
      </c>
      <c r="H38" s="50">
        <f>AVERAGE(H6:H9,H12:H16,H19:H20,H22:H23,H26:H30,H33,H35:H36)</f>
        <v>559891.57142857148</v>
      </c>
      <c r="I38" s="50">
        <f>AVERAGE(I6,I9:I13,I16:I20,I23:I25,I27,I31:I34)</f>
        <v>538597.15789473685</v>
      </c>
      <c r="J38" s="50">
        <f>AVERAGE(J6:J10,J13:J17,J20:J23,J34:J35)</f>
        <v>509172.1875</v>
      </c>
      <c r="K38" s="50">
        <f>AVERAGE(K6:K8,K12:K15,K18:K22,K32:K36)</f>
        <v>524158.4117647059</v>
      </c>
      <c r="L38" s="50">
        <f>AVERAGE(L8:L12,L15:L19,L22:L26,L29:L33)</f>
        <v>515775.3</v>
      </c>
      <c r="M38" s="146">
        <f>AVERAGE(M6:M10,M14:M17,M20:M24,M27:M28,M34)</f>
        <v>492235</v>
      </c>
      <c r="N38" s="252">
        <f t="shared" ref="N38:N44" si="0">SUM(B38:M38)/12</f>
        <v>532516.18398216728</v>
      </c>
    </row>
    <row r="39" spans="1:22">
      <c r="A39" s="52" t="s">
        <v>21</v>
      </c>
      <c r="B39" s="129">
        <f>IFERROR(AVERAGE(B9,B16,B23,B30),0)</f>
        <v>426435.25</v>
      </c>
      <c r="C39" s="53">
        <f>AVERAGE(D6,D13,D20,D27,D34)</f>
        <v>404748.79999999999</v>
      </c>
      <c r="D39" s="53">
        <f>AVERAGE(D6,D13,D20,D27)</f>
        <v>406670</v>
      </c>
      <c r="E39" s="53">
        <f>AVERAGE(E10,E17,E31)</f>
        <v>407844.33333333331</v>
      </c>
      <c r="F39" s="53">
        <f>AVERAGE(F8,F15,F22,F29,F36)</f>
        <v>407803.2</v>
      </c>
      <c r="G39" s="53">
        <f>AVERAGE(G12,G19,G26,G33)</f>
        <v>419602.25</v>
      </c>
      <c r="H39" s="53">
        <f>AVERAGE(H10,H17,H24,H31)</f>
        <v>430093.75</v>
      </c>
      <c r="I39" s="53">
        <f>AVERAGE(J11,J18,J25,J32)</f>
        <v>391560.75</v>
      </c>
      <c r="J39" s="53">
        <f>AVERAGE(J7,J14,J21,J28,J32)</f>
        <v>497171.20000000001</v>
      </c>
      <c r="K39" s="53">
        <f>AVERAGE(K9,K16,K23,K30)</f>
        <v>402623.5</v>
      </c>
      <c r="L39" s="53">
        <f>AVERAGE(L13,L20,L27,L34)</f>
        <v>422715.75</v>
      </c>
      <c r="M39" s="147">
        <f>AVERAGE(M11,M18,M25,M32)</f>
        <v>389733.75</v>
      </c>
      <c r="N39" s="252">
        <f t="shared" si="0"/>
        <v>417250.2111111111</v>
      </c>
    </row>
    <row r="40" spans="1:22">
      <c r="A40" s="52" t="s">
        <v>22</v>
      </c>
      <c r="B40" s="129">
        <f>IFERROR(AVERAGE(B6,B10,B17,B24,B31,B36),0)</f>
        <v>284815</v>
      </c>
      <c r="C40" s="53">
        <f>AVERAGE(C7,C14,C21,C28)</f>
        <v>287313.75</v>
      </c>
      <c r="D40" s="53">
        <f>AVERAGE(D7,D14,D21,D28,D35)</f>
        <v>280583.40000000002</v>
      </c>
      <c r="E40" s="53">
        <f>AVERAGE(E11,E14,E18,E32)</f>
        <v>273534.5</v>
      </c>
      <c r="F40" s="53">
        <f>AVERAGE(F6,F9,F16,F23,F30)</f>
        <v>275972.59999999998</v>
      </c>
      <c r="G40" s="53">
        <f>AVERAGE(G6,G13,G17,G20,G27,G34)</f>
        <v>266203.5</v>
      </c>
      <c r="H40" s="53">
        <f>AVERAGE(H11,H18,H25,H32,H34)</f>
        <v>287250.2</v>
      </c>
      <c r="I40" s="53">
        <f>AVERAGE(I8,I15,I22,I26,I29,I30,I36)</f>
        <v>272272.42857142858</v>
      </c>
      <c r="J40" s="53">
        <f>AVERAGE(J12,J19,J24,J26,J33)</f>
        <v>249653</v>
      </c>
      <c r="K40" s="53">
        <f>AVERAGE(K10:K11,K17,K24,K31)</f>
        <v>268240.8</v>
      </c>
      <c r="L40" s="53">
        <f>AVERAGE(L6:L7,L14,L21,L28,L35)</f>
        <v>256835.16666666666</v>
      </c>
      <c r="M40" s="147">
        <f>AVERAGE(M12:M13,M26,M29:M31,M33,M35:M36)</f>
        <v>246722.88888888888</v>
      </c>
      <c r="N40" s="252">
        <f t="shared" si="0"/>
        <v>270783.10284391529</v>
      </c>
    </row>
    <row r="41" spans="1:22">
      <c r="A41" s="52" t="s">
        <v>23</v>
      </c>
      <c r="B41" s="129">
        <f>AVERAGE(B6,B9:B10,B16:B17,B23:B24,B30:B31,B36)</f>
        <v>341463.1</v>
      </c>
      <c r="C41" s="53">
        <f>AVERAGE(D6:D7,D13:D14,D20:D21,D27:D28,D34:D35)</f>
        <v>342666.1</v>
      </c>
      <c r="D41" s="53">
        <f>AVERAGE(D6:D7,D13:D14,D20:D21,D27:D28)</f>
        <v>345630.5</v>
      </c>
      <c r="E41" s="53">
        <f>AVERAGE(E10:E11,E14,E17:E18,E31:E32)</f>
        <v>331095.85714285716</v>
      </c>
      <c r="F41" s="53">
        <f>AVERAGE(F6,F8:F9,F15:F16,F22:F23,F29:F30,F36)</f>
        <v>341887.9</v>
      </c>
      <c r="G41" s="53">
        <f>AVERAGE(G6,G12:G13,G17,G19:G20,G26:G27,G33:G34)</f>
        <v>327563</v>
      </c>
      <c r="H41" s="53">
        <f>AVERAGE(H10:H11,H17:H18,H24:H25,H31:H32,H34)</f>
        <v>350736.22222222225</v>
      </c>
      <c r="I41" s="53">
        <f>AVERAGE(I7:I8,I14:I15,I21:I22,I26,I35:I36)</f>
        <v>344889.11111111112</v>
      </c>
      <c r="J41" s="53">
        <f>AVERAGE(J11:J12,J18:J19,J24:J26,J32:J33)</f>
        <v>312723.11111111112</v>
      </c>
      <c r="K41" s="53">
        <f>AVERAGE(K9:K11,K16:K17,K23:K24,K30:K31)</f>
        <v>327966.44444444444</v>
      </c>
      <c r="L41" s="53">
        <f>AVERAGE(L6:L7,L13:L14,L20:L21,L27:L28,L34:L35)</f>
        <v>323187.40000000002</v>
      </c>
      <c r="M41" s="147">
        <f>AVERAGE(M11:M13,M18:M19,M25:M26,M35:M36)</f>
        <v>313280</v>
      </c>
      <c r="N41" s="252">
        <f t="shared" si="0"/>
        <v>333590.72883597878</v>
      </c>
    </row>
    <row r="42" spans="1:22">
      <c r="A42" s="52" t="s">
        <v>24</v>
      </c>
      <c r="B42" s="129">
        <f>MAX(B6:B36)</f>
        <v>605421</v>
      </c>
      <c r="C42" s="53">
        <f t="shared" ref="C42:M42" si="1">MAX(C6:C36)</f>
        <v>614807</v>
      </c>
      <c r="D42" s="53">
        <f t="shared" si="1"/>
        <v>581904</v>
      </c>
      <c r="E42" s="53">
        <f t="shared" si="1"/>
        <v>543138</v>
      </c>
      <c r="F42" s="53">
        <f t="shared" si="1"/>
        <v>556813</v>
      </c>
      <c r="G42" s="53">
        <f t="shared" si="1"/>
        <v>567851</v>
      </c>
      <c r="H42" s="53">
        <f t="shared" si="1"/>
        <v>596700</v>
      </c>
      <c r="I42" s="53">
        <f t="shared" si="1"/>
        <v>597103</v>
      </c>
      <c r="J42" s="53">
        <f t="shared" si="1"/>
        <v>540801</v>
      </c>
      <c r="K42" s="53">
        <f t="shared" si="1"/>
        <v>554740</v>
      </c>
      <c r="L42" s="53">
        <f t="shared" si="1"/>
        <v>548350</v>
      </c>
      <c r="M42" s="147">
        <f t="shared" si="1"/>
        <v>555683</v>
      </c>
      <c r="N42" s="252">
        <f t="shared" si="0"/>
        <v>571942.58333333337</v>
      </c>
    </row>
    <row r="43" spans="1:22">
      <c r="A43" s="52" t="s">
        <v>47</v>
      </c>
      <c r="B43" s="129">
        <f>MIN(B6:B36)</f>
        <v>195089</v>
      </c>
      <c r="C43" s="53">
        <f t="shared" ref="C43:M43" si="2">MIN(C6:C36)</f>
        <v>275274</v>
      </c>
      <c r="D43" s="53">
        <f t="shared" si="2"/>
        <v>264553</v>
      </c>
      <c r="E43" s="53">
        <f t="shared" si="2"/>
        <v>249828</v>
      </c>
      <c r="F43" s="53">
        <f t="shared" si="2"/>
        <v>256569</v>
      </c>
      <c r="G43" s="53">
        <f t="shared" si="2"/>
        <v>231039</v>
      </c>
      <c r="H43" s="53">
        <f t="shared" si="2"/>
        <v>14195</v>
      </c>
      <c r="I43" s="53">
        <f t="shared" si="2"/>
        <v>153212</v>
      </c>
      <c r="J43" s="53">
        <f t="shared" si="2"/>
        <v>233083</v>
      </c>
      <c r="K43" s="53">
        <f t="shared" si="2"/>
        <v>248799</v>
      </c>
      <c r="L43" s="53">
        <f t="shared" si="2"/>
        <v>204813</v>
      </c>
      <c r="M43" s="147">
        <f t="shared" si="2"/>
        <v>186724</v>
      </c>
      <c r="N43" s="252">
        <f t="shared" si="0"/>
        <v>209431.5</v>
      </c>
    </row>
    <row r="44" spans="1:22" ht="12.75" thickBot="1">
      <c r="A44" s="55" t="s">
        <v>25</v>
      </c>
      <c r="B44" s="111">
        <f t="shared" ref="B44:L44" si="3">SUM(B6:B36)</f>
        <v>15183367</v>
      </c>
      <c r="C44" s="316">
        <f t="shared" si="3"/>
        <v>14438488</v>
      </c>
      <c r="D44" s="316">
        <f t="shared" si="3"/>
        <v>14537052</v>
      </c>
      <c r="E44" s="316">
        <f t="shared" si="3"/>
        <v>12053625</v>
      </c>
      <c r="F44" s="316">
        <f t="shared" si="3"/>
        <v>14547174</v>
      </c>
      <c r="G44" s="316">
        <f t="shared" si="3"/>
        <v>14148910</v>
      </c>
      <c r="H44" s="316">
        <f t="shared" si="3"/>
        <v>14928544</v>
      </c>
      <c r="I44" s="316">
        <f t="shared" si="3"/>
        <v>13986427</v>
      </c>
      <c r="J44" s="316">
        <f t="shared" si="3"/>
        <v>13561700</v>
      </c>
      <c r="K44" s="316">
        <f t="shared" si="3"/>
        <v>14423827</v>
      </c>
      <c r="L44" s="57">
        <f t="shared" si="3"/>
        <v>13547380</v>
      </c>
      <c r="M44" s="58">
        <f>SUM(M6:M36)</f>
        <v>12461842</v>
      </c>
      <c r="N44" s="252">
        <f>SUM(B44:M44)/12</f>
        <v>13984861.333333334</v>
      </c>
      <c r="P44" s="59"/>
    </row>
    <row r="45" spans="1:22" s="60" customFormat="1" ht="11.25"/>
    <row r="46" spans="1:22">
      <c r="A46" s="61"/>
    </row>
    <row r="47" spans="1:22" ht="15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O47" s="64"/>
    </row>
    <row r="48" spans="1:22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</row>
    <row r="49" spans="1:13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1:13">
      <c r="A50" s="65"/>
      <c r="H50" s="66"/>
      <c r="I50" s="66"/>
      <c r="J50" s="66"/>
      <c r="K50" s="66"/>
      <c r="L50" s="66"/>
      <c r="M50" s="66"/>
    </row>
    <row r="52" spans="1:13">
      <c r="A52" s="67"/>
      <c r="B52" s="68"/>
    </row>
  </sheetData>
  <mergeCells count="2">
    <mergeCell ref="E1:I1"/>
    <mergeCell ref="E2:I3"/>
  </mergeCells>
  <conditionalFormatting sqref="B6:M36">
    <cfRule type="top10" dxfId="31" priority="1" rank="1"/>
  </conditionalFormatting>
  <printOptions horizontalCentered="1" verticalCentered="1"/>
  <pageMargins left="0.25" right="0" top="0.25" bottom="0.25" header="0.31" footer="0.31"/>
  <pageSetup paperSize="5" scale="94" orientation="landscape" r:id="rId1"/>
  <rowBreaks count="1" manualBreakCount="1">
    <brk id="45" max="16383" man="1"/>
  </rowBreaks>
  <ignoredErrors>
    <ignoredError sqref="G37:L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V52"/>
  <sheetViews>
    <sheetView view="pageBreakPreview" zoomScale="90" zoomScaleNormal="120" zoomScaleSheetLayoutView="90" zoomScalePageLayoutView="120" workbookViewId="0">
      <pane xSplit="1" ySplit="5" topLeftCell="F21" activePane="bottomRight" state="frozen"/>
      <selection pane="bottomRight" activeCell="N62" sqref="N62"/>
      <selection pane="bottomLeft" activeCell="Q11" sqref="P11:Q11"/>
      <selection pane="topRight" activeCell="Q11" sqref="P11:Q1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4" width="19.140625" style="4" customWidth="1"/>
    <col min="15" max="15" width="8.85546875" style="4"/>
    <col min="16" max="16" width="9.42578125" style="4" bestFit="1" customWidth="1"/>
    <col min="17" max="16384" width="8.85546875" style="4"/>
  </cols>
  <sheetData>
    <row r="1" spans="1:22" s="3" customFormat="1" ht="18">
      <c r="A1" s="1"/>
      <c r="B1" s="2"/>
      <c r="C1" s="2"/>
      <c r="E1" s="747" t="s">
        <v>0</v>
      </c>
      <c r="F1" s="748"/>
      <c r="G1" s="748"/>
      <c r="H1" s="748"/>
      <c r="I1" s="4"/>
    </row>
    <row r="2" spans="1:22" s="3" customFormat="1" ht="18">
      <c r="A2" s="1"/>
      <c r="B2" s="2"/>
      <c r="C2" s="2"/>
      <c r="E2" s="749" t="s">
        <v>1</v>
      </c>
      <c r="F2" s="750"/>
      <c r="G2" s="750"/>
      <c r="H2" s="750"/>
      <c r="I2" s="750"/>
    </row>
    <row r="3" spans="1:22" s="3" customFormat="1" ht="15">
      <c r="A3" s="5" t="s">
        <v>52</v>
      </c>
      <c r="B3" s="6"/>
      <c r="C3" s="2"/>
      <c r="E3" s="749"/>
      <c r="F3" s="750"/>
      <c r="G3" s="750"/>
      <c r="H3" s="750"/>
      <c r="I3" s="750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73">
        <v>117127</v>
      </c>
      <c r="C6" s="74">
        <v>204772</v>
      </c>
      <c r="D6" s="74">
        <v>114845</v>
      </c>
      <c r="E6" s="75">
        <v>351024.99999999994</v>
      </c>
      <c r="F6" s="76">
        <v>212220.00000000003</v>
      </c>
      <c r="G6" s="75">
        <v>315400.97766015696</v>
      </c>
      <c r="H6" s="77">
        <v>370748</v>
      </c>
      <c r="I6" s="78">
        <v>302246.00000000006</v>
      </c>
      <c r="J6" s="77">
        <v>374616.00000000006</v>
      </c>
      <c r="K6" s="79">
        <v>334902</v>
      </c>
      <c r="L6" s="76">
        <v>137487</v>
      </c>
      <c r="M6" s="80">
        <v>390797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81">
        <v>243500</v>
      </c>
      <c r="C7" s="26">
        <v>406667.99999999994</v>
      </c>
      <c r="D7" s="26">
        <v>406628.00000000006</v>
      </c>
      <c r="E7" s="35"/>
      <c r="F7" s="82">
        <v>246067.00000000006</v>
      </c>
      <c r="G7" s="26">
        <v>323955.9283419291</v>
      </c>
      <c r="H7" s="26">
        <v>335255.00000000012</v>
      </c>
      <c r="I7" s="83">
        <v>181174</v>
      </c>
      <c r="J7" s="84">
        <v>347033</v>
      </c>
      <c r="K7" s="85">
        <v>325794</v>
      </c>
      <c r="L7" s="84">
        <v>318576</v>
      </c>
      <c r="M7" s="86">
        <v>386462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87">
        <v>261647</v>
      </c>
      <c r="C8" s="26">
        <v>406976.99999999994</v>
      </c>
      <c r="D8" s="26">
        <v>408197.00000000006</v>
      </c>
      <c r="E8" s="35"/>
      <c r="F8" s="82">
        <v>152724</v>
      </c>
      <c r="G8" s="26">
        <v>330062.92845336389</v>
      </c>
      <c r="H8" s="26">
        <v>352844</v>
      </c>
      <c r="I8" s="84">
        <v>376104.00000000006</v>
      </c>
      <c r="J8" s="26">
        <v>369703</v>
      </c>
      <c r="K8" s="88">
        <v>222956</v>
      </c>
      <c r="L8" s="84">
        <v>373726</v>
      </c>
      <c r="M8" s="28">
        <v>387283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87">
        <v>208443</v>
      </c>
      <c r="C9" s="26">
        <v>414005.99999999994</v>
      </c>
      <c r="D9" s="26">
        <v>405024.99999999988</v>
      </c>
      <c r="E9" s="35"/>
      <c r="F9" s="26">
        <v>375470.00000000006</v>
      </c>
      <c r="G9" s="26">
        <v>326348.97814954689</v>
      </c>
      <c r="H9" s="83">
        <v>254649.99999999997</v>
      </c>
      <c r="I9" s="84">
        <v>337696.99999999994</v>
      </c>
      <c r="J9" s="26">
        <v>374482</v>
      </c>
      <c r="K9" s="88">
        <v>156565</v>
      </c>
      <c r="L9" s="84">
        <v>386391</v>
      </c>
      <c r="M9" s="28">
        <v>394668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89">
        <v>419817</v>
      </c>
      <c r="C10" s="26">
        <v>374642.00000000006</v>
      </c>
      <c r="D10" s="26">
        <v>391820.00000000017</v>
      </c>
      <c r="E10" s="35"/>
      <c r="F10" s="691">
        <v>412342.00000000006</v>
      </c>
      <c r="G10" s="26">
        <v>339141.97593384748</v>
      </c>
      <c r="H10" s="83">
        <v>161311.99999999994</v>
      </c>
      <c r="I10" s="84">
        <v>382435.99999999988</v>
      </c>
      <c r="J10" s="83">
        <v>281818</v>
      </c>
      <c r="K10" s="90">
        <v>336339</v>
      </c>
      <c r="L10" s="26">
        <v>370382</v>
      </c>
      <c r="M10" s="91">
        <v>325155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89">
        <v>417893</v>
      </c>
      <c r="C11" s="26">
        <v>411827.99999999994</v>
      </c>
      <c r="D11" s="691">
        <v>422573</v>
      </c>
      <c r="E11" s="26">
        <v>380751</v>
      </c>
      <c r="F11" s="26">
        <v>405485</v>
      </c>
      <c r="G11" s="82">
        <v>251578</v>
      </c>
      <c r="H11" s="26">
        <v>321314</v>
      </c>
      <c r="I11" s="26">
        <v>360959.99999999994</v>
      </c>
      <c r="J11" s="83">
        <v>194887.00000000003</v>
      </c>
      <c r="K11" s="90">
        <v>350129</v>
      </c>
      <c r="L11" s="26">
        <v>393974</v>
      </c>
      <c r="M11" s="91">
        <v>214044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89">
        <v>409289</v>
      </c>
      <c r="C12" s="82">
        <v>309555</v>
      </c>
      <c r="D12" s="82">
        <v>293697.99999999994</v>
      </c>
      <c r="E12" s="26">
        <v>404971</v>
      </c>
      <c r="F12" s="26">
        <v>402612.99999999994</v>
      </c>
      <c r="G12" s="82">
        <v>161940.70374669036</v>
      </c>
      <c r="H12" s="84">
        <v>348753.00000000006</v>
      </c>
      <c r="I12" s="26">
        <v>399771</v>
      </c>
      <c r="J12" s="84">
        <v>361718.99999999994</v>
      </c>
      <c r="K12" s="90">
        <v>360413</v>
      </c>
      <c r="L12" s="83">
        <v>288980</v>
      </c>
      <c r="M12" s="86">
        <v>382584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89">
        <v>420362</v>
      </c>
      <c r="C13" s="82">
        <v>196220.99999999997</v>
      </c>
      <c r="D13" s="82">
        <v>154879.99999999997</v>
      </c>
      <c r="E13" s="26">
        <v>422992.99999999994</v>
      </c>
      <c r="F13" s="26">
        <v>395169.99999999988</v>
      </c>
      <c r="G13" s="26">
        <v>333996.97790395562</v>
      </c>
      <c r="H13" s="84">
        <v>313099</v>
      </c>
      <c r="I13" s="83">
        <v>274447.99999999994</v>
      </c>
      <c r="J13" s="84">
        <v>356340.99999999994</v>
      </c>
      <c r="K13" s="85">
        <v>348911</v>
      </c>
      <c r="L13" s="83">
        <v>181733</v>
      </c>
      <c r="M13" s="86">
        <v>387106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89">
        <v>430020</v>
      </c>
      <c r="C14" s="26">
        <v>393265</v>
      </c>
      <c r="D14" s="26">
        <v>396611.00000000006</v>
      </c>
      <c r="E14" s="33">
        <v>242921.99999999997</v>
      </c>
      <c r="F14" s="82">
        <v>293356</v>
      </c>
      <c r="G14" s="26">
        <v>335534.92849882034</v>
      </c>
      <c r="H14" s="26">
        <v>277475.00000000006</v>
      </c>
      <c r="I14" s="83">
        <v>167899.99999999997</v>
      </c>
      <c r="J14" s="84">
        <v>370810</v>
      </c>
      <c r="K14" s="85">
        <v>366835</v>
      </c>
      <c r="L14" s="84">
        <v>368801</v>
      </c>
      <c r="M14" s="86">
        <v>372404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87">
        <v>307613</v>
      </c>
      <c r="C15" s="26">
        <v>389327.99999999994</v>
      </c>
      <c r="D15" s="26">
        <v>410184.99999999994</v>
      </c>
      <c r="E15" s="26">
        <v>416192</v>
      </c>
      <c r="F15" s="82">
        <v>183908</v>
      </c>
      <c r="G15" s="26">
        <v>347359.92722454335</v>
      </c>
      <c r="H15" s="26">
        <v>341144.00000000006</v>
      </c>
      <c r="I15" s="84">
        <v>346179</v>
      </c>
      <c r="J15" s="26">
        <v>374900.99999999994</v>
      </c>
      <c r="K15" s="88">
        <v>268258</v>
      </c>
      <c r="L15" s="84">
        <v>360447</v>
      </c>
      <c r="M15" s="28">
        <v>397181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87">
        <v>208132</v>
      </c>
      <c r="C16" s="26">
        <v>399385.00000000006</v>
      </c>
      <c r="D16" s="26">
        <v>393164.99999999994</v>
      </c>
      <c r="E16" s="82">
        <v>284836.00000000006</v>
      </c>
      <c r="F16" s="26">
        <v>344469</v>
      </c>
      <c r="G16" s="26">
        <v>371707.97254934866</v>
      </c>
      <c r="H16" s="83">
        <v>274639.99999999994</v>
      </c>
      <c r="I16" s="84">
        <v>377493.00000000006</v>
      </c>
      <c r="J16" s="26">
        <v>351812</v>
      </c>
      <c r="K16" s="88">
        <v>173455</v>
      </c>
      <c r="L16" s="84">
        <v>379902</v>
      </c>
      <c r="M16" s="28">
        <v>402688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89">
        <v>435697</v>
      </c>
      <c r="C17" s="26">
        <v>388736</v>
      </c>
      <c r="D17" s="26">
        <v>397270</v>
      </c>
      <c r="E17" s="82">
        <v>178014.99999999997</v>
      </c>
      <c r="F17" s="26">
        <v>380800.00000000006</v>
      </c>
      <c r="G17" s="33">
        <v>153021.53656519708</v>
      </c>
      <c r="H17" s="83">
        <v>168685.99999999997</v>
      </c>
      <c r="I17" s="84">
        <v>359744</v>
      </c>
      <c r="J17" s="83">
        <v>291906</v>
      </c>
      <c r="K17" s="90">
        <v>346213</v>
      </c>
      <c r="L17" s="26">
        <v>371635</v>
      </c>
      <c r="M17" s="91">
        <v>311293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89">
        <v>438305</v>
      </c>
      <c r="C18" s="26">
        <v>414031</v>
      </c>
      <c r="D18" s="690">
        <v>422227.00000000006</v>
      </c>
      <c r="E18" s="26">
        <v>404758.00000000006</v>
      </c>
      <c r="F18" s="26">
        <v>391047.00000000006</v>
      </c>
      <c r="G18" s="82">
        <v>227125</v>
      </c>
      <c r="H18" s="84">
        <v>377271</v>
      </c>
      <c r="I18" s="26">
        <v>361477.00000000006</v>
      </c>
      <c r="J18" s="83">
        <v>185881.99999999997</v>
      </c>
      <c r="K18" s="90">
        <v>351762</v>
      </c>
      <c r="L18" s="26">
        <v>401468</v>
      </c>
      <c r="M18" s="91">
        <v>229243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689">
        <v>448636</v>
      </c>
      <c r="C19" s="82">
        <v>326046.99999999994</v>
      </c>
      <c r="D19" s="82">
        <v>316517</v>
      </c>
      <c r="E19" s="26">
        <v>412462</v>
      </c>
      <c r="F19" s="26">
        <v>370041</v>
      </c>
      <c r="G19" s="82">
        <v>156951.99999999997</v>
      </c>
      <c r="H19" s="84">
        <v>364919.00000000006</v>
      </c>
      <c r="I19" s="26">
        <v>378204.99999999994</v>
      </c>
      <c r="J19" s="84">
        <v>357633.99342006951</v>
      </c>
      <c r="K19" s="90">
        <v>356730</v>
      </c>
      <c r="L19" s="83">
        <v>317909</v>
      </c>
      <c r="M19" s="86">
        <v>374893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81">
        <v>265768</v>
      </c>
      <c r="C20" s="82">
        <v>211613</v>
      </c>
      <c r="D20" s="82">
        <v>187579</v>
      </c>
      <c r="E20" s="691">
        <v>423162.99999999994</v>
      </c>
      <c r="F20" s="26">
        <v>384814.99999999994</v>
      </c>
      <c r="G20" s="26">
        <v>340674.00000000006</v>
      </c>
      <c r="H20" s="84">
        <v>373277</v>
      </c>
      <c r="I20" s="83">
        <v>295074</v>
      </c>
      <c r="J20" s="692">
        <v>380781.99999999994</v>
      </c>
      <c r="K20" s="26">
        <v>359310</v>
      </c>
      <c r="L20" s="83">
        <v>202142</v>
      </c>
      <c r="M20" s="86">
        <v>348727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81">
        <v>250199</v>
      </c>
      <c r="C21" s="26">
        <v>373091</v>
      </c>
      <c r="D21" s="26">
        <v>398458</v>
      </c>
      <c r="E21" s="26">
        <v>402725.99999999994</v>
      </c>
      <c r="F21" s="82">
        <v>301295</v>
      </c>
      <c r="G21" s="26">
        <v>350157.00000000006</v>
      </c>
      <c r="H21" s="691">
        <v>399279</v>
      </c>
      <c r="I21" s="83">
        <v>184581.00000000003</v>
      </c>
      <c r="J21" s="84">
        <v>368085.99999999994</v>
      </c>
      <c r="K21" s="691">
        <v>399285</v>
      </c>
      <c r="L21" s="84">
        <v>382652</v>
      </c>
      <c r="M21" s="86">
        <v>343197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87">
        <v>260968</v>
      </c>
      <c r="C22" s="26">
        <v>401261.00000000006</v>
      </c>
      <c r="D22" s="26">
        <v>398819.00000000006</v>
      </c>
      <c r="E22" s="26">
        <v>422300.00000000006</v>
      </c>
      <c r="F22" s="82">
        <v>190733</v>
      </c>
      <c r="G22" s="26">
        <v>328462</v>
      </c>
      <c r="H22" s="33">
        <v>243179.99999999994</v>
      </c>
      <c r="I22" s="84">
        <v>376404</v>
      </c>
      <c r="J22" s="26">
        <v>356389.00000000006</v>
      </c>
      <c r="K22" s="83">
        <v>274358</v>
      </c>
      <c r="L22" s="84">
        <v>378369</v>
      </c>
      <c r="M22" s="28">
        <v>392864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87">
        <v>186689</v>
      </c>
      <c r="C23" s="26">
        <v>411843.00000000006</v>
      </c>
      <c r="D23" s="26">
        <v>388521.99999999994</v>
      </c>
      <c r="E23" s="82">
        <v>292048.00000000006</v>
      </c>
      <c r="F23" s="26">
        <v>360396</v>
      </c>
      <c r="G23" s="26">
        <v>346295</v>
      </c>
      <c r="H23" s="83">
        <v>258632.99999999997</v>
      </c>
      <c r="I23" s="84">
        <v>363198.99999999994</v>
      </c>
      <c r="J23" s="26">
        <v>374925</v>
      </c>
      <c r="K23" s="83">
        <v>125239</v>
      </c>
      <c r="L23" s="92">
        <v>239941</v>
      </c>
      <c r="M23" s="694">
        <v>408680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81">
        <v>247207</v>
      </c>
      <c r="C24" s="33">
        <v>246405</v>
      </c>
      <c r="D24" s="26">
        <v>399788.99999999994</v>
      </c>
      <c r="E24" s="82">
        <v>181127</v>
      </c>
      <c r="F24" s="26">
        <v>356036.00000000012</v>
      </c>
      <c r="G24" s="26">
        <v>345346.00000000006</v>
      </c>
      <c r="H24" s="83">
        <v>181015.99999999997</v>
      </c>
      <c r="I24" s="84">
        <v>348892.00000000006</v>
      </c>
      <c r="J24" s="93">
        <v>224782.00000000003</v>
      </c>
      <c r="K24" s="84">
        <v>305787</v>
      </c>
      <c r="L24" s="33">
        <v>222519</v>
      </c>
      <c r="M24" s="91">
        <v>284726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89">
        <v>444341</v>
      </c>
      <c r="C25" s="26">
        <v>407479.00000000006</v>
      </c>
      <c r="D25" s="26">
        <v>420996.99999999988</v>
      </c>
      <c r="E25" s="26">
        <v>395313.00000000006</v>
      </c>
      <c r="F25" s="26">
        <v>367450.99999999994</v>
      </c>
      <c r="G25" s="82">
        <v>263648.99999999994</v>
      </c>
      <c r="H25" s="84">
        <v>384916</v>
      </c>
      <c r="I25" s="26">
        <v>398841</v>
      </c>
      <c r="J25" s="93">
        <v>193627.99999999997</v>
      </c>
      <c r="K25" s="84">
        <v>362530</v>
      </c>
      <c r="L25" s="26">
        <v>329515</v>
      </c>
      <c r="M25" s="91">
        <v>237477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89">
        <v>403198</v>
      </c>
      <c r="C26" s="82">
        <v>275489</v>
      </c>
      <c r="D26" s="82">
        <v>301416.00000000006</v>
      </c>
      <c r="E26" s="26">
        <v>355635.00000000006</v>
      </c>
      <c r="F26" s="26">
        <v>366530</v>
      </c>
      <c r="G26" s="82">
        <v>160970.6663885967</v>
      </c>
      <c r="H26" s="84">
        <v>366087.00000000012</v>
      </c>
      <c r="I26" s="33">
        <v>221231</v>
      </c>
      <c r="J26" s="94">
        <v>355325.99999999988</v>
      </c>
      <c r="K26" s="84">
        <v>368297</v>
      </c>
      <c r="L26" s="83">
        <v>269113</v>
      </c>
      <c r="M26" s="86">
        <v>386352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89">
        <v>427705</v>
      </c>
      <c r="C27" s="82">
        <v>190888.00000000003</v>
      </c>
      <c r="D27" s="82">
        <v>144024.99999999997</v>
      </c>
      <c r="E27" s="26">
        <v>414155.00000000006</v>
      </c>
      <c r="F27" s="26">
        <v>332810.99999999994</v>
      </c>
      <c r="G27" s="26">
        <v>343287.97784121323</v>
      </c>
      <c r="H27" s="84">
        <v>367004.99999999994</v>
      </c>
      <c r="I27" s="83">
        <v>232749</v>
      </c>
      <c r="J27" s="94">
        <v>353223.99999999994</v>
      </c>
      <c r="K27" s="26">
        <v>359869</v>
      </c>
      <c r="L27" s="83">
        <v>188820</v>
      </c>
      <c r="M27" s="86">
        <v>381671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89">
        <v>410840</v>
      </c>
      <c r="C28" s="26">
        <v>389162.99999999994</v>
      </c>
      <c r="D28" s="26">
        <v>406932.00000000006</v>
      </c>
      <c r="E28" s="26">
        <v>392660.99999999994</v>
      </c>
      <c r="F28" s="82">
        <v>267361.00000000006</v>
      </c>
      <c r="G28" s="26">
        <v>347303.976810447</v>
      </c>
      <c r="H28" s="26">
        <v>352186</v>
      </c>
      <c r="I28" s="83">
        <v>168037.00000000003</v>
      </c>
      <c r="J28" s="94">
        <v>328922.99999999994</v>
      </c>
      <c r="K28" s="26">
        <v>386938</v>
      </c>
      <c r="L28" s="84">
        <v>387104</v>
      </c>
      <c r="M28" s="86">
        <v>397090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87">
        <v>324903</v>
      </c>
      <c r="C29" s="26">
        <v>415580</v>
      </c>
      <c r="D29" s="26">
        <v>397916.00000000006</v>
      </c>
      <c r="E29" s="26">
        <v>422473.99999999994</v>
      </c>
      <c r="F29" s="82">
        <v>171331</v>
      </c>
      <c r="G29" s="26">
        <v>353796.92254234175</v>
      </c>
      <c r="H29" s="26">
        <v>393024</v>
      </c>
      <c r="I29" s="84">
        <v>362352.00000000006</v>
      </c>
      <c r="J29" s="26">
        <v>367599.99999999988</v>
      </c>
      <c r="K29" s="83">
        <v>273464</v>
      </c>
      <c r="L29" s="84">
        <v>387979</v>
      </c>
      <c r="M29" s="36">
        <v>206165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87">
        <v>215715</v>
      </c>
      <c r="C30" s="688">
        <v>455164.00000000012</v>
      </c>
      <c r="D30" s="26">
        <v>407077.99999999994</v>
      </c>
      <c r="E30" s="82">
        <v>295545.00000000006</v>
      </c>
      <c r="F30" s="26">
        <v>329877.00000000006</v>
      </c>
      <c r="G30" s="26">
        <v>344070.92432604684</v>
      </c>
      <c r="H30" s="83">
        <v>286971</v>
      </c>
      <c r="I30" s="84">
        <v>372703.99999999994</v>
      </c>
      <c r="J30" s="33">
        <v>249762.99999999997</v>
      </c>
      <c r="K30" s="83">
        <v>186578</v>
      </c>
      <c r="L30" s="84">
        <v>396168</v>
      </c>
      <c r="M30" s="36">
        <v>161510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89">
        <v>422291</v>
      </c>
      <c r="C31" s="26">
        <v>418576</v>
      </c>
      <c r="D31" s="26">
        <v>375957</v>
      </c>
      <c r="E31" s="82">
        <v>186349.00000000006</v>
      </c>
      <c r="F31" s="26">
        <v>336561</v>
      </c>
      <c r="G31" s="26">
        <v>359916.9746610751</v>
      </c>
      <c r="H31" s="83">
        <v>175816.99999999997</v>
      </c>
      <c r="I31" s="84">
        <v>358404.00000000012</v>
      </c>
      <c r="J31" s="93">
        <v>246642.00000000003</v>
      </c>
      <c r="K31" s="84">
        <v>356021</v>
      </c>
      <c r="L31" s="26">
        <v>388165</v>
      </c>
      <c r="M31" s="95">
        <v>210965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89">
        <v>420317</v>
      </c>
      <c r="C32" s="26">
        <v>402298</v>
      </c>
      <c r="D32" s="26">
        <v>404780.99999999994</v>
      </c>
      <c r="E32" s="26">
        <v>398958.00000000006</v>
      </c>
      <c r="F32" s="26">
        <v>360825.00000000006</v>
      </c>
      <c r="G32" s="82">
        <v>285557.99999999994</v>
      </c>
      <c r="H32" s="84">
        <v>342693.00000000006</v>
      </c>
      <c r="I32" s="26">
        <v>378881</v>
      </c>
      <c r="J32" s="93">
        <v>174023</v>
      </c>
      <c r="K32" s="84">
        <v>372996</v>
      </c>
      <c r="L32" s="691">
        <v>410417</v>
      </c>
      <c r="M32" s="91">
        <v>184783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f>A6+27</f>
        <v>28</v>
      </c>
      <c r="B33" s="89">
        <v>424373</v>
      </c>
      <c r="C33" s="82">
        <v>280687</v>
      </c>
      <c r="D33" s="82">
        <v>298148.00000000006</v>
      </c>
      <c r="E33" s="26">
        <v>402847.99999999994</v>
      </c>
      <c r="F33" s="26">
        <v>329016.00000000006</v>
      </c>
      <c r="G33" s="82">
        <v>169683.64702042</v>
      </c>
      <c r="H33" s="84">
        <v>368153</v>
      </c>
      <c r="I33" s="691">
        <v>416564.00000000006</v>
      </c>
      <c r="J33" s="94">
        <v>336065.00000000006</v>
      </c>
      <c r="K33" s="84">
        <v>370380</v>
      </c>
      <c r="L33" s="83">
        <v>315950</v>
      </c>
      <c r="M33" s="86">
        <v>319409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89">
        <v>403498</v>
      </c>
      <c r="C34" s="35"/>
      <c r="D34" s="82">
        <v>185056</v>
      </c>
      <c r="E34" s="26">
        <v>397688.99999999994</v>
      </c>
      <c r="F34" s="26">
        <v>356507</v>
      </c>
      <c r="G34" s="26">
        <v>330606.99999999994</v>
      </c>
      <c r="H34" s="84">
        <v>383012.00000000006</v>
      </c>
      <c r="I34" s="82">
        <v>317886</v>
      </c>
      <c r="J34" s="94">
        <v>348049.00000000006</v>
      </c>
      <c r="K34" s="26">
        <v>370735</v>
      </c>
      <c r="L34" s="83">
        <v>201203</v>
      </c>
      <c r="M34" s="86">
        <v>322809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89">
        <v>440869</v>
      </c>
      <c r="C35" s="35"/>
      <c r="D35" s="26">
        <v>401990</v>
      </c>
      <c r="E35" s="26">
        <v>392477.99999999994</v>
      </c>
      <c r="F35" s="82">
        <v>250595.00000000003</v>
      </c>
      <c r="G35" s="691">
        <v>372797.60644109419</v>
      </c>
      <c r="H35" s="26">
        <v>362297</v>
      </c>
      <c r="I35" s="83">
        <v>269711.00000000006</v>
      </c>
      <c r="J35" s="94">
        <v>357925</v>
      </c>
      <c r="K35" s="26">
        <v>370527</v>
      </c>
      <c r="L35" s="33">
        <v>228567</v>
      </c>
      <c r="M35" s="36">
        <v>170539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38">
        <f>A6+30</f>
        <v>31</v>
      </c>
      <c r="B36" s="96">
        <v>332707</v>
      </c>
      <c r="C36" s="97"/>
      <c r="D36" s="72">
        <v>400440</v>
      </c>
      <c r="E36" s="97"/>
      <c r="F36" s="98">
        <v>171677</v>
      </c>
      <c r="G36" s="97"/>
      <c r="H36" s="72">
        <v>390788</v>
      </c>
      <c r="I36" s="99">
        <v>264761.00000000006</v>
      </c>
      <c r="J36" s="97"/>
      <c r="K36" s="100">
        <v>243396</v>
      </c>
      <c r="L36" s="97"/>
      <c r="M36" s="101">
        <v>141245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02">
        <f>AVERAGE(B6:B36)</f>
        <v>343486.09677419357</v>
      </c>
      <c r="C37" s="103">
        <v>343486.09677419357</v>
      </c>
      <c r="D37" s="103">
        <v>343486.09677419357</v>
      </c>
      <c r="E37" s="103">
        <v>343486.09677419357</v>
      </c>
      <c r="F37" s="103">
        <v>343486.09677419357</v>
      </c>
      <c r="G37" s="103">
        <v>343486.09677419357</v>
      </c>
      <c r="H37" s="103">
        <v>343486.09677419357</v>
      </c>
      <c r="I37" s="103">
        <v>343486.09677419357</v>
      </c>
      <c r="J37" s="103">
        <v>343486.09677419357</v>
      </c>
      <c r="K37" s="103">
        <v>343486.09677419357</v>
      </c>
      <c r="L37" s="103">
        <v>343486.09677419357</v>
      </c>
      <c r="M37" s="104">
        <v>343486.09677419357</v>
      </c>
    </row>
    <row r="38" spans="1:22">
      <c r="A38" s="48" t="s">
        <v>20</v>
      </c>
      <c r="B38" s="105">
        <f>AVERAGE(B10:B14,B17:B19,B25:B28,B31:B35)</f>
        <v>424555.9411764706</v>
      </c>
      <c r="C38" s="106">
        <f>AVERAGE(C7:C11,C14:C18,C21:C23,C25,C28:C32)</f>
        <v>403859</v>
      </c>
      <c r="D38" s="106">
        <f>AVERAGE(D7:D11,D14:D18,D21:D25,D28:D32,D35:D36)</f>
        <v>402517.27272727271</v>
      </c>
      <c r="E38" s="106">
        <f>AVERAGE(E6,E11:E13,E15,E18:E22,E25:E29,E32:E35)</f>
        <v>400713.26315789472</v>
      </c>
      <c r="F38" s="106">
        <f>AVERAGE(F9:F13,F16:F20,F23:F27,F30:F34)</f>
        <v>367913.1</v>
      </c>
      <c r="G38" s="106">
        <f>AVERAGE(G6:G10,G13:G16,G20:G24,G34:G35,G27:G31)</f>
        <v>342201.23701608245</v>
      </c>
      <c r="H38" s="106">
        <f>AVERAGE(H6:H8,H11:H15,H18:H21,H25:H29,H32:H36)</f>
        <v>358433.59090909088</v>
      </c>
      <c r="I38" s="106">
        <f>AVERAGE(I8:I12,I15:I19,I22:I25,I29:I33)</f>
        <v>371384.57894736843</v>
      </c>
      <c r="J38" s="106">
        <f>AVERAGE(J6:J9,J12:J16,J19:J23,J26:J29,J33:J35)</f>
        <v>360302.14254381281</v>
      </c>
      <c r="K38" s="106">
        <f>AVERAGE(K6:K7,K10:K14,K17:K21,K24:K28,K31:K35)</f>
        <v>357304.68181818182</v>
      </c>
      <c r="L38" s="106">
        <f>AVERAGE(L7:L11,L14:L18,L21:L22,L25,L28:L32)</f>
        <v>376981.72222222225</v>
      </c>
      <c r="M38" s="107">
        <f>AVERAGE(M6:M9,M12:M16,M19:M23,M26:M28,M33:M34)</f>
        <v>377729.73684210528</v>
      </c>
    </row>
    <row r="39" spans="1:22">
      <c r="A39" s="52" t="s">
        <v>21</v>
      </c>
      <c r="B39" s="105">
        <v>297567.59999999998</v>
      </c>
      <c r="C39" s="106">
        <v>297944.5</v>
      </c>
      <c r="D39" s="106">
        <f>AVERAGE(D12,D19,D26,D33)</f>
        <v>302444.75</v>
      </c>
      <c r="E39" s="106">
        <v>290809.66666666674</v>
      </c>
      <c r="F39" s="106">
        <v>271734.8</v>
      </c>
      <c r="G39" s="106">
        <v>256977.5</v>
      </c>
      <c r="H39" s="106">
        <v>268723.5</v>
      </c>
      <c r="I39" s="106">
        <v>284480.59999999998</v>
      </c>
      <c r="J39" s="106">
        <v>261287</v>
      </c>
      <c r="K39" s="106">
        <v>256486.39999999999</v>
      </c>
      <c r="L39" s="106">
        <v>297988</v>
      </c>
      <c r="M39" s="107">
        <v>283034.75</v>
      </c>
    </row>
    <row r="40" spans="1:22">
      <c r="A40" s="52" t="s">
        <v>22</v>
      </c>
      <c r="B40" s="105">
        <v>215864.44444444444</v>
      </c>
      <c r="C40" s="106">
        <v>209979.8</v>
      </c>
      <c r="D40" s="106">
        <v>157277</v>
      </c>
      <c r="E40" s="106">
        <v>197103.25</v>
      </c>
      <c r="F40" s="106">
        <v>180432.16666666666</v>
      </c>
      <c r="G40" s="106">
        <v>160513.71074418086</v>
      </c>
      <c r="H40" s="106">
        <v>186002.19999999995</v>
      </c>
      <c r="I40" s="106">
        <v>208199.28571428571</v>
      </c>
      <c r="J40" s="106">
        <v>199636.6</v>
      </c>
      <c r="K40" s="106">
        <v>160459.25</v>
      </c>
      <c r="L40" s="106">
        <v>200301.5</v>
      </c>
      <c r="M40" s="107">
        <v>193125.75</v>
      </c>
    </row>
    <row r="41" spans="1:22">
      <c r="A41" s="52" t="s">
        <v>23</v>
      </c>
      <c r="B41" s="105">
        <v>245044.14285714287</v>
      </c>
      <c r="C41" s="106">
        <v>249075.22222222222</v>
      </c>
      <c r="D41" s="106">
        <v>221796</v>
      </c>
      <c r="E41" s="106">
        <v>237263.14285714287</v>
      </c>
      <c r="F41" s="106">
        <v>221933.36363636365</v>
      </c>
      <c r="G41" s="106">
        <v>203386.50596898934</v>
      </c>
      <c r="H41" s="106">
        <v>222767.22222222219</v>
      </c>
      <c r="I41" s="106">
        <v>239983.16666666666</v>
      </c>
      <c r="J41" s="106">
        <v>227036.77777777778</v>
      </c>
      <c r="K41" s="106">
        <v>213807.66666666666</v>
      </c>
      <c r="L41" s="106">
        <v>232863.66666666666</v>
      </c>
      <c r="M41" s="107">
        <v>223095.41666666666</v>
      </c>
    </row>
    <row r="42" spans="1:22">
      <c r="A42" s="52" t="s">
        <v>24</v>
      </c>
      <c r="B42" s="108">
        <f>MAX(B6:B36)</f>
        <v>448636</v>
      </c>
      <c r="C42" s="109">
        <f t="shared" ref="C42:M42" si="0">MAX(C6:C36)</f>
        <v>455164.00000000012</v>
      </c>
      <c r="D42" s="109">
        <f t="shared" si="0"/>
        <v>422573</v>
      </c>
      <c r="E42" s="109">
        <f t="shared" si="0"/>
        <v>423162.99999999994</v>
      </c>
      <c r="F42" s="109">
        <f t="shared" si="0"/>
        <v>412342.00000000006</v>
      </c>
      <c r="G42" s="109">
        <f t="shared" si="0"/>
        <v>372797.60644109419</v>
      </c>
      <c r="H42" s="109">
        <f t="shared" si="0"/>
        <v>399279</v>
      </c>
      <c r="I42" s="109">
        <f t="shared" si="0"/>
        <v>416564.00000000006</v>
      </c>
      <c r="J42" s="109">
        <f t="shared" si="0"/>
        <v>380781.99999999994</v>
      </c>
      <c r="K42" s="109">
        <f t="shared" si="0"/>
        <v>399285</v>
      </c>
      <c r="L42" s="109">
        <f t="shared" si="0"/>
        <v>410417</v>
      </c>
      <c r="M42" s="110">
        <f t="shared" si="0"/>
        <v>408680</v>
      </c>
    </row>
    <row r="43" spans="1:22">
      <c r="A43" s="52" t="s">
        <v>47</v>
      </c>
      <c r="B43" s="129">
        <f>MIN(B6:B36)</f>
        <v>117127</v>
      </c>
      <c r="C43" s="53">
        <f>MIN(C6:C36)</f>
        <v>190888.00000000003</v>
      </c>
      <c r="D43" s="53">
        <f t="shared" ref="D43:M43" si="1">MIN(D6:D36)</f>
        <v>114845</v>
      </c>
      <c r="E43" s="53">
        <f t="shared" si="1"/>
        <v>178014.99999999997</v>
      </c>
      <c r="F43" s="53">
        <f t="shared" si="1"/>
        <v>152724</v>
      </c>
      <c r="G43" s="53">
        <f t="shared" si="1"/>
        <v>153021.53656519708</v>
      </c>
      <c r="H43" s="53">
        <f t="shared" si="1"/>
        <v>161311.99999999994</v>
      </c>
      <c r="I43" s="53">
        <f t="shared" si="1"/>
        <v>167899.99999999997</v>
      </c>
      <c r="J43" s="53">
        <f t="shared" si="1"/>
        <v>174023</v>
      </c>
      <c r="K43" s="53">
        <f t="shared" si="1"/>
        <v>125239</v>
      </c>
      <c r="L43" s="53">
        <f t="shared" si="1"/>
        <v>137487</v>
      </c>
      <c r="M43" s="54">
        <f t="shared" si="1"/>
        <v>141245</v>
      </c>
    </row>
    <row r="44" spans="1:22" ht="12.75" thickBot="1">
      <c r="A44" s="55" t="s">
        <v>25</v>
      </c>
      <c r="B44" s="111">
        <f t="shared" ref="B44:L44" si="2">SUM(B6:B36)</f>
        <v>10648069</v>
      </c>
      <c r="C44" s="57">
        <f>SUM(C6:C36)</f>
        <v>9914998</v>
      </c>
      <c r="D44" s="57">
        <f t="shared" si="2"/>
        <v>10851544</v>
      </c>
      <c r="E44" s="57">
        <f t="shared" si="2"/>
        <v>9274394</v>
      </c>
      <c r="F44" s="57">
        <f t="shared" si="2"/>
        <v>9799529</v>
      </c>
      <c r="G44" s="57">
        <f t="shared" si="2"/>
        <v>9016704.5310586337</v>
      </c>
      <c r="H44" s="57">
        <f t="shared" si="2"/>
        <v>9890444</v>
      </c>
      <c r="I44" s="57">
        <f t="shared" si="2"/>
        <v>9936105</v>
      </c>
      <c r="J44" s="57">
        <f t="shared" si="2"/>
        <v>9609675.99342007</v>
      </c>
      <c r="K44" s="57">
        <f t="shared" si="2"/>
        <v>9784972</v>
      </c>
      <c r="L44" s="57">
        <f t="shared" si="2"/>
        <v>9580035</v>
      </c>
      <c r="M44" s="58">
        <f>SUM(M6:M36)</f>
        <v>9854010</v>
      </c>
      <c r="N44" s="252"/>
      <c r="P44" s="59"/>
    </row>
    <row r="45" spans="1:22" s="60" customFormat="1" ht="11.25"/>
    <row r="46" spans="1:22">
      <c r="A46" s="61"/>
    </row>
    <row r="47" spans="1:22" ht="15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O47" s="64"/>
    </row>
    <row r="48" spans="1:22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</row>
    <row r="49" spans="1:13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1:13">
      <c r="A50" s="65"/>
      <c r="H50" s="66"/>
      <c r="I50" s="66"/>
      <c r="J50" s="66"/>
      <c r="K50" s="66"/>
      <c r="L50" s="66"/>
      <c r="M50" s="66"/>
    </row>
    <row r="52" spans="1:13">
      <c r="A52" s="67"/>
      <c r="B52" s="68"/>
    </row>
  </sheetData>
  <mergeCells count="3">
    <mergeCell ref="E1:H1"/>
    <mergeCell ref="E2:I2"/>
    <mergeCell ref="E3:I3"/>
  </mergeCells>
  <conditionalFormatting sqref="B6:M36">
    <cfRule type="top10" dxfId="30" priority="1" rank="1"/>
  </conditionalFormatting>
  <printOptions horizontalCentered="1" verticalCentered="1"/>
  <pageMargins left="0.25" right="0" top="0.25" bottom="0.25" header="0.31" footer="0.31"/>
  <pageSetup paperSize="5" scale="94" orientation="landscape" r:id="rId1"/>
  <rowBreaks count="1" manualBreakCount="1">
    <brk id="45" max="16383" man="1"/>
  </rowBreaks>
  <ignoredErrors>
    <ignoredError sqref="C44:M44 C42:M42 C43:M43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V52"/>
  <sheetViews>
    <sheetView view="pageBreakPreview" zoomScaleNormal="120" zoomScaleSheetLayoutView="100" zoomScalePageLayoutView="120" workbookViewId="0">
      <pane xSplit="1" ySplit="5" topLeftCell="B6" activePane="bottomRight" state="frozen"/>
      <selection pane="bottomRight" activeCell="B42" sqref="B42"/>
      <selection pane="bottomLeft" activeCell="Q11" sqref="P11:Q11"/>
      <selection pane="topRight" activeCell="Q11" sqref="P11:Q1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 customHeight="1">
      <c r="A1" s="1"/>
      <c r="B1" s="2"/>
      <c r="C1" s="2"/>
      <c r="E1" s="747" t="s">
        <v>0</v>
      </c>
      <c r="F1" s="747"/>
      <c r="G1" s="747"/>
      <c r="H1" s="747"/>
      <c r="I1" s="747"/>
    </row>
    <row r="2" spans="1:22" s="3" customFormat="1" ht="18" customHeight="1">
      <c r="A2" s="1"/>
      <c r="B2" s="2"/>
      <c r="C2" s="2"/>
      <c r="E2" s="747" t="s">
        <v>1</v>
      </c>
      <c r="F2" s="747"/>
      <c r="G2" s="747"/>
      <c r="H2" s="747"/>
      <c r="I2" s="747"/>
    </row>
    <row r="3" spans="1:22" s="3" customFormat="1" ht="15" customHeight="1">
      <c r="A3" s="5" t="s">
        <v>53</v>
      </c>
      <c r="B3" s="6"/>
      <c r="C3" s="2"/>
      <c r="E3" s="747"/>
      <c r="F3" s="747"/>
      <c r="G3" s="747"/>
      <c r="H3" s="747"/>
      <c r="I3" s="747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16">
        <v>106936</v>
      </c>
      <c r="C6" s="17">
        <v>382975</v>
      </c>
      <c r="D6" s="17">
        <v>403345</v>
      </c>
      <c r="E6" s="18">
        <v>398512</v>
      </c>
      <c r="F6" s="19">
        <v>195516</v>
      </c>
      <c r="G6" s="17">
        <v>409018</v>
      </c>
      <c r="H6" s="17">
        <v>443208</v>
      </c>
      <c r="I6" s="17">
        <v>444655</v>
      </c>
      <c r="J6" s="17">
        <v>439277</v>
      </c>
      <c r="K6" s="20">
        <v>349421</v>
      </c>
      <c r="L6" s="21">
        <v>167666</v>
      </c>
      <c r="M6" s="22">
        <v>490006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25">
        <v>177050</v>
      </c>
      <c r="C7" s="26">
        <v>382910</v>
      </c>
      <c r="D7" s="26">
        <v>399016</v>
      </c>
      <c r="E7" s="20">
        <v>288511</v>
      </c>
      <c r="F7" s="26">
        <v>386434</v>
      </c>
      <c r="G7" s="26">
        <v>391274</v>
      </c>
      <c r="H7" s="20">
        <v>302344</v>
      </c>
      <c r="I7" s="26">
        <v>449648</v>
      </c>
      <c r="J7" s="26">
        <v>462068</v>
      </c>
      <c r="K7" s="20">
        <v>220113</v>
      </c>
      <c r="L7" s="27">
        <v>406761</v>
      </c>
      <c r="M7" s="28">
        <v>513071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25">
        <v>178390</v>
      </c>
      <c r="C8" s="26">
        <v>381996</v>
      </c>
      <c r="D8" s="26">
        <v>396556</v>
      </c>
      <c r="E8" s="20">
        <v>183379</v>
      </c>
      <c r="F8" s="26">
        <v>396441</v>
      </c>
      <c r="G8" s="26">
        <v>414812</v>
      </c>
      <c r="H8" s="20">
        <v>192348</v>
      </c>
      <c r="I8" s="26">
        <v>450833</v>
      </c>
      <c r="J8" s="20">
        <v>325914</v>
      </c>
      <c r="K8" s="26">
        <v>445930</v>
      </c>
      <c r="L8" s="27">
        <v>452402</v>
      </c>
      <c r="M8" s="29">
        <v>373176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30">
        <v>345458</v>
      </c>
      <c r="C9" s="26">
        <v>372291</v>
      </c>
      <c r="D9" s="26">
        <v>403032</v>
      </c>
      <c r="E9" s="31">
        <v>388328</v>
      </c>
      <c r="F9" s="26">
        <v>383553</v>
      </c>
      <c r="G9" s="20">
        <v>291913</v>
      </c>
      <c r="H9" s="26">
        <v>417340</v>
      </c>
      <c r="I9" s="26">
        <v>438731</v>
      </c>
      <c r="J9" s="20">
        <v>195374</v>
      </c>
      <c r="K9" s="26">
        <v>461939</v>
      </c>
      <c r="L9" s="27">
        <v>470136</v>
      </c>
      <c r="M9" s="29">
        <v>240275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30">
        <v>356991</v>
      </c>
      <c r="C10" s="26">
        <v>406903</v>
      </c>
      <c r="D10" s="20">
        <v>301370</v>
      </c>
      <c r="E10" s="31">
        <v>394661</v>
      </c>
      <c r="F10" s="26">
        <v>394425</v>
      </c>
      <c r="G10" s="20">
        <v>193495</v>
      </c>
      <c r="H10" s="26">
        <v>441873</v>
      </c>
      <c r="I10" s="26">
        <v>466542</v>
      </c>
      <c r="J10" s="26">
        <v>424210</v>
      </c>
      <c r="K10" s="26">
        <v>458117</v>
      </c>
      <c r="L10" s="32">
        <v>339572</v>
      </c>
      <c r="M10" s="28">
        <v>485088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30">
        <v>357782</v>
      </c>
      <c r="C11" s="20">
        <v>291465</v>
      </c>
      <c r="D11" s="20">
        <v>190498</v>
      </c>
      <c r="E11" s="31">
        <v>400857</v>
      </c>
      <c r="F11" s="691">
        <v>420236</v>
      </c>
      <c r="G11" s="26">
        <v>389459</v>
      </c>
      <c r="H11" s="33">
        <v>249855</v>
      </c>
      <c r="I11" s="20">
        <v>328202</v>
      </c>
      <c r="J11" s="26">
        <v>444466</v>
      </c>
      <c r="K11" s="26">
        <v>468482</v>
      </c>
      <c r="L11" s="32">
        <v>200637</v>
      </c>
      <c r="M11" s="28">
        <v>493099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30">
        <v>355968</v>
      </c>
      <c r="C12" s="20">
        <v>183088</v>
      </c>
      <c r="D12" s="26">
        <v>384557</v>
      </c>
      <c r="E12" s="31">
        <v>388218</v>
      </c>
      <c r="F12" s="20">
        <v>294061</v>
      </c>
      <c r="G12" s="26">
        <v>403554</v>
      </c>
      <c r="H12" s="26">
        <v>428288</v>
      </c>
      <c r="I12" s="20">
        <v>203436</v>
      </c>
      <c r="J12" s="26">
        <v>445159</v>
      </c>
      <c r="K12" s="26">
        <v>483472</v>
      </c>
      <c r="L12" s="27">
        <v>455238</v>
      </c>
      <c r="M12" s="28">
        <v>508567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30">
        <v>250252</v>
      </c>
      <c r="C13" s="33">
        <v>218942</v>
      </c>
      <c r="D13" s="26">
        <v>342136</v>
      </c>
      <c r="E13" s="31">
        <v>398057</v>
      </c>
      <c r="F13" s="20">
        <v>170339</v>
      </c>
      <c r="G13" s="26">
        <v>383005</v>
      </c>
      <c r="H13" s="26">
        <v>386683</v>
      </c>
      <c r="I13" s="26">
        <v>409099</v>
      </c>
      <c r="J13" s="26">
        <v>440048</v>
      </c>
      <c r="K13" s="20">
        <v>337928</v>
      </c>
      <c r="L13" s="27">
        <v>463715</v>
      </c>
      <c r="M13" s="28">
        <v>486696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25">
        <v>278926</v>
      </c>
      <c r="C14" s="26">
        <v>392505</v>
      </c>
      <c r="D14" s="26">
        <v>389206</v>
      </c>
      <c r="E14" s="20">
        <v>237089</v>
      </c>
      <c r="F14" s="33">
        <v>161052</v>
      </c>
      <c r="G14" s="26">
        <v>404338</v>
      </c>
      <c r="H14" s="20">
        <v>290336</v>
      </c>
      <c r="I14" s="26">
        <v>402838</v>
      </c>
      <c r="J14" s="26">
        <v>463573</v>
      </c>
      <c r="K14" s="20">
        <v>211198</v>
      </c>
      <c r="L14" s="27">
        <v>469172</v>
      </c>
      <c r="M14" s="28">
        <v>515771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25">
        <v>183690</v>
      </c>
      <c r="C15" s="26">
        <v>399745</v>
      </c>
      <c r="D15" s="26">
        <v>389354</v>
      </c>
      <c r="E15" s="20">
        <v>175943</v>
      </c>
      <c r="F15" s="26">
        <v>374424</v>
      </c>
      <c r="G15" s="26">
        <v>414666</v>
      </c>
      <c r="H15" s="20">
        <v>187887</v>
      </c>
      <c r="I15" s="26">
        <v>424622</v>
      </c>
      <c r="J15" s="20">
        <v>332245</v>
      </c>
      <c r="K15" s="26">
        <v>438462</v>
      </c>
      <c r="L15" s="27">
        <v>471604</v>
      </c>
      <c r="M15" s="29">
        <v>392152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30">
        <v>372256</v>
      </c>
      <c r="C16" s="26">
        <v>389185</v>
      </c>
      <c r="D16" s="26">
        <v>399480</v>
      </c>
      <c r="E16" s="31">
        <v>384306</v>
      </c>
      <c r="F16" s="26">
        <v>391344</v>
      </c>
      <c r="G16" s="20">
        <v>297265</v>
      </c>
      <c r="H16" s="26">
        <v>428799</v>
      </c>
      <c r="I16" s="26">
        <v>444905</v>
      </c>
      <c r="J16" s="20">
        <v>200122</v>
      </c>
      <c r="K16" s="26">
        <v>460639</v>
      </c>
      <c r="L16" s="27">
        <v>496324</v>
      </c>
      <c r="M16" s="29">
        <v>266120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30">
        <v>359348</v>
      </c>
      <c r="C17" s="26">
        <v>415029</v>
      </c>
      <c r="D17" s="20">
        <v>294897</v>
      </c>
      <c r="E17" s="31">
        <v>388821</v>
      </c>
      <c r="F17" s="26">
        <v>385737</v>
      </c>
      <c r="G17" s="20">
        <v>146053</v>
      </c>
      <c r="H17" s="26">
        <v>443090</v>
      </c>
      <c r="I17" s="26">
        <v>489220</v>
      </c>
      <c r="J17" s="33">
        <v>233509</v>
      </c>
      <c r="K17" s="26">
        <v>459153</v>
      </c>
      <c r="L17" s="32">
        <v>359853</v>
      </c>
      <c r="M17" s="28">
        <v>487610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30">
        <v>371954</v>
      </c>
      <c r="C18" s="20">
        <v>322023</v>
      </c>
      <c r="D18" s="20">
        <v>186279</v>
      </c>
      <c r="E18" s="31">
        <v>400078</v>
      </c>
      <c r="F18" s="26">
        <v>410718</v>
      </c>
      <c r="G18" s="26">
        <v>381437</v>
      </c>
      <c r="H18" s="26">
        <v>439422</v>
      </c>
      <c r="I18" s="20">
        <v>279402</v>
      </c>
      <c r="J18" s="26">
        <v>458609</v>
      </c>
      <c r="K18" s="26">
        <v>453937</v>
      </c>
      <c r="L18" s="32">
        <v>220047</v>
      </c>
      <c r="M18" s="28">
        <v>489536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30">
        <v>366434</v>
      </c>
      <c r="C19" s="20">
        <v>213227</v>
      </c>
      <c r="D19" s="26">
        <v>380630</v>
      </c>
      <c r="E19" s="31">
        <v>388969</v>
      </c>
      <c r="F19" s="20">
        <v>288421</v>
      </c>
      <c r="G19" s="26">
        <v>392281</v>
      </c>
      <c r="H19" s="26">
        <v>436653</v>
      </c>
      <c r="I19" s="20">
        <v>183926</v>
      </c>
      <c r="J19" s="26">
        <v>452108</v>
      </c>
      <c r="K19" s="26">
        <v>475814</v>
      </c>
      <c r="L19" s="27">
        <v>461158</v>
      </c>
      <c r="M19" s="28">
        <v>506997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30">
        <v>411914</v>
      </c>
      <c r="C20" s="26">
        <v>376111</v>
      </c>
      <c r="D20" s="26">
        <v>397862</v>
      </c>
      <c r="E20" s="31">
        <v>409691</v>
      </c>
      <c r="F20" s="20">
        <v>188778</v>
      </c>
      <c r="G20" s="26">
        <v>404476</v>
      </c>
      <c r="H20" s="691">
        <v>478213</v>
      </c>
      <c r="I20" s="26">
        <v>417717</v>
      </c>
      <c r="J20" s="26">
        <v>463144</v>
      </c>
      <c r="K20" s="20">
        <v>362292</v>
      </c>
      <c r="L20" s="27">
        <v>474751</v>
      </c>
      <c r="M20" s="28">
        <v>516034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25">
        <v>306195</v>
      </c>
      <c r="C21" s="26">
        <v>397111</v>
      </c>
      <c r="D21" s="26">
        <v>397101</v>
      </c>
      <c r="E21" s="20">
        <v>296564</v>
      </c>
      <c r="F21" s="26">
        <v>401837</v>
      </c>
      <c r="G21" s="26">
        <v>406741</v>
      </c>
      <c r="H21" s="20">
        <v>331282</v>
      </c>
      <c r="I21" s="26">
        <v>445300</v>
      </c>
      <c r="J21" s="26">
        <v>477379</v>
      </c>
      <c r="K21" s="20">
        <v>195067</v>
      </c>
      <c r="L21" s="27">
        <v>495249</v>
      </c>
      <c r="M21" s="693">
        <v>517929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25">
        <v>180675</v>
      </c>
      <c r="C22" s="26">
        <v>398764</v>
      </c>
      <c r="D22" s="26">
        <v>390747</v>
      </c>
      <c r="E22" s="20">
        <v>191777</v>
      </c>
      <c r="F22" s="26">
        <v>401794</v>
      </c>
      <c r="G22" s="691">
        <v>434524</v>
      </c>
      <c r="H22" s="20">
        <v>210090</v>
      </c>
      <c r="I22" s="26">
        <v>462193</v>
      </c>
      <c r="J22" s="20">
        <v>342286</v>
      </c>
      <c r="K22" s="26">
        <v>448539</v>
      </c>
      <c r="L22" s="27">
        <v>480499</v>
      </c>
      <c r="M22" s="29">
        <v>402277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30">
        <v>376502</v>
      </c>
      <c r="C23" s="26">
        <v>392740</v>
      </c>
      <c r="D23" s="691">
        <v>408243</v>
      </c>
      <c r="E23" s="31">
        <v>391490</v>
      </c>
      <c r="F23" s="26">
        <v>411296</v>
      </c>
      <c r="G23" s="20">
        <v>301410</v>
      </c>
      <c r="H23" s="26">
        <v>436932</v>
      </c>
      <c r="I23" s="26">
        <v>453956</v>
      </c>
      <c r="J23" s="20">
        <v>213603</v>
      </c>
      <c r="K23" s="26">
        <v>459283</v>
      </c>
      <c r="L23" s="698">
        <v>509492</v>
      </c>
      <c r="M23" s="29">
        <v>284947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30">
        <v>379350</v>
      </c>
      <c r="C24" s="26">
        <v>404834</v>
      </c>
      <c r="D24" s="20">
        <v>308072</v>
      </c>
      <c r="E24" s="31">
        <v>393872</v>
      </c>
      <c r="F24" s="26">
        <v>393434</v>
      </c>
      <c r="G24" s="20">
        <v>191823</v>
      </c>
      <c r="H24" s="26">
        <v>433887</v>
      </c>
      <c r="I24" s="26">
        <v>444700</v>
      </c>
      <c r="J24" s="26">
        <v>433039</v>
      </c>
      <c r="K24" s="26">
        <v>461554</v>
      </c>
      <c r="L24" s="32">
        <v>373245</v>
      </c>
      <c r="M24" s="28">
        <v>488215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30">
        <v>394242</v>
      </c>
      <c r="C25" s="20">
        <v>301007</v>
      </c>
      <c r="D25" s="20">
        <v>188577</v>
      </c>
      <c r="E25" s="31">
        <v>399823</v>
      </c>
      <c r="F25" s="26">
        <v>410566</v>
      </c>
      <c r="G25" s="26">
        <v>400141</v>
      </c>
      <c r="H25" s="26">
        <v>441606</v>
      </c>
      <c r="I25" s="20">
        <v>333199</v>
      </c>
      <c r="J25" s="26">
        <v>443279</v>
      </c>
      <c r="K25" s="26">
        <v>416088</v>
      </c>
      <c r="L25" s="32">
        <v>233748</v>
      </c>
      <c r="M25" s="28">
        <v>500957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30">
        <v>382111</v>
      </c>
      <c r="C26" s="20">
        <v>187156</v>
      </c>
      <c r="D26" s="26">
        <v>386902</v>
      </c>
      <c r="E26" s="31">
        <v>384977</v>
      </c>
      <c r="F26" s="20">
        <v>288155</v>
      </c>
      <c r="G26" s="26">
        <v>406391</v>
      </c>
      <c r="H26" s="26">
        <v>438916</v>
      </c>
      <c r="I26" s="20">
        <v>206223</v>
      </c>
      <c r="J26" s="26">
        <v>450067</v>
      </c>
      <c r="K26" s="26">
        <v>481133</v>
      </c>
      <c r="L26" s="27">
        <v>468172</v>
      </c>
      <c r="M26" s="28">
        <v>496431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695">
        <v>415819</v>
      </c>
      <c r="C27" s="26">
        <v>390725</v>
      </c>
      <c r="D27" s="26">
        <v>391872</v>
      </c>
      <c r="E27" s="31">
        <v>404823</v>
      </c>
      <c r="F27" s="20">
        <v>187568</v>
      </c>
      <c r="G27" s="26">
        <v>402317</v>
      </c>
      <c r="H27" s="26">
        <v>457209</v>
      </c>
      <c r="I27" s="26">
        <v>447373</v>
      </c>
      <c r="J27" s="26">
        <v>441738</v>
      </c>
      <c r="K27" s="20">
        <v>335893</v>
      </c>
      <c r="L27" s="27">
        <v>483052</v>
      </c>
      <c r="M27" s="28">
        <v>471977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25">
        <v>287154</v>
      </c>
      <c r="C28" s="26">
        <v>396731</v>
      </c>
      <c r="D28" s="26">
        <v>384578</v>
      </c>
      <c r="E28" s="20">
        <v>285274</v>
      </c>
      <c r="F28" s="26">
        <v>391446</v>
      </c>
      <c r="G28" s="26">
        <v>402879</v>
      </c>
      <c r="H28" s="20">
        <v>318468</v>
      </c>
      <c r="I28" s="26">
        <v>461035</v>
      </c>
      <c r="J28" s="26">
        <v>486306</v>
      </c>
      <c r="K28" s="20">
        <v>223322</v>
      </c>
      <c r="L28" s="27">
        <v>478460</v>
      </c>
      <c r="M28" s="28">
        <v>497503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25">
        <v>185961</v>
      </c>
      <c r="C29" s="26">
        <v>416189</v>
      </c>
      <c r="D29" s="35"/>
      <c r="E29" s="20">
        <v>179517</v>
      </c>
      <c r="F29" s="26">
        <v>397630</v>
      </c>
      <c r="G29" s="26">
        <v>420372</v>
      </c>
      <c r="H29" s="20">
        <v>172988</v>
      </c>
      <c r="I29" s="26">
        <v>455884</v>
      </c>
      <c r="J29" s="20">
        <v>334315</v>
      </c>
      <c r="K29" s="26">
        <v>459192</v>
      </c>
      <c r="L29" s="27">
        <v>470338</v>
      </c>
      <c r="M29" s="36">
        <v>228117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30">
        <v>381331</v>
      </c>
      <c r="C30" s="33">
        <v>268466</v>
      </c>
      <c r="D30" s="35"/>
      <c r="E30" s="31">
        <v>355396</v>
      </c>
      <c r="F30" s="26">
        <v>400427</v>
      </c>
      <c r="G30" s="20">
        <v>299201</v>
      </c>
      <c r="H30" s="26">
        <v>410913</v>
      </c>
      <c r="I30" s="26">
        <v>464152</v>
      </c>
      <c r="J30" s="20">
        <v>212089</v>
      </c>
      <c r="K30" s="26">
        <v>447625</v>
      </c>
      <c r="L30" s="27">
        <v>491579</v>
      </c>
      <c r="M30" s="36">
        <v>188392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30">
        <v>382840</v>
      </c>
      <c r="C31" s="691">
        <v>418778</v>
      </c>
      <c r="D31" s="35"/>
      <c r="E31" s="31">
        <v>386664</v>
      </c>
      <c r="F31" s="26">
        <v>393107</v>
      </c>
      <c r="G31" s="20">
        <v>185939</v>
      </c>
      <c r="H31" s="26">
        <v>439390</v>
      </c>
      <c r="I31" s="691">
        <v>489526</v>
      </c>
      <c r="J31" s="26">
        <v>443915</v>
      </c>
      <c r="K31" s="26">
        <v>478202</v>
      </c>
      <c r="L31" s="32">
        <v>351424</v>
      </c>
      <c r="M31" s="36">
        <v>211432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30">
        <v>383176</v>
      </c>
      <c r="C32" s="20">
        <v>300969</v>
      </c>
      <c r="D32" s="35"/>
      <c r="E32" s="31">
        <v>391543</v>
      </c>
      <c r="F32" s="26">
        <v>410809</v>
      </c>
      <c r="G32" s="26">
        <v>402188</v>
      </c>
      <c r="H32" s="26">
        <v>439470</v>
      </c>
      <c r="I32" s="20">
        <v>328767</v>
      </c>
      <c r="J32" s="26">
        <v>459312</v>
      </c>
      <c r="K32" s="26">
        <v>471978</v>
      </c>
      <c r="L32" s="32">
        <v>231406</v>
      </c>
      <c r="M32" s="28">
        <v>421753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f>A6+27</f>
        <v>28</v>
      </c>
      <c r="B33" s="30">
        <v>381679</v>
      </c>
      <c r="C33" s="20">
        <v>190484</v>
      </c>
      <c r="D33" s="26">
        <v>367847</v>
      </c>
      <c r="E33" s="31">
        <v>383857</v>
      </c>
      <c r="F33" s="20">
        <v>287378</v>
      </c>
      <c r="G33" s="26">
        <v>408429</v>
      </c>
      <c r="H33" s="26">
        <v>435809</v>
      </c>
      <c r="I33" s="20">
        <v>203636</v>
      </c>
      <c r="J33" s="26">
        <v>443027</v>
      </c>
      <c r="K33" s="691">
        <v>501738</v>
      </c>
      <c r="L33" s="27">
        <v>474675</v>
      </c>
      <c r="M33" s="28">
        <v>404719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30">
        <v>414993</v>
      </c>
      <c r="C34" s="26">
        <v>403844</v>
      </c>
      <c r="D34" s="26">
        <v>383334</v>
      </c>
      <c r="E34" s="697">
        <v>416818</v>
      </c>
      <c r="F34" s="20">
        <v>174136</v>
      </c>
      <c r="G34" s="26">
        <v>416872</v>
      </c>
      <c r="H34" s="26">
        <v>465735</v>
      </c>
      <c r="I34" s="33">
        <v>238270</v>
      </c>
      <c r="J34" s="26">
        <v>445239</v>
      </c>
      <c r="K34" s="20">
        <v>344947</v>
      </c>
      <c r="L34" s="27">
        <v>507515</v>
      </c>
      <c r="M34" s="28">
        <v>419003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25">
        <v>293663</v>
      </c>
      <c r="C35" s="37"/>
      <c r="D35" s="26">
        <v>387214</v>
      </c>
      <c r="E35" s="20">
        <v>296564</v>
      </c>
      <c r="F35" s="26">
        <v>339777</v>
      </c>
      <c r="G35" s="26">
        <v>416918</v>
      </c>
      <c r="H35" s="20">
        <v>334465</v>
      </c>
      <c r="I35" s="26">
        <v>459101</v>
      </c>
      <c r="J35" s="691">
        <v>494874</v>
      </c>
      <c r="K35" s="20">
        <v>206342</v>
      </c>
      <c r="L35" s="33">
        <v>324483</v>
      </c>
      <c r="M35" s="36">
        <v>204312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38">
        <f>A6+30</f>
        <v>31</v>
      </c>
      <c r="B36" s="39">
        <v>193130</v>
      </c>
      <c r="C36" s="40"/>
      <c r="D36" s="41">
        <v>376544</v>
      </c>
      <c r="E36" s="40"/>
      <c r="F36" s="41">
        <v>390135</v>
      </c>
      <c r="G36" s="40"/>
      <c r="H36" s="42">
        <v>206226</v>
      </c>
      <c r="I36" s="41">
        <v>460355</v>
      </c>
      <c r="J36" s="43"/>
      <c r="K36" s="44">
        <v>203723</v>
      </c>
      <c r="L36" s="43"/>
      <c r="M36" s="36">
        <v>163211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46">
        <f>AVERAGE(B6:B36)</f>
        <v>316521.61290322582</v>
      </c>
      <c r="C37" s="46">
        <f t="shared" ref="C37:M37" si="0">AVERAGE(C6:C36)</f>
        <v>344696.31034482759</v>
      </c>
      <c r="D37" s="46">
        <f t="shared" si="0"/>
        <v>356638.85185185185</v>
      </c>
      <c r="E37" s="46">
        <f t="shared" si="0"/>
        <v>346145.96666666667</v>
      </c>
      <c r="F37" s="46">
        <f t="shared" si="0"/>
        <v>339386.25806451612</v>
      </c>
      <c r="G37" s="46">
        <f t="shared" si="0"/>
        <v>360439.7</v>
      </c>
      <c r="H37" s="46">
        <f t="shared" si="0"/>
        <v>372249.19354838709</v>
      </c>
      <c r="I37" s="46">
        <f t="shared" si="0"/>
        <v>393143.41935483873</v>
      </c>
      <c r="J37" s="46">
        <f t="shared" si="0"/>
        <v>396676.46666666667</v>
      </c>
      <c r="K37" s="46">
        <f t="shared" si="0"/>
        <v>394242.67741935485</v>
      </c>
      <c r="L37" s="46">
        <f t="shared" si="0"/>
        <v>409412.43333333335</v>
      </c>
      <c r="M37" s="47">
        <f t="shared" si="0"/>
        <v>408560.41935483873</v>
      </c>
    </row>
    <row r="38" spans="1:22">
      <c r="A38" s="48" t="s">
        <v>20</v>
      </c>
      <c r="B38" s="49">
        <f>AVERAGE(B9:B13,B16:B20,B23:B27,B30:B34)</f>
        <v>372020</v>
      </c>
      <c r="C38" s="50">
        <f>AVERAGE(C6:C10,C14:C17,C20:C24,C27:C29,C31,C34)</f>
        <v>395756.10526315792</v>
      </c>
      <c r="D38" s="50">
        <f>AVERAGE(D6:D9,D12:D16,D19:D23,D26:D28,D33:D36)</f>
        <v>388550.28571428574</v>
      </c>
      <c r="E38" s="50">
        <f>AVERAGE(E6,E9:E13,E16:E20,E23:E27,E30:E34)</f>
        <v>392845.76190476189</v>
      </c>
      <c r="F38" s="50">
        <f>AVERAGE(F7:F11,F15:F18,F21:F25,F28:F32,F35:F36)</f>
        <v>394550.95238095237</v>
      </c>
      <c r="G38" s="50">
        <f>AVERAGE(G6:G8,G11:G15,G18:G22,G25:G29,G32:G35)</f>
        <v>404822.36363636365</v>
      </c>
      <c r="H38" s="50">
        <f>AVERAGE(H6,H9:H10,H12:H13,H16:H20,H23:H27,H30:H34)</f>
        <v>437171.8</v>
      </c>
      <c r="I38" s="50">
        <f>AVERAGE(I6:I10,I13:I17,I20:I24,I27:I31,I35:I36)</f>
        <v>449199.31818181818</v>
      </c>
      <c r="J38" s="50">
        <f>AVERAGE(J6:J7,J10:J14,J18:J21,J24:J28,J31:J35)</f>
        <v>452897</v>
      </c>
      <c r="K38" s="50">
        <f>AVERAGE(K8:K12,K15:K19,K22:K26,K29:K33)</f>
        <v>461563.85</v>
      </c>
      <c r="L38" s="50">
        <f>AVERAGE(L7:L9,L12:L16,L19:L23,L26:L30,L33:L34)</f>
        <v>474014.6</v>
      </c>
      <c r="M38" s="51">
        <f>AVERAGE(M6:M7,M10:M14,M17:M21,M24:M28,M32:M34)</f>
        <v>485548.1</v>
      </c>
    </row>
    <row r="39" spans="1:22">
      <c r="A39" s="52" t="s">
        <v>21</v>
      </c>
      <c r="B39" s="49">
        <v>268597.59999999998</v>
      </c>
      <c r="C39" s="53">
        <v>303866</v>
      </c>
      <c r="D39" s="53">
        <f>AVERAGE(D17,D24)</f>
        <v>301484.5</v>
      </c>
      <c r="E39" s="53">
        <v>291728.25</v>
      </c>
      <c r="F39" s="53">
        <v>289503.75</v>
      </c>
      <c r="G39" s="53">
        <v>297447.25</v>
      </c>
      <c r="H39" s="53">
        <v>315379</v>
      </c>
      <c r="I39" s="53">
        <v>317392.5</v>
      </c>
      <c r="J39" s="53">
        <v>333690</v>
      </c>
      <c r="K39" s="53">
        <f>AVERAGE(K13,K6,K20,K27,K34)</f>
        <v>346096.2</v>
      </c>
      <c r="L39" s="53">
        <f>AVERAGE(L10,L17,L24,L31)</f>
        <v>356023.5</v>
      </c>
      <c r="M39" s="54">
        <f>AVERAGE(M8,M15,M22)</f>
        <v>389201.66666666669</v>
      </c>
    </row>
    <row r="40" spans="1:22">
      <c r="A40" s="52" t="s">
        <v>22</v>
      </c>
      <c r="B40" s="49">
        <v>171463.66666666666</v>
      </c>
      <c r="C40" s="53">
        <v>210227.16666666666</v>
      </c>
      <c r="D40" s="53">
        <v>188451.33333333334</v>
      </c>
      <c r="E40" s="53">
        <v>193541</v>
      </c>
      <c r="F40" s="53">
        <v>179564.83333333334</v>
      </c>
      <c r="G40" s="53">
        <v>179327.5</v>
      </c>
      <c r="H40" s="53">
        <v>203232.33333333334</v>
      </c>
      <c r="I40" s="53">
        <v>207098.2</v>
      </c>
      <c r="J40" s="53">
        <v>210939.4</v>
      </c>
      <c r="K40" s="53">
        <f>AVERAGE(K7,K14,K21,K28,K35,K36)</f>
        <v>209960.83333333334</v>
      </c>
      <c r="L40" s="53">
        <f>AVERAGE(L6,L11,L18,L25,L32,L35)</f>
        <v>229664.5</v>
      </c>
      <c r="M40" s="54">
        <f>AVERAGE(M9,M16,M23,M29:M31,M35:M36)</f>
        <v>223350.75</v>
      </c>
    </row>
    <row r="41" spans="1:22">
      <c r="A41" s="52" t="s">
        <v>23</v>
      </c>
      <c r="B41" s="49">
        <f>AVERAGE(B6:B8,B14:B15,B21:B22,B28:B29,B35:B36)</f>
        <v>215615.45454545456</v>
      </c>
      <c r="C41" s="53">
        <f>AVERAGE(C11:C13,C18:C19,C25:C26,C30,C32:C33)</f>
        <v>247682.7</v>
      </c>
      <c r="D41" s="53">
        <f>AVERAGE(D10:D11,D17:D18,D24:D25)</f>
        <v>244948.83333333334</v>
      </c>
      <c r="E41" s="53">
        <f>AVERAGE(E7:E8,E14:E15,E21:E22,E28:E29,E35)</f>
        <v>237179.77777777778</v>
      </c>
      <c r="F41" s="53">
        <f>AVERAGE(F6,F12:F14,F19:F20,F26:F27,F33:F34)</f>
        <v>223540.4</v>
      </c>
      <c r="G41" s="53">
        <f>AVERAGE(G9:G10,G16:G17,G23:G24,G30:G31)</f>
        <v>238387.375</v>
      </c>
      <c r="H41" s="53">
        <f>AVERAGE(H7:H8,H11,H14:H15,H21:H22,H28:H29,H35:H36)</f>
        <v>254208.09090909091</v>
      </c>
      <c r="I41" s="53">
        <f>AVERAGE(I11:I12,I18:I19,I25:I26,I32:I34)</f>
        <v>256117.88888888888</v>
      </c>
      <c r="J41" s="53">
        <f>AVERAGE(J8:J9,J15:J17,J22:J23,J29:J30)</f>
        <v>265495.22222222225</v>
      </c>
      <c r="K41" s="53">
        <f>AVERAGE(K6:K7,K13:K14,K20:K21,K27:K28,K34:K36)</f>
        <v>271840.54545454547</v>
      </c>
      <c r="L41" s="53">
        <f>AVERAGE(L6,L10:L11,L17:L18,L24:L25,L31:L32,L35)</f>
        <v>280208.09999999998</v>
      </c>
      <c r="M41" s="54">
        <f>AVERAGE(M8:M9,M15:M16,M22:M23,M29:M31,M35:M36)</f>
        <v>268582.81818181818</v>
      </c>
    </row>
    <row r="42" spans="1:22">
      <c r="A42" s="52" t="s">
        <v>24</v>
      </c>
      <c r="B42" s="49">
        <f>MAX(B6:B37)</f>
        <v>415819</v>
      </c>
      <c r="C42" s="53">
        <f t="shared" ref="C42:M42" si="1">MAX(C6:C37)</f>
        <v>418778</v>
      </c>
      <c r="D42" s="53">
        <f t="shared" si="1"/>
        <v>408243</v>
      </c>
      <c r="E42" s="53">
        <f t="shared" si="1"/>
        <v>416818</v>
      </c>
      <c r="F42" s="53">
        <f t="shared" si="1"/>
        <v>420236</v>
      </c>
      <c r="G42" s="53">
        <f t="shared" si="1"/>
        <v>434524</v>
      </c>
      <c r="H42" s="53">
        <f t="shared" si="1"/>
        <v>478213</v>
      </c>
      <c r="I42" s="53">
        <f t="shared" si="1"/>
        <v>489526</v>
      </c>
      <c r="J42" s="53">
        <f>MAX(J6:J37)</f>
        <v>494874</v>
      </c>
      <c r="K42" s="53">
        <f t="shared" si="1"/>
        <v>501738</v>
      </c>
      <c r="L42" s="53">
        <f t="shared" si="1"/>
        <v>509492</v>
      </c>
      <c r="M42" s="54">
        <f t="shared" si="1"/>
        <v>517929</v>
      </c>
    </row>
    <row r="43" spans="1:22">
      <c r="A43" s="52" t="s">
        <v>47</v>
      </c>
      <c r="B43" s="49">
        <f>MIN(B6:B36)</f>
        <v>106936</v>
      </c>
      <c r="C43" s="53">
        <f t="shared" ref="C43:M43" si="2">MIN(C6:C36)</f>
        <v>183088</v>
      </c>
      <c r="D43" s="53">
        <f t="shared" si="2"/>
        <v>186279</v>
      </c>
      <c r="E43" s="53">
        <f t="shared" si="2"/>
        <v>175943</v>
      </c>
      <c r="F43" s="53">
        <f t="shared" si="2"/>
        <v>161052</v>
      </c>
      <c r="G43" s="53">
        <f t="shared" si="2"/>
        <v>146053</v>
      </c>
      <c r="H43" s="53">
        <f t="shared" si="2"/>
        <v>172988</v>
      </c>
      <c r="I43" s="53">
        <f t="shared" si="2"/>
        <v>183926</v>
      </c>
      <c r="J43" s="53">
        <f t="shared" si="2"/>
        <v>195374</v>
      </c>
      <c r="K43" s="53">
        <f t="shared" si="2"/>
        <v>195067</v>
      </c>
      <c r="L43" s="53">
        <f t="shared" si="2"/>
        <v>167666</v>
      </c>
      <c r="M43" s="54">
        <f t="shared" si="2"/>
        <v>163211</v>
      </c>
    </row>
    <row r="44" spans="1:22" ht="12.75" thickBot="1">
      <c r="A44" s="55" t="s">
        <v>25</v>
      </c>
      <c r="B44" s="56">
        <f>SUM(B6:B36)</f>
        <v>9812170</v>
      </c>
      <c r="C44" s="57">
        <f t="shared" ref="C44:M44" si="3">SUM(C6:C36)</f>
        <v>9996193</v>
      </c>
      <c r="D44" s="57">
        <f t="shared" si="3"/>
        <v>9629249</v>
      </c>
      <c r="E44" s="57">
        <f t="shared" si="3"/>
        <v>10384379</v>
      </c>
      <c r="F44" s="57">
        <f t="shared" si="3"/>
        <v>10520974</v>
      </c>
      <c r="G44" s="57">
        <f t="shared" si="3"/>
        <v>10813191</v>
      </c>
      <c r="H44" s="57">
        <f t="shared" si="3"/>
        <v>11539725</v>
      </c>
      <c r="I44" s="57">
        <f t="shared" si="3"/>
        <v>12187446</v>
      </c>
      <c r="J44" s="57">
        <f t="shared" si="3"/>
        <v>11900294</v>
      </c>
      <c r="K44" s="57">
        <f t="shared" si="3"/>
        <v>12221523</v>
      </c>
      <c r="L44" s="57">
        <f t="shared" si="3"/>
        <v>12282373</v>
      </c>
      <c r="M44" s="58">
        <f t="shared" si="3"/>
        <v>12665373</v>
      </c>
      <c r="P44" s="59"/>
    </row>
    <row r="45" spans="1:22" s="60" customFormat="1" ht="11.25"/>
    <row r="46" spans="1:22">
      <c r="A46" s="61"/>
    </row>
    <row r="47" spans="1:22" ht="15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O47" s="64"/>
    </row>
    <row r="48" spans="1:22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</row>
    <row r="49" spans="1:13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1:13">
      <c r="A50" s="65"/>
      <c r="H50" s="66"/>
      <c r="I50" s="66"/>
      <c r="J50" s="66"/>
      <c r="K50" s="66"/>
      <c r="L50" s="66"/>
      <c r="M50" s="66"/>
    </row>
    <row r="52" spans="1:13">
      <c r="A52" s="67"/>
      <c r="B52" s="68"/>
    </row>
  </sheetData>
  <mergeCells count="2">
    <mergeCell ref="E1:I1"/>
    <mergeCell ref="E2:I3"/>
  </mergeCells>
  <conditionalFormatting sqref="B6:M36">
    <cfRule type="top10" dxfId="29" priority="1" rank="1"/>
  </conditionalFormatting>
  <printOptions horizontalCentered="1" verticalCentered="1"/>
  <pageMargins left="0.25" right="0" top="0.25" bottom="0.25" header="0.31" footer="0.31"/>
  <pageSetup paperSize="5" scale="94" orientation="landscape" r:id="rId1"/>
  <rowBreaks count="1" manualBreakCount="1">
    <brk id="45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V52"/>
  <sheetViews>
    <sheetView view="pageBreakPreview" zoomScaleNormal="120" zoomScaleSheetLayoutView="100" zoomScalePageLayoutView="120" workbookViewId="0">
      <pane xSplit="1" ySplit="5" topLeftCell="M6" activePane="bottomRight" state="frozen"/>
      <selection pane="bottomRight" activeCell="M6" sqref="M6"/>
      <selection pane="bottomLeft" activeCell="Q11" sqref="P11:Q11"/>
      <selection pane="topRight" activeCell="Q11" sqref="P11:Q1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 customHeight="1">
      <c r="A1" s="1"/>
      <c r="B1" s="2"/>
      <c r="C1" s="2"/>
      <c r="E1" s="747" t="s">
        <v>0</v>
      </c>
      <c r="F1" s="747"/>
      <c r="G1" s="747"/>
      <c r="H1" s="747"/>
      <c r="I1" s="747"/>
    </row>
    <row r="2" spans="1:22" s="3" customFormat="1" ht="18" customHeight="1">
      <c r="A2" s="1"/>
      <c r="B2" s="2"/>
      <c r="C2" s="2"/>
      <c r="E2" s="747" t="s">
        <v>1</v>
      </c>
      <c r="F2" s="747"/>
      <c r="G2" s="747"/>
      <c r="H2" s="747"/>
      <c r="I2" s="747"/>
    </row>
    <row r="3" spans="1:22" s="3" customFormat="1" ht="15" customHeight="1">
      <c r="A3" s="5" t="s">
        <v>54</v>
      </c>
      <c r="B3" s="6"/>
      <c r="C3" s="2"/>
      <c r="E3" s="747"/>
      <c r="F3" s="747"/>
      <c r="G3" s="747"/>
      <c r="H3" s="747"/>
      <c r="I3" s="747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16">
        <v>138750</v>
      </c>
      <c r="C6" s="17">
        <v>485427</v>
      </c>
      <c r="D6" s="17">
        <v>489077</v>
      </c>
      <c r="E6" s="112">
        <v>332832</v>
      </c>
      <c r="F6" s="113">
        <v>195791</v>
      </c>
      <c r="G6" s="17">
        <v>448030</v>
      </c>
      <c r="H6" s="114">
        <v>332461</v>
      </c>
      <c r="I6" s="26">
        <v>463091</v>
      </c>
      <c r="J6" s="16">
        <v>294000</v>
      </c>
      <c r="K6" s="82">
        <v>220356</v>
      </c>
      <c r="L6" s="21">
        <v>167686</v>
      </c>
      <c r="M6" s="666">
        <v>439523</v>
      </c>
      <c r="N6" s="23"/>
      <c r="P6" s="2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16">
        <v>222873</v>
      </c>
      <c r="C7" s="26">
        <v>468509</v>
      </c>
      <c r="D7" s="26">
        <v>472200</v>
      </c>
      <c r="E7" s="82">
        <v>212348</v>
      </c>
      <c r="F7" s="26">
        <v>473437</v>
      </c>
      <c r="G7" s="26">
        <v>448342</v>
      </c>
      <c r="H7" s="115">
        <v>198889</v>
      </c>
      <c r="I7" s="26">
        <v>455875</v>
      </c>
      <c r="J7" s="116">
        <v>307246</v>
      </c>
      <c r="K7" s="118">
        <v>445302</v>
      </c>
      <c r="L7" s="27">
        <v>388745</v>
      </c>
      <c r="M7" s="95">
        <v>327882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30">
        <v>426830</v>
      </c>
      <c r="C8" s="26">
        <v>498423</v>
      </c>
      <c r="D8" s="26">
        <v>495795</v>
      </c>
      <c r="E8" s="26">
        <v>466570</v>
      </c>
      <c r="F8" s="662">
        <v>464252</v>
      </c>
      <c r="G8" s="82">
        <v>319851</v>
      </c>
      <c r="H8" s="27">
        <v>444243</v>
      </c>
      <c r="I8" s="26">
        <v>453245</v>
      </c>
      <c r="J8" s="116">
        <v>208622</v>
      </c>
      <c r="K8" s="26">
        <v>471614</v>
      </c>
      <c r="L8" s="27">
        <v>444534</v>
      </c>
      <c r="M8" s="95">
        <v>221102</v>
      </c>
      <c r="N8" s="23"/>
      <c r="P8" s="2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30">
        <v>449262</v>
      </c>
      <c r="C9" s="82">
        <v>346690</v>
      </c>
      <c r="D9" s="82">
        <v>339299</v>
      </c>
      <c r="E9" s="26">
        <v>474597</v>
      </c>
      <c r="F9" s="26">
        <v>451045</v>
      </c>
      <c r="G9" s="82">
        <v>203962</v>
      </c>
      <c r="H9" s="27">
        <v>439154</v>
      </c>
      <c r="I9" s="117">
        <v>485522</v>
      </c>
      <c r="J9" s="30">
        <v>453604</v>
      </c>
      <c r="K9" s="118">
        <v>458431</v>
      </c>
      <c r="L9" s="115">
        <v>295975</v>
      </c>
      <c r="M9" s="28">
        <v>409139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30">
        <v>449942</v>
      </c>
      <c r="C10" s="82">
        <v>219420</v>
      </c>
      <c r="D10" s="82">
        <v>217812</v>
      </c>
      <c r="E10" s="26">
        <v>464527</v>
      </c>
      <c r="F10" s="26">
        <v>473341</v>
      </c>
      <c r="G10" s="26">
        <v>418844</v>
      </c>
      <c r="H10" s="27">
        <v>419372</v>
      </c>
      <c r="I10" s="119">
        <v>336825</v>
      </c>
      <c r="J10" s="30">
        <v>453490</v>
      </c>
      <c r="K10" s="26">
        <v>453412</v>
      </c>
      <c r="L10" s="115">
        <v>203288</v>
      </c>
      <c r="M10" s="120">
        <v>426704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30">
        <v>482890</v>
      </c>
      <c r="C11" s="26">
        <v>459807</v>
      </c>
      <c r="D11" s="26">
        <v>464195</v>
      </c>
      <c r="E11" s="26">
        <v>463079</v>
      </c>
      <c r="F11" s="82">
        <v>323952</v>
      </c>
      <c r="G11" s="26">
        <v>436858</v>
      </c>
      <c r="H11" s="27">
        <v>445384</v>
      </c>
      <c r="I11" s="82">
        <v>215488</v>
      </c>
      <c r="J11" s="30">
        <v>466761</v>
      </c>
      <c r="K11" s="26">
        <v>484426</v>
      </c>
      <c r="L11" s="27">
        <v>413970</v>
      </c>
      <c r="M11" s="28">
        <v>432760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116">
        <v>335994</v>
      </c>
      <c r="C12" s="26">
        <v>477206</v>
      </c>
      <c r="D12" s="26">
        <v>469424</v>
      </c>
      <c r="E12" s="662">
        <v>486196</v>
      </c>
      <c r="F12" s="82">
        <v>204620</v>
      </c>
      <c r="G12" s="26">
        <v>440963</v>
      </c>
      <c r="H12" s="27">
        <v>471978</v>
      </c>
      <c r="I12" s="26">
        <v>453685</v>
      </c>
      <c r="J12" s="30">
        <v>453315</v>
      </c>
      <c r="K12" s="82">
        <v>332093</v>
      </c>
      <c r="L12" s="27">
        <v>412858</v>
      </c>
      <c r="M12" s="28">
        <v>422914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116">
        <v>216028</v>
      </c>
      <c r="C13" s="26">
        <v>480857</v>
      </c>
      <c r="D13" s="26">
        <v>401483</v>
      </c>
      <c r="E13" s="82">
        <v>331921</v>
      </c>
      <c r="F13" s="26">
        <v>446327</v>
      </c>
      <c r="G13" s="26">
        <v>434518</v>
      </c>
      <c r="H13" s="115">
        <v>323369</v>
      </c>
      <c r="I13" s="121">
        <v>460001</v>
      </c>
      <c r="J13" s="30">
        <v>475805</v>
      </c>
      <c r="K13" s="664">
        <v>212333</v>
      </c>
      <c r="L13" s="27">
        <v>422280</v>
      </c>
      <c r="M13" s="28">
        <v>423450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30">
        <v>457510</v>
      </c>
      <c r="C14" s="26">
        <v>470387</v>
      </c>
      <c r="D14" s="26">
        <v>467557</v>
      </c>
      <c r="E14" s="82">
        <v>200787</v>
      </c>
      <c r="F14" s="26">
        <v>448228</v>
      </c>
      <c r="G14" s="26">
        <v>461448</v>
      </c>
      <c r="H14" s="115">
        <v>200270</v>
      </c>
      <c r="I14" s="26">
        <v>448387</v>
      </c>
      <c r="J14" s="116">
        <v>330810</v>
      </c>
      <c r="K14" s="31">
        <v>446079</v>
      </c>
      <c r="L14" s="27">
        <v>434577</v>
      </c>
      <c r="M14" s="95">
        <v>334032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30">
        <v>479170</v>
      </c>
      <c r="C15" s="662">
        <v>506001</v>
      </c>
      <c r="D15" s="662">
        <v>493372</v>
      </c>
      <c r="E15" s="26">
        <v>454702</v>
      </c>
      <c r="F15" s="26">
        <v>456347</v>
      </c>
      <c r="G15" s="82">
        <v>299614</v>
      </c>
      <c r="H15" s="27">
        <v>446581</v>
      </c>
      <c r="I15" s="26">
        <v>452139</v>
      </c>
      <c r="J15" s="116">
        <v>209481</v>
      </c>
      <c r="K15" s="26">
        <v>451128</v>
      </c>
      <c r="L15" s="663">
        <v>450403</v>
      </c>
      <c r="M15" s="95">
        <v>232140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30">
        <v>472940</v>
      </c>
      <c r="C16" s="82">
        <v>346100</v>
      </c>
      <c r="D16" s="82">
        <v>339727</v>
      </c>
      <c r="E16" s="26">
        <v>438782</v>
      </c>
      <c r="F16" s="26">
        <v>449562</v>
      </c>
      <c r="G16" s="82">
        <v>184322</v>
      </c>
      <c r="H16" s="27">
        <v>445701</v>
      </c>
      <c r="I16" s="26">
        <v>464401</v>
      </c>
      <c r="J16" s="30">
        <v>422675</v>
      </c>
      <c r="K16" s="26">
        <v>463378</v>
      </c>
      <c r="L16" s="115">
        <v>398352</v>
      </c>
      <c r="M16" s="28">
        <v>418702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30">
        <v>463778</v>
      </c>
      <c r="C17" s="82">
        <v>218714</v>
      </c>
      <c r="D17" s="82">
        <v>212367</v>
      </c>
      <c r="E17" s="26">
        <v>438434</v>
      </c>
      <c r="F17" s="26">
        <v>428218</v>
      </c>
      <c r="G17" s="33">
        <v>166761</v>
      </c>
      <c r="H17" s="27">
        <v>438925</v>
      </c>
      <c r="I17" s="82">
        <v>332299</v>
      </c>
      <c r="J17" s="30">
        <v>320817</v>
      </c>
      <c r="K17" s="26">
        <v>452212</v>
      </c>
      <c r="L17" s="115">
        <v>241987</v>
      </c>
      <c r="M17" s="28">
        <v>412501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30">
        <v>494674</v>
      </c>
      <c r="C18" s="26">
        <v>457275</v>
      </c>
      <c r="D18" s="26">
        <v>460081</v>
      </c>
      <c r="E18" s="35"/>
      <c r="F18" s="82">
        <v>320168</v>
      </c>
      <c r="G18" s="26">
        <v>430962</v>
      </c>
      <c r="H18" s="27">
        <v>447837</v>
      </c>
      <c r="I18" s="82">
        <v>207177</v>
      </c>
      <c r="J18" s="30">
        <v>442829</v>
      </c>
      <c r="K18" s="26">
        <v>496565</v>
      </c>
      <c r="L18" s="122">
        <v>256978</v>
      </c>
      <c r="M18" s="28">
        <v>413376</v>
      </c>
      <c r="N18" s="23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116">
        <v>359510</v>
      </c>
      <c r="C19" s="26">
        <v>490069</v>
      </c>
      <c r="D19" s="26">
        <v>448674</v>
      </c>
      <c r="E19" s="35"/>
      <c r="F19" s="82">
        <v>209180</v>
      </c>
      <c r="G19" s="26">
        <v>412679</v>
      </c>
      <c r="H19" s="27">
        <v>467372</v>
      </c>
      <c r="I19" s="26">
        <v>422198</v>
      </c>
      <c r="J19" s="30">
        <v>459428</v>
      </c>
      <c r="K19" s="82">
        <v>346798</v>
      </c>
      <c r="L19" s="122">
        <v>246691</v>
      </c>
      <c r="M19" s="28">
        <v>404239</v>
      </c>
      <c r="N19" s="23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116">
        <v>222502</v>
      </c>
      <c r="C20" s="26">
        <v>485139</v>
      </c>
      <c r="D20" s="26">
        <v>482597</v>
      </c>
      <c r="E20" s="35"/>
      <c r="F20" s="26">
        <v>437639</v>
      </c>
      <c r="G20" s="26">
        <v>373269</v>
      </c>
      <c r="H20" s="115">
        <v>344748</v>
      </c>
      <c r="I20" s="26">
        <v>446053</v>
      </c>
      <c r="J20" s="30">
        <v>488994</v>
      </c>
      <c r="K20" s="82">
        <v>235412</v>
      </c>
      <c r="L20" s="122">
        <v>260624</v>
      </c>
      <c r="M20" s="28">
        <v>428193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30">
        <v>462491</v>
      </c>
      <c r="C21" s="26">
        <v>482906</v>
      </c>
      <c r="D21" s="26">
        <v>476809</v>
      </c>
      <c r="E21" s="35"/>
      <c r="F21" s="26">
        <v>439776</v>
      </c>
      <c r="G21" s="26">
        <v>427105</v>
      </c>
      <c r="H21" s="115">
        <v>214152</v>
      </c>
      <c r="I21" s="26">
        <v>464924</v>
      </c>
      <c r="J21" s="116">
        <v>353738</v>
      </c>
      <c r="K21" s="26">
        <v>370938</v>
      </c>
      <c r="L21" s="27">
        <v>420014</v>
      </c>
      <c r="M21" s="95">
        <v>345032</v>
      </c>
      <c r="N21" s="23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30">
        <v>474930</v>
      </c>
      <c r="C22" s="26">
        <v>499895</v>
      </c>
      <c r="D22" s="26">
        <v>495170</v>
      </c>
      <c r="E22" s="26">
        <v>421071</v>
      </c>
      <c r="F22" s="26">
        <v>435471</v>
      </c>
      <c r="G22" s="82">
        <v>315318</v>
      </c>
      <c r="H22" s="27">
        <v>445251</v>
      </c>
      <c r="I22" s="26">
        <v>462274</v>
      </c>
      <c r="J22" s="116">
        <v>221528</v>
      </c>
      <c r="K22" s="26">
        <v>406960</v>
      </c>
      <c r="L22" s="27">
        <v>410099</v>
      </c>
      <c r="M22" s="95">
        <v>251476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30">
        <v>477499</v>
      </c>
      <c r="C23" s="82">
        <v>346049</v>
      </c>
      <c r="D23" s="82">
        <v>349437</v>
      </c>
      <c r="E23" s="26">
        <v>434269</v>
      </c>
      <c r="F23" s="26">
        <v>431585</v>
      </c>
      <c r="G23" s="82">
        <v>195561</v>
      </c>
      <c r="H23" s="27">
        <v>456549</v>
      </c>
      <c r="I23" s="26">
        <v>489083</v>
      </c>
      <c r="J23" s="30">
        <v>452925</v>
      </c>
      <c r="K23" s="26">
        <v>476653</v>
      </c>
      <c r="L23" s="115">
        <v>318006</v>
      </c>
      <c r="M23" s="28">
        <v>407248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30">
        <v>472483</v>
      </c>
      <c r="C24" s="82">
        <v>219185</v>
      </c>
      <c r="D24" s="82">
        <v>214284</v>
      </c>
      <c r="E24" s="26">
        <v>443554</v>
      </c>
      <c r="F24" s="26">
        <v>448596</v>
      </c>
      <c r="G24" s="26">
        <v>429650</v>
      </c>
      <c r="H24" s="27">
        <v>452330</v>
      </c>
      <c r="I24" s="82">
        <v>326517</v>
      </c>
      <c r="J24" s="30">
        <v>469231</v>
      </c>
      <c r="K24" s="26">
        <v>458919</v>
      </c>
      <c r="L24" s="115">
        <v>208344</v>
      </c>
      <c r="M24" s="28">
        <v>424305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30">
        <v>503866</v>
      </c>
      <c r="C25" s="26">
        <v>460751</v>
      </c>
      <c r="D25" s="26">
        <v>458978</v>
      </c>
      <c r="E25" s="26">
        <v>447011</v>
      </c>
      <c r="F25" s="82">
        <v>310355</v>
      </c>
      <c r="G25" s="26">
        <v>432309</v>
      </c>
      <c r="H25" s="27">
        <v>448097</v>
      </c>
      <c r="I25" s="82">
        <v>209102</v>
      </c>
      <c r="J25" s="30">
        <v>482067</v>
      </c>
      <c r="K25" s="26">
        <v>486911</v>
      </c>
      <c r="L25" s="27">
        <v>419139</v>
      </c>
      <c r="M25" s="28">
        <v>399563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116">
        <v>347243</v>
      </c>
      <c r="C26" s="26">
        <v>470942</v>
      </c>
      <c r="D26" s="26">
        <v>467114</v>
      </c>
      <c r="E26" s="118">
        <v>468488</v>
      </c>
      <c r="F26" s="82">
        <v>206388</v>
      </c>
      <c r="G26" s="26">
        <v>442754</v>
      </c>
      <c r="H26" s="663">
        <v>472392</v>
      </c>
      <c r="I26" s="33">
        <v>238436</v>
      </c>
      <c r="J26" s="30">
        <v>407536</v>
      </c>
      <c r="K26" s="665">
        <v>351141</v>
      </c>
      <c r="L26" s="27">
        <v>428945</v>
      </c>
      <c r="M26" s="28">
        <v>413230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116">
        <v>211832</v>
      </c>
      <c r="C27" s="26">
        <v>472047</v>
      </c>
      <c r="D27" s="26">
        <v>470153</v>
      </c>
      <c r="E27" s="82">
        <v>320421</v>
      </c>
      <c r="F27" s="26">
        <v>427110</v>
      </c>
      <c r="G27" s="26">
        <v>434125</v>
      </c>
      <c r="H27" s="115">
        <v>320196</v>
      </c>
      <c r="I27" s="26">
        <v>445185</v>
      </c>
      <c r="J27" s="30">
        <v>488265</v>
      </c>
      <c r="K27" s="82">
        <v>226039</v>
      </c>
      <c r="L27" s="27">
        <v>412164</v>
      </c>
      <c r="M27" s="28">
        <v>409328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30">
        <v>459597</v>
      </c>
      <c r="C28" s="26">
        <v>482074</v>
      </c>
      <c r="D28" s="26">
        <v>455263</v>
      </c>
      <c r="E28" s="82">
        <v>200380</v>
      </c>
      <c r="F28" s="26">
        <v>434009</v>
      </c>
      <c r="G28" s="118">
        <v>451617</v>
      </c>
      <c r="H28" s="115">
        <v>202741</v>
      </c>
      <c r="I28" s="26">
        <v>460511</v>
      </c>
      <c r="J28" s="116">
        <v>345773</v>
      </c>
      <c r="K28" s="31">
        <v>422489</v>
      </c>
      <c r="L28" s="27">
        <v>399299</v>
      </c>
      <c r="M28" s="95">
        <v>294178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30">
        <v>471940</v>
      </c>
      <c r="C29" s="26">
        <v>494724</v>
      </c>
      <c r="D29" s="26">
        <v>477572</v>
      </c>
      <c r="E29" s="26">
        <v>440843</v>
      </c>
      <c r="F29" s="26">
        <v>433362</v>
      </c>
      <c r="G29" s="82">
        <v>315946</v>
      </c>
      <c r="H29" s="27">
        <v>414207</v>
      </c>
      <c r="I29" s="26">
        <v>454621</v>
      </c>
      <c r="J29" s="116">
        <v>216450</v>
      </c>
      <c r="K29" s="26">
        <v>461593</v>
      </c>
      <c r="L29" s="27">
        <v>411389</v>
      </c>
      <c r="M29" s="95">
        <v>168115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30">
        <v>479236</v>
      </c>
      <c r="C30" s="82">
        <v>310472</v>
      </c>
      <c r="D30" s="82">
        <v>319158</v>
      </c>
      <c r="E30" s="26">
        <v>458453</v>
      </c>
      <c r="F30" s="26">
        <v>430390</v>
      </c>
      <c r="G30" s="82">
        <v>195079</v>
      </c>
      <c r="H30" s="27">
        <v>457537</v>
      </c>
      <c r="I30" s="662">
        <v>488772</v>
      </c>
      <c r="J30" s="30">
        <v>446827</v>
      </c>
      <c r="K30" s="26">
        <v>470648</v>
      </c>
      <c r="L30" s="115">
        <v>318909</v>
      </c>
      <c r="M30" s="36">
        <v>168867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30">
        <v>473598</v>
      </c>
      <c r="C31" s="82">
        <v>211068</v>
      </c>
      <c r="D31" s="82">
        <v>210415</v>
      </c>
      <c r="E31" s="26">
        <v>477057</v>
      </c>
      <c r="F31" s="26">
        <v>450992</v>
      </c>
      <c r="G31" s="33">
        <v>224529</v>
      </c>
      <c r="H31" s="27">
        <v>443473</v>
      </c>
      <c r="I31" s="82">
        <v>322255</v>
      </c>
      <c r="J31" s="30">
        <v>470055</v>
      </c>
      <c r="K31" s="26">
        <v>458881</v>
      </c>
      <c r="L31" s="115">
        <v>208992</v>
      </c>
      <c r="M31" s="28">
        <v>293603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633">
        <v>495835</v>
      </c>
      <c r="C32" s="26">
        <v>413960</v>
      </c>
      <c r="D32" s="26">
        <v>449836</v>
      </c>
      <c r="E32" s="26">
        <v>470757</v>
      </c>
      <c r="F32" s="82">
        <v>309006</v>
      </c>
      <c r="G32" s="26">
        <v>454243</v>
      </c>
      <c r="H32" s="27">
        <v>386416</v>
      </c>
      <c r="I32" s="82">
        <v>205020</v>
      </c>
      <c r="J32" s="30">
        <v>464067</v>
      </c>
      <c r="K32" s="662">
        <v>477885</v>
      </c>
      <c r="L32" s="27">
        <v>396791</v>
      </c>
      <c r="M32" s="28">
        <v>365046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f>A6+27</f>
        <v>28</v>
      </c>
      <c r="B33" s="123">
        <v>293863</v>
      </c>
      <c r="C33" s="26">
        <v>468312</v>
      </c>
      <c r="D33" s="26">
        <v>460296</v>
      </c>
      <c r="E33" s="33">
        <v>257014</v>
      </c>
      <c r="F33" s="82">
        <v>203325</v>
      </c>
      <c r="G33" s="26">
        <v>443227</v>
      </c>
      <c r="H33" s="27">
        <v>442653</v>
      </c>
      <c r="I33" s="33">
        <v>240657</v>
      </c>
      <c r="J33" s="30">
        <v>464091</v>
      </c>
      <c r="K33" s="82">
        <v>346082</v>
      </c>
      <c r="L33" s="27">
        <v>416324</v>
      </c>
      <c r="M33" s="28">
        <v>353016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116">
        <v>213581</v>
      </c>
      <c r="C34" s="35"/>
      <c r="D34" s="26">
        <v>462173</v>
      </c>
      <c r="E34" s="82">
        <v>289738</v>
      </c>
      <c r="F34" s="26">
        <v>415739</v>
      </c>
      <c r="G34" s="26">
        <v>425794</v>
      </c>
      <c r="H34" s="115">
        <v>319246</v>
      </c>
      <c r="I34" s="26">
        <v>459712</v>
      </c>
      <c r="J34" s="633">
        <v>492629</v>
      </c>
      <c r="K34" s="82">
        <v>215818</v>
      </c>
      <c r="L34" s="27">
        <v>429502</v>
      </c>
      <c r="M34" s="28">
        <v>360139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30">
        <v>452037</v>
      </c>
      <c r="C35" s="37"/>
      <c r="D35" s="26">
        <v>452511</v>
      </c>
      <c r="E35" s="82">
        <v>194336</v>
      </c>
      <c r="F35" s="26">
        <v>441712</v>
      </c>
      <c r="G35" s="662">
        <v>484431</v>
      </c>
      <c r="H35" s="115">
        <v>209312</v>
      </c>
      <c r="I35" s="26">
        <v>463505</v>
      </c>
      <c r="J35" s="116">
        <v>354940</v>
      </c>
      <c r="K35" s="31">
        <v>441913</v>
      </c>
      <c r="L35" s="33">
        <v>275372</v>
      </c>
      <c r="M35" s="36">
        <v>163012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 thickBot="1">
      <c r="A36" s="38">
        <f>A6+30</f>
        <v>31</v>
      </c>
      <c r="B36" s="70">
        <v>480188</v>
      </c>
      <c r="C36" s="40"/>
      <c r="D36" s="41">
        <v>484973</v>
      </c>
      <c r="E36" s="40"/>
      <c r="F36" s="41">
        <v>452536</v>
      </c>
      <c r="G36" s="40"/>
      <c r="H36" s="124">
        <v>461666</v>
      </c>
      <c r="I36" s="72">
        <v>485754</v>
      </c>
      <c r="J36" s="125"/>
      <c r="K36" s="44">
        <v>235169</v>
      </c>
      <c r="L36" s="43"/>
      <c r="M36" s="36">
        <v>120496</v>
      </c>
      <c r="N36" s="23"/>
      <c r="P36" s="2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26">
        <f>AVERAGE(B6:B36)</f>
        <v>401382.96774193546</v>
      </c>
      <c r="C37" s="127">
        <f>AVERAGE(C6:C36)</f>
        <v>419371.75</v>
      </c>
      <c r="D37" s="127">
        <f>AVERAGE(D6:D36)</f>
        <v>417993.61290322582</v>
      </c>
      <c r="E37" s="127">
        <f>AVERAGE(E6:E36)</f>
        <v>388006.42307692306</v>
      </c>
      <c r="F37" s="128">
        <f>AVERAGE(F6:F36)</f>
        <v>388789</v>
      </c>
      <c r="G37" s="128">
        <f t="shared" ref="G37:M37" si="0">AVERAGE(G6:G36)</f>
        <v>371737.03333333333</v>
      </c>
      <c r="H37" s="128">
        <f t="shared" si="0"/>
        <v>387500.06451612903</v>
      </c>
      <c r="I37" s="128">
        <f t="shared" si="0"/>
        <v>397184.32258064515</v>
      </c>
      <c r="J37" s="128">
        <f t="shared" si="0"/>
        <v>397266.63333333336</v>
      </c>
      <c r="K37" s="128">
        <f t="shared" si="0"/>
        <v>396050.90322580643</v>
      </c>
      <c r="L37" s="128">
        <f t="shared" si="0"/>
        <v>350407.9</v>
      </c>
      <c r="M37" s="135">
        <f t="shared" si="0"/>
        <v>344622.93548387097</v>
      </c>
    </row>
    <row r="38" spans="1:22">
      <c r="A38" s="48" t="s">
        <v>20</v>
      </c>
      <c r="B38" s="129">
        <f>IF(SUM(B8:B11,B14:B18,B21:B25,B28:B32,B35:B36)=0,"",AVERAGE(B8:B11,B14:B18,B21:B25,B28:B32,B35:B36))</f>
        <v>470509.33333333331</v>
      </c>
      <c r="C38" s="50">
        <f>AVERAGE(C6:C8,C11:C15,C18:C22,C25:C29,C32:C33)</f>
        <v>476235.55</v>
      </c>
      <c r="D38" s="50">
        <f>AVERAGE(D6:D8,D11:D15,D18:D22,D25:D29,D32:D36)</f>
        <v>467621.86956521741</v>
      </c>
      <c r="E38" s="50">
        <f>IFERROR(AVERAGE(E8:E12,E15:E17,E22:E26,E29:E32),0)</f>
        <v>455787.64705882355</v>
      </c>
      <c r="F38" s="53">
        <f>IFERROR(AVERAGE(F7:F10,F13:F17,F20:F24,F27:F31,F34:F36),0)</f>
        <v>444076.09090909088</v>
      </c>
      <c r="G38" s="50">
        <f>AVERAGE(G6:G7,G10:G14,G18:G21,G24:G28,G32:G35)</f>
        <v>436558.4</v>
      </c>
      <c r="H38" s="50">
        <f>IFERROR(AVERAGE(H8:H12,H15:H19,H22:H26,H29:H33,H36),0)</f>
        <v>445100.85714285716</v>
      </c>
      <c r="I38" s="50">
        <f>AVERAGE(I6:I9,I12:I16,I27:I30,I34:I36)</f>
        <v>462150.375</v>
      </c>
      <c r="J38" s="50">
        <f>AVERAGE(J9:J13,J16:J20,J23:J27,J30:J34)</f>
        <v>453770.55</v>
      </c>
      <c r="K38" s="50">
        <f>AVERAGE(K7:K11,K14:K18,K21:K25,K28:K32,K35)</f>
        <v>455063.66666666669</v>
      </c>
      <c r="L38" s="50">
        <f>AVERAGE(L7:L8,L11:L15,L21:L22,L25:L29,L32:L34)</f>
        <v>418296.0588235294</v>
      </c>
      <c r="M38" s="51">
        <f>AVERAGE(M6,M9:M13,M16:M20,M23:M27,M31:M34)</f>
        <v>402848.95</v>
      </c>
    </row>
    <row r="39" spans="1:22">
      <c r="A39" s="52" t="s">
        <v>21</v>
      </c>
      <c r="B39" s="129">
        <f>IF(SUM(B12,B19,B26)=0,"",AVERAGE(B12,B19,B26))</f>
        <v>347582.33333333331</v>
      </c>
      <c r="C39" s="53">
        <f t="shared" ref="C39:D40" si="1">IF(SUM(C9,C16,C23,C30)=0,"",AVERAGE(C9,C16,C23,C30))</f>
        <v>337327.75</v>
      </c>
      <c r="D39" s="53">
        <f t="shared" si="1"/>
        <v>336905.25</v>
      </c>
      <c r="E39" s="53">
        <f>AVERAGE(E6,E13,E27,E34)</f>
        <v>318728</v>
      </c>
      <c r="F39" s="53">
        <f>IFERROR(AVERAGE(F11,F18,F25,F32),0)</f>
        <v>315870.25</v>
      </c>
      <c r="G39" s="53">
        <f>AVERAGE(G8,G15,G22,G29)</f>
        <v>312682.25</v>
      </c>
      <c r="H39" s="53">
        <f>IFERROR(AVERAGE(H6,H13,H20,H27,H34),0)</f>
        <v>328004</v>
      </c>
      <c r="I39" s="53">
        <f>IFERROR(AVERAGE(I10,I24,I32),0)</f>
        <v>289454</v>
      </c>
      <c r="J39" s="53">
        <f>AVERAGE(J7,J14,J21,J28,J35)</f>
        <v>338501.4</v>
      </c>
      <c r="K39" s="53">
        <f>IFERROR(AVERAGE(K12,K19,K26,K33),0)</f>
        <v>344028.5</v>
      </c>
      <c r="L39" s="53">
        <f>AVERAGE(L9,L16,L23,L30)</f>
        <v>332810.5</v>
      </c>
      <c r="M39" s="54">
        <f>AVERAGE(M7,M14,M21,M28)</f>
        <v>325281</v>
      </c>
    </row>
    <row r="40" spans="1:22">
      <c r="A40" s="52" t="s">
        <v>22</v>
      </c>
      <c r="B40" s="129">
        <f>AVERAGE(B6:B7,B13,B20,B27,B33:B34)</f>
        <v>217061.28571428571</v>
      </c>
      <c r="C40" s="53">
        <f t="shared" si="1"/>
        <v>217096.75</v>
      </c>
      <c r="D40" s="53">
        <f t="shared" si="1"/>
        <v>213719.5</v>
      </c>
      <c r="E40" s="53">
        <f>AVERAGE(E7,E14,E28,E33,E35)</f>
        <v>212973</v>
      </c>
      <c r="F40" s="53">
        <f>IFERROR(AVERAGE(F6,F12,F19,F26,F33),0)</f>
        <v>203860.8</v>
      </c>
      <c r="G40" s="53">
        <f>AVERAGE(G9,G16:G17,G23,G30:G31)</f>
        <v>195035.66666666666</v>
      </c>
      <c r="H40" s="53">
        <f>IFERROR(AVERAGE(H7,H14,H21,H28,H35),0)</f>
        <v>205072.8</v>
      </c>
      <c r="I40" s="53">
        <f>IFERROR(AVERAGE(I11,I18,I25:I26,I31,I33),0)</f>
        <v>238852.5</v>
      </c>
      <c r="J40" s="53">
        <f>AVERAGE(J6,J8,J15,J22,J29)</f>
        <v>230016.2</v>
      </c>
      <c r="K40" s="53">
        <f>AVERAGE(K6,K13,K20,K27,K34,K36)</f>
        <v>224187.83333333334</v>
      </c>
      <c r="L40" s="53">
        <f>AVERAGE(L6,L10,L17,L24,L31,L35)</f>
        <v>217611.5</v>
      </c>
      <c r="M40" s="54">
        <f>AVERAGE(M8,M15,M22,M29:M30,M35:M36)</f>
        <v>189315.42857142858</v>
      </c>
    </row>
    <row r="41" spans="1:22">
      <c r="A41" s="52" t="s">
        <v>23</v>
      </c>
      <c r="B41" s="129">
        <f>AVERAGE(B6:B7,B12:B13,B19:B20,B26:B27,B33:B34)</f>
        <v>256217.60000000001</v>
      </c>
      <c r="C41" s="53">
        <f>IF(SUM(C9:C10,C16:C17,C23:C24,C30:C31)=0,"",AVERAGE(C9:C10,C16:C17,C23:C24,C30:C31))</f>
        <v>277212.25</v>
      </c>
      <c r="D41" s="53">
        <f>IF(SUM(D9:D10,D16:D17,D23:D24,D30:D31)=0,"",AVERAGE(D9:D10,D16:D17,D23:D24,D30:D31))</f>
        <v>275312.375</v>
      </c>
      <c r="E41" s="53">
        <f>AVERAGE(E6:E7,E13:E14,E27:E28,E33:E35)</f>
        <v>259975.22222222222</v>
      </c>
      <c r="F41" s="130">
        <f>IFERROR(AVERAGE(F6,F11:F12,F18:F19,F25:F26,F32:F33),0)</f>
        <v>253642.77777777778</v>
      </c>
      <c r="G41" s="53">
        <f>AVERAGE(G8:G9,G15:G17,G22:G23,G29:G31)</f>
        <v>242094.3</v>
      </c>
      <c r="H41" s="53">
        <f>IFERROR(AVERAGE(H6:H7,H13:H14,H20:H21,H27:H28,H34:H35),0)</f>
        <v>266538.40000000002</v>
      </c>
      <c r="I41" s="53">
        <f>IFERROR(AVERAGE(I10:I11,I17:I18,I24:I26,I31:I33),0)</f>
        <v>263377.59999999998</v>
      </c>
      <c r="J41" s="53">
        <f>AVERAGE(J6:J8,J14:J15,J21:J22,J28:J29,J35)</f>
        <v>284258.8</v>
      </c>
      <c r="K41" s="53">
        <f>AVERAGE(K6,K12:K13,K19:K20,K26:K27,K33:K34,K36)</f>
        <v>272124.09999999998</v>
      </c>
      <c r="L41" s="53">
        <f>AVERAGE(L6,L9:L10,L16:L17,L23:L24,L30:L31,L35)</f>
        <v>263691.09999999998</v>
      </c>
      <c r="M41" s="54">
        <f>AVERAGE(M7:M8,M14:M15,M21:M22,M28:M30,M35:M36)</f>
        <v>238757.45454545456</v>
      </c>
    </row>
    <row r="42" spans="1:22">
      <c r="A42" s="52" t="s">
        <v>24</v>
      </c>
      <c r="B42" s="129">
        <f>MAX(B6:B36)</f>
        <v>503866</v>
      </c>
      <c r="C42" s="49">
        <f t="shared" ref="C42:M42" si="2">MAX(C6:C36)</f>
        <v>506001</v>
      </c>
      <c r="D42" s="49">
        <f t="shared" si="2"/>
        <v>495795</v>
      </c>
      <c r="E42" s="49">
        <f t="shared" si="2"/>
        <v>486196</v>
      </c>
      <c r="F42" s="49">
        <f t="shared" si="2"/>
        <v>473437</v>
      </c>
      <c r="G42" s="49">
        <f t="shared" si="2"/>
        <v>484431</v>
      </c>
      <c r="H42" s="49">
        <f t="shared" si="2"/>
        <v>472392</v>
      </c>
      <c r="I42" s="49">
        <f t="shared" si="2"/>
        <v>489083</v>
      </c>
      <c r="J42" s="49">
        <f t="shared" si="2"/>
        <v>492629</v>
      </c>
      <c r="K42" s="49">
        <f t="shared" si="2"/>
        <v>496565</v>
      </c>
      <c r="L42" s="49">
        <f t="shared" si="2"/>
        <v>450403</v>
      </c>
      <c r="M42" s="131">
        <f t="shared" si="2"/>
        <v>439523</v>
      </c>
    </row>
    <row r="43" spans="1:22">
      <c r="A43" s="52" t="s">
        <v>47</v>
      </c>
      <c r="B43" s="129">
        <f>MIN(B6:B36)</f>
        <v>138750</v>
      </c>
      <c r="C43" s="49">
        <f t="shared" ref="C43:M43" si="3">MIN(C6:C36)</f>
        <v>211068</v>
      </c>
      <c r="D43" s="49">
        <f t="shared" si="3"/>
        <v>210415</v>
      </c>
      <c r="E43" s="49">
        <f t="shared" si="3"/>
        <v>194336</v>
      </c>
      <c r="F43" s="49">
        <f t="shared" si="3"/>
        <v>195791</v>
      </c>
      <c r="G43" s="49">
        <f t="shared" si="3"/>
        <v>166761</v>
      </c>
      <c r="H43" s="49">
        <f t="shared" si="3"/>
        <v>198889</v>
      </c>
      <c r="I43" s="49">
        <f t="shared" si="3"/>
        <v>205020</v>
      </c>
      <c r="J43" s="49">
        <f t="shared" si="3"/>
        <v>208622</v>
      </c>
      <c r="K43" s="49">
        <f t="shared" si="3"/>
        <v>212333</v>
      </c>
      <c r="L43" s="49">
        <f t="shared" si="3"/>
        <v>167686</v>
      </c>
      <c r="M43" s="131">
        <f t="shared" si="3"/>
        <v>120496</v>
      </c>
    </row>
    <row r="44" spans="1:22" ht="12.75" thickBot="1">
      <c r="A44" s="55" t="s">
        <v>25</v>
      </c>
      <c r="B44" s="111">
        <f t="shared" ref="B44:L44" si="4">SUM(B6:B36)</f>
        <v>12442872</v>
      </c>
      <c r="C44" s="316">
        <f t="shared" si="4"/>
        <v>11742409</v>
      </c>
      <c r="D44" s="316">
        <f t="shared" si="4"/>
        <v>12957802</v>
      </c>
      <c r="E44" s="316">
        <f t="shared" si="4"/>
        <v>10088167</v>
      </c>
      <c r="F44" s="316">
        <f t="shared" si="4"/>
        <v>12052459</v>
      </c>
      <c r="G44" s="316">
        <f t="shared" si="4"/>
        <v>11152111</v>
      </c>
      <c r="H44" s="316">
        <f t="shared" si="4"/>
        <v>12012502</v>
      </c>
      <c r="I44" s="316">
        <f t="shared" si="4"/>
        <v>12312714</v>
      </c>
      <c r="J44" s="316">
        <f t="shared" si="4"/>
        <v>11917999</v>
      </c>
      <c r="K44" s="316">
        <f t="shared" si="4"/>
        <v>12277578</v>
      </c>
      <c r="L44" s="57">
        <f t="shared" si="4"/>
        <v>10512237</v>
      </c>
      <c r="M44" s="58">
        <f>SUM(M6:M36)</f>
        <v>10683311</v>
      </c>
      <c r="P44" s="59"/>
    </row>
    <row r="45" spans="1:22" s="60" customFormat="1" ht="11.25"/>
    <row r="46" spans="1:22">
      <c r="A46" s="61"/>
    </row>
    <row r="47" spans="1:22" ht="15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O47" s="64"/>
    </row>
    <row r="48" spans="1:22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</row>
    <row r="49" spans="1:13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1:13">
      <c r="A50" s="65"/>
      <c r="H50" s="66"/>
      <c r="I50" s="66"/>
      <c r="J50" s="66"/>
      <c r="K50" s="66"/>
      <c r="L50" s="66"/>
      <c r="M50" s="66"/>
    </row>
    <row r="52" spans="1:13">
      <c r="A52" s="67"/>
      <c r="B52" s="68"/>
    </row>
  </sheetData>
  <mergeCells count="2">
    <mergeCell ref="E1:I1"/>
    <mergeCell ref="E2:I3"/>
  </mergeCells>
  <conditionalFormatting sqref="B6:M9 B11:M36 B10:L10">
    <cfRule type="top10" dxfId="28" priority="1" rank="1"/>
  </conditionalFormatting>
  <printOptions horizontalCentered="1" verticalCentered="1"/>
  <pageMargins left="0.25" right="0" top="0.25" bottom="0.25" header="0.31" footer="0.31"/>
  <pageSetup paperSize="5" scale="94" orientation="landscape" r:id="rId1"/>
  <rowBreaks count="1" manualBreakCount="1">
    <brk id="45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V52"/>
  <sheetViews>
    <sheetView zoomScale="120" zoomScaleNormal="120" zoomScaleSheetLayoutView="100" zoomScalePageLayoutView="120" workbookViewId="0">
      <pane xSplit="1" ySplit="5" topLeftCell="B48" activePane="bottomRight" state="frozen"/>
      <selection pane="bottomRight" activeCell="M19" sqref="M19"/>
      <selection pane="bottomLeft" activeCell="Q11" sqref="P11:Q11"/>
      <selection pane="topRight" activeCell="Q11" sqref="P11:Q11"/>
    </sheetView>
  </sheetViews>
  <sheetFormatPr defaultColWidth="8.85546875" defaultRowHeight="12"/>
  <cols>
    <col min="1" max="1" width="21.28515625" style="4" bestFit="1" customWidth="1"/>
    <col min="2" max="13" width="10" style="4" customWidth="1"/>
    <col min="14" max="15" width="8.85546875" style="4"/>
    <col min="16" max="16" width="9.42578125" style="4" bestFit="1" customWidth="1"/>
    <col min="17" max="16384" width="8.85546875" style="4"/>
  </cols>
  <sheetData>
    <row r="1" spans="1:22" s="3" customFormat="1" ht="18" customHeight="1">
      <c r="A1" s="1"/>
      <c r="B1" s="2"/>
      <c r="C1" s="2"/>
      <c r="E1" s="747" t="s">
        <v>0</v>
      </c>
      <c r="F1" s="747"/>
      <c r="G1" s="747"/>
      <c r="H1" s="747"/>
      <c r="I1" s="747"/>
    </row>
    <row r="2" spans="1:22" s="3" customFormat="1" ht="18" customHeight="1">
      <c r="A2" s="1"/>
      <c r="B2" s="2"/>
      <c r="C2" s="2"/>
      <c r="E2" s="747" t="s">
        <v>1</v>
      </c>
      <c r="F2" s="747"/>
      <c r="G2" s="747"/>
      <c r="H2" s="747"/>
      <c r="I2" s="747"/>
    </row>
    <row r="3" spans="1:22" s="3" customFormat="1" ht="15" customHeight="1">
      <c r="A3" s="5" t="s">
        <v>55</v>
      </c>
      <c r="B3" s="6"/>
      <c r="C3" s="2"/>
      <c r="E3" s="747"/>
      <c r="F3" s="747"/>
      <c r="G3" s="747"/>
      <c r="H3" s="747"/>
      <c r="I3" s="747"/>
      <c r="K3" s="7" t="s">
        <v>3</v>
      </c>
      <c r="L3" s="8" t="s">
        <v>4</v>
      </c>
      <c r="M3" s="9" t="s">
        <v>5</v>
      </c>
    </row>
    <row r="4" spans="1:22" s="3" customFormat="1" ht="12.75" thickBot="1">
      <c r="B4" s="6"/>
      <c r="C4" s="2"/>
      <c r="F4" s="5"/>
      <c r="G4" s="5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15">
        <v>1</v>
      </c>
      <c r="B6" s="16">
        <v>125183</v>
      </c>
      <c r="C6" s="699">
        <v>316834</v>
      </c>
      <c r="D6" s="17">
        <v>264315</v>
      </c>
      <c r="E6" s="136"/>
      <c r="F6" s="113">
        <v>165902</v>
      </c>
      <c r="G6" s="17">
        <v>340948</v>
      </c>
      <c r="H6" s="114">
        <v>170558</v>
      </c>
      <c r="I6" s="26">
        <v>356668</v>
      </c>
      <c r="J6" s="137">
        <v>267081</v>
      </c>
      <c r="K6" s="26">
        <v>324616</v>
      </c>
      <c r="L6" s="21">
        <v>145398</v>
      </c>
      <c r="M6" s="138">
        <v>254674</v>
      </c>
      <c r="N6" s="23"/>
      <c r="P6" s="233"/>
      <c r="Q6" s="23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139">
        <v>282285</v>
      </c>
      <c r="C7" s="26">
        <v>288312</v>
      </c>
      <c r="D7" s="26">
        <v>262612</v>
      </c>
      <c r="E7" s="26">
        <v>281148</v>
      </c>
      <c r="F7" s="26">
        <v>341388</v>
      </c>
      <c r="G7" s="82">
        <v>240366</v>
      </c>
      <c r="H7" s="27">
        <v>329118</v>
      </c>
      <c r="I7" s="26">
        <v>351937</v>
      </c>
      <c r="J7" s="116">
        <v>173212</v>
      </c>
      <c r="K7" s="26">
        <v>336517</v>
      </c>
      <c r="L7" s="122">
        <v>158433</v>
      </c>
      <c r="M7" s="95">
        <v>190313</v>
      </c>
      <c r="N7" s="23"/>
      <c r="P7" s="23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30">
        <v>374098</v>
      </c>
      <c r="C8" s="82">
        <v>250047</v>
      </c>
      <c r="D8" s="82">
        <v>221963</v>
      </c>
      <c r="E8" s="26">
        <v>295179</v>
      </c>
      <c r="F8" s="26">
        <v>326335</v>
      </c>
      <c r="G8" s="82">
        <v>166651</v>
      </c>
      <c r="H8" s="27">
        <v>336517</v>
      </c>
      <c r="I8" s="691">
        <v>381091</v>
      </c>
      <c r="J8" s="30">
        <v>338009</v>
      </c>
      <c r="K8" s="26">
        <v>331484</v>
      </c>
      <c r="L8" s="115">
        <v>188588</v>
      </c>
      <c r="M8" s="28">
        <v>346303</v>
      </c>
      <c r="N8" s="23"/>
      <c r="P8" s="233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30">
        <v>372161</v>
      </c>
      <c r="C9" s="82">
        <v>170298</v>
      </c>
      <c r="D9" s="82">
        <v>152621</v>
      </c>
      <c r="E9" s="26">
        <v>306807</v>
      </c>
      <c r="F9" s="26">
        <v>338150</v>
      </c>
      <c r="G9" s="26">
        <v>305728</v>
      </c>
      <c r="H9" s="27">
        <v>338992</v>
      </c>
      <c r="I9" s="119">
        <v>269340</v>
      </c>
      <c r="J9" s="30">
        <v>347934</v>
      </c>
      <c r="K9" s="118">
        <v>328882</v>
      </c>
      <c r="L9" s="115">
        <v>157032</v>
      </c>
      <c r="M9" s="28">
        <v>341978</v>
      </c>
      <c r="N9" s="23"/>
      <c r="P9" s="23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30">
        <v>383480</v>
      </c>
      <c r="C10" s="26">
        <v>296325</v>
      </c>
      <c r="D10" s="26">
        <v>267883</v>
      </c>
      <c r="E10" s="26">
        <v>311649</v>
      </c>
      <c r="F10" s="82">
        <v>238633</v>
      </c>
      <c r="G10" s="26">
        <v>324857</v>
      </c>
      <c r="H10" s="27">
        <v>332750</v>
      </c>
      <c r="I10" s="119">
        <v>175514</v>
      </c>
      <c r="J10" s="30">
        <v>352103</v>
      </c>
      <c r="K10" s="26">
        <v>348685</v>
      </c>
      <c r="L10" s="27">
        <v>340725</v>
      </c>
      <c r="M10" s="28">
        <v>357779</v>
      </c>
      <c r="N10" s="23"/>
      <c r="P10" s="23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116">
        <v>281703</v>
      </c>
      <c r="C11" s="26">
        <v>274579</v>
      </c>
      <c r="D11" s="26">
        <v>277142</v>
      </c>
      <c r="E11" s="26">
        <v>334979</v>
      </c>
      <c r="F11" s="82">
        <v>163613</v>
      </c>
      <c r="G11" s="26">
        <v>326661</v>
      </c>
      <c r="H11" s="27">
        <v>358948</v>
      </c>
      <c r="I11" s="26">
        <v>351714</v>
      </c>
      <c r="J11" s="30">
        <v>343550</v>
      </c>
      <c r="K11" s="82">
        <v>249485</v>
      </c>
      <c r="L11" s="27">
        <v>341817</v>
      </c>
      <c r="M11" s="28">
        <v>351077</v>
      </c>
      <c r="N11" s="23"/>
      <c r="P11" s="23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116">
        <v>184403</v>
      </c>
      <c r="C12" s="26">
        <v>291410</v>
      </c>
      <c r="D12" s="26">
        <v>280827</v>
      </c>
      <c r="E12" s="82">
        <v>232037</v>
      </c>
      <c r="F12" s="26">
        <v>319401</v>
      </c>
      <c r="G12" s="26">
        <v>314565</v>
      </c>
      <c r="H12" s="115">
        <v>258277</v>
      </c>
      <c r="I12" s="26">
        <v>360459</v>
      </c>
      <c r="J12" s="30">
        <v>354043</v>
      </c>
      <c r="K12" s="82">
        <v>166756</v>
      </c>
      <c r="L12" s="27">
        <v>345872</v>
      </c>
      <c r="M12" s="28">
        <v>375465</v>
      </c>
      <c r="N12" s="23"/>
      <c r="P12" s="23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30">
        <v>388239</v>
      </c>
      <c r="C13" s="26">
        <v>278018</v>
      </c>
      <c r="D13" s="26">
        <v>236059</v>
      </c>
      <c r="E13" s="82">
        <v>148732</v>
      </c>
      <c r="F13" s="26">
        <v>326163</v>
      </c>
      <c r="G13" s="26">
        <v>343598</v>
      </c>
      <c r="H13" s="115">
        <v>162698</v>
      </c>
      <c r="I13" s="121">
        <v>350545</v>
      </c>
      <c r="J13" s="116">
        <v>261143</v>
      </c>
      <c r="K13" s="26">
        <v>332521</v>
      </c>
      <c r="L13" s="27">
        <v>338590</v>
      </c>
      <c r="M13" s="95">
        <v>264317</v>
      </c>
      <c r="N13" s="23"/>
      <c r="P13" s="23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30">
        <v>376148</v>
      </c>
      <c r="C14" s="26">
        <v>281767</v>
      </c>
      <c r="D14" s="26">
        <v>300456</v>
      </c>
      <c r="E14" s="33">
        <v>166413</v>
      </c>
      <c r="F14" s="26">
        <v>325028</v>
      </c>
      <c r="G14" s="82">
        <v>205458</v>
      </c>
      <c r="H14" s="27">
        <v>322099</v>
      </c>
      <c r="I14" s="26">
        <v>350536</v>
      </c>
      <c r="J14" s="116">
        <v>171106</v>
      </c>
      <c r="K14" s="26">
        <v>335308</v>
      </c>
      <c r="L14" s="27">
        <v>358526</v>
      </c>
      <c r="M14" s="95">
        <v>202046</v>
      </c>
      <c r="N14" s="23"/>
      <c r="P14" s="23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30">
        <v>382905</v>
      </c>
      <c r="C15" s="82">
        <v>238085</v>
      </c>
      <c r="D15" s="82">
        <v>232476</v>
      </c>
      <c r="E15" s="26">
        <v>343272</v>
      </c>
      <c r="F15" s="26">
        <v>324494</v>
      </c>
      <c r="G15" s="82">
        <v>132899</v>
      </c>
      <c r="H15" s="27">
        <v>338780</v>
      </c>
      <c r="I15" s="26">
        <v>372905</v>
      </c>
      <c r="J15" s="30">
        <v>331121</v>
      </c>
      <c r="K15" s="26">
        <v>341801</v>
      </c>
      <c r="L15" s="115">
        <v>269380</v>
      </c>
      <c r="M15" s="28">
        <v>345736</v>
      </c>
      <c r="N15" s="23"/>
      <c r="P15" s="23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30">
        <v>351702</v>
      </c>
      <c r="C16" s="82">
        <v>161138</v>
      </c>
      <c r="D16" s="82">
        <v>153266</v>
      </c>
      <c r="E16" s="26">
        <v>340300</v>
      </c>
      <c r="F16" s="118">
        <v>340791</v>
      </c>
      <c r="G16" s="26">
        <v>290348</v>
      </c>
      <c r="H16" s="27">
        <v>345645</v>
      </c>
      <c r="I16" s="82">
        <v>252948</v>
      </c>
      <c r="J16" s="30">
        <v>334306</v>
      </c>
      <c r="K16" s="26">
        <v>322867</v>
      </c>
      <c r="L16" s="115">
        <v>183626</v>
      </c>
      <c r="M16" s="28">
        <v>356152</v>
      </c>
      <c r="N16" s="23"/>
      <c r="P16" s="23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695">
        <v>390325</v>
      </c>
      <c r="C17" s="26">
        <v>258894</v>
      </c>
      <c r="D17" s="26">
        <v>274978</v>
      </c>
      <c r="E17" s="26">
        <v>333036</v>
      </c>
      <c r="F17" s="82">
        <v>241420</v>
      </c>
      <c r="G17" s="33">
        <v>125837</v>
      </c>
      <c r="H17" s="27">
        <v>343341</v>
      </c>
      <c r="I17" s="82">
        <v>137485</v>
      </c>
      <c r="J17" s="30">
        <v>339293</v>
      </c>
      <c r="K17" s="26">
        <v>348242</v>
      </c>
      <c r="L17" s="27">
        <v>338890</v>
      </c>
      <c r="M17" s="28">
        <v>356887</v>
      </c>
      <c r="N17" s="23"/>
      <c r="P17" s="23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116">
        <v>290610</v>
      </c>
      <c r="C18" s="26">
        <v>263463</v>
      </c>
      <c r="D18" s="26">
        <v>285452</v>
      </c>
      <c r="E18" s="26">
        <v>349417</v>
      </c>
      <c r="F18" s="82">
        <v>152129</v>
      </c>
      <c r="G18" s="26">
        <v>328075</v>
      </c>
      <c r="H18" s="27">
        <v>371579</v>
      </c>
      <c r="I18" s="26">
        <v>297881</v>
      </c>
      <c r="J18" s="30">
        <v>331400</v>
      </c>
      <c r="K18" s="82">
        <v>262340</v>
      </c>
      <c r="L18" s="27">
        <v>343012</v>
      </c>
      <c r="M18" s="28">
        <v>356239</v>
      </c>
      <c r="N18" s="23"/>
      <c r="P18" s="23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116">
        <v>185061</v>
      </c>
      <c r="C19" s="26">
        <v>286020</v>
      </c>
      <c r="D19" s="141">
        <v>285294</v>
      </c>
      <c r="E19" s="82">
        <v>252923</v>
      </c>
      <c r="F19" s="33">
        <v>156065</v>
      </c>
      <c r="G19" s="26">
        <v>328679</v>
      </c>
      <c r="H19" s="115">
        <v>272030</v>
      </c>
      <c r="I19" s="26">
        <v>349936</v>
      </c>
      <c r="J19" s="30">
        <v>311489</v>
      </c>
      <c r="K19" s="82">
        <v>172360</v>
      </c>
      <c r="L19" s="27">
        <v>342900</v>
      </c>
      <c r="M19" s="694">
        <v>379375</v>
      </c>
      <c r="N19" s="23"/>
      <c r="P19" s="23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30">
        <v>371362</v>
      </c>
      <c r="C20" s="26">
        <v>263219</v>
      </c>
      <c r="D20" s="26">
        <v>291586</v>
      </c>
      <c r="E20" s="82">
        <v>166727</v>
      </c>
      <c r="F20" s="26">
        <v>326353</v>
      </c>
      <c r="G20" s="33">
        <v>204363</v>
      </c>
      <c r="H20" s="115">
        <v>174941</v>
      </c>
      <c r="I20" s="26">
        <v>361475</v>
      </c>
      <c r="J20" s="116">
        <v>138129</v>
      </c>
      <c r="K20" s="26">
        <v>324553</v>
      </c>
      <c r="L20" s="27">
        <v>352399</v>
      </c>
      <c r="M20" s="95">
        <v>299523</v>
      </c>
      <c r="N20" s="2"/>
      <c r="P20" s="23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30">
        <v>380158</v>
      </c>
      <c r="C21" s="33">
        <v>200977</v>
      </c>
      <c r="D21" s="26">
        <v>307048</v>
      </c>
      <c r="E21" s="26">
        <v>333203</v>
      </c>
      <c r="F21" s="26">
        <v>332758</v>
      </c>
      <c r="G21" s="82">
        <v>222420</v>
      </c>
      <c r="H21" s="27">
        <v>340469</v>
      </c>
      <c r="I21" s="26">
        <v>344316</v>
      </c>
      <c r="J21" s="116">
        <v>166381</v>
      </c>
      <c r="K21" s="26">
        <v>340951</v>
      </c>
      <c r="L21" s="27">
        <v>370386</v>
      </c>
      <c r="M21" s="95">
        <v>228756</v>
      </c>
      <c r="N21" s="23"/>
      <c r="P21" s="23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30">
        <v>379409</v>
      </c>
      <c r="C22" s="82">
        <v>213528</v>
      </c>
      <c r="D22" s="82">
        <v>235260</v>
      </c>
      <c r="E22" s="26">
        <v>333617</v>
      </c>
      <c r="F22" s="26">
        <v>325066</v>
      </c>
      <c r="G22" s="82">
        <v>157175</v>
      </c>
      <c r="H22" s="27">
        <v>310205</v>
      </c>
      <c r="I22" s="26">
        <v>359363</v>
      </c>
      <c r="J22" s="30">
        <v>348787</v>
      </c>
      <c r="K22" s="26">
        <v>343705</v>
      </c>
      <c r="L22" s="115">
        <v>281006</v>
      </c>
      <c r="M22" s="28">
        <v>364618</v>
      </c>
      <c r="N22" s="23"/>
      <c r="P22" s="23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30">
        <v>373531</v>
      </c>
      <c r="C23" s="82">
        <v>153752</v>
      </c>
      <c r="D23" s="82">
        <v>165187</v>
      </c>
      <c r="E23" s="26">
        <v>330682</v>
      </c>
      <c r="F23" s="691">
        <v>344775</v>
      </c>
      <c r="G23" s="26">
        <v>337817</v>
      </c>
      <c r="H23" s="27">
        <v>295185</v>
      </c>
      <c r="I23" s="82">
        <v>269318</v>
      </c>
      <c r="J23" s="30">
        <v>359052</v>
      </c>
      <c r="K23" s="26">
        <v>333496</v>
      </c>
      <c r="L23" s="115">
        <v>190018</v>
      </c>
      <c r="M23" s="28">
        <v>371288</v>
      </c>
      <c r="N23" s="23"/>
      <c r="P23" s="23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30">
        <v>383361</v>
      </c>
      <c r="C24" s="26">
        <v>207364</v>
      </c>
      <c r="D24" s="26">
        <v>282353</v>
      </c>
      <c r="E24" s="26">
        <v>322547</v>
      </c>
      <c r="F24" s="82">
        <v>243245</v>
      </c>
      <c r="G24" s="26">
        <v>340950</v>
      </c>
      <c r="H24" s="27">
        <v>358701</v>
      </c>
      <c r="I24" s="82">
        <v>175820</v>
      </c>
      <c r="J24" s="30">
        <v>351876</v>
      </c>
      <c r="K24" s="26">
        <v>353552</v>
      </c>
      <c r="L24" s="27">
        <v>346018</v>
      </c>
      <c r="M24" s="28">
        <v>375155</v>
      </c>
      <c r="N24" s="23"/>
      <c r="P24" s="23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116">
        <v>283040</v>
      </c>
      <c r="C25" s="26">
        <v>220008</v>
      </c>
      <c r="D25" s="26">
        <v>297100</v>
      </c>
      <c r="E25" s="691">
        <v>353067</v>
      </c>
      <c r="F25" s="82">
        <v>165053</v>
      </c>
      <c r="G25" s="26">
        <v>344175</v>
      </c>
      <c r="H25" s="27">
        <v>356344</v>
      </c>
      <c r="I25" s="26">
        <v>326741</v>
      </c>
      <c r="J25" s="30">
        <v>351851</v>
      </c>
      <c r="K25" s="82">
        <v>265140</v>
      </c>
      <c r="L25" s="27">
        <v>337012</v>
      </c>
      <c r="M25" s="28">
        <v>368791</v>
      </c>
      <c r="N25" s="23"/>
      <c r="P25" s="233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f>A6+20</f>
        <v>21</v>
      </c>
      <c r="B26" s="116">
        <v>180945</v>
      </c>
      <c r="C26" s="26">
        <v>243552</v>
      </c>
      <c r="D26" s="26">
        <v>295358</v>
      </c>
      <c r="E26" s="82">
        <v>244392</v>
      </c>
      <c r="F26" s="26">
        <v>319580</v>
      </c>
      <c r="G26" s="26">
        <v>353944</v>
      </c>
      <c r="H26" s="115">
        <v>254888</v>
      </c>
      <c r="I26" s="33">
        <v>206947</v>
      </c>
      <c r="J26" s="30">
        <v>362786</v>
      </c>
      <c r="K26" s="82">
        <v>176051</v>
      </c>
      <c r="L26" s="27">
        <v>346695</v>
      </c>
      <c r="M26" s="28">
        <v>377857</v>
      </c>
      <c r="N26" s="23"/>
      <c r="P26" s="23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30">
        <v>345471</v>
      </c>
      <c r="C27" s="26">
        <v>247875</v>
      </c>
      <c r="D27" s="26">
        <v>294399</v>
      </c>
      <c r="E27" s="82">
        <v>159914</v>
      </c>
      <c r="F27" s="26">
        <v>316326</v>
      </c>
      <c r="G27" s="118">
        <v>360120</v>
      </c>
      <c r="H27" s="115">
        <v>143043</v>
      </c>
      <c r="I27" s="26">
        <v>341452</v>
      </c>
      <c r="J27" s="116">
        <v>272442</v>
      </c>
      <c r="K27" s="26">
        <v>329981</v>
      </c>
      <c r="L27" s="27">
        <v>343085</v>
      </c>
      <c r="M27" s="95">
        <v>277514</v>
      </c>
      <c r="N27" s="23"/>
      <c r="P27" s="23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30">
        <v>340644</v>
      </c>
      <c r="C28" s="26">
        <v>273989</v>
      </c>
      <c r="D28" s="691">
        <v>316571</v>
      </c>
      <c r="E28" s="26">
        <v>304804</v>
      </c>
      <c r="F28" s="26">
        <v>325908</v>
      </c>
      <c r="G28" s="82">
        <v>254039</v>
      </c>
      <c r="H28" s="27">
        <v>320785</v>
      </c>
      <c r="I28" s="26">
        <v>347724</v>
      </c>
      <c r="J28" s="116">
        <v>176767</v>
      </c>
      <c r="K28" s="26">
        <v>335266</v>
      </c>
      <c r="L28" s="698">
        <v>356726</v>
      </c>
      <c r="M28" s="95">
        <v>171259</v>
      </c>
      <c r="N28" s="23"/>
      <c r="P28" s="23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30">
        <v>305429</v>
      </c>
      <c r="C29" s="82">
        <v>226598</v>
      </c>
      <c r="D29" s="82">
        <v>238109</v>
      </c>
      <c r="E29" s="26">
        <v>322022</v>
      </c>
      <c r="F29" s="26">
        <v>316307</v>
      </c>
      <c r="G29" s="82">
        <v>162415</v>
      </c>
      <c r="H29" s="27">
        <v>360105</v>
      </c>
      <c r="I29" s="26">
        <v>365545</v>
      </c>
      <c r="J29" s="30">
        <v>324680</v>
      </c>
      <c r="K29" s="26">
        <v>339485</v>
      </c>
      <c r="L29" s="115">
        <v>271811</v>
      </c>
      <c r="M29" s="36">
        <v>148147</v>
      </c>
      <c r="N29" s="23"/>
      <c r="P29" s="23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30">
        <v>340665</v>
      </c>
      <c r="C30" s="82">
        <v>156548</v>
      </c>
      <c r="D30" s="82">
        <v>155085</v>
      </c>
      <c r="E30" s="26">
        <v>331258</v>
      </c>
      <c r="F30" s="26">
        <v>333782</v>
      </c>
      <c r="G30" s="26">
        <v>339238</v>
      </c>
      <c r="H30" s="698">
        <v>363114</v>
      </c>
      <c r="I30" s="82">
        <v>257954</v>
      </c>
      <c r="J30" s="30">
        <v>346201</v>
      </c>
      <c r="K30" s="26">
        <v>340624</v>
      </c>
      <c r="L30" s="115">
        <v>184107</v>
      </c>
      <c r="M30" s="36">
        <v>153336</v>
      </c>
      <c r="N30" s="23"/>
      <c r="P30" s="23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30">
        <v>325002</v>
      </c>
      <c r="C31" s="26">
        <v>259675</v>
      </c>
      <c r="D31" s="26">
        <v>298330</v>
      </c>
      <c r="E31" s="26">
        <v>328821</v>
      </c>
      <c r="F31" s="82">
        <v>235551</v>
      </c>
      <c r="G31" s="26">
        <v>337760</v>
      </c>
      <c r="H31" s="27">
        <v>346949</v>
      </c>
      <c r="I31" s="82">
        <v>166616</v>
      </c>
      <c r="J31" s="30">
        <v>320769</v>
      </c>
      <c r="K31" s="691">
        <v>360942</v>
      </c>
      <c r="L31" s="27">
        <v>337587</v>
      </c>
      <c r="M31" s="28">
        <v>265205</v>
      </c>
      <c r="N31" s="23"/>
      <c r="P31" s="23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116">
        <v>255644</v>
      </c>
      <c r="C32" s="26">
        <v>256036</v>
      </c>
      <c r="D32" s="26">
        <v>292349</v>
      </c>
      <c r="E32" s="26">
        <v>345471</v>
      </c>
      <c r="F32" s="82">
        <v>157206</v>
      </c>
      <c r="G32" s="26">
        <v>354458</v>
      </c>
      <c r="H32" s="27">
        <v>372266</v>
      </c>
      <c r="I32" s="33">
        <v>186248</v>
      </c>
      <c r="J32" s="30">
        <v>337750</v>
      </c>
      <c r="K32" s="82">
        <v>260968</v>
      </c>
      <c r="L32" s="27">
        <v>346409</v>
      </c>
      <c r="M32" s="28">
        <v>311219</v>
      </c>
      <c r="N32" s="23"/>
      <c r="P32" s="23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f>A6+27</f>
        <v>28</v>
      </c>
      <c r="B33" s="116">
        <v>173497</v>
      </c>
      <c r="C33" s="26">
        <v>261894</v>
      </c>
      <c r="D33" s="35"/>
      <c r="E33" s="82">
        <v>251069</v>
      </c>
      <c r="F33" s="31">
        <v>299390</v>
      </c>
      <c r="G33" s="26">
        <v>336195</v>
      </c>
      <c r="H33" s="115">
        <v>265374</v>
      </c>
      <c r="I33" s="118">
        <v>356488</v>
      </c>
      <c r="J33" s="695">
        <v>360637</v>
      </c>
      <c r="K33" s="82">
        <v>177581</v>
      </c>
      <c r="L33" s="27">
        <v>353672</v>
      </c>
      <c r="M33" s="28">
        <v>302540</v>
      </c>
      <c r="N33" s="23"/>
      <c r="P33" s="23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30">
        <v>321922</v>
      </c>
      <c r="C34" s="35"/>
      <c r="D34" s="35"/>
      <c r="E34" s="82">
        <v>158663</v>
      </c>
      <c r="F34" s="26">
        <v>316058</v>
      </c>
      <c r="G34" s="691">
        <v>364735</v>
      </c>
      <c r="H34" s="115">
        <v>177070</v>
      </c>
      <c r="I34" s="26">
        <v>340357</v>
      </c>
      <c r="J34" s="116">
        <v>271424</v>
      </c>
      <c r="K34" s="26">
        <v>332545</v>
      </c>
      <c r="L34" s="27">
        <v>370518</v>
      </c>
      <c r="M34" s="95">
        <v>204080</v>
      </c>
      <c r="N34" s="23"/>
      <c r="P34" s="23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30">
        <v>318820</v>
      </c>
      <c r="C35" s="37"/>
      <c r="D35" s="35"/>
      <c r="E35" s="26">
        <v>321175</v>
      </c>
      <c r="F35" s="26">
        <v>328211</v>
      </c>
      <c r="G35" s="82">
        <v>273779</v>
      </c>
      <c r="H35" s="27">
        <v>352465</v>
      </c>
      <c r="I35" s="26">
        <v>341067</v>
      </c>
      <c r="J35" s="116">
        <v>183709</v>
      </c>
      <c r="K35" s="26">
        <v>315067</v>
      </c>
      <c r="L35" s="33">
        <v>239603</v>
      </c>
      <c r="M35" s="95">
        <v>114811</v>
      </c>
      <c r="N35" s="23"/>
      <c r="P35" s="233"/>
      <c r="Q35" s="23"/>
      <c r="R35" s="23"/>
      <c r="S35" s="23"/>
      <c r="T35" s="23"/>
      <c r="U35" s="23"/>
      <c r="V35" s="23"/>
    </row>
    <row r="36" spans="1:22" s="3" customFormat="1" ht="15" customHeight="1">
      <c r="A36" s="38">
        <f>A6+30</f>
        <v>31</v>
      </c>
      <c r="B36" s="70">
        <v>320570</v>
      </c>
      <c r="C36" s="40"/>
      <c r="D36" s="43"/>
      <c r="E36" s="40"/>
      <c r="F36" s="41">
        <v>326990</v>
      </c>
      <c r="G36" s="40"/>
      <c r="H36" s="124">
        <v>361583</v>
      </c>
      <c r="I36" s="72">
        <v>360248</v>
      </c>
      <c r="J36" s="125"/>
      <c r="K36" s="72">
        <v>343210</v>
      </c>
      <c r="L36" s="43"/>
      <c r="M36" s="36">
        <v>111907</v>
      </c>
      <c r="N36" s="23"/>
      <c r="P36" s="233"/>
      <c r="Q36" s="23"/>
      <c r="R36" s="23"/>
      <c r="S36" s="23"/>
      <c r="T36" s="23"/>
      <c r="U36" s="23"/>
      <c r="V36" s="23"/>
    </row>
    <row r="37" spans="1:22">
      <c r="A37" s="45" t="s">
        <v>19</v>
      </c>
      <c r="B37" s="126">
        <f>AVERAGE(B6:B36)</f>
        <v>315089.45161290321</v>
      </c>
      <c r="C37" s="127">
        <f>AVERAGE(C6:C36)</f>
        <v>244293.03571428571</v>
      </c>
      <c r="D37" s="127">
        <f>AVERAGE(D6:D36)</f>
        <v>257928.85185185185</v>
      </c>
      <c r="E37" s="127">
        <f>IFERROR(AVERAGE(E6:E36),0)</f>
        <v>286321.5172413793</v>
      </c>
      <c r="F37" s="127">
        <f>IFERROR(AVERAGE(F6:F36),0)</f>
        <v>282970.03225806454</v>
      </c>
      <c r="G37" s="127">
        <f t="shared" ref="G37:M37" si="0">IFERROR(AVERAGE(G6:G36),0)</f>
        <v>283941.76666666666</v>
      </c>
      <c r="H37" s="127">
        <f t="shared" si="0"/>
        <v>304349</v>
      </c>
      <c r="I37" s="127">
        <f t="shared" si="0"/>
        <v>305375.41935483873</v>
      </c>
      <c r="J37" s="127">
        <f t="shared" si="0"/>
        <v>297634.36666666664</v>
      </c>
      <c r="K37" s="127">
        <f t="shared" si="0"/>
        <v>305644.54838709679</v>
      </c>
      <c r="L37" s="127">
        <f>IFERROR(AVERAGE(L6:L36),0)</f>
        <v>295994.7</v>
      </c>
      <c r="M37" s="142">
        <f t="shared" si="0"/>
        <v>287882.16129032261</v>
      </c>
    </row>
    <row r="38" spans="1:22">
      <c r="A38" s="48" t="s">
        <v>20</v>
      </c>
      <c r="B38" s="129">
        <f>AVERAGE(B7:B10,B13:B17,B20:B24,B27:B31,B34:B36)</f>
        <v>354894.86363636365</v>
      </c>
      <c r="C38" s="50">
        <f>AVERAGE(C6:C7,C10:C14,C17:C20,C24:C28,C31:C33)</f>
        <v>266801.78947368421</v>
      </c>
      <c r="D38" s="50">
        <f>AVERAGE(D6:D7,D10:D14,D17:D21,D24:D28,D31:D33)</f>
        <v>284742.73684210528</v>
      </c>
      <c r="E38" s="50">
        <f>AVERAGE(E7:E11,E15:E18,E21:E25,E28:E32,E35)</f>
        <v>326122.7</v>
      </c>
      <c r="F38" s="53">
        <f>AVERAGE(F7:F9,F12:F16,F20:F23,F26:F30,F33:F36)</f>
        <v>326345.42857142858</v>
      </c>
      <c r="G38" s="50">
        <f>AVERAGE(G6,G9:G13,G16,G18:G19,G23:G27,G30:G34)</f>
        <v>335413.21052631579</v>
      </c>
      <c r="H38" s="50">
        <f>AVERAGE(H7:H11,H14:H18,H21:H25,H28:H32,H35:H36)</f>
        <v>343451.81818181818</v>
      </c>
      <c r="I38" s="50">
        <f>AVERAGE(I6:I8,I11:I15,I18:I22,I25,I27:I29,I33:I36)</f>
        <v>350878.47619047621</v>
      </c>
      <c r="J38" s="50">
        <f>AVERAGE(J8:J12,J15:J19,J22:J26,J29:J33)</f>
        <v>342381.85</v>
      </c>
      <c r="K38" s="50">
        <f>AVERAGE(K6:K10,K13:K17,K20:K24,K27:K31,K34:K36)</f>
        <v>336708.69565217389</v>
      </c>
      <c r="L38" s="50">
        <f>AVERAGE(L10:L14,L17:L21,L24:L28,L31:L34)</f>
        <v>347938.89473684208</v>
      </c>
      <c r="M38" s="51">
        <f>AVERAGE(M8:M12,M15:M19,M22:M26,M31:M33)</f>
        <v>350203.55555555556</v>
      </c>
    </row>
    <row r="39" spans="1:22">
      <c r="A39" s="52" t="s">
        <v>21</v>
      </c>
      <c r="B39" s="129">
        <f>IFERROR(AVERAGE(B11,B18,B25,B32),0)</f>
        <v>277749.25</v>
      </c>
      <c r="C39" s="53">
        <f>AVERAGE(C8,C15,C22,C29)</f>
        <v>232064.5</v>
      </c>
      <c r="D39" s="53">
        <f>AVERAGE(D8,D15,D22,D29)</f>
        <v>231952</v>
      </c>
      <c r="E39" s="53">
        <f>AVERAGE(E12,E19,E26,E33)</f>
        <v>245105.25</v>
      </c>
      <c r="F39" s="53">
        <f>AVERAGE(F10,F17,F24,F31)</f>
        <v>239712.25</v>
      </c>
      <c r="G39" s="53">
        <f>AVERAGE(G7,G14,G21,G28,G35)</f>
        <v>239212.4</v>
      </c>
      <c r="H39" s="53">
        <f>AVERAGE(H12,H19,H26,H33)</f>
        <v>262642.25</v>
      </c>
      <c r="I39" s="53">
        <f>AVERAGE(I9,I16,I23,I30)</f>
        <v>262390</v>
      </c>
      <c r="J39" s="53">
        <f>AVERAGE(J6,J13,J20,J27,J34)</f>
        <v>242043.8</v>
      </c>
      <c r="K39" s="53">
        <f>AVERAGE(K11,K18,K25,K32)</f>
        <v>259483.25</v>
      </c>
      <c r="L39" s="53">
        <f>AVERAGE(L8,L15,L22,L29)</f>
        <v>252696.25</v>
      </c>
      <c r="M39" s="54">
        <f>AVERAGE(M6,M13,M20,M27,M34)</f>
        <v>260021.6</v>
      </c>
    </row>
    <row r="40" spans="1:22">
      <c r="A40" s="52" t="s">
        <v>22</v>
      </c>
      <c r="B40" s="129">
        <f>IFERROR(AVERAGE(B6,B12,B19,B26,B33),0)</f>
        <v>169817.8</v>
      </c>
      <c r="C40" s="53">
        <f>AVERAGE(C9,C16,C21,C23,C30)</f>
        <v>168542.6</v>
      </c>
      <c r="D40" s="53">
        <f>AVERAGE(D9,D16,D23,D30)</f>
        <v>156539.75</v>
      </c>
      <c r="E40" s="53">
        <f>AVERAGE(E13:E14,E20,E27,E34)</f>
        <v>160089.79999999999</v>
      </c>
      <c r="F40" s="53">
        <f>AVERAGE(F6,F11,F18,F19,F25,F32)</f>
        <v>159994.66666666666</v>
      </c>
      <c r="G40" s="53">
        <f>AVERAGE(G8,G15,G17,G20,G22,G29)</f>
        <v>158223.33333333334</v>
      </c>
      <c r="H40" s="53">
        <f>AVERAGE(H6,H13,H20,H27,H34)</f>
        <v>165662</v>
      </c>
      <c r="I40" s="53">
        <f>AVERAGE(I10,I17,I24,I26,I31:I32)</f>
        <v>174771.66666666666</v>
      </c>
      <c r="J40" s="53">
        <f>AVERAGE(J7,J14,J21,J28,J35)</f>
        <v>174235</v>
      </c>
      <c r="K40" s="53">
        <f>AVERAGE(K12,K19,K26,K33)</f>
        <v>173187</v>
      </c>
      <c r="L40" s="53">
        <f>AVERAGE(L6:L7,L9,L16,L23,L30,L35)</f>
        <v>179745.28571428571</v>
      </c>
      <c r="M40" s="54">
        <f>AVERAGE(M7,M14,M21,M28:M30,M35:M36)</f>
        <v>165071.875</v>
      </c>
    </row>
    <row r="41" spans="1:22">
      <c r="A41" s="52" t="s">
        <v>23</v>
      </c>
      <c r="B41" s="129">
        <f>AVERAGE(B6,B11:B12,B18:B19,B25:B26,B32:B33)</f>
        <v>217787.33333333334</v>
      </c>
      <c r="C41" s="53">
        <f>AVERAGE(C8:C9,C15:C16,C21:C23,C29:C30)</f>
        <v>196774.55555555556</v>
      </c>
      <c r="D41" s="53">
        <f>AVERAGE(D8:D9,D15:D16,D22:D23,D29:D30)</f>
        <v>194245.875</v>
      </c>
      <c r="E41" s="53">
        <f>AVERAGE(E12:E14,E19:E20,E26:E27,E33:E34)</f>
        <v>197874.44444444444</v>
      </c>
      <c r="F41" s="130">
        <f>AVERAGE(F6,F10:F11,F17:F18,F24:F25,F31:F32,F19)</f>
        <v>191881.7</v>
      </c>
      <c r="G41" s="53">
        <f>AVERAGE(G7:G8,G14:G15,G17,G20:G22,G28:G29,G35)</f>
        <v>195036.54545454544</v>
      </c>
      <c r="H41" s="53">
        <f>AVERAGE(H6,H12:H13,H19:H20,H26:H27,H33:H34)</f>
        <v>208764.33333333334</v>
      </c>
      <c r="I41" s="53">
        <f>AVERAGE(I9:I10,I16:I17,I23:I24,I26,I30:I32)</f>
        <v>209819</v>
      </c>
      <c r="J41" s="53">
        <f>AVERAGE(J6:J7,J13:J14,J20:J21,J27:J28,J34:J35)</f>
        <v>208139.4</v>
      </c>
      <c r="K41" s="53">
        <f>AVERAGE(K11:K12,K18:K19,K25:K26,K32:K33)</f>
        <v>216335.125</v>
      </c>
      <c r="L41" s="53">
        <f>AVERAGE(L8:L9,L15:L16,L22:L23,L29:L30)</f>
        <v>215696</v>
      </c>
      <c r="M41" s="54">
        <f>AVERAGE(M6:M7,M13:M14,M20:M21,M27:M30,M34:M36)</f>
        <v>201591</v>
      </c>
    </row>
    <row r="42" spans="1:22">
      <c r="A42" s="52" t="s">
        <v>24</v>
      </c>
      <c r="B42" s="129">
        <f>MAX(B6:B36)</f>
        <v>390325</v>
      </c>
      <c r="C42" s="49">
        <f t="shared" ref="C42:M42" si="1">MAX(C6:C36)</f>
        <v>316834</v>
      </c>
      <c r="D42" s="49">
        <f t="shared" si="1"/>
        <v>316571</v>
      </c>
      <c r="E42" s="49">
        <f t="shared" si="1"/>
        <v>353067</v>
      </c>
      <c r="F42" s="49">
        <f t="shared" si="1"/>
        <v>344775</v>
      </c>
      <c r="G42" s="49">
        <f t="shared" si="1"/>
        <v>364735</v>
      </c>
      <c r="H42" s="49">
        <f t="shared" si="1"/>
        <v>372266</v>
      </c>
      <c r="I42" s="49">
        <f t="shared" si="1"/>
        <v>381091</v>
      </c>
      <c r="J42" s="49">
        <f t="shared" si="1"/>
        <v>362786</v>
      </c>
      <c r="K42" s="49">
        <f>MAX(K6:K36)</f>
        <v>360942</v>
      </c>
      <c r="L42" s="49">
        <f t="shared" si="1"/>
        <v>370518</v>
      </c>
      <c r="M42" s="131">
        <f t="shared" si="1"/>
        <v>379375</v>
      </c>
    </row>
    <row r="43" spans="1:22">
      <c r="A43" s="52" t="s">
        <v>47</v>
      </c>
      <c r="B43" s="129">
        <f>MIN(B6:B36)</f>
        <v>125183</v>
      </c>
      <c r="C43" s="49">
        <f t="shared" ref="C43:M43" si="2">MIN(C6:C36)</f>
        <v>153752</v>
      </c>
      <c r="D43" s="49">
        <f t="shared" si="2"/>
        <v>152621</v>
      </c>
      <c r="E43" s="49">
        <f t="shared" si="2"/>
        <v>148732</v>
      </c>
      <c r="F43" s="49">
        <f t="shared" si="2"/>
        <v>152129</v>
      </c>
      <c r="G43" s="49">
        <f t="shared" si="2"/>
        <v>125837</v>
      </c>
      <c r="H43" s="49">
        <f t="shared" si="2"/>
        <v>143043</v>
      </c>
      <c r="I43" s="49">
        <f t="shared" si="2"/>
        <v>137485</v>
      </c>
      <c r="J43" s="49">
        <f t="shared" si="2"/>
        <v>138129</v>
      </c>
      <c r="K43" s="49">
        <f t="shared" si="2"/>
        <v>166756</v>
      </c>
      <c r="L43" s="49">
        <f t="shared" si="2"/>
        <v>145398</v>
      </c>
      <c r="M43" s="131">
        <f t="shared" si="2"/>
        <v>111907</v>
      </c>
    </row>
    <row r="44" spans="1:22" ht="12.75" thickBot="1">
      <c r="A44" s="55" t="s">
        <v>25</v>
      </c>
      <c r="B44" s="111">
        <f t="shared" ref="B44:L44" si="3">SUM(B6:B36)</f>
        <v>9767773</v>
      </c>
      <c r="C44" s="316">
        <f t="shared" si="3"/>
        <v>6840205</v>
      </c>
      <c r="D44" s="316">
        <f>SUM(D6:D36)</f>
        <v>6964079</v>
      </c>
      <c r="E44" s="316">
        <f t="shared" si="3"/>
        <v>8303324</v>
      </c>
      <c r="F44" s="316">
        <f t="shared" si="3"/>
        <v>8772071</v>
      </c>
      <c r="G44" s="316">
        <f t="shared" si="3"/>
        <v>8518253</v>
      </c>
      <c r="H44" s="316">
        <f t="shared" si="3"/>
        <v>9434819</v>
      </c>
      <c r="I44" s="316">
        <f t="shared" si="3"/>
        <v>9466638</v>
      </c>
      <c r="J44" s="316">
        <f t="shared" si="3"/>
        <v>8929031</v>
      </c>
      <c r="K44" s="316">
        <f t="shared" si="3"/>
        <v>9474981</v>
      </c>
      <c r="L44" s="57">
        <f t="shared" si="3"/>
        <v>8879841</v>
      </c>
      <c r="M44" s="58">
        <f>SUM(M6:M36)</f>
        <v>8924347</v>
      </c>
      <c r="P44" s="59"/>
    </row>
    <row r="45" spans="1:22" s="60" customFormat="1" ht="11.25"/>
    <row r="46" spans="1:22">
      <c r="A46" s="61"/>
    </row>
    <row r="47" spans="1:22" ht="15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O47" s="64"/>
    </row>
    <row r="48" spans="1:22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</row>
    <row r="49" spans="1:13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1:13">
      <c r="A50" s="65"/>
      <c r="H50" s="66"/>
      <c r="I50" s="66"/>
      <c r="J50" s="66"/>
      <c r="K50" s="66"/>
      <c r="L50" s="66"/>
      <c r="M50" s="66"/>
    </row>
    <row r="52" spans="1:13">
      <c r="A52" s="67"/>
      <c r="B52" s="68"/>
    </row>
  </sheetData>
  <mergeCells count="2">
    <mergeCell ref="E1:I1"/>
    <mergeCell ref="E2:I3"/>
  </mergeCells>
  <conditionalFormatting sqref="B6:M36">
    <cfRule type="top10" dxfId="27" priority="1" rank="1"/>
  </conditionalFormatting>
  <printOptions horizontalCentered="1" verticalCentered="1"/>
  <pageMargins left="0.25" right="0" top="0.25" bottom="0.25" header="0.31" footer="0.31"/>
  <pageSetup paperSize="5" scale="98" orientation="landscape" r:id="rId1"/>
  <rowBreaks count="1" manualBreakCount="1">
    <brk id="45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8BBE-47EB-F24A-B82D-3EC99C2D24C9}">
  <sheetPr>
    <pageSetUpPr fitToPage="1"/>
  </sheetPr>
  <dimension ref="A1:V69"/>
  <sheetViews>
    <sheetView view="pageBreakPreview" topLeftCell="A19" zoomScale="116" zoomScaleNormal="139" zoomScaleSheetLayoutView="116" zoomScalePageLayoutView="120" workbookViewId="0">
      <pane xSplit="1" topLeftCell="C1" activePane="topRight" state="frozen"/>
      <selection pane="topRight" activeCell="L52" sqref="L52"/>
      <selection activeCell="N59" sqref="N59"/>
    </sheetView>
  </sheetViews>
  <sheetFormatPr defaultColWidth="8.85546875" defaultRowHeight="12"/>
  <cols>
    <col min="1" max="1" width="20.140625" style="4" customWidth="1"/>
    <col min="2" max="2" width="16" style="4" customWidth="1"/>
    <col min="3" max="9" width="10" style="4" customWidth="1"/>
    <col min="10" max="10" width="10.42578125" style="4" customWidth="1"/>
    <col min="11" max="13" width="10" style="4" customWidth="1"/>
    <col min="14" max="14" width="9.140625" style="4" bestFit="1" customWidth="1"/>
    <col min="15" max="16384" width="8.85546875" style="4"/>
  </cols>
  <sheetData>
    <row r="1" spans="1:22" s="351" customFormat="1" ht="18">
      <c r="A1" s="1"/>
      <c r="B1" s="2"/>
      <c r="C1" s="2"/>
      <c r="D1" s="3"/>
      <c r="E1" s="747" t="s">
        <v>0</v>
      </c>
      <c r="F1" s="747"/>
      <c r="G1" s="747"/>
      <c r="H1" s="747"/>
      <c r="I1" s="74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3" customFormat="1" ht="18" customHeight="1">
      <c r="A2" s="1"/>
      <c r="B2" s="2"/>
      <c r="C2" s="2"/>
      <c r="E2" s="747" t="s">
        <v>1</v>
      </c>
      <c r="F2" s="747"/>
      <c r="G2" s="747"/>
      <c r="H2" s="747"/>
      <c r="I2" s="747"/>
    </row>
    <row r="3" spans="1:22" s="3" customFormat="1">
      <c r="A3" s="216" t="s">
        <v>56</v>
      </c>
      <c r="B3" s="217"/>
      <c r="C3" s="218"/>
      <c r="D3" s="219"/>
      <c r="E3" s="747"/>
      <c r="F3" s="747"/>
      <c r="G3" s="747"/>
      <c r="H3" s="747"/>
      <c r="I3" s="747"/>
      <c r="J3" s="219"/>
      <c r="K3" s="7" t="s">
        <v>3</v>
      </c>
      <c r="L3" s="8" t="s">
        <v>4</v>
      </c>
      <c r="M3" s="9" t="s">
        <v>5</v>
      </c>
    </row>
    <row r="4" spans="1:22" s="3" customFormat="1" ht="12.75" thickBot="1">
      <c r="A4" s="219"/>
      <c r="B4" s="217"/>
      <c r="C4" s="218"/>
      <c r="D4" s="219"/>
      <c r="E4" s="219"/>
      <c r="F4" s="216"/>
      <c r="G4" s="216"/>
      <c r="H4" s="219"/>
      <c r="I4" s="219"/>
      <c r="J4" s="219"/>
      <c r="K4" s="219"/>
      <c r="L4" s="219"/>
      <c r="M4" s="219"/>
    </row>
    <row r="5" spans="1:22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2" s="3" customFormat="1" ht="15" customHeight="1">
      <c r="A6" s="220">
        <v>1</v>
      </c>
      <c r="B6" s="221">
        <v>111068</v>
      </c>
      <c r="C6" s="700">
        <v>359139</v>
      </c>
      <c r="D6" s="700">
        <v>344595</v>
      </c>
      <c r="E6" s="75">
        <v>312273</v>
      </c>
      <c r="F6" s="76">
        <v>179852</v>
      </c>
      <c r="G6" s="74">
        <v>236296</v>
      </c>
      <c r="H6" s="222">
        <v>293810</v>
      </c>
      <c r="I6" s="75">
        <v>306695</v>
      </c>
      <c r="J6" s="223">
        <v>154963</v>
      </c>
      <c r="K6" s="75">
        <v>298967</v>
      </c>
      <c r="L6" s="224">
        <v>120589</v>
      </c>
      <c r="M6" s="138">
        <v>173668</v>
      </c>
      <c r="N6" s="23"/>
      <c r="P6" s="225"/>
      <c r="R6" s="23"/>
      <c r="S6" s="23"/>
      <c r="T6" s="23"/>
      <c r="U6" s="23"/>
      <c r="V6" s="23"/>
    </row>
    <row r="7" spans="1:22" s="3" customFormat="1" ht="15" customHeight="1">
      <c r="A7" s="24">
        <f>A6+1</f>
        <v>2</v>
      </c>
      <c r="B7" s="226">
        <v>249746</v>
      </c>
      <c r="C7" s="82">
        <v>254091</v>
      </c>
      <c r="D7" s="82">
        <v>246793</v>
      </c>
      <c r="E7" s="26">
        <v>318687</v>
      </c>
      <c r="F7" s="26">
        <v>309544</v>
      </c>
      <c r="G7" s="82">
        <v>157902</v>
      </c>
      <c r="H7" s="27">
        <v>298088</v>
      </c>
      <c r="I7" s="26">
        <v>307618</v>
      </c>
      <c r="J7" s="30">
        <v>297647</v>
      </c>
      <c r="K7" s="26">
        <v>265854</v>
      </c>
      <c r="L7" s="122">
        <v>126849</v>
      </c>
      <c r="M7" s="28">
        <v>290841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24">
        <f>A6+2</f>
        <v>3</v>
      </c>
      <c r="B8" s="30">
        <v>310851</v>
      </c>
      <c r="C8" s="82">
        <v>164619</v>
      </c>
      <c r="D8" s="82">
        <v>162143</v>
      </c>
      <c r="E8" s="26">
        <v>314793</v>
      </c>
      <c r="F8" s="26">
        <v>301404</v>
      </c>
      <c r="G8" s="26">
        <v>297212</v>
      </c>
      <c r="H8" s="27">
        <v>310956</v>
      </c>
      <c r="I8" s="82">
        <v>194238</v>
      </c>
      <c r="J8" s="30">
        <v>305080</v>
      </c>
      <c r="K8" s="26">
        <v>292894</v>
      </c>
      <c r="L8" s="115">
        <v>140046</v>
      </c>
      <c r="M8" s="28">
        <v>214625</v>
      </c>
      <c r="N8" s="23"/>
      <c r="P8" s="34"/>
      <c r="Q8" s="23"/>
      <c r="R8" s="23"/>
      <c r="S8" s="23"/>
      <c r="T8" s="23"/>
      <c r="U8" s="23"/>
      <c r="V8" s="23"/>
    </row>
    <row r="9" spans="1:22" s="3" customFormat="1" ht="15" customHeight="1">
      <c r="A9" s="24">
        <f>A6+3</f>
        <v>4</v>
      </c>
      <c r="B9" s="30">
        <v>327192</v>
      </c>
      <c r="C9" s="26">
        <v>327504</v>
      </c>
      <c r="D9" s="26">
        <v>308569</v>
      </c>
      <c r="E9" s="26">
        <v>313836</v>
      </c>
      <c r="F9" s="82">
        <v>215341</v>
      </c>
      <c r="G9" s="26">
        <v>309649</v>
      </c>
      <c r="H9" s="27">
        <v>299556</v>
      </c>
      <c r="I9" s="119">
        <v>155000</v>
      </c>
      <c r="J9" s="30">
        <v>313031</v>
      </c>
      <c r="K9" s="118">
        <v>296384</v>
      </c>
      <c r="L9" s="27">
        <v>256229</v>
      </c>
      <c r="M9" s="28">
        <v>292011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24">
        <f>A6+4</f>
        <v>5</v>
      </c>
      <c r="B10" s="116">
        <v>231877</v>
      </c>
      <c r="C10" s="33">
        <v>200176</v>
      </c>
      <c r="D10" s="26">
        <v>313578</v>
      </c>
      <c r="E10" s="26">
        <v>319103</v>
      </c>
      <c r="F10" s="82">
        <v>148061</v>
      </c>
      <c r="G10" s="33">
        <v>186552</v>
      </c>
      <c r="H10" s="27">
        <v>313818</v>
      </c>
      <c r="I10" s="227">
        <v>307570</v>
      </c>
      <c r="J10" s="30">
        <v>307951</v>
      </c>
      <c r="K10" s="82">
        <v>227615</v>
      </c>
      <c r="L10" s="27">
        <v>297968</v>
      </c>
      <c r="M10" s="28">
        <v>312400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24">
        <f>A6+5</f>
        <v>6</v>
      </c>
      <c r="B11" s="116">
        <v>165444</v>
      </c>
      <c r="C11" s="26">
        <v>347071</v>
      </c>
      <c r="D11" s="26">
        <v>321143</v>
      </c>
      <c r="E11" s="82">
        <v>231289</v>
      </c>
      <c r="F11" s="26">
        <v>294133</v>
      </c>
      <c r="G11" s="228">
        <v>312446</v>
      </c>
      <c r="H11" s="115">
        <v>233049</v>
      </c>
      <c r="I11" s="26">
        <v>318886</v>
      </c>
      <c r="J11" s="30">
        <v>153734</v>
      </c>
      <c r="K11" s="82">
        <v>150720</v>
      </c>
      <c r="L11" s="27">
        <v>308170</v>
      </c>
      <c r="M11" s="28">
        <v>318421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24">
        <f>A6+6</f>
        <v>7</v>
      </c>
      <c r="B12" s="30">
        <v>336026</v>
      </c>
      <c r="C12" s="26">
        <v>328685</v>
      </c>
      <c r="D12" s="26">
        <v>319898</v>
      </c>
      <c r="E12" s="82">
        <v>151766</v>
      </c>
      <c r="F12" s="26">
        <v>305497</v>
      </c>
      <c r="G12" s="26">
        <v>308471</v>
      </c>
      <c r="H12" s="115">
        <v>154263</v>
      </c>
      <c r="I12" s="702">
        <v>334685</v>
      </c>
      <c r="J12" s="116">
        <v>223307</v>
      </c>
      <c r="K12" s="26">
        <v>284946</v>
      </c>
      <c r="L12" s="27">
        <v>297810</v>
      </c>
      <c r="M12" s="229">
        <v>254040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24">
        <f>A6+7</f>
        <v>8</v>
      </c>
      <c r="B13" s="30">
        <v>344015</v>
      </c>
      <c r="C13" s="26">
        <v>327935</v>
      </c>
      <c r="D13" s="26">
        <v>282228</v>
      </c>
      <c r="E13" s="26">
        <v>308782</v>
      </c>
      <c r="F13" s="26">
        <v>311447</v>
      </c>
      <c r="G13" s="82">
        <v>217381</v>
      </c>
      <c r="H13" s="27">
        <v>294594</v>
      </c>
      <c r="I13" s="121">
        <v>310282</v>
      </c>
      <c r="J13" s="116">
        <v>151892</v>
      </c>
      <c r="K13" s="26">
        <v>302859</v>
      </c>
      <c r="L13" s="27">
        <v>318621</v>
      </c>
      <c r="M13" s="36">
        <v>182872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24">
        <f>A6+8</f>
        <v>9</v>
      </c>
      <c r="B14" s="30">
        <v>340780</v>
      </c>
      <c r="C14" s="82">
        <v>230664</v>
      </c>
      <c r="D14" s="82">
        <v>243795</v>
      </c>
      <c r="E14" s="33">
        <v>181928</v>
      </c>
      <c r="F14" s="26">
        <v>303219</v>
      </c>
      <c r="G14" s="82">
        <v>144077</v>
      </c>
      <c r="H14" s="27">
        <v>305705</v>
      </c>
      <c r="I14" s="26">
        <v>296752</v>
      </c>
      <c r="J14" s="30">
        <v>300285</v>
      </c>
      <c r="K14" s="26">
        <v>299621</v>
      </c>
      <c r="L14" s="115">
        <v>240027</v>
      </c>
      <c r="M14" s="28">
        <v>295756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24">
        <f>A6+9</f>
        <v>10</v>
      </c>
      <c r="B15" s="30">
        <v>338626</v>
      </c>
      <c r="C15" s="82">
        <v>148894</v>
      </c>
      <c r="D15" s="82">
        <v>159153</v>
      </c>
      <c r="E15" s="691">
        <v>332582</v>
      </c>
      <c r="F15" s="26">
        <v>321759</v>
      </c>
      <c r="G15" s="26">
        <v>292405</v>
      </c>
      <c r="H15" s="27">
        <v>311647</v>
      </c>
      <c r="I15" s="82">
        <v>231004</v>
      </c>
      <c r="J15" s="30">
        <v>312705</v>
      </c>
      <c r="K15" s="26">
        <v>300080</v>
      </c>
      <c r="L15" s="115">
        <v>160160</v>
      </c>
      <c r="M15" s="28">
        <v>324601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24">
        <f>A6+10</f>
        <v>11</v>
      </c>
      <c r="B16" s="30">
        <v>354904</v>
      </c>
      <c r="C16" s="26">
        <v>317925</v>
      </c>
      <c r="D16" s="26">
        <v>317039</v>
      </c>
      <c r="E16" s="26">
        <v>323627</v>
      </c>
      <c r="F16" s="82">
        <v>225103</v>
      </c>
      <c r="G16" s="26">
        <v>312036</v>
      </c>
      <c r="H16" s="27">
        <v>300488</v>
      </c>
      <c r="I16" s="82">
        <v>155344</v>
      </c>
      <c r="J16" s="30">
        <v>310513</v>
      </c>
      <c r="K16" s="26">
        <v>311919</v>
      </c>
      <c r="L16" s="27">
        <v>297287</v>
      </c>
      <c r="M16" s="28">
        <v>335793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24">
        <f>A6+11</f>
        <v>12</v>
      </c>
      <c r="B17" s="230">
        <v>251190</v>
      </c>
      <c r="C17" s="26">
        <v>324692</v>
      </c>
      <c r="D17" s="26">
        <v>323472</v>
      </c>
      <c r="E17" s="26">
        <v>331452</v>
      </c>
      <c r="F17" s="82">
        <v>135306</v>
      </c>
      <c r="G17" s="33">
        <v>132076</v>
      </c>
      <c r="H17" s="27">
        <v>339552</v>
      </c>
      <c r="I17" s="33">
        <v>172250</v>
      </c>
      <c r="J17" s="30">
        <v>297615</v>
      </c>
      <c r="K17" s="82">
        <v>247126</v>
      </c>
      <c r="L17" s="27">
        <v>306754</v>
      </c>
      <c r="M17" s="28">
        <v>319452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24">
        <f>A6+12</f>
        <v>13</v>
      </c>
      <c r="B18" s="116">
        <v>158942</v>
      </c>
      <c r="C18" s="26">
        <v>331095</v>
      </c>
      <c r="D18" s="26">
        <v>324548</v>
      </c>
      <c r="E18" s="82">
        <v>236988</v>
      </c>
      <c r="F18" s="33">
        <v>137498</v>
      </c>
      <c r="G18" s="26">
        <v>305284</v>
      </c>
      <c r="H18" s="115">
        <v>238533</v>
      </c>
      <c r="I18" s="26">
        <v>327766</v>
      </c>
      <c r="J18" s="30">
        <v>300211</v>
      </c>
      <c r="K18" s="82">
        <v>157908</v>
      </c>
      <c r="L18" s="27">
        <v>304517</v>
      </c>
      <c r="M18" s="28">
        <v>330312</v>
      </c>
      <c r="N18" s="23"/>
      <c r="O18" s="141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24">
        <f>A6+13</f>
        <v>14</v>
      </c>
      <c r="B19" s="30">
        <v>335880</v>
      </c>
      <c r="C19" s="26">
        <v>320603</v>
      </c>
      <c r="D19" s="231">
        <v>321585</v>
      </c>
      <c r="E19" s="82">
        <v>150578</v>
      </c>
      <c r="F19" s="26">
        <v>290707</v>
      </c>
      <c r="G19" s="26">
        <v>310846</v>
      </c>
      <c r="H19" s="115">
        <v>155887</v>
      </c>
      <c r="I19" s="26">
        <v>320495</v>
      </c>
      <c r="J19" s="116">
        <v>236501</v>
      </c>
      <c r="K19" s="26">
        <v>293514</v>
      </c>
      <c r="L19" s="27">
        <v>298560</v>
      </c>
      <c r="M19" s="95">
        <v>278589</v>
      </c>
      <c r="N19" s="23"/>
      <c r="O19" s="141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24">
        <f>A6+14</f>
        <v>15</v>
      </c>
      <c r="B20" s="30">
        <v>347984</v>
      </c>
      <c r="C20" s="26">
        <v>344353</v>
      </c>
      <c r="D20" s="26">
        <v>342896</v>
      </c>
      <c r="E20" s="35"/>
      <c r="F20" s="26">
        <v>315236</v>
      </c>
      <c r="G20" s="82">
        <v>226654</v>
      </c>
      <c r="H20" s="27">
        <v>307450</v>
      </c>
      <c r="I20" s="26">
        <v>313943</v>
      </c>
      <c r="J20" s="116">
        <v>156526</v>
      </c>
      <c r="K20" s="26">
        <v>273984</v>
      </c>
      <c r="L20" s="27">
        <v>327332</v>
      </c>
      <c r="M20" s="95">
        <v>209327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24">
        <f>A6+15</f>
        <v>16</v>
      </c>
      <c r="B21" s="30">
        <v>351658</v>
      </c>
      <c r="C21" s="82">
        <v>252317</v>
      </c>
      <c r="D21" s="82">
        <v>250587</v>
      </c>
      <c r="E21" s="35"/>
      <c r="F21" s="26">
        <v>300837</v>
      </c>
      <c r="G21" s="82">
        <v>148909</v>
      </c>
      <c r="H21" s="27">
        <v>313816</v>
      </c>
      <c r="I21" s="26">
        <v>333715</v>
      </c>
      <c r="J21" s="30">
        <v>297940</v>
      </c>
      <c r="K21" s="26">
        <v>310060</v>
      </c>
      <c r="L21" s="115">
        <v>254811</v>
      </c>
      <c r="M21" s="28">
        <v>325754</v>
      </c>
      <c r="N21" s="23"/>
      <c r="O21" s="141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24">
        <f>A6+16</f>
        <v>17</v>
      </c>
      <c r="B22" s="30">
        <v>344527</v>
      </c>
      <c r="C22" s="82">
        <v>164483</v>
      </c>
      <c r="D22" s="82">
        <v>166531</v>
      </c>
      <c r="E22" s="35"/>
      <c r="F22" s="26">
        <v>321470</v>
      </c>
      <c r="G22" s="26">
        <v>302141</v>
      </c>
      <c r="H22" s="27">
        <v>295276</v>
      </c>
      <c r="I22" s="82">
        <v>236058</v>
      </c>
      <c r="J22" s="30">
        <v>295882</v>
      </c>
      <c r="K22" s="26">
        <v>304638</v>
      </c>
      <c r="L22" s="115">
        <v>172002</v>
      </c>
      <c r="M22" s="28">
        <v>325690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24">
        <f>A6+17</f>
        <v>18</v>
      </c>
      <c r="B23" s="30">
        <v>346141</v>
      </c>
      <c r="C23" s="26">
        <v>332137</v>
      </c>
      <c r="D23" s="26">
        <v>308599</v>
      </c>
      <c r="E23" s="35"/>
      <c r="F23" s="82">
        <v>232637</v>
      </c>
      <c r="G23" s="26">
        <v>304405</v>
      </c>
      <c r="H23" s="27">
        <v>298954</v>
      </c>
      <c r="I23" s="82">
        <v>153346</v>
      </c>
      <c r="J23" s="30">
        <v>304484</v>
      </c>
      <c r="K23" s="691">
        <v>315648</v>
      </c>
      <c r="L23" s="27">
        <v>302442</v>
      </c>
      <c r="M23" s="28">
        <v>332068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24">
        <f>A6+18</f>
        <v>19</v>
      </c>
      <c r="B24" s="116">
        <v>255269</v>
      </c>
      <c r="C24" s="26">
        <v>332733</v>
      </c>
      <c r="D24" s="26">
        <v>317935</v>
      </c>
      <c r="E24" s="35"/>
      <c r="F24" s="82">
        <v>155092</v>
      </c>
      <c r="G24" s="26">
        <v>296652</v>
      </c>
      <c r="H24" s="698">
        <v>330952</v>
      </c>
      <c r="I24" s="26">
        <v>287558</v>
      </c>
      <c r="J24" s="30">
        <v>305252</v>
      </c>
      <c r="K24" s="82">
        <v>243503</v>
      </c>
      <c r="L24" s="27">
        <v>300382</v>
      </c>
      <c r="M24" s="28">
        <v>313798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24">
        <f>A6+19</f>
        <v>20</v>
      </c>
      <c r="B25" s="116">
        <v>161318</v>
      </c>
      <c r="C25" s="26">
        <v>332454</v>
      </c>
      <c r="D25" s="26">
        <v>323967</v>
      </c>
      <c r="E25" s="35"/>
      <c r="F25" s="26">
        <v>299119</v>
      </c>
      <c r="G25" s="26">
        <v>277412</v>
      </c>
      <c r="H25" s="115">
        <v>237811</v>
      </c>
      <c r="I25" s="26">
        <v>311217</v>
      </c>
      <c r="J25" s="30">
        <v>313491</v>
      </c>
      <c r="K25" s="82">
        <v>164969</v>
      </c>
      <c r="L25" s="27">
        <v>302011</v>
      </c>
      <c r="M25" s="694">
        <v>333354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24">
        <v>21</v>
      </c>
      <c r="B26" s="30">
        <v>331577</v>
      </c>
      <c r="C26" s="26">
        <v>333527</v>
      </c>
      <c r="D26" s="26">
        <v>319858</v>
      </c>
      <c r="E26" s="35"/>
      <c r="F26" s="26">
        <v>309004</v>
      </c>
      <c r="G26" s="26">
        <v>314557</v>
      </c>
      <c r="H26" s="115">
        <v>151003</v>
      </c>
      <c r="I26" s="33">
        <v>183370</v>
      </c>
      <c r="J26" s="116">
        <v>234724</v>
      </c>
      <c r="K26" s="26">
        <v>297122</v>
      </c>
      <c r="L26" s="27">
        <v>298105</v>
      </c>
      <c r="M26" s="95">
        <v>250531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24">
        <f>A6+21</f>
        <v>22</v>
      </c>
      <c r="B27" s="30">
        <v>340469</v>
      </c>
      <c r="C27" s="26">
        <v>355222</v>
      </c>
      <c r="D27" s="26">
        <v>340401</v>
      </c>
      <c r="E27" s="26">
        <v>204573</v>
      </c>
      <c r="F27" s="26">
        <v>311936</v>
      </c>
      <c r="G27" s="82">
        <v>224299</v>
      </c>
      <c r="H27" s="27">
        <v>297822</v>
      </c>
      <c r="I27" s="26">
        <v>317248</v>
      </c>
      <c r="J27" s="116">
        <v>155207</v>
      </c>
      <c r="K27" s="26">
        <v>301111</v>
      </c>
      <c r="L27" s="698">
        <v>327166</v>
      </c>
      <c r="M27" s="95">
        <v>183813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24">
        <f>A6+22</f>
        <v>23</v>
      </c>
      <c r="B28" s="30">
        <v>345315</v>
      </c>
      <c r="C28" s="82">
        <v>250690</v>
      </c>
      <c r="D28" s="82">
        <v>237544</v>
      </c>
      <c r="E28" s="26">
        <v>251140</v>
      </c>
      <c r="F28" s="26">
        <v>306552</v>
      </c>
      <c r="G28" s="82">
        <v>147354</v>
      </c>
      <c r="H28" s="27">
        <v>316257</v>
      </c>
      <c r="I28" s="26">
        <v>318894</v>
      </c>
      <c r="J28" s="26">
        <v>299837</v>
      </c>
      <c r="K28" s="26">
        <v>300620</v>
      </c>
      <c r="L28" s="115">
        <v>246582</v>
      </c>
      <c r="M28" s="28">
        <v>290016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24">
        <f>A6+23</f>
        <v>24</v>
      </c>
      <c r="B29" s="30">
        <v>339794</v>
      </c>
      <c r="C29" s="82">
        <v>156007</v>
      </c>
      <c r="D29" s="82">
        <v>157471</v>
      </c>
      <c r="E29" s="26">
        <v>306386</v>
      </c>
      <c r="F29" s="26">
        <v>315436</v>
      </c>
      <c r="G29" s="26">
        <v>291353</v>
      </c>
      <c r="H29" s="27">
        <v>317499</v>
      </c>
      <c r="I29" s="82">
        <v>217621</v>
      </c>
      <c r="J29" s="30">
        <v>305136</v>
      </c>
      <c r="K29" s="26">
        <v>291065</v>
      </c>
      <c r="L29" s="115">
        <v>163431</v>
      </c>
      <c r="M29" s="36">
        <v>141835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24">
        <f>A6+24</f>
        <v>25</v>
      </c>
      <c r="B30" s="140">
        <v>359447</v>
      </c>
      <c r="C30" s="33">
        <v>179516</v>
      </c>
      <c r="D30" s="26">
        <v>318014</v>
      </c>
      <c r="E30" s="26">
        <v>302949</v>
      </c>
      <c r="F30" s="82">
        <v>237738</v>
      </c>
      <c r="G30" s="26">
        <v>307696</v>
      </c>
      <c r="H30" s="27">
        <v>314026</v>
      </c>
      <c r="I30" s="82">
        <v>144779</v>
      </c>
      <c r="J30" s="30">
        <v>312418</v>
      </c>
      <c r="K30" s="26">
        <v>317412</v>
      </c>
      <c r="L30" s="27">
        <v>300281</v>
      </c>
      <c r="M30" s="36">
        <v>126234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24">
        <f>A6+25</f>
        <v>26</v>
      </c>
      <c r="B31" s="116">
        <v>253395</v>
      </c>
      <c r="C31" s="26">
        <v>340749</v>
      </c>
      <c r="D31" s="26">
        <v>324457</v>
      </c>
      <c r="E31" s="26">
        <v>312989</v>
      </c>
      <c r="F31" s="82">
        <v>157485</v>
      </c>
      <c r="G31" s="26">
        <v>300758</v>
      </c>
      <c r="H31" s="27">
        <v>317648</v>
      </c>
      <c r="I31" s="33">
        <v>165598</v>
      </c>
      <c r="J31" s="30">
        <v>308938</v>
      </c>
      <c r="K31" s="82">
        <v>247951</v>
      </c>
      <c r="L31" s="27">
        <v>309838</v>
      </c>
      <c r="M31" s="28">
        <v>241800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24">
        <f>A6+26</f>
        <v>27</v>
      </c>
      <c r="B32" s="116">
        <v>167825</v>
      </c>
      <c r="C32" s="26">
        <v>337858</v>
      </c>
      <c r="D32" s="26">
        <v>321629</v>
      </c>
      <c r="E32" s="82">
        <v>226229</v>
      </c>
      <c r="F32" s="26">
        <v>300754</v>
      </c>
      <c r="G32" s="26">
        <v>307394</v>
      </c>
      <c r="H32" s="115">
        <v>228857</v>
      </c>
      <c r="I32" s="26">
        <v>297966</v>
      </c>
      <c r="J32" s="695">
        <v>320218</v>
      </c>
      <c r="K32" s="82">
        <v>161168</v>
      </c>
      <c r="L32" s="27">
        <v>312079</v>
      </c>
      <c r="M32" s="28">
        <v>273252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24">
        <v>28</v>
      </c>
      <c r="B33" s="30">
        <v>328527</v>
      </c>
      <c r="C33" s="26">
        <v>340331</v>
      </c>
      <c r="D33" s="26">
        <v>321048</v>
      </c>
      <c r="E33" s="82">
        <v>148353</v>
      </c>
      <c r="F33" s="26">
        <v>310992</v>
      </c>
      <c r="G33" s="691">
        <v>318298</v>
      </c>
      <c r="H33" s="115">
        <v>150538</v>
      </c>
      <c r="I33" s="26">
        <v>301743</v>
      </c>
      <c r="J33" s="116">
        <v>239676</v>
      </c>
      <c r="K33" s="26">
        <v>293734</v>
      </c>
      <c r="L33" s="27">
        <v>307015</v>
      </c>
      <c r="M33" s="95">
        <v>197909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24">
        <f>A6+28</f>
        <v>29</v>
      </c>
      <c r="B34" s="30">
        <v>345535</v>
      </c>
      <c r="C34" s="35"/>
      <c r="D34" s="26">
        <v>331141</v>
      </c>
      <c r="E34" s="31">
        <v>302530</v>
      </c>
      <c r="F34" s="26">
        <v>314310</v>
      </c>
      <c r="G34" s="82">
        <v>233340</v>
      </c>
      <c r="H34" s="27">
        <v>303537</v>
      </c>
      <c r="I34" s="26">
        <v>305536</v>
      </c>
      <c r="J34" s="116">
        <v>162733</v>
      </c>
      <c r="K34" s="26">
        <v>300287</v>
      </c>
      <c r="L34" s="27">
        <v>326865</v>
      </c>
      <c r="M34" s="95">
        <v>143031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24">
        <f>A6+29</f>
        <v>30</v>
      </c>
      <c r="B35" s="30">
        <v>340859</v>
      </c>
      <c r="C35" s="37"/>
      <c r="D35" s="82">
        <v>243238</v>
      </c>
      <c r="E35" s="26">
        <v>324140</v>
      </c>
      <c r="F35" s="26">
        <v>310935</v>
      </c>
      <c r="G35" s="82">
        <v>153298</v>
      </c>
      <c r="H35" s="27">
        <v>308707</v>
      </c>
      <c r="I35" s="26">
        <v>313447</v>
      </c>
      <c r="J35" s="30">
        <v>270617</v>
      </c>
      <c r="K35" s="26">
        <v>307754</v>
      </c>
      <c r="L35" s="33">
        <v>214160</v>
      </c>
      <c r="M35" s="36">
        <v>108784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>
      <c r="A36" s="38">
        <f>A6+30</f>
        <v>31</v>
      </c>
      <c r="B36" s="70">
        <v>348137</v>
      </c>
      <c r="C36" s="40"/>
      <c r="D36" s="209">
        <v>164974</v>
      </c>
      <c r="E36" s="40"/>
      <c r="F36" s="701">
        <v>327724</v>
      </c>
      <c r="G36" s="40"/>
      <c r="H36" s="124">
        <v>312708</v>
      </c>
      <c r="I36" s="98">
        <v>238154</v>
      </c>
      <c r="J36" s="125"/>
      <c r="K36" s="72">
        <v>282978</v>
      </c>
      <c r="L36" s="43"/>
      <c r="M36" s="36">
        <v>98049</v>
      </c>
      <c r="N36" s="23"/>
      <c r="O36" s="232"/>
      <c r="P36" s="34"/>
      <c r="Q36" s="233"/>
      <c r="R36" s="233"/>
      <c r="S36" s="233"/>
      <c r="T36" s="233"/>
      <c r="U36" s="233"/>
      <c r="V36" s="23"/>
    </row>
    <row r="37" spans="1:22">
      <c r="A37" s="45" t="s">
        <v>19</v>
      </c>
      <c r="B37" s="126">
        <f>AVERAGE(B6:B36)</f>
        <v>295623.16129032261</v>
      </c>
      <c r="C37" s="127">
        <f>IFERROR(AVERAGE(C6:C36),0)</f>
        <v>286981.07142857142</v>
      </c>
      <c r="D37" s="127">
        <f t="shared" ref="D37:M37" si="0">IFERROR(AVERAGE(D6:D36),0)</f>
        <v>283188.03225806454</v>
      </c>
      <c r="E37" s="127">
        <f>IFERROR(AVERAGE(E6:E36),0)</f>
        <v>269868.39130434784</v>
      </c>
      <c r="F37" s="127">
        <f t="shared" si="0"/>
        <v>267939.61290322582</v>
      </c>
      <c r="G37" s="127">
        <f t="shared" si="0"/>
        <v>255905.1</v>
      </c>
      <c r="H37" s="127">
        <f t="shared" si="0"/>
        <v>279122.80645161291</v>
      </c>
      <c r="I37" s="127">
        <f t="shared" si="0"/>
        <v>263831.54838709679</v>
      </c>
      <c r="J37" s="127">
        <f>IFERROR(AVERAGE(J6:J36),0)</f>
        <v>264950.46666666667</v>
      </c>
      <c r="K37" s="127">
        <f>IFERROR(AVERAGE(K6:K36),0)</f>
        <v>272400.3548387097</v>
      </c>
      <c r="L37" s="127">
        <f t="shared" si="0"/>
        <v>264602.96666666667</v>
      </c>
      <c r="M37" s="142">
        <f t="shared" si="0"/>
        <v>252213.74193548388</v>
      </c>
    </row>
    <row r="38" spans="1:22">
      <c r="A38" s="48" t="s">
        <v>20</v>
      </c>
      <c r="B38" s="129">
        <f>AVERAGE(B7:B9,B12:B16,B19:B23,B26:B30,B33:B36)</f>
        <v>336726.81818181818</v>
      </c>
      <c r="C38" s="50">
        <f>IFERROR(AVERAGE(C6,C9,C11:C13,C16:C20,C23:C27,C31:C33),0)</f>
        <v>335222.94444444444</v>
      </c>
      <c r="D38" s="50">
        <f>IFERROR(AVERAGE(D6,D9:D13,D16:D20,D23:D27,D30:D34),0)</f>
        <v>321266.66666666669</v>
      </c>
      <c r="E38" s="50">
        <f>IFERROR(AVERAGE(E6:E10,E13,E15:E17,E20:E22,E27:E31,E34:E35),0)</f>
        <v>304990.125</v>
      </c>
      <c r="F38" s="50">
        <f>IFERROR(AVERAGE(F7:F8,F11:F15,F19:F22,F25:F29,F32:F36),0)</f>
        <v>308667.38095238095</v>
      </c>
      <c r="G38" s="50">
        <f>IFERROR(AVERAGE(G8:G9,G11:G12,G15:G16,G18:G19,G22:G26,G29:G33),0)</f>
        <v>303834.16666666669</v>
      </c>
      <c r="H38" s="50">
        <f>IFERROR(AVERAGE(H6:H10,H13:H17,H20:H24,H27:H31,H34:H36),0)</f>
        <v>308820.26086956525</v>
      </c>
      <c r="I38" s="50">
        <f>IFERROR(AVERAGE(I6:I7,I10:I14,I18:I21,I24:I25,I27:I28,I32:I35),0)</f>
        <v>312211.36842105264</v>
      </c>
      <c r="J38" s="50">
        <f>IFERROR(AVERAGE(J7:J11,J14:J18,J21:J25,J28:J32,J35),0)</f>
        <v>296808.80952380953</v>
      </c>
      <c r="K38" s="50">
        <f>IFERROR(AVERAGE(K6:K9,K12:K16,K19:K23,K26:K30,K33:K36),0)</f>
        <v>297541.34782608697</v>
      </c>
      <c r="L38" s="50">
        <f>IFERROR(AVERAGE(L9:L13,L16:L20,L23:L27,L30:L34),0)</f>
        <v>304971.59999999998</v>
      </c>
      <c r="M38" s="146">
        <f>IFERROR(AVERAGE(M7:M11,M14:M18,M21:M25,M28,M31:M32),0)</f>
        <v>303885.77777777775</v>
      </c>
    </row>
    <row r="39" spans="1:22">
      <c r="A39" s="52" t="s">
        <v>21</v>
      </c>
      <c r="B39" s="129">
        <f>IFERROR(AVERAGE(B10,B17,B24,B31),0)</f>
        <v>247932.75</v>
      </c>
      <c r="C39" s="53">
        <f>IFERROR(AVERAGE(C7,C14,C21,C28),0)</f>
        <v>246940.5</v>
      </c>
      <c r="D39" s="53">
        <f>IFERROR(AVERAGE(D7,D14,D21,D28,D35),0)</f>
        <v>244391.4</v>
      </c>
      <c r="E39" s="53">
        <f>IFERROR(AVERAGE(E11,E18,E32),0)</f>
        <v>231502</v>
      </c>
      <c r="F39" s="53">
        <f>IFERROR(AVERAGE(F9,F16,F23,F30),0)</f>
        <v>227704.75</v>
      </c>
      <c r="G39" s="53">
        <f>IFERROR(AVERAGE(G6,G13,G20,G27,G34),0)</f>
        <v>227594</v>
      </c>
      <c r="H39" s="53">
        <f>IFERROR(AVERAGE(H11,H18,H25,H32),0)</f>
        <v>234562.5</v>
      </c>
      <c r="I39" s="53">
        <f>IFERROR(AVERAGE(I8,I15,I22,I29,I36),0)</f>
        <v>223415</v>
      </c>
      <c r="J39" s="53">
        <f>IFERROR(AVERAGE(J12,J19,J26,J33),0)</f>
        <v>233552</v>
      </c>
      <c r="K39" s="53">
        <f>IFERROR(AVERAGE(K10,K17,K24,K31),0)</f>
        <v>241548.75</v>
      </c>
      <c r="L39" s="53">
        <f>IFERROR(AVERAGE(L14,L21,L28),0)</f>
        <v>247140</v>
      </c>
      <c r="M39" s="147">
        <f>IFERROR(AVERAGE(M12,M19,M26,M33),0)</f>
        <v>245267.25</v>
      </c>
    </row>
    <row r="40" spans="1:22">
      <c r="A40" s="52" t="s">
        <v>22</v>
      </c>
      <c r="B40" s="129">
        <f>IFERROR(AVERAGE(B6,B11,B18,B25,B32),0)</f>
        <v>152919.4</v>
      </c>
      <c r="C40" s="53">
        <f>IFERROR(AVERAGE(C8,C10,C15,C22,C29:C30),0)</f>
        <v>168949.16666666666</v>
      </c>
      <c r="D40" s="53">
        <f>IFERROR(AVERAGE(D8,D36,D15,D22,D29),0)</f>
        <v>162054.39999999999</v>
      </c>
      <c r="E40" s="53">
        <f>IFERROR(AVERAGE(E12,E19,E33,E14),0)</f>
        <v>158156.25</v>
      </c>
      <c r="F40" s="53">
        <f>IFERROR(AVERAGE(F6,F10,F17:F18,F24,F31),0)</f>
        <v>152215.66666666666</v>
      </c>
      <c r="G40" s="53">
        <f>IFERROR(AVERAGE(G7,G10,G35,G14,G17,G21,G28),0)</f>
        <v>152881.14285714287</v>
      </c>
      <c r="H40" s="53">
        <f>IFERROR(AVERAGE(H12,H19,H26,H33),0)</f>
        <v>152922.75</v>
      </c>
      <c r="I40" s="53">
        <f>IFERROR(AVERAGE(I9,I16:I17,I23,I26,I30:I31),0)</f>
        <v>161383.85714285713</v>
      </c>
      <c r="J40" s="53">
        <f>IFERROR(AVERAGE(J6,J34,J13,J20,J27),0)</f>
        <v>156264.20000000001</v>
      </c>
      <c r="K40" s="53">
        <f>IFERROR(AVERAGE(K11,K18,K25,K32),0)</f>
        <v>158691.25</v>
      </c>
      <c r="L40" s="53">
        <f>IFERROR(AVERAGE(L8,L35,L15,L22,L29,L6:L7),0)</f>
        <v>156748.14285714287</v>
      </c>
      <c r="M40" s="147">
        <f>IFERROR(AVERAGE(M6,M34:M36,M13,M20,M27,M29:M30),0)</f>
        <v>151957</v>
      </c>
    </row>
    <row r="41" spans="1:22">
      <c r="A41" s="52" t="s">
        <v>23</v>
      </c>
      <c r="B41" s="129">
        <f>AVERAGE(B6,B10:B11,B17:B18,B24:B25,B31:B32)</f>
        <v>195147.55555555556</v>
      </c>
      <c r="C41" s="53">
        <f>IFERROR(AVERAGE(C7:C8,C10,C14:C15,C21:C22,C28:C30),0)</f>
        <v>200145.7</v>
      </c>
      <c r="D41" s="53">
        <f>IFERROR(AVERAGE(D7:D8,D35:D36,D14:D15,D21:D22,D28:D29),0)</f>
        <v>203222.9</v>
      </c>
      <c r="E41" s="53">
        <f>IFERROR(AVERAGE(E11:E12,E18:E19,E32:E33,E14),0)</f>
        <v>189590.14285714287</v>
      </c>
      <c r="F41" s="53">
        <f>IFERROR(AVERAGE(F6,F9:F10,F16:F18,F23:F24,F30:F31),0)</f>
        <v>182411.3</v>
      </c>
      <c r="G41" s="53">
        <f>IFERROR(AVERAGE(G6:G7,G34:G35,G13:G14,G20:G21,G27:G28,G10,G17),0)</f>
        <v>184011.5</v>
      </c>
      <c r="H41" s="53">
        <f>IFERROR(AVERAGE(H11:H12,H18:H19,H25:H26,H32:H33),0)</f>
        <v>193742.625</v>
      </c>
      <c r="I41" s="53">
        <f>IFERROR(AVERAGE(I8:I9,I36,I15:I17,I22:I23,I26,I29:I31),0)</f>
        <v>187230.16666666666</v>
      </c>
      <c r="J41" s="53">
        <f>IFERROR(AVERAGE(J6,J33:J34,J12:J13,J19:J20,J26:J27),0)</f>
        <v>190614.33333333334</v>
      </c>
      <c r="K41" s="53">
        <f>IFERROR(AVERAGE(K10:K11,K17:K18,K24:K25,K31:K32),0)</f>
        <v>200120</v>
      </c>
      <c r="L41" s="53">
        <f>IFERROR(AVERAGE(L6:L8,L35,L14:L15,L21:L22,L28:L29),0)</f>
        <v>183865.7</v>
      </c>
      <c r="M41" s="147">
        <f>IFERROR(AVERAGE(M6,M33:M36,M12:M13,M19:M20,M26:M27,M29:M30),0)</f>
        <v>180667.84615384616</v>
      </c>
      <c r="N41" s="59"/>
    </row>
    <row r="42" spans="1:22">
      <c r="A42" s="52" t="s">
        <v>24</v>
      </c>
      <c r="B42" s="129">
        <f>MAX(B6:B36)</f>
        <v>359447</v>
      </c>
      <c r="C42" s="49">
        <f t="shared" ref="C42:M42" si="1">MAX(C6:C36)</f>
        <v>359139</v>
      </c>
      <c r="D42" s="49">
        <f t="shared" si="1"/>
        <v>344595</v>
      </c>
      <c r="E42" s="49">
        <f t="shared" si="1"/>
        <v>332582</v>
      </c>
      <c r="F42" s="49">
        <f t="shared" si="1"/>
        <v>327724</v>
      </c>
      <c r="G42" s="49">
        <f t="shared" si="1"/>
        <v>318298</v>
      </c>
      <c r="H42" s="49">
        <f t="shared" si="1"/>
        <v>339552</v>
      </c>
      <c r="I42" s="49">
        <f t="shared" si="1"/>
        <v>334685</v>
      </c>
      <c r="J42" s="49">
        <f t="shared" si="1"/>
        <v>320218</v>
      </c>
      <c r="K42" s="49">
        <f>MAX(K6:K36)</f>
        <v>317412</v>
      </c>
      <c r="L42" s="49">
        <f t="shared" si="1"/>
        <v>327332</v>
      </c>
      <c r="M42" s="131">
        <f t="shared" si="1"/>
        <v>335793</v>
      </c>
    </row>
    <row r="43" spans="1:22">
      <c r="A43" s="52" t="s">
        <v>47</v>
      </c>
      <c r="B43" s="129">
        <f>MIN(B6:B36)</f>
        <v>111068</v>
      </c>
      <c r="C43" s="50">
        <f t="shared" ref="C43:M43" si="2">MIN(C6:C36)</f>
        <v>148894</v>
      </c>
      <c r="D43" s="50">
        <f t="shared" si="2"/>
        <v>157471</v>
      </c>
      <c r="E43" s="50">
        <f t="shared" si="2"/>
        <v>148353</v>
      </c>
      <c r="F43" s="50">
        <f t="shared" si="2"/>
        <v>135306</v>
      </c>
      <c r="G43" s="50">
        <f t="shared" si="2"/>
        <v>132076</v>
      </c>
      <c r="H43" s="50">
        <f t="shared" si="2"/>
        <v>150538</v>
      </c>
      <c r="I43" s="50">
        <f t="shared" si="2"/>
        <v>144779</v>
      </c>
      <c r="J43" s="50">
        <f t="shared" si="2"/>
        <v>151892</v>
      </c>
      <c r="K43" s="50">
        <f>MIN(K6:K36)</f>
        <v>150720</v>
      </c>
      <c r="L43" s="50">
        <f t="shared" si="2"/>
        <v>120589</v>
      </c>
      <c r="M43" s="146">
        <f t="shared" si="2"/>
        <v>98049</v>
      </c>
    </row>
    <row r="44" spans="1:22" s="60" customFormat="1" thickBot="1">
      <c r="A44" s="55" t="s">
        <v>25</v>
      </c>
      <c r="B44" s="132">
        <f t="shared" ref="B44:L44" si="3">SUM(B6:B36)</f>
        <v>9164318</v>
      </c>
      <c r="C44" s="133">
        <f t="shared" si="3"/>
        <v>8035470</v>
      </c>
      <c r="D44" s="133">
        <f>SUM(D6:D36)</f>
        <v>8778829</v>
      </c>
      <c r="E44" s="133">
        <f t="shared" si="3"/>
        <v>6206973</v>
      </c>
      <c r="F44" s="133">
        <f t="shared" si="3"/>
        <v>8306128</v>
      </c>
      <c r="G44" s="133">
        <f t="shared" si="3"/>
        <v>7677153</v>
      </c>
      <c r="H44" s="133">
        <f t="shared" si="3"/>
        <v>8652807</v>
      </c>
      <c r="I44" s="133">
        <f t="shared" si="3"/>
        <v>8178778</v>
      </c>
      <c r="J44" s="133">
        <f t="shared" si="3"/>
        <v>7948514</v>
      </c>
      <c r="K44" s="133">
        <f t="shared" si="3"/>
        <v>8444411</v>
      </c>
      <c r="L44" s="134">
        <f t="shared" si="3"/>
        <v>7938089</v>
      </c>
      <c r="M44" s="58">
        <f>SUM(M6:M36)</f>
        <v>7818626</v>
      </c>
    </row>
    <row r="46" spans="1:22" ht="12.75">
      <c r="A46" s="234"/>
      <c r="B46" s="753"/>
      <c r="C46" s="753"/>
      <c r="J46" s="753"/>
      <c r="K46" s="753"/>
    </row>
    <row r="47" spans="1:22" ht="12.75">
      <c r="A47" s="234"/>
      <c r="B47" s="267"/>
      <c r="C47" s="267"/>
      <c r="J47" s="267"/>
      <c r="K47" s="267"/>
    </row>
    <row r="48" spans="1:22" s="60" customFormat="1" ht="12" customHeight="1">
      <c r="A48" s="235"/>
      <c r="B48" s="236"/>
      <c r="C48" s="754"/>
      <c r="D48" s="754"/>
      <c r="E48" s="237"/>
      <c r="F48" s="237"/>
      <c r="G48" s="237"/>
      <c r="H48" s="237"/>
      <c r="I48" s="237"/>
      <c r="J48" s="237"/>
      <c r="K48" s="237"/>
      <c r="L48" s="237"/>
      <c r="M48" s="237"/>
    </row>
    <row r="49" spans="1:15" s="60" customFormat="1" ht="24.95" customHeight="1">
      <c r="A49" s="238"/>
      <c r="B49" s="755"/>
      <c r="C49" s="755"/>
      <c r="D49" s="755"/>
      <c r="E49" s="237"/>
      <c r="F49" s="237"/>
      <c r="G49" s="237"/>
      <c r="H49" s="237"/>
      <c r="I49" s="237"/>
      <c r="J49" s="756"/>
      <c r="K49" s="756"/>
      <c r="L49" s="756"/>
      <c r="M49" s="237"/>
    </row>
    <row r="50" spans="1:15" s="60" customFormat="1" ht="17.100000000000001" customHeight="1">
      <c r="A50" s="757"/>
      <c r="B50" s="757"/>
      <c r="C50" s="237"/>
      <c r="D50" s="237"/>
      <c r="E50" s="237"/>
      <c r="F50" s="237"/>
      <c r="G50" s="237"/>
      <c r="H50" s="237"/>
      <c r="I50" s="237"/>
      <c r="J50" s="758"/>
      <c r="K50" s="758"/>
      <c r="L50" s="758"/>
      <c r="M50" s="758"/>
    </row>
    <row r="51" spans="1:15" s="60" customFormat="1" ht="12.75">
      <c r="A51" s="751"/>
      <c r="B51" s="751"/>
      <c r="C51" s="237"/>
      <c r="D51" s="237"/>
      <c r="E51" s="237"/>
      <c r="F51" s="237"/>
      <c r="G51" s="237"/>
      <c r="H51" s="237"/>
      <c r="I51" s="237"/>
      <c r="J51" s="752"/>
      <c r="K51" s="752"/>
      <c r="L51" s="752"/>
      <c r="M51" s="752"/>
    </row>
    <row r="52" spans="1:15" s="60" customFormat="1" ht="11.25">
      <c r="A52" s="216"/>
      <c r="B52" s="237"/>
      <c r="C52" s="237"/>
      <c r="D52" s="237"/>
      <c r="E52" s="237"/>
      <c r="F52" s="237"/>
      <c r="G52" s="237"/>
      <c r="H52" s="237"/>
      <c r="I52" s="237"/>
      <c r="J52" s="237"/>
      <c r="K52" s="237"/>
      <c r="L52" s="237"/>
      <c r="M52" s="239"/>
    </row>
    <row r="53" spans="1:15">
      <c r="A53" s="240"/>
      <c r="B53" s="241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2"/>
      <c r="O53" s="64"/>
    </row>
    <row r="54" spans="1:15">
      <c r="A54" s="61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2"/>
      <c r="O54" s="64"/>
    </row>
    <row r="55" spans="1:15">
      <c r="A55" s="65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243"/>
    </row>
    <row r="56" spans="1:15" ht="15">
      <c r="A56" s="24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243"/>
    </row>
    <row r="57" spans="1:15">
      <c r="A57" s="65"/>
      <c r="B57" s="63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</row>
    <row r="58" spans="1:15">
      <c r="A58" s="65"/>
      <c r="B58" s="66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</row>
    <row r="59" spans="1:15">
      <c r="A59" s="65"/>
      <c r="B59" s="241"/>
      <c r="C59" s="246"/>
      <c r="D59" s="246"/>
      <c r="E59" s="246"/>
      <c r="F59" s="246"/>
      <c r="G59" s="246"/>
      <c r="H59" s="245"/>
      <c r="I59" s="245"/>
      <c r="J59" s="245"/>
      <c r="K59" s="245"/>
      <c r="L59" s="245"/>
      <c r="M59" s="245"/>
    </row>
    <row r="60" spans="1:15">
      <c r="A60" s="247"/>
      <c r="B60" s="66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</row>
    <row r="61" spans="1:15">
      <c r="A61" s="248"/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2"/>
    </row>
    <row r="62" spans="1:15">
      <c r="A62" s="65"/>
      <c r="B62" s="66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</row>
    <row r="67" spans="1:14">
      <c r="A67" s="61" t="s">
        <v>25</v>
      </c>
      <c r="B67" s="249" t="s">
        <v>7</v>
      </c>
      <c r="C67" s="249" t="s">
        <v>8</v>
      </c>
      <c r="D67" s="249" t="s">
        <v>9</v>
      </c>
      <c r="E67" s="249" t="s">
        <v>10</v>
      </c>
      <c r="F67" s="249" t="s">
        <v>11</v>
      </c>
      <c r="G67" s="249" t="s">
        <v>12</v>
      </c>
      <c r="H67" s="249" t="s">
        <v>13</v>
      </c>
      <c r="I67" s="249" t="s">
        <v>14</v>
      </c>
      <c r="J67" s="249" t="s">
        <v>15</v>
      </c>
      <c r="K67" s="249" t="s">
        <v>16</v>
      </c>
      <c r="L67" s="249" t="s">
        <v>17</v>
      </c>
      <c r="M67" s="249" t="s">
        <v>18</v>
      </c>
      <c r="N67" s="249"/>
    </row>
    <row r="68" spans="1:14">
      <c r="A68" s="4">
        <v>2018</v>
      </c>
      <c r="B68" s="250">
        <v>9767773</v>
      </c>
      <c r="C68" s="250">
        <v>6840205</v>
      </c>
      <c r="D68" s="250">
        <v>6964079</v>
      </c>
      <c r="E68" s="250">
        <v>8303324</v>
      </c>
      <c r="F68" s="250">
        <v>8772071</v>
      </c>
      <c r="G68" s="250">
        <v>8518253</v>
      </c>
      <c r="H68" s="250">
        <v>9434819</v>
      </c>
      <c r="I68" s="250">
        <v>9466638</v>
      </c>
      <c r="J68" s="250">
        <v>8929031</v>
      </c>
      <c r="K68" s="250">
        <v>9474981</v>
      </c>
      <c r="L68" s="250">
        <v>8879841</v>
      </c>
      <c r="M68" s="251">
        <v>8924347</v>
      </c>
    </row>
    <row r="69" spans="1:14" ht="15">
      <c r="A69" s="62">
        <v>2019</v>
      </c>
      <c r="B69" s="252">
        <f>B44</f>
        <v>9164318</v>
      </c>
      <c r="C69" s="252">
        <f t="shared" ref="C69:M69" si="4">C44</f>
        <v>8035470</v>
      </c>
      <c r="D69" s="252">
        <f t="shared" si="4"/>
        <v>8778829</v>
      </c>
      <c r="E69" s="252">
        <f t="shared" si="4"/>
        <v>6206973</v>
      </c>
      <c r="F69" s="252">
        <f t="shared" si="4"/>
        <v>8306128</v>
      </c>
      <c r="G69" s="252">
        <f t="shared" si="4"/>
        <v>7677153</v>
      </c>
      <c r="H69" s="252">
        <f t="shared" si="4"/>
        <v>8652807</v>
      </c>
      <c r="I69" s="252">
        <f t="shared" si="4"/>
        <v>8178778</v>
      </c>
      <c r="J69" s="252">
        <f t="shared" si="4"/>
        <v>7948514</v>
      </c>
      <c r="K69" s="252">
        <f t="shared" si="4"/>
        <v>8444411</v>
      </c>
      <c r="L69" s="252">
        <f t="shared" si="4"/>
        <v>7938089</v>
      </c>
      <c r="M69" s="252">
        <f t="shared" si="4"/>
        <v>7818626</v>
      </c>
    </row>
  </sheetData>
  <mergeCells count="11">
    <mergeCell ref="E1:I1"/>
    <mergeCell ref="E2:I3"/>
    <mergeCell ref="A51:B51"/>
    <mergeCell ref="J51:M51"/>
    <mergeCell ref="B46:C46"/>
    <mergeCell ref="J46:K46"/>
    <mergeCell ref="C48:D48"/>
    <mergeCell ref="B49:D49"/>
    <mergeCell ref="J49:L49"/>
    <mergeCell ref="A50:B50"/>
    <mergeCell ref="J50:M50"/>
  </mergeCells>
  <conditionalFormatting sqref="B12:M36 B11:F11 H11:M11 B6:M10">
    <cfRule type="top10" dxfId="26" priority="1" rank="1"/>
  </conditionalFormatting>
  <printOptions horizontalCentered="1" verticalCentered="1"/>
  <pageMargins left="0.25" right="0.25" top="0.25" bottom="0.75" header="0.3" footer="0.3"/>
  <pageSetup paperSize="9" scale="85" orientation="landscape" r:id="rId1"/>
  <rowBreaks count="1" manualBreakCount="1">
    <brk id="51" max="16383" man="1"/>
  </rowBreaks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69A6-73EC-4AD5-ABE8-32A06192DF54}">
  <sheetPr>
    <pageSetUpPr fitToPage="1"/>
  </sheetPr>
  <dimension ref="A1:V69"/>
  <sheetViews>
    <sheetView view="pageBreakPreview" zoomScale="116" zoomScaleNormal="139" zoomScaleSheetLayoutView="116" zoomScalePageLayoutView="120" workbookViewId="0">
      <pane xSplit="1" topLeftCell="B1" activePane="topRight" state="frozen"/>
      <selection pane="topRight" activeCell="M28" sqref="M28"/>
      <selection activeCell="N59" sqref="N59"/>
    </sheetView>
  </sheetViews>
  <sheetFormatPr defaultColWidth="8.85546875" defaultRowHeight="12"/>
  <cols>
    <col min="1" max="1" width="24.140625" style="4" customWidth="1"/>
    <col min="2" max="2" width="16" style="4" customWidth="1"/>
    <col min="3" max="4" width="11.85546875" style="4" bestFit="1" customWidth="1"/>
    <col min="5" max="6" width="10" style="4" customWidth="1"/>
    <col min="7" max="8" width="11.85546875" style="4" bestFit="1" customWidth="1"/>
    <col min="9" max="9" width="10" style="4" customWidth="1"/>
    <col min="10" max="10" width="12.28515625" style="4" bestFit="1" customWidth="1"/>
    <col min="11" max="13" width="11.85546875" style="4" bestFit="1" customWidth="1"/>
    <col min="14" max="14" width="9.140625" style="4" bestFit="1" customWidth="1"/>
    <col min="15" max="16384" width="8.85546875" style="4"/>
  </cols>
  <sheetData>
    <row r="1" spans="1:22" ht="12.75">
      <c r="E1" s="747" t="s">
        <v>0</v>
      </c>
      <c r="F1" s="747"/>
      <c r="G1" s="747"/>
      <c r="H1" s="747"/>
      <c r="I1" s="747"/>
    </row>
    <row r="2" spans="1:22" s="3" customFormat="1" ht="15">
      <c r="A2" s="387"/>
      <c r="B2" s="388"/>
      <c r="C2" s="388"/>
      <c r="D2" s="389"/>
      <c r="E2" s="759" t="s">
        <v>1</v>
      </c>
      <c r="F2" s="759"/>
      <c r="G2" s="759"/>
      <c r="H2" s="759"/>
      <c r="I2" s="759"/>
      <c r="J2" s="389"/>
      <c r="K2" s="389"/>
      <c r="L2" s="389"/>
      <c r="M2" s="389"/>
    </row>
    <row r="3" spans="1:22" s="3" customFormat="1" ht="15">
      <c r="A3" s="387" t="s">
        <v>57</v>
      </c>
      <c r="B3" s="390"/>
      <c r="C3" s="388"/>
      <c r="D3" s="389"/>
      <c r="E3" s="759"/>
      <c r="F3" s="759"/>
      <c r="G3" s="759"/>
      <c r="H3" s="759"/>
      <c r="I3" s="759"/>
      <c r="J3" s="389"/>
      <c r="K3" s="391" t="s">
        <v>3</v>
      </c>
      <c r="L3" s="392" t="s">
        <v>4</v>
      </c>
      <c r="M3" s="393" t="s">
        <v>5</v>
      </c>
    </row>
    <row r="4" spans="1:22" s="3" customFormat="1" ht="15">
      <c r="A4" s="389"/>
      <c r="B4" s="390"/>
      <c r="C4" s="388"/>
      <c r="D4" s="389"/>
      <c r="E4" s="389"/>
      <c r="F4" s="387"/>
      <c r="G4" s="387"/>
      <c r="H4" s="389"/>
      <c r="I4" s="389"/>
      <c r="J4" s="389"/>
      <c r="K4" s="389"/>
      <c r="L4" s="389"/>
      <c r="M4" s="389"/>
    </row>
    <row r="5" spans="1:22" s="14" customFormat="1" ht="15">
      <c r="A5" s="394" t="s">
        <v>6</v>
      </c>
      <c r="B5" s="395" t="s">
        <v>7</v>
      </c>
      <c r="C5" s="396" t="s">
        <v>8</v>
      </c>
      <c r="D5" s="396" t="s">
        <v>9</v>
      </c>
      <c r="E5" s="396" t="s">
        <v>10</v>
      </c>
      <c r="F5" s="396" t="s">
        <v>11</v>
      </c>
      <c r="G5" s="396" t="s">
        <v>12</v>
      </c>
      <c r="H5" s="396" t="s">
        <v>13</v>
      </c>
      <c r="I5" s="396" t="s">
        <v>14</v>
      </c>
      <c r="J5" s="396" t="s">
        <v>15</v>
      </c>
      <c r="K5" s="396" t="s">
        <v>16</v>
      </c>
      <c r="L5" s="396" t="s">
        <v>17</v>
      </c>
      <c r="M5" s="397" t="s">
        <v>18</v>
      </c>
    </row>
    <row r="6" spans="1:22" s="3" customFormat="1" ht="15" customHeight="1">
      <c r="A6" s="398">
        <v>1</v>
      </c>
      <c r="B6" s="399">
        <v>95691</v>
      </c>
      <c r="C6" s="400">
        <v>206931</v>
      </c>
      <c r="D6" s="401">
        <v>142363</v>
      </c>
      <c r="E6" s="402"/>
      <c r="F6" s="402"/>
      <c r="G6" s="403">
        <v>25221</v>
      </c>
      <c r="H6" s="404">
        <v>65604</v>
      </c>
      <c r="I6" s="405">
        <v>48294</v>
      </c>
      <c r="J6" s="406">
        <v>62168</v>
      </c>
      <c r="K6" s="403">
        <v>69278</v>
      </c>
      <c r="L6" s="407">
        <v>13403</v>
      </c>
      <c r="M6" s="408">
        <v>119037</v>
      </c>
      <c r="N6" s="23"/>
      <c r="P6" s="225"/>
      <c r="R6" s="23"/>
      <c r="S6" s="23"/>
      <c r="T6" s="23"/>
      <c r="U6" s="23"/>
      <c r="V6" s="23"/>
    </row>
    <row r="7" spans="1:22" s="3" customFormat="1" ht="15" customHeight="1">
      <c r="A7" s="409">
        <f>A6+1</f>
        <v>2</v>
      </c>
      <c r="B7" s="410">
        <v>226990</v>
      </c>
      <c r="C7" s="405">
        <v>136948</v>
      </c>
      <c r="D7" s="411">
        <v>293487</v>
      </c>
      <c r="E7" s="412"/>
      <c r="F7" s="412"/>
      <c r="G7" s="403">
        <v>26020</v>
      </c>
      <c r="H7" s="413">
        <v>65564</v>
      </c>
      <c r="I7" s="405">
        <v>38925</v>
      </c>
      <c r="J7" s="414">
        <v>59512</v>
      </c>
      <c r="K7" s="403">
        <v>66390</v>
      </c>
      <c r="L7" s="415">
        <v>51663</v>
      </c>
      <c r="M7" s="416">
        <v>119162</v>
      </c>
      <c r="N7" s="23"/>
      <c r="P7" s="23"/>
      <c r="Q7" s="23"/>
      <c r="R7" s="23"/>
      <c r="S7" s="23"/>
      <c r="T7" s="23"/>
      <c r="U7" s="23"/>
      <c r="V7" s="23"/>
    </row>
    <row r="8" spans="1:22" s="3" customFormat="1" ht="15" customHeight="1">
      <c r="A8" s="409">
        <f>A6+2</f>
        <v>3</v>
      </c>
      <c r="B8" s="414">
        <v>261975</v>
      </c>
      <c r="C8" s="403">
        <v>287576</v>
      </c>
      <c r="D8" s="411">
        <v>290180</v>
      </c>
      <c r="E8" s="412"/>
      <c r="F8" s="412"/>
      <c r="G8" s="403">
        <v>29524</v>
      </c>
      <c r="H8" s="707">
        <v>69930</v>
      </c>
      <c r="I8" s="704">
        <v>69287</v>
      </c>
      <c r="J8" s="414">
        <v>57646</v>
      </c>
      <c r="K8" s="405">
        <v>65056</v>
      </c>
      <c r="L8" s="413">
        <v>104346</v>
      </c>
      <c r="M8" s="416">
        <v>116719</v>
      </c>
      <c r="N8" s="23"/>
      <c r="P8" s="34"/>
      <c r="Q8" s="23"/>
      <c r="R8" s="23"/>
      <c r="S8" s="23"/>
      <c r="T8" s="23"/>
      <c r="U8" s="23"/>
      <c r="V8" s="23"/>
    </row>
    <row r="9" spans="1:22" s="3" customFormat="1" ht="15" customHeight="1">
      <c r="A9" s="409">
        <f>A6+3</f>
        <v>4</v>
      </c>
      <c r="B9" s="417">
        <v>187850</v>
      </c>
      <c r="C9" s="403">
        <v>292511</v>
      </c>
      <c r="D9" s="411">
        <v>290262</v>
      </c>
      <c r="E9" s="412"/>
      <c r="F9" s="412"/>
      <c r="G9" s="403">
        <v>30894</v>
      </c>
      <c r="H9" s="418"/>
      <c r="I9" s="419"/>
      <c r="J9" s="414">
        <v>61486</v>
      </c>
      <c r="K9" s="420">
        <v>54928</v>
      </c>
      <c r="L9" s="413">
        <v>99409</v>
      </c>
      <c r="M9" s="416">
        <v>121741</v>
      </c>
      <c r="N9" s="23"/>
      <c r="P9" s="23"/>
      <c r="Q9" s="23"/>
      <c r="R9" s="23"/>
      <c r="S9" s="23"/>
      <c r="T9" s="23"/>
      <c r="U9" s="23"/>
      <c r="V9" s="23"/>
    </row>
    <row r="10" spans="1:22" s="3" customFormat="1" ht="15" customHeight="1">
      <c r="A10" s="409">
        <f>A6+4</f>
        <v>5</v>
      </c>
      <c r="B10" s="417">
        <v>142809</v>
      </c>
      <c r="C10" s="403">
        <v>288941</v>
      </c>
      <c r="D10" s="411">
        <v>287456</v>
      </c>
      <c r="E10" s="412"/>
      <c r="F10" s="412"/>
      <c r="G10" s="403">
        <v>34823</v>
      </c>
      <c r="H10" s="418"/>
      <c r="I10" s="419"/>
      <c r="J10" s="417">
        <v>51881</v>
      </c>
      <c r="K10" s="403">
        <v>72654</v>
      </c>
      <c r="L10" s="413">
        <v>97712</v>
      </c>
      <c r="M10" s="421">
        <v>102043</v>
      </c>
      <c r="N10" s="23"/>
      <c r="P10" s="23"/>
      <c r="Q10" s="23"/>
      <c r="R10" s="23"/>
      <c r="S10" s="23"/>
      <c r="T10" s="23"/>
      <c r="U10" s="23"/>
      <c r="V10" s="23"/>
    </row>
    <row r="11" spans="1:22" s="3" customFormat="1" ht="15" customHeight="1">
      <c r="A11" s="409">
        <f>A6+5</f>
        <v>6</v>
      </c>
      <c r="B11" s="414">
        <v>298765</v>
      </c>
      <c r="C11" s="403">
        <v>285751</v>
      </c>
      <c r="D11" s="703">
        <v>303699</v>
      </c>
      <c r="E11" s="412"/>
      <c r="F11" s="412"/>
      <c r="G11" s="422">
        <v>28039</v>
      </c>
      <c r="H11" s="413">
        <v>50467</v>
      </c>
      <c r="I11" s="412"/>
      <c r="J11" s="417">
        <v>40784</v>
      </c>
      <c r="K11" s="403">
        <v>70802</v>
      </c>
      <c r="L11" s="413">
        <v>104135</v>
      </c>
      <c r="M11" s="421">
        <v>79307</v>
      </c>
      <c r="N11" s="23"/>
      <c r="P11" s="23"/>
      <c r="Q11" s="23"/>
      <c r="R11" s="23"/>
      <c r="S11" s="23"/>
      <c r="T11" s="23"/>
      <c r="U11" s="23"/>
      <c r="V11" s="23"/>
    </row>
    <row r="12" spans="1:22" s="3" customFormat="1" ht="15" customHeight="1">
      <c r="A12" s="409">
        <f>A6+6</f>
        <v>7</v>
      </c>
      <c r="B12" s="414">
        <v>301008</v>
      </c>
      <c r="C12" s="403">
        <v>308740</v>
      </c>
      <c r="D12" s="423">
        <v>207172</v>
      </c>
      <c r="E12" s="412"/>
      <c r="F12" s="412"/>
      <c r="G12" s="405">
        <v>22473</v>
      </c>
      <c r="H12" s="418"/>
      <c r="I12" s="412"/>
      <c r="J12" s="414">
        <v>63562</v>
      </c>
      <c r="K12" s="403">
        <v>69117</v>
      </c>
      <c r="L12" s="424">
        <v>87007</v>
      </c>
      <c r="M12" s="425">
        <v>128368</v>
      </c>
      <c r="N12" s="23"/>
      <c r="P12" s="23"/>
      <c r="Q12" s="23"/>
      <c r="R12" s="23"/>
      <c r="S12" s="23"/>
      <c r="T12" s="23"/>
      <c r="U12" s="23"/>
      <c r="V12" s="23"/>
    </row>
    <row r="13" spans="1:22" s="3" customFormat="1" ht="15" customHeight="1">
      <c r="A13" s="409">
        <f>A6+7</f>
        <v>8</v>
      </c>
      <c r="B13" s="414">
        <v>302455</v>
      </c>
      <c r="C13" s="405">
        <v>212096</v>
      </c>
      <c r="D13" s="423">
        <v>113599</v>
      </c>
      <c r="E13" s="412"/>
      <c r="F13" s="412"/>
      <c r="G13" s="403">
        <v>44250</v>
      </c>
      <c r="H13" s="418"/>
      <c r="I13" s="426"/>
      <c r="J13" s="414">
        <v>60730</v>
      </c>
      <c r="K13" s="403">
        <v>68651</v>
      </c>
      <c r="L13" s="424">
        <v>69421</v>
      </c>
      <c r="M13" s="427">
        <v>87848</v>
      </c>
      <c r="N13" s="23"/>
      <c r="P13" s="23"/>
      <c r="Q13" s="23"/>
      <c r="R13" s="23"/>
      <c r="S13" s="23"/>
      <c r="T13" s="23"/>
      <c r="U13" s="23"/>
      <c r="V13" s="23"/>
    </row>
    <row r="14" spans="1:22" s="3" customFormat="1" ht="15" customHeight="1">
      <c r="A14" s="409">
        <f>A6+8</f>
        <v>9</v>
      </c>
      <c r="B14" s="414">
        <v>306997</v>
      </c>
      <c r="C14" s="405">
        <v>138465</v>
      </c>
      <c r="D14" s="411">
        <v>270322</v>
      </c>
      <c r="E14" s="412"/>
      <c r="F14" s="412"/>
      <c r="G14" s="403">
        <v>42918</v>
      </c>
      <c r="H14" s="418"/>
      <c r="I14" s="412"/>
      <c r="J14" s="414">
        <v>59884</v>
      </c>
      <c r="K14" s="403">
        <v>71145</v>
      </c>
      <c r="L14" s="413">
        <v>107671</v>
      </c>
      <c r="M14" s="416">
        <v>131189</v>
      </c>
      <c r="N14" s="23"/>
      <c r="P14" s="23"/>
      <c r="Q14" s="23"/>
      <c r="R14" s="23"/>
      <c r="S14" s="23"/>
      <c r="T14" s="23"/>
      <c r="U14" s="23"/>
      <c r="V14" s="23"/>
    </row>
    <row r="15" spans="1:22" s="3" customFormat="1" ht="15" customHeight="1">
      <c r="A15" s="409">
        <f>A6+9</f>
        <v>10</v>
      </c>
      <c r="B15" s="414">
        <v>317838</v>
      </c>
      <c r="C15" s="403">
        <v>294701</v>
      </c>
      <c r="D15" s="411">
        <v>249940</v>
      </c>
      <c r="E15" s="412"/>
      <c r="F15" s="412"/>
      <c r="G15" s="403">
        <v>44161</v>
      </c>
      <c r="H15" s="418"/>
      <c r="I15" s="412"/>
      <c r="J15" s="414">
        <v>59445</v>
      </c>
      <c r="K15" s="405">
        <v>31951</v>
      </c>
      <c r="L15" s="413">
        <v>104249</v>
      </c>
      <c r="M15" s="416">
        <v>119891</v>
      </c>
      <c r="N15" s="23"/>
      <c r="P15" s="23"/>
      <c r="Q15" s="23"/>
      <c r="R15" s="23"/>
      <c r="S15" s="23"/>
      <c r="T15" s="23"/>
      <c r="U15" s="23"/>
      <c r="V15" s="23"/>
    </row>
    <row r="16" spans="1:22" s="3" customFormat="1" ht="15" customHeight="1">
      <c r="A16" s="409">
        <f>A6+10</f>
        <v>11</v>
      </c>
      <c r="B16" s="417">
        <v>223749</v>
      </c>
      <c r="C16" s="403">
        <v>297584</v>
      </c>
      <c r="D16" s="411">
        <v>234614</v>
      </c>
      <c r="E16" s="412"/>
      <c r="F16" s="412"/>
      <c r="G16" s="403">
        <v>45624</v>
      </c>
      <c r="H16" s="418"/>
      <c r="I16" s="412"/>
      <c r="J16" s="414">
        <v>62063</v>
      </c>
      <c r="K16" s="405">
        <v>24103</v>
      </c>
      <c r="L16" s="413">
        <v>102795</v>
      </c>
      <c r="M16" s="416">
        <v>133317</v>
      </c>
      <c r="N16" s="23"/>
      <c r="P16" s="23"/>
      <c r="Q16" s="23"/>
      <c r="R16" s="23"/>
      <c r="S16" s="23"/>
      <c r="T16" s="23"/>
      <c r="U16" s="23"/>
      <c r="V16" s="23"/>
    </row>
    <row r="17" spans="1:22" s="3" customFormat="1" ht="15" customHeight="1">
      <c r="A17" s="409">
        <f>A6+11</f>
        <v>12</v>
      </c>
      <c r="B17" s="428">
        <v>147816</v>
      </c>
      <c r="C17" s="403">
        <v>298180</v>
      </c>
      <c r="D17" s="411">
        <v>219620</v>
      </c>
      <c r="E17" s="412"/>
      <c r="F17" s="412"/>
      <c r="G17" s="429">
        <v>31641</v>
      </c>
      <c r="H17" s="418"/>
      <c r="I17" s="412"/>
      <c r="J17" s="417">
        <v>54149</v>
      </c>
      <c r="K17" s="403">
        <v>71867</v>
      </c>
      <c r="L17" s="418"/>
      <c r="M17" s="421">
        <v>112511</v>
      </c>
      <c r="N17" s="23"/>
      <c r="P17" s="23"/>
      <c r="Q17" s="23"/>
      <c r="R17" s="23"/>
      <c r="S17" s="23"/>
      <c r="T17" s="23"/>
      <c r="U17" s="23"/>
      <c r="V17" s="23"/>
    </row>
    <row r="18" spans="1:22" s="3" customFormat="1" ht="15" customHeight="1">
      <c r="A18" s="409">
        <f>A6+12</f>
        <v>13</v>
      </c>
      <c r="B18" s="414">
        <v>198366</v>
      </c>
      <c r="C18" s="705">
        <v>296379</v>
      </c>
      <c r="D18" s="411">
        <v>189923</v>
      </c>
      <c r="E18" s="412"/>
      <c r="F18" s="412"/>
      <c r="G18" s="405">
        <v>38628</v>
      </c>
      <c r="H18" s="413">
        <v>40008</v>
      </c>
      <c r="I18" s="412"/>
      <c r="J18" s="417">
        <v>43629</v>
      </c>
      <c r="K18" s="403">
        <v>69507</v>
      </c>
      <c r="L18" s="413">
        <v>92036</v>
      </c>
      <c r="M18" s="421">
        <v>69863</v>
      </c>
      <c r="N18" s="23"/>
      <c r="O18" s="141"/>
      <c r="P18" s="23"/>
      <c r="Q18" s="23"/>
      <c r="R18" s="23"/>
      <c r="S18" s="23"/>
      <c r="T18" s="23"/>
      <c r="U18" s="23"/>
      <c r="V18" s="23"/>
    </row>
    <row r="19" spans="1:22" s="3" customFormat="1" ht="15" customHeight="1">
      <c r="A19" s="409">
        <f>A6+13</f>
        <v>14</v>
      </c>
      <c r="B19" s="414">
        <v>277941</v>
      </c>
      <c r="C19" s="704">
        <v>318609</v>
      </c>
      <c r="D19" s="423">
        <v>113838</v>
      </c>
      <c r="E19" s="412"/>
      <c r="F19" s="412"/>
      <c r="G19" s="405">
        <v>31026</v>
      </c>
      <c r="H19" s="413">
        <v>43281</v>
      </c>
      <c r="I19" s="412"/>
      <c r="J19" s="414">
        <v>67847</v>
      </c>
      <c r="K19" s="403">
        <v>68679</v>
      </c>
      <c r="L19" s="418"/>
      <c r="M19" s="416">
        <v>134199</v>
      </c>
      <c r="N19" s="23"/>
      <c r="O19" s="141"/>
      <c r="P19" s="23"/>
      <c r="Q19" s="23"/>
      <c r="R19" s="23"/>
      <c r="S19" s="23"/>
      <c r="T19" s="23"/>
      <c r="U19" s="23"/>
      <c r="V19" s="23"/>
    </row>
    <row r="20" spans="1:22" s="3" customFormat="1" ht="15" customHeight="1">
      <c r="A20" s="409">
        <f>A6+14</f>
        <v>15</v>
      </c>
      <c r="B20" s="414">
        <v>312253</v>
      </c>
      <c r="C20" s="405">
        <v>224585</v>
      </c>
      <c r="D20" s="423">
        <v>36182</v>
      </c>
      <c r="E20" s="412"/>
      <c r="F20" s="412"/>
      <c r="G20" s="403">
        <v>54257</v>
      </c>
      <c r="H20" s="413">
        <v>45746</v>
      </c>
      <c r="I20" s="412"/>
      <c r="J20" s="414">
        <v>63766</v>
      </c>
      <c r="K20" s="403">
        <v>70034</v>
      </c>
      <c r="L20" s="418"/>
      <c r="M20" s="416">
        <v>134334</v>
      </c>
      <c r="N20" s="2"/>
      <c r="P20" s="23"/>
      <c r="Q20" s="23"/>
      <c r="R20" s="23"/>
      <c r="S20" s="23"/>
      <c r="T20" s="23"/>
      <c r="U20" s="23"/>
      <c r="V20" s="23"/>
    </row>
    <row r="21" spans="1:22" s="3" customFormat="1" ht="15" customHeight="1">
      <c r="A21" s="409">
        <f>A6+15</f>
        <v>16</v>
      </c>
      <c r="B21" s="414">
        <v>308733</v>
      </c>
      <c r="C21" s="405">
        <v>119186</v>
      </c>
      <c r="D21" s="411">
        <v>54388</v>
      </c>
      <c r="E21" s="412"/>
      <c r="F21" s="412"/>
      <c r="G21" s="403">
        <v>53066</v>
      </c>
      <c r="H21" s="413">
        <v>44995</v>
      </c>
      <c r="I21" s="412"/>
      <c r="J21" s="414">
        <v>59815</v>
      </c>
      <c r="K21" s="403">
        <v>75589</v>
      </c>
      <c r="L21" s="413">
        <v>114706</v>
      </c>
      <c r="M21" s="416">
        <v>125386</v>
      </c>
      <c r="N21" s="23"/>
      <c r="O21" s="141"/>
      <c r="P21" s="23"/>
      <c r="Q21" s="23"/>
      <c r="R21" s="23"/>
      <c r="S21" s="23"/>
      <c r="T21" s="23"/>
      <c r="U21" s="23"/>
      <c r="V21" s="23"/>
    </row>
    <row r="22" spans="1:22" s="3" customFormat="1" ht="15" customHeight="1">
      <c r="A22" s="409">
        <f>A6+16</f>
        <v>17</v>
      </c>
      <c r="B22" s="414">
        <v>317515</v>
      </c>
      <c r="C22" s="403">
        <v>292747</v>
      </c>
      <c r="D22" s="412"/>
      <c r="E22" s="412"/>
      <c r="F22" s="412"/>
      <c r="G22" s="403">
        <v>52803</v>
      </c>
      <c r="H22" s="413">
        <v>49232</v>
      </c>
      <c r="I22" s="412"/>
      <c r="J22" s="414">
        <v>63827</v>
      </c>
      <c r="K22" s="405">
        <v>69143</v>
      </c>
      <c r="L22" s="413">
        <v>109311</v>
      </c>
      <c r="M22" s="416">
        <v>134239</v>
      </c>
      <c r="N22" s="23"/>
      <c r="P22" s="23"/>
      <c r="Q22" s="23"/>
      <c r="R22" s="23"/>
      <c r="S22" s="23"/>
      <c r="T22" s="23"/>
      <c r="U22" s="23"/>
      <c r="V22" s="23"/>
    </row>
    <row r="23" spans="1:22" s="3" customFormat="1" ht="15" customHeight="1">
      <c r="A23" s="409">
        <f>A6+17</f>
        <v>18</v>
      </c>
      <c r="B23" s="417">
        <v>221693</v>
      </c>
      <c r="C23" s="403">
        <v>300348</v>
      </c>
      <c r="D23" s="412"/>
      <c r="E23" s="412"/>
      <c r="F23" s="412"/>
      <c r="G23" s="403">
        <v>51180</v>
      </c>
      <c r="H23" s="424">
        <v>39818</v>
      </c>
      <c r="I23" s="412"/>
      <c r="J23" s="414">
        <v>63513</v>
      </c>
      <c r="K23" s="405">
        <v>56331</v>
      </c>
      <c r="L23" s="413">
        <v>110087</v>
      </c>
      <c r="M23" s="416">
        <v>143336</v>
      </c>
      <c r="N23" s="23"/>
      <c r="P23" s="23"/>
      <c r="Q23" s="23"/>
      <c r="R23" s="23"/>
      <c r="S23" s="23"/>
      <c r="T23" s="23"/>
      <c r="U23" s="23"/>
      <c r="V23" s="23"/>
    </row>
    <row r="24" spans="1:22" s="3" customFormat="1" ht="15" customHeight="1">
      <c r="A24" s="409">
        <f>A6+18</f>
        <v>19</v>
      </c>
      <c r="B24" s="417">
        <v>146556</v>
      </c>
      <c r="C24" s="403">
        <v>299569</v>
      </c>
      <c r="D24" s="412"/>
      <c r="E24" s="412"/>
      <c r="F24" s="412"/>
      <c r="G24" s="403">
        <v>53198</v>
      </c>
      <c r="H24" s="424">
        <v>30854</v>
      </c>
      <c r="I24" s="403">
        <v>37129</v>
      </c>
      <c r="J24" s="417">
        <v>56822</v>
      </c>
      <c r="K24" s="403">
        <v>87616</v>
      </c>
      <c r="L24" s="413">
        <v>108114</v>
      </c>
      <c r="M24" s="421">
        <v>118123</v>
      </c>
      <c r="N24" s="23"/>
      <c r="P24" s="23"/>
      <c r="Q24" s="23"/>
      <c r="R24" s="23"/>
      <c r="S24" s="23"/>
      <c r="T24" s="23"/>
      <c r="U24" s="23"/>
      <c r="V24" s="23"/>
    </row>
    <row r="25" spans="1:22" s="3" customFormat="1" ht="15" customHeight="1">
      <c r="A25" s="409">
        <f>A6+19</f>
        <v>20</v>
      </c>
      <c r="B25" s="414">
        <v>302261</v>
      </c>
      <c r="C25" s="403">
        <v>289575</v>
      </c>
      <c r="D25" s="412"/>
      <c r="E25" s="412"/>
      <c r="F25" s="412"/>
      <c r="G25" s="405">
        <v>47043</v>
      </c>
      <c r="H25" s="413">
        <v>53640</v>
      </c>
      <c r="I25" s="403">
        <v>46675</v>
      </c>
      <c r="J25" s="417">
        <v>47613</v>
      </c>
      <c r="K25" s="403">
        <v>79058</v>
      </c>
      <c r="L25" s="413">
        <v>117897</v>
      </c>
      <c r="M25" s="421">
        <v>98385</v>
      </c>
      <c r="N25" s="23"/>
      <c r="P25" s="34"/>
      <c r="Q25" s="23"/>
      <c r="R25" s="23"/>
      <c r="S25" s="23"/>
      <c r="T25" s="23"/>
      <c r="U25" s="23"/>
      <c r="V25" s="23"/>
    </row>
    <row r="26" spans="1:22" s="3" customFormat="1" ht="15" customHeight="1">
      <c r="A26" s="409">
        <v>21</v>
      </c>
      <c r="B26" s="414">
        <v>306390</v>
      </c>
      <c r="C26" s="403">
        <v>309355</v>
      </c>
      <c r="D26" s="412"/>
      <c r="E26" s="412"/>
      <c r="F26" s="412"/>
      <c r="G26" s="405">
        <v>36139</v>
      </c>
      <c r="H26" s="413">
        <v>50088</v>
      </c>
      <c r="I26" s="429">
        <v>34122</v>
      </c>
      <c r="J26" s="414">
        <v>67821</v>
      </c>
      <c r="K26" s="403">
        <v>80961</v>
      </c>
      <c r="L26" s="424">
        <v>98178</v>
      </c>
      <c r="M26" s="416">
        <v>148563</v>
      </c>
      <c r="N26" s="23"/>
      <c r="P26" s="23"/>
      <c r="Q26" s="23"/>
      <c r="R26" s="23"/>
      <c r="S26" s="23"/>
      <c r="T26" s="23"/>
      <c r="U26" s="23"/>
      <c r="V26" s="23"/>
    </row>
    <row r="27" spans="1:22" s="3" customFormat="1" ht="15" customHeight="1">
      <c r="A27" s="409">
        <f>A6+21</f>
        <v>22</v>
      </c>
      <c r="B27" s="414">
        <v>307720</v>
      </c>
      <c r="C27" s="405">
        <v>211869</v>
      </c>
      <c r="D27" s="412"/>
      <c r="E27" s="412"/>
      <c r="F27" s="412"/>
      <c r="G27" s="403">
        <v>62171</v>
      </c>
      <c r="H27" s="413">
        <v>50043</v>
      </c>
      <c r="I27" s="405">
        <v>39069</v>
      </c>
      <c r="J27" s="414">
        <v>64698</v>
      </c>
      <c r="K27" s="403">
        <v>82048</v>
      </c>
      <c r="L27" s="424">
        <v>75874</v>
      </c>
      <c r="M27" s="416">
        <v>144201</v>
      </c>
      <c r="N27" s="23"/>
      <c r="P27" s="23"/>
      <c r="Q27" s="23"/>
      <c r="R27" s="23"/>
      <c r="S27" s="23"/>
      <c r="T27" s="23"/>
      <c r="U27" s="23"/>
      <c r="V27" s="23"/>
    </row>
    <row r="28" spans="1:22" s="3" customFormat="1" ht="15" customHeight="1">
      <c r="A28" s="409">
        <f>A6+22</f>
        <v>23</v>
      </c>
      <c r="B28" s="414">
        <v>304519</v>
      </c>
      <c r="C28" s="405">
        <v>137011</v>
      </c>
      <c r="D28" s="412"/>
      <c r="E28" s="412"/>
      <c r="F28" s="412"/>
      <c r="G28" s="403">
        <v>60412</v>
      </c>
      <c r="H28" s="413">
        <v>49052</v>
      </c>
      <c r="I28" s="405">
        <v>32304</v>
      </c>
      <c r="J28" s="403">
        <v>64694</v>
      </c>
      <c r="K28" s="403">
        <v>82751</v>
      </c>
      <c r="L28" s="413">
        <v>121023</v>
      </c>
      <c r="M28" s="416">
        <v>155149</v>
      </c>
      <c r="N28" s="23"/>
      <c r="P28" s="23"/>
      <c r="Q28" s="23"/>
      <c r="R28" s="23"/>
      <c r="S28" s="23"/>
      <c r="T28" s="23"/>
      <c r="U28" s="23"/>
      <c r="V28" s="23"/>
    </row>
    <row r="29" spans="1:22" s="3" customFormat="1" ht="15" customHeight="1">
      <c r="A29" s="409">
        <f>A6+23</f>
        <v>24</v>
      </c>
      <c r="B29" s="706">
        <v>326564</v>
      </c>
      <c r="C29" s="403">
        <v>285106</v>
      </c>
      <c r="D29" s="412"/>
      <c r="E29" s="412"/>
      <c r="F29" s="412"/>
      <c r="G29" s="403">
        <v>59776</v>
      </c>
      <c r="H29" s="413">
        <v>52663</v>
      </c>
      <c r="I29" s="403">
        <v>57923</v>
      </c>
      <c r="J29" s="414">
        <v>62479</v>
      </c>
      <c r="K29" s="405">
        <v>74875</v>
      </c>
      <c r="L29" s="413">
        <v>114706</v>
      </c>
      <c r="M29" s="427">
        <v>85040</v>
      </c>
      <c r="N29" s="23"/>
      <c r="P29" s="23"/>
      <c r="Q29" s="23"/>
      <c r="R29" s="23"/>
      <c r="S29" s="23"/>
      <c r="T29" s="23"/>
      <c r="U29" s="23"/>
      <c r="V29" s="23"/>
    </row>
    <row r="30" spans="1:22" s="3" customFormat="1" ht="15" customHeight="1">
      <c r="A30" s="409">
        <f>A6+24</f>
        <v>25</v>
      </c>
      <c r="B30" s="430">
        <v>194213</v>
      </c>
      <c r="C30" s="429">
        <v>172108</v>
      </c>
      <c r="D30" s="412"/>
      <c r="E30" s="412"/>
      <c r="F30" s="412"/>
      <c r="G30" s="403">
        <v>62248</v>
      </c>
      <c r="H30" s="424">
        <v>43395</v>
      </c>
      <c r="I30" s="403">
        <v>53764</v>
      </c>
      <c r="J30" s="414">
        <v>66125</v>
      </c>
      <c r="K30" s="405">
        <v>59325</v>
      </c>
      <c r="L30" s="413">
        <v>117034</v>
      </c>
      <c r="M30" s="427">
        <v>64390</v>
      </c>
      <c r="N30" s="23"/>
      <c r="P30" s="23"/>
      <c r="Q30" s="23"/>
      <c r="R30" s="23"/>
      <c r="S30" s="23"/>
      <c r="T30" s="23"/>
      <c r="U30" s="23"/>
      <c r="V30" s="23"/>
    </row>
    <row r="31" spans="1:22" s="3" customFormat="1" ht="15" customHeight="1">
      <c r="A31" s="409">
        <f>A6+25</f>
        <v>26</v>
      </c>
      <c r="B31" s="417">
        <v>147478</v>
      </c>
      <c r="C31" s="403">
        <v>311028</v>
      </c>
      <c r="D31" s="412"/>
      <c r="E31" s="412"/>
      <c r="F31" s="412"/>
      <c r="G31" s="403">
        <v>50892</v>
      </c>
      <c r="H31" s="424">
        <v>33835</v>
      </c>
      <c r="I31" s="403">
        <v>54567</v>
      </c>
      <c r="J31" s="417">
        <v>59827</v>
      </c>
      <c r="K31" s="403">
        <v>81593</v>
      </c>
      <c r="L31" s="413">
        <v>116638</v>
      </c>
      <c r="M31" s="421">
        <v>96277</v>
      </c>
      <c r="N31" s="23"/>
      <c r="P31" s="23"/>
      <c r="Q31" s="23"/>
      <c r="R31" s="23"/>
      <c r="S31" s="23"/>
      <c r="T31" s="23"/>
      <c r="U31" s="23"/>
      <c r="V31" s="23"/>
    </row>
    <row r="32" spans="1:22" s="3" customFormat="1" ht="15" customHeight="1">
      <c r="A32" s="409">
        <f>A6+26</f>
        <v>27</v>
      </c>
      <c r="B32" s="414">
        <v>288597</v>
      </c>
      <c r="C32" s="403">
        <v>296635</v>
      </c>
      <c r="D32" s="412"/>
      <c r="E32" s="412"/>
      <c r="F32" s="412"/>
      <c r="G32" s="405">
        <v>54184</v>
      </c>
      <c r="H32" s="413">
        <v>55515</v>
      </c>
      <c r="I32" s="403">
        <v>53895</v>
      </c>
      <c r="J32" s="417">
        <v>48705</v>
      </c>
      <c r="K32" s="403">
        <v>89364</v>
      </c>
      <c r="L32" s="707">
        <v>125901</v>
      </c>
      <c r="M32" s="421">
        <v>77951</v>
      </c>
      <c r="N32" s="23"/>
      <c r="P32" s="23"/>
      <c r="Q32" s="23"/>
      <c r="R32" s="23"/>
      <c r="S32" s="23"/>
      <c r="T32" s="23"/>
      <c r="U32" s="23"/>
      <c r="V32" s="23"/>
    </row>
    <row r="33" spans="1:22" s="3" customFormat="1" ht="15" customHeight="1">
      <c r="A33" s="409">
        <v>28</v>
      </c>
      <c r="B33" s="414">
        <v>303115</v>
      </c>
      <c r="C33" s="403">
        <v>312294</v>
      </c>
      <c r="D33" s="412"/>
      <c r="E33" s="412"/>
      <c r="F33" s="412"/>
      <c r="G33" s="405">
        <v>44410</v>
      </c>
      <c r="H33" s="413">
        <v>53910</v>
      </c>
      <c r="I33" s="403">
        <v>57245</v>
      </c>
      <c r="J33" s="706">
        <v>69737</v>
      </c>
      <c r="K33" s="403">
        <v>91669</v>
      </c>
      <c r="L33" s="418"/>
      <c r="M33" s="416">
        <v>133709</v>
      </c>
      <c r="N33" s="23"/>
      <c r="P33" s="23"/>
      <c r="Q33" s="23"/>
      <c r="R33" s="23"/>
      <c r="S33" s="23"/>
      <c r="T33" s="23"/>
      <c r="U33" s="23"/>
      <c r="V33" s="23"/>
    </row>
    <row r="34" spans="1:22" s="3" customFormat="1" ht="15" customHeight="1">
      <c r="A34" s="409">
        <f>A6+28</f>
        <v>29</v>
      </c>
      <c r="B34" s="414">
        <v>300884</v>
      </c>
      <c r="C34" s="405">
        <v>225162</v>
      </c>
      <c r="D34" s="412"/>
      <c r="E34" s="412"/>
      <c r="F34" s="412"/>
      <c r="G34" s="704">
        <v>67821</v>
      </c>
      <c r="H34" s="413">
        <v>52708</v>
      </c>
      <c r="I34" s="405">
        <v>49548</v>
      </c>
      <c r="J34" s="414">
        <v>68225</v>
      </c>
      <c r="K34" s="403">
        <v>88548</v>
      </c>
      <c r="L34" s="418"/>
      <c r="M34" s="416">
        <v>133806</v>
      </c>
      <c r="N34" s="23"/>
      <c r="P34" s="23"/>
      <c r="Q34" s="23"/>
      <c r="R34" s="23"/>
      <c r="S34" s="23"/>
      <c r="T34" s="23"/>
      <c r="U34" s="23"/>
      <c r="V34" s="23"/>
    </row>
    <row r="35" spans="1:22" s="3" customFormat="1" ht="15" customHeight="1">
      <c r="A35" s="409">
        <f>A6+29</f>
        <v>30</v>
      </c>
      <c r="B35" s="414">
        <v>301804</v>
      </c>
      <c r="C35" s="431"/>
      <c r="D35" s="412"/>
      <c r="E35" s="412"/>
      <c r="F35" s="412"/>
      <c r="G35" s="403">
        <v>66599</v>
      </c>
      <c r="H35" s="413">
        <v>54406</v>
      </c>
      <c r="I35" s="405">
        <v>37555</v>
      </c>
      <c r="J35" s="414">
        <v>68289</v>
      </c>
      <c r="K35" s="704">
        <v>97185</v>
      </c>
      <c r="L35" s="412"/>
      <c r="M35" s="427">
        <v>74533</v>
      </c>
      <c r="N35" s="23"/>
      <c r="P35" s="23"/>
      <c r="Q35" s="23"/>
      <c r="R35" s="23"/>
      <c r="S35" s="23"/>
      <c r="T35" s="23"/>
      <c r="U35" s="23"/>
      <c r="V35" s="23"/>
    </row>
    <row r="36" spans="1:22" s="3" customFormat="1" ht="15" customHeight="1">
      <c r="A36" s="432">
        <f>A6+30</f>
        <v>31</v>
      </c>
      <c r="B36" s="433">
        <v>304799</v>
      </c>
      <c r="C36" s="434"/>
      <c r="D36" s="435"/>
      <c r="E36" s="434"/>
      <c r="F36" s="435"/>
      <c r="G36" s="434"/>
      <c r="H36" s="436">
        <v>40674</v>
      </c>
      <c r="I36" s="437">
        <v>42330</v>
      </c>
      <c r="J36" s="438"/>
      <c r="K36" s="439">
        <v>82928</v>
      </c>
      <c r="L36" s="435"/>
      <c r="M36" s="427">
        <v>72465</v>
      </c>
      <c r="N36" s="23"/>
      <c r="O36" s="232"/>
      <c r="P36" s="34"/>
      <c r="Q36" s="233"/>
      <c r="R36" s="233"/>
      <c r="S36" s="233"/>
      <c r="T36" s="233"/>
      <c r="U36" s="233"/>
      <c r="V36" s="23"/>
    </row>
    <row r="37" spans="1:22" ht="15">
      <c r="A37" s="440" t="s">
        <v>19</v>
      </c>
      <c r="B37" s="441">
        <f>AVERAGE(B6:B36)</f>
        <v>257591.74193548388</v>
      </c>
      <c r="C37" s="442">
        <f>IFERROR(AVERAGE(C6:C36),0)</f>
        <v>256896.20689655171</v>
      </c>
      <c r="D37" s="442">
        <f t="shared" ref="D37:L37" si="0">IFERROR(AVERAGE(D6:D36),0)</f>
        <v>206065.3125</v>
      </c>
      <c r="E37" s="442"/>
      <c r="F37" s="442"/>
      <c r="G37" s="442">
        <f t="shared" si="0"/>
        <v>45048.033333333333</v>
      </c>
      <c r="H37" s="442">
        <f>IFERROR(AVERAGE(H6:H36),0)</f>
        <v>49366.434782608696</v>
      </c>
      <c r="I37" s="442">
        <f>IFERROR(AVERAGE(I6:I36),0)</f>
        <v>47039.5</v>
      </c>
      <c r="J37" s="442">
        <f>IFERROR(AVERAGE(J6:J36),0)</f>
        <v>60024.73333333333</v>
      </c>
      <c r="K37" s="442">
        <f>IFERROR(AVERAGE(K6:K36),0)</f>
        <v>71714.387096774197</v>
      </c>
      <c r="L37" s="442">
        <f t="shared" si="0"/>
        <v>98471.5</v>
      </c>
      <c r="M37" s="443">
        <f>IFERROR(AVERAGE(M6:M36),0)</f>
        <v>113389.74193548386</v>
      </c>
    </row>
    <row r="38" spans="1:22" ht="15">
      <c r="A38" s="444" t="s">
        <v>20</v>
      </c>
      <c r="B38" s="445">
        <f>IFERROR(AVERAGE(B7:B8,B11:B15,B18:B22,B25:B29,B32:B36),0)</f>
        <v>294431.31818181818</v>
      </c>
      <c r="C38" s="446">
        <f>IFERROR(AVERAGE(C8:C12,C15:C19,C22:C26,C29,C31:C33),0)</f>
        <v>298191</v>
      </c>
      <c r="D38" s="446">
        <f>AVERAGE(D7:D11,D14:D18,D21:D25,D28:D32,D35:D36)</f>
        <v>243990.09090909091</v>
      </c>
      <c r="E38" s="446"/>
      <c r="F38" s="446"/>
      <c r="G38" s="446">
        <f>AVERAGE(G6:G10,G13:G16,G20:G24,G27:G31,G34:G35)</f>
        <v>48469.428571428572</v>
      </c>
      <c r="H38" s="446">
        <f>IFERROR(AVERAGE(H6:H8,H11,H18:H22,H25:H29,H32:H35),0)</f>
        <v>52602.888888888891</v>
      </c>
      <c r="I38" s="446">
        <f>IFERROR(AVERAGE(I8,I24:I25,I29:I33),0)</f>
        <v>53810.625</v>
      </c>
      <c r="J38" s="446">
        <f>IFERROR(AVERAGE(J6:J9,J12:J16,J19:J23,J26:J30,J33:J35),0)</f>
        <v>63515.090909090912</v>
      </c>
      <c r="K38" s="446">
        <f>AVERAGE(K6:K7,K10:K14,K17:K21,K24:K28,K31:K35)</f>
        <v>77477.545454545456</v>
      </c>
      <c r="L38" s="446">
        <f>IFERROR(AVERAGE(L8:L11,L14:L18,L21:L25,L28:L32),0)</f>
        <v>109320.55555555556</v>
      </c>
      <c r="M38" s="446">
        <f>AVERAGE(M6:M9,M12,M14:M16,M19:M23,M26:M28,M33:M34)</f>
        <v>132019.22222222222</v>
      </c>
    </row>
    <row r="39" spans="1:22" ht="15">
      <c r="A39" s="447" t="s">
        <v>21</v>
      </c>
      <c r="B39" s="445">
        <f>IFERROR(AVERAGE(B9,B16,B23),0)</f>
        <v>211097.33333333334</v>
      </c>
      <c r="C39" s="448">
        <f>AVERAGE(C6,C13,C20,C27,C34)</f>
        <v>216128.6</v>
      </c>
      <c r="D39" s="448">
        <f>AVERAGE(D12,D19,D26,D33)</f>
        <v>160505</v>
      </c>
      <c r="E39" s="448"/>
      <c r="F39" s="448"/>
      <c r="G39" s="448">
        <f>AVERAGE(G11,G18,G25,G32)</f>
        <v>41973.5</v>
      </c>
      <c r="H39" s="448">
        <f>IFERROR(AVERAGE(H9,H16,H23,H30),0)</f>
        <v>41606.5</v>
      </c>
      <c r="I39" s="448">
        <f>IFERROR(AVERAGE(I6,I27,I34),0)</f>
        <v>45637</v>
      </c>
      <c r="J39" s="448">
        <f>IFERROR(AVERAGE(J10,J17,J24,J31),0)</f>
        <v>55669.75</v>
      </c>
      <c r="K39" s="448">
        <f>IFERROR(AVERAGE(K8,K15,K22,K29,K36),0)</f>
        <v>64790.6</v>
      </c>
      <c r="L39" s="448">
        <f>IFERROR(AVERAGE(L12,L19,L26,L33),0)</f>
        <v>92592.5</v>
      </c>
      <c r="M39" s="448">
        <f>AVERAGE(M10,M17,M24,M31)</f>
        <v>107238.5</v>
      </c>
    </row>
    <row r="40" spans="1:22" ht="15">
      <c r="A40" s="447" t="s">
        <v>22</v>
      </c>
      <c r="B40" s="445">
        <f>IFERROR(AVERAGE(B6,B10,B17,B24,B30:B31),0)</f>
        <v>145760.5</v>
      </c>
      <c r="C40" s="448">
        <f>AVERAGE(C7,C14,C21,C28,C30)</f>
        <v>140743.6</v>
      </c>
      <c r="D40" s="448">
        <f>AVERAGE(D6,D13,D20)</f>
        <v>97381.333333333328</v>
      </c>
      <c r="E40" s="448"/>
      <c r="F40" s="448"/>
      <c r="G40" s="448">
        <f>AVERAGE(G12,G17,G19,G26,G33)</f>
        <v>33137.800000000003</v>
      </c>
      <c r="H40" s="448">
        <f>IFERROR(AVERAGE(H10,H17,H24,H31,H36),0)</f>
        <v>35121</v>
      </c>
      <c r="I40" s="448">
        <f>IFERROR(AVERAGE(I7,I26,I28,I35),0)</f>
        <v>35726.5</v>
      </c>
      <c r="J40" s="448">
        <f>IFERROR(AVERAGE(J11,J34,J18,J25),0)</f>
        <v>50062.75</v>
      </c>
      <c r="K40" s="448">
        <f>IFERROR(AVERAGE(K9,K30,K16,K23),0)</f>
        <v>48671.75</v>
      </c>
      <c r="L40" s="448">
        <f>IFERROR(AVERAGE(L6:L7,L13,L20,L27,L34,L35),0)</f>
        <v>52590.25</v>
      </c>
      <c r="M40" s="448">
        <f>AVERAGE(M11,M13,M18,M25,M29:M30,M32,M35:M36)</f>
        <v>78864.666666666672</v>
      </c>
    </row>
    <row r="41" spans="1:22" ht="15">
      <c r="A41" s="447" t="s">
        <v>23</v>
      </c>
      <c r="B41" s="445">
        <f>IFERROR(AVERAGE(B6,B9:B10,B16:B17,B23:B24,B30:B31),0)</f>
        <v>167539.44444444444</v>
      </c>
      <c r="C41" s="448">
        <f>IFERROR(AVERAGE(C6:C7,C13:C14,C20:C21,C27:C28,C30,C34),0)</f>
        <v>178436.1</v>
      </c>
      <c r="D41" s="448">
        <f>AVERAGE(D6,D12:D13,D19:D20)</f>
        <v>122630.8</v>
      </c>
      <c r="E41" s="448"/>
      <c r="F41" s="448"/>
      <c r="G41" s="448">
        <f>AVERAGE(G11:G12,G17:G19,G25:G26,G32:G33)</f>
        <v>37064.777777777781</v>
      </c>
      <c r="H41" s="448">
        <f>IFERROR(AVERAGE(H9:H10,H16:H17,H23:H24,H30:H31,H36),0)</f>
        <v>37715.199999999997</v>
      </c>
      <c r="I41" s="448">
        <f>IFERROR(AVERAGE(I6:I7,I26:I28,I34:I35),0)</f>
        <v>39973.857142857145</v>
      </c>
      <c r="J41" s="448">
        <f>IFERROR(AVERAGE(J31:J32,J10:J11,J17:J18,J24:J25),0)</f>
        <v>50426.25</v>
      </c>
      <c r="K41" s="448">
        <f>IFERROR(AVERAGE(K29:K30,K8:K9,K15:K16,K22:K23,K36),0)</f>
        <v>57626.666666666664</v>
      </c>
      <c r="L41" s="448">
        <f>IFERROR(AVERAGE(L6,L12:L13,L19:L20,L26:L27,L33:L34),0)</f>
        <v>68776.600000000006</v>
      </c>
      <c r="M41" s="448">
        <f>AVERAGE(M10:M11,M13,M17:M18,M24:M25,M29:M32,M35:M36)</f>
        <v>87595.076923076922</v>
      </c>
      <c r="N41" s="59"/>
    </row>
    <row r="42" spans="1:22" ht="15">
      <c r="A42" s="447" t="s">
        <v>24</v>
      </c>
      <c r="B42" s="445">
        <f>MAX(B6:B36)</f>
        <v>326564</v>
      </c>
      <c r="C42" s="449">
        <f t="shared" ref="C42" si="1">MAX(C6:C36)</f>
        <v>318609</v>
      </c>
      <c r="D42" s="449">
        <f t="shared" ref="D42:M42" si="2">MAX(D6:D36)</f>
        <v>303699</v>
      </c>
      <c r="E42" s="449">
        <f t="shared" si="2"/>
        <v>0</v>
      </c>
      <c r="F42" s="449">
        <f t="shared" si="2"/>
        <v>0</v>
      </c>
      <c r="G42" s="449">
        <f t="shared" si="2"/>
        <v>67821</v>
      </c>
      <c r="H42" s="449">
        <f t="shared" si="2"/>
        <v>69930</v>
      </c>
      <c r="I42" s="449">
        <f>MAX(I6:I36)</f>
        <v>69287</v>
      </c>
      <c r="J42" s="449">
        <f t="shared" si="2"/>
        <v>69737</v>
      </c>
      <c r="K42" s="449">
        <f>MAX(K6:K36)</f>
        <v>97185</v>
      </c>
      <c r="L42" s="449">
        <f t="shared" ref="L42" si="3">MAX(L6:L36)</f>
        <v>125901</v>
      </c>
      <c r="M42" s="450">
        <f t="shared" si="2"/>
        <v>155149</v>
      </c>
    </row>
    <row r="43" spans="1:22" ht="15">
      <c r="A43" s="447" t="s">
        <v>47</v>
      </c>
      <c r="B43" s="445">
        <f>MIN(B6:B36)</f>
        <v>95691</v>
      </c>
      <c r="C43" s="446">
        <f>MIN(C6:C36)</f>
        <v>119186</v>
      </c>
      <c r="D43" s="446">
        <f t="shared" ref="D43:M43" si="4">MIN(D6:D36)</f>
        <v>36182</v>
      </c>
      <c r="E43" s="446"/>
      <c r="F43" s="446"/>
      <c r="G43" s="446">
        <f t="shared" si="4"/>
        <v>22473</v>
      </c>
      <c r="H43" s="446">
        <f t="shared" si="4"/>
        <v>30854</v>
      </c>
      <c r="I43" s="446">
        <f t="shared" si="4"/>
        <v>32304</v>
      </c>
      <c r="J43" s="446">
        <f t="shared" si="4"/>
        <v>40784</v>
      </c>
      <c r="K43" s="446">
        <f>MIN(K6:K36)</f>
        <v>24103</v>
      </c>
      <c r="L43" s="446">
        <f t="shared" ref="L43" si="5">MIN(L6:L36)</f>
        <v>13403</v>
      </c>
      <c r="M43" s="451">
        <f t="shared" si="4"/>
        <v>64390</v>
      </c>
    </row>
    <row r="44" spans="1:22" s="60" customFormat="1" ht="15">
      <c r="A44" s="452" t="s">
        <v>25</v>
      </c>
      <c r="B44" s="453">
        <f t="shared" ref="B44:L44" si="6">SUM(B6:B36)</f>
        <v>7985344</v>
      </c>
      <c r="C44" s="454">
        <f t="shared" si="6"/>
        <v>7449990</v>
      </c>
      <c r="D44" s="454">
        <f>SUM(D6:D36)</f>
        <v>3297045</v>
      </c>
      <c r="E44" s="454"/>
      <c r="F44" s="454"/>
      <c r="G44" s="454">
        <f t="shared" si="6"/>
        <v>1351441</v>
      </c>
      <c r="H44" s="454">
        <f t="shared" si="6"/>
        <v>1135428</v>
      </c>
      <c r="I44" s="454">
        <f t="shared" si="6"/>
        <v>752632</v>
      </c>
      <c r="J44" s="454">
        <f t="shared" si="6"/>
        <v>1800742</v>
      </c>
      <c r="K44" s="454">
        <f t="shared" si="6"/>
        <v>2223146</v>
      </c>
      <c r="L44" s="455">
        <f t="shared" si="6"/>
        <v>2363316</v>
      </c>
      <c r="M44" s="456">
        <f>SUM(M6:M36)</f>
        <v>3515082</v>
      </c>
    </row>
    <row r="46" spans="1:22" ht="12.75">
      <c r="A46" s="234"/>
      <c r="B46" s="753"/>
      <c r="C46" s="753"/>
      <c r="J46" s="753"/>
      <c r="K46" s="753"/>
    </row>
    <row r="47" spans="1:22" ht="12.75">
      <c r="A47" s="234"/>
      <c r="B47" s="267"/>
      <c r="C47" s="267"/>
      <c r="J47" s="267"/>
      <c r="K47" s="267"/>
    </row>
    <row r="48" spans="1:22" s="60" customFormat="1" ht="12" customHeight="1">
      <c r="A48" s="235"/>
      <c r="B48" s="236"/>
      <c r="C48" s="754"/>
      <c r="D48" s="754"/>
      <c r="E48" s="237"/>
      <c r="F48" s="237"/>
      <c r="G48" s="237"/>
      <c r="H48" s="237"/>
      <c r="I48" s="237"/>
      <c r="J48" s="237"/>
      <c r="K48" s="237"/>
      <c r="L48" s="237"/>
      <c r="M48" s="237"/>
    </row>
    <row r="49" spans="1:15" s="60" customFormat="1" ht="24.95" customHeight="1">
      <c r="A49" s="238"/>
      <c r="B49" s="755"/>
      <c r="C49" s="755"/>
      <c r="D49" s="755"/>
      <c r="E49" s="237"/>
      <c r="F49" s="237"/>
      <c r="G49" s="237"/>
      <c r="H49" s="237"/>
      <c r="I49" s="237"/>
      <c r="J49" s="756"/>
      <c r="K49" s="756"/>
      <c r="L49" s="756"/>
      <c r="M49" s="237"/>
    </row>
    <row r="50" spans="1:15" s="60" customFormat="1" ht="17.100000000000001" customHeight="1">
      <c r="A50" s="757"/>
      <c r="B50" s="757"/>
      <c r="C50" s="237"/>
      <c r="D50" s="237"/>
      <c r="E50" s="237"/>
      <c r="F50" s="237"/>
      <c r="G50" s="237"/>
      <c r="H50" s="237"/>
      <c r="I50" s="237"/>
      <c r="J50" s="758"/>
      <c r="K50" s="758"/>
      <c r="L50" s="758"/>
      <c r="M50" s="758"/>
    </row>
    <row r="51" spans="1:15" s="60" customFormat="1" ht="12.75">
      <c r="A51" s="751"/>
      <c r="B51" s="751"/>
      <c r="C51" s="237"/>
      <c r="D51" s="237"/>
      <c r="E51" s="237"/>
      <c r="F51" s="237"/>
      <c r="G51" s="237"/>
      <c r="H51" s="237"/>
      <c r="I51" s="237"/>
      <c r="J51" s="752"/>
      <c r="K51" s="752"/>
      <c r="L51" s="752"/>
      <c r="M51" s="752"/>
    </row>
    <row r="52" spans="1:15" s="60" customFormat="1" ht="11.25">
      <c r="A52" s="216"/>
      <c r="B52" s="237"/>
      <c r="C52" s="237"/>
      <c r="D52" s="237"/>
      <c r="E52" s="237"/>
      <c r="F52" s="237"/>
      <c r="G52" s="237"/>
      <c r="H52" s="237"/>
      <c r="I52" s="237"/>
      <c r="J52" s="237"/>
      <c r="K52" s="237"/>
      <c r="L52" s="237"/>
      <c r="M52" s="239"/>
    </row>
    <row r="53" spans="1:15">
      <c r="A53" s="240"/>
      <c r="B53" s="241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2"/>
      <c r="O53" s="64"/>
    </row>
    <row r="54" spans="1:15">
      <c r="A54" s="61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2"/>
      <c r="O54" s="64"/>
    </row>
    <row r="55" spans="1:15">
      <c r="A55" s="65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243"/>
    </row>
    <row r="56" spans="1:15" ht="15">
      <c r="A56" s="24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243"/>
    </row>
    <row r="57" spans="1:15">
      <c r="A57" s="65"/>
      <c r="B57" s="63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</row>
    <row r="58" spans="1:15">
      <c r="A58" s="65"/>
      <c r="B58" s="66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</row>
    <row r="59" spans="1:15">
      <c r="A59" s="65"/>
      <c r="B59" s="241"/>
      <c r="C59" s="246"/>
      <c r="D59" s="246"/>
      <c r="E59" s="246"/>
      <c r="F59" s="246"/>
      <c r="G59" s="246"/>
      <c r="H59" s="245"/>
      <c r="I59" s="245"/>
      <c r="J59" s="245"/>
      <c r="K59" s="245"/>
      <c r="L59" s="245"/>
      <c r="M59" s="245"/>
    </row>
    <row r="60" spans="1:15">
      <c r="A60" s="247"/>
      <c r="B60" s="66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</row>
    <row r="61" spans="1:15">
      <c r="A61" s="248"/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2"/>
    </row>
    <row r="62" spans="1:15">
      <c r="A62" s="65"/>
      <c r="B62" s="66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</row>
    <row r="67" spans="1:14">
      <c r="A67" s="61"/>
      <c r="B67" s="249"/>
      <c r="C67" s="249"/>
      <c r="D67" s="249"/>
      <c r="E67" s="249"/>
      <c r="F67" s="249"/>
      <c r="G67" s="249"/>
      <c r="H67" s="249"/>
      <c r="I67" s="249"/>
      <c r="J67" s="249"/>
      <c r="K67" s="249"/>
      <c r="L67" s="249"/>
      <c r="M67" s="249"/>
      <c r="N67" s="249"/>
    </row>
    <row r="68" spans="1:14">
      <c r="B68" s="250"/>
      <c r="C68" s="250"/>
      <c r="D68" s="250"/>
      <c r="E68" s="250"/>
      <c r="F68" s="250"/>
      <c r="G68" s="250"/>
      <c r="H68" s="250"/>
      <c r="I68" s="250"/>
      <c r="J68" s="250"/>
      <c r="K68" s="250"/>
      <c r="L68" s="250"/>
      <c r="M68" s="251"/>
    </row>
    <row r="69" spans="1:14" ht="15">
      <c r="A69" s="62"/>
      <c r="B69" s="252"/>
      <c r="C69" s="252"/>
      <c r="D69" s="252"/>
      <c r="E69" s="252"/>
      <c r="F69" s="252"/>
      <c r="G69" s="252"/>
      <c r="H69" s="252"/>
      <c r="I69" s="252"/>
      <c r="J69" s="252"/>
      <c r="K69" s="252"/>
      <c r="L69" s="252"/>
      <c r="M69" s="252"/>
    </row>
  </sheetData>
  <mergeCells count="11">
    <mergeCell ref="E1:I1"/>
    <mergeCell ref="E2:I3"/>
    <mergeCell ref="A51:B51"/>
    <mergeCell ref="J51:M51"/>
    <mergeCell ref="B46:C46"/>
    <mergeCell ref="J46:K46"/>
    <mergeCell ref="C48:D48"/>
    <mergeCell ref="B49:D49"/>
    <mergeCell ref="J49:L49"/>
    <mergeCell ref="A50:B50"/>
    <mergeCell ref="J50:M50"/>
  </mergeCells>
  <conditionalFormatting sqref="G6:M36">
    <cfRule type="top10" dxfId="24" priority="1" rank="1"/>
  </conditionalFormatting>
  <printOptions horizontalCentered="1" verticalCentered="1"/>
  <pageMargins left="0.25" right="0.25" top="0.25" bottom="0.75" header="0.3" footer="0.3"/>
  <pageSetup paperSize="9" scale="82" orientation="landscape" r:id="rId1"/>
  <rowBreaks count="1" manualBreakCount="1">
    <brk id="51" max="16383" man="1"/>
  </rowBreaks>
  <ignoredErrors>
    <ignoredError sqref="G39" 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DBC2-94AB-4716-B48E-7A0CFC612E97}">
  <sheetPr>
    <pageSetUpPr fitToPage="1"/>
  </sheetPr>
  <dimension ref="A1:U44"/>
  <sheetViews>
    <sheetView view="pageBreakPreview" topLeftCell="A3" zoomScale="110" zoomScaleNormal="139" zoomScaleSheetLayoutView="110" zoomScalePageLayoutView="120" workbookViewId="0">
      <pane xSplit="1" topLeftCell="P1" activePane="topRight" state="frozen"/>
      <selection pane="topRight" activeCell="P18" sqref="P18"/>
      <selection activeCell="N59" sqref="N59"/>
    </sheetView>
  </sheetViews>
  <sheetFormatPr defaultColWidth="8.85546875" defaultRowHeight="12"/>
  <cols>
    <col min="1" max="1" width="20" style="4" bestFit="1" customWidth="1"/>
    <col min="2" max="3" width="10" style="4" customWidth="1"/>
    <col min="4" max="4" width="10.7109375" style="4" customWidth="1"/>
    <col min="5" max="9" width="10" style="4" customWidth="1"/>
    <col min="10" max="10" width="10.42578125" style="4" customWidth="1"/>
    <col min="11" max="11" width="10" style="4" customWidth="1"/>
    <col min="12" max="12" width="9.42578125" style="4" bestFit="1" customWidth="1"/>
    <col min="13" max="13" width="10" style="4" customWidth="1"/>
    <col min="14" max="16384" width="8.85546875" style="4"/>
  </cols>
  <sheetData>
    <row r="1" spans="1:21" ht="12.75">
      <c r="E1" s="747" t="s">
        <v>0</v>
      </c>
      <c r="F1" s="747"/>
      <c r="G1" s="747"/>
      <c r="H1" s="747"/>
      <c r="I1" s="747"/>
    </row>
    <row r="2" spans="1:21" s="3" customFormat="1" ht="18">
      <c r="A2" s="1"/>
      <c r="B2" s="2"/>
      <c r="C2" s="2"/>
      <c r="E2" s="747" t="s">
        <v>1</v>
      </c>
      <c r="F2" s="747"/>
      <c r="G2" s="747"/>
      <c r="H2" s="747"/>
      <c r="I2" s="747"/>
    </row>
    <row r="3" spans="1:21" s="3" customFormat="1">
      <c r="A3" s="216" t="s">
        <v>58</v>
      </c>
      <c r="B3" s="217"/>
      <c r="C3" s="218"/>
      <c r="D3" s="219"/>
      <c r="E3" s="747"/>
      <c r="F3" s="747"/>
      <c r="G3" s="747"/>
      <c r="H3" s="747"/>
      <c r="I3" s="747"/>
      <c r="J3" s="219"/>
      <c r="K3" s="7" t="s">
        <v>3</v>
      </c>
      <c r="L3" s="8" t="s">
        <v>4</v>
      </c>
      <c r="M3" s="9" t="s">
        <v>5</v>
      </c>
    </row>
    <row r="4" spans="1:21" s="3" customFormat="1" ht="12.75" thickBot="1">
      <c r="A4" s="219"/>
      <c r="B4" s="217"/>
      <c r="C4" s="218"/>
      <c r="D4" s="219"/>
      <c r="E4" s="219"/>
      <c r="F4" s="216"/>
      <c r="G4" s="216"/>
      <c r="H4" s="219"/>
      <c r="I4" s="219"/>
      <c r="J4" s="219"/>
      <c r="K4" s="219"/>
      <c r="L4" s="219"/>
      <c r="M4" s="219"/>
    </row>
    <row r="5" spans="1:21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1" s="3" customFormat="1" ht="15" customHeight="1">
      <c r="A6" s="15">
        <v>1</v>
      </c>
      <c r="B6" s="16">
        <v>55727</v>
      </c>
      <c r="C6" s="294">
        <v>162254</v>
      </c>
      <c r="D6" s="295">
        <v>171717</v>
      </c>
      <c r="E6" s="296"/>
      <c r="F6" s="297">
        <v>83664</v>
      </c>
      <c r="G6" s="298">
        <v>130612</v>
      </c>
      <c r="H6" s="257">
        <v>143091</v>
      </c>
      <c r="I6" s="265">
        <v>88495</v>
      </c>
      <c r="J6" s="299">
        <v>115633</v>
      </c>
      <c r="K6" s="298">
        <v>132155</v>
      </c>
      <c r="L6" s="21">
        <v>80915</v>
      </c>
      <c r="M6" s="300">
        <v>186111</v>
      </c>
      <c r="N6" s="23"/>
      <c r="O6" s="225"/>
      <c r="Q6" s="23"/>
      <c r="R6" s="23"/>
      <c r="S6" s="23"/>
      <c r="T6" s="23"/>
      <c r="U6" s="23"/>
    </row>
    <row r="7" spans="1:21" s="3" customFormat="1" ht="15" customHeight="1">
      <c r="A7" s="24">
        <f>A6+1</f>
        <v>2</v>
      </c>
      <c r="B7" s="279">
        <v>90637</v>
      </c>
      <c r="C7" s="298">
        <v>155936</v>
      </c>
      <c r="D7" s="301">
        <v>163126</v>
      </c>
      <c r="E7" s="302"/>
      <c r="F7" s="82">
        <v>69526</v>
      </c>
      <c r="G7" s="298">
        <v>123358</v>
      </c>
      <c r="H7" s="259">
        <v>144633</v>
      </c>
      <c r="I7" s="258">
        <v>155585</v>
      </c>
      <c r="J7" s="285">
        <v>113008</v>
      </c>
      <c r="K7" s="82">
        <v>109550</v>
      </c>
      <c r="L7" s="259">
        <v>138456</v>
      </c>
      <c r="M7" s="303">
        <v>171519</v>
      </c>
      <c r="N7" s="23"/>
      <c r="O7" s="23"/>
      <c r="P7" s="23"/>
      <c r="Q7" s="23"/>
      <c r="R7" s="23"/>
      <c r="S7" s="23"/>
      <c r="T7" s="23"/>
      <c r="U7" s="23"/>
    </row>
    <row r="8" spans="1:21" s="3" customFormat="1" ht="15" customHeight="1">
      <c r="A8" s="24">
        <f>A6+2</f>
        <v>3</v>
      </c>
      <c r="B8" s="286">
        <v>79520</v>
      </c>
      <c r="C8" s="298">
        <v>156609</v>
      </c>
      <c r="D8" s="301">
        <v>165502</v>
      </c>
      <c r="E8" s="302"/>
      <c r="F8" s="298">
        <v>125533</v>
      </c>
      <c r="G8" s="298">
        <v>122155</v>
      </c>
      <c r="H8" s="115">
        <v>124050</v>
      </c>
      <c r="I8" s="258">
        <v>152546</v>
      </c>
      <c r="J8" s="285">
        <v>118216</v>
      </c>
      <c r="K8" s="82">
        <v>77868</v>
      </c>
      <c r="L8" s="259">
        <v>150142</v>
      </c>
      <c r="M8" s="303">
        <v>182982</v>
      </c>
      <c r="N8" s="23"/>
      <c r="O8" s="34"/>
      <c r="P8" s="23"/>
      <c r="Q8" s="23"/>
      <c r="R8" s="23"/>
      <c r="S8" s="23"/>
      <c r="T8" s="23"/>
      <c r="U8" s="23"/>
    </row>
    <row r="9" spans="1:21" s="3" customFormat="1" ht="15" customHeight="1">
      <c r="A9" s="24">
        <f>A6+3</f>
        <v>4</v>
      </c>
      <c r="B9" s="283">
        <v>141882</v>
      </c>
      <c r="C9" s="298">
        <v>151267</v>
      </c>
      <c r="D9" s="301">
        <v>159690</v>
      </c>
      <c r="E9" s="302"/>
      <c r="F9" s="258">
        <v>113179</v>
      </c>
      <c r="G9" s="298">
        <v>132981</v>
      </c>
      <c r="H9" s="260">
        <v>94260</v>
      </c>
      <c r="I9" s="261">
        <v>156345</v>
      </c>
      <c r="J9" s="116">
        <v>93787</v>
      </c>
      <c r="K9" s="304">
        <v>138074</v>
      </c>
      <c r="L9" s="259">
        <v>144280</v>
      </c>
      <c r="M9" s="95">
        <v>160902</v>
      </c>
      <c r="N9" s="23"/>
      <c r="O9" s="23"/>
      <c r="P9" s="23"/>
      <c r="Q9" s="23"/>
      <c r="R9" s="23"/>
      <c r="S9" s="23"/>
      <c r="T9" s="23"/>
      <c r="U9" s="23"/>
    </row>
    <row r="10" spans="1:21" s="3" customFormat="1" ht="15" customHeight="1">
      <c r="A10" s="24">
        <f>A6+4</f>
        <v>5</v>
      </c>
      <c r="B10" s="283">
        <v>138096</v>
      </c>
      <c r="C10" s="298">
        <v>161314</v>
      </c>
      <c r="D10" s="667">
        <v>169229</v>
      </c>
      <c r="E10" s="298">
        <v>69801</v>
      </c>
      <c r="F10" s="258">
        <v>114167</v>
      </c>
      <c r="G10" s="82">
        <v>111942</v>
      </c>
      <c r="H10" s="259">
        <v>154417</v>
      </c>
      <c r="I10" s="671">
        <v>156493</v>
      </c>
      <c r="J10" s="116">
        <v>60500</v>
      </c>
      <c r="K10" s="258">
        <v>126529</v>
      </c>
      <c r="L10" s="259">
        <v>154098</v>
      </c>
      <c r="M10" s="95">
        <v>122681</v>
      </c>
      <c r="N10" s="23"/>
      <c r="O10" s="23"/>
      <c r="P10" s="23"/>
      <c r="Q10" s="23"/>
      <c r="R10" s="23"/>
      <c r="S10" s="23"/>
      <c r="T10" s="23"/>
      <c r="U10" s="23"/>
    </row>
    <row r="11" spans="1:21" s="3" customFormat="1" ht="15" customHeight="1">
      <c r="A11" s="24">
        <f>A6+5</f>
        <v>6</v>
      </c>
      <c r="B11" s="285">
        <v>141819</v>
      </c>
      <c r="C11" s="82">
        <v>127569</v>
      </c>
      <c r="D11" s="254">
        <v>140330</v>
      </c>
      <c r="E11" s="298">
        <v>65255</v>
      </c>
      <c r="F11" s="258">
        <v>111038</v>
      </c>
      <c r="G11" s="255">
        <v>83609</v>
      </c>
      <c r="H11" s="262">
        <v>145091</v>
      </c>
      <c r="I11" s="258">
        <v>79753</v>
      </c>
      <c r="J11" s="285">
        <v>118111</v>
      </c>
      <c r="K11" s="298">
        <v>130078</v>
      </c>
      <c r="L11" s="115">
        <v>128521</v>
      </c>
      <c r="M11" s="303">
        <v>188746</v>
      </c>
      <c r="N11" s="23"/>
      <c r="O11" s="23"/>
      <c r="P11" s="23"/>
      <c r="Q11" s="23"/>
      <c r="R11" s="23"/>
      <c r="S11" s="23"/>
      <c r="T11" s="23"/>
      <c r="U11" s="23"/>
    </row>
    <row r="12" spans="1:21" s="3" customFormat="1" ht="15" customHeight="1">
      <c r="A12" s="24">
        <f>A6+6</f>
        <v>7</v>
      </c>
      <c r="B12" s="285">
        <v>137511</v>
      </c>
      <c r="C12" s="82">
        <v>96535</v>
      </c>
      <c r="D12" s="254">
        <v>105572</v>
      </c>
      <c r="E12" s="298">
        <v>64751</v>
      </c>
      <c r="F12" s="258">
        <v>117164</v>
      </c>
      <c r="G12" s="298">
        <v>135176</v>
      </c>
      <c r="H12" s="262">
        <v>147490</v>
      </c>
      <c r="I12" s="265">
        <v>61748</v>
      </c>
      <c r="J12" s="285">
        <v>116945</v>
      </c>
      <c r="K12" s="258">
        <v>127141</v>
      </c>
      <c r="L12" s="115">
        <v>93455</v>
      </c>
      <c r="M12" s="305">
        <v>170710</v>
      </c>
      <c r="N12" s="23"/>
      <c r="O12" s="23"/>
      <c r="P12" s="23"/>
      <c r="Q12" s="23"/>
      <c r="R12" s="23"/>
      <c r="S12" s="23"/>
      <c r="T12" s="23"/>
      <c r="U12" s="23"/>
    </row>
    <row r="13" spans="1:21" s="3" customFormat="1" ht="15" customHeight="1">
      <c r="A13" s="24">
        <f>A6+7</f>
        <v>8</v>
      </c>
      <c r="B13" s="283">
        <v>144831</v>
      </c>
      <c r="C13" s="298">
        <v>163692</v>
      </c>
      <c r="D13" s="301">
        <v>145161</v>
      </c>
      <c r="E13" s="298">
        <v>66346</v>
      </c>
      <c r="F13" s="265">
        <v>98284</v>
      </c>
      <c r="G13" s="298">
        <v>125860</v>
      </c>
      <c r="H13" s="262">
        <v>145191</v>
      </c>
      <c r="I13" s="266">
        <v>36314</v>
      </c>
      <c r="J13" s="285">
        <v>102025</v>
      </c>
      <c r="K13" s="298">
        <v>135545</v>
      </c>
      <c r="L13" s="259">
        <v>158715</v>
      </c>
      <c r="M13" s="36">
        <v>135936</v>
      </c>
      <c r="N13" s="23"/>
      <c r="O13" s="23"/>
      <c r="P13" s="23"/>
      <c r="Q13" s="23"/>
      <c r="R13" s="23"/>
      <c r="S13" s="23"/>
      <c r="T13" s="23"/>
      <c r="U13" s="23"/>
    </row>
    <row r="14" spans="1:21" s="3" customFormat="1" ht="15" customHeight="1">
      <c r="A14" s="24">
        <f>A6+8</f>
        <v>9</v>
      </c>
      <c r="B14" s="116">
        <v>117132</v>
      </c>
      <c r="C14" s="298">
        <v>153920</v>
      </c>
      <c r="D14" s="301">
        <v>161355</v>
      </c>
      <c r="E14" s="306">
        <v>41647</v>
      </c>
      <c r="F14" s="82">
        <v>72222</v>
      </c>
      <c r="G14" s="258">
        <v>127329</v>
      </c>
      <c r="H14" s="262">
        <v>151977</v>
      </c>
      <c r="I14" s="258">
        <v>79882</v>
      </c>
      <c r="J14" s="285">
        <v>114046</v>
      </c>
      <c r="K14" s="82">
        <v>110734</v>
      </c>
      <c r="L14" s="259">
        <v>149282</v>
      </c>
      <c r="M14" s="303">
        <v>184537</v>
      </c>
      <c r="N14" s="23"/>
      <c r="O14" s="23"/>
      <c r="P14" s="23"/>
      <c r="Q14" s="23"/>
      <c r="R14" s="23"/>
      <c r="S14" s="23"/>
      <c r="T14" s="23"/>
      <c r="U14" s="23"/>
    </row>
    <row r="15" spans="1:21" s="3" customFormat="1" ht="15" customHeight="1">
      <c r="A15" s="24">
        <f>A6+9</f>
        <v>10</v>
      </c>
      <c r="B15" s="286">
        <v>88872</v>
      </c>
      <c r="C15" s="298">
        <v>158544</v>
      </c>
      <c r="D15" s="301">
        <v>160806</v>
      </c>
      <c r="E15" s="82">
        <v>50311</v>
      </c>
      <c r="F15" s="298">
        <v>126940</v>
      </c>
      <c r="G15" s="258">
        <v>125821</v>
      </c>
      <c r="H15" s="260">
        <v>130127</v>
      </c>
      <c r="I15" s="258">
        <v>81995</v>
      </c>
      <c r="J15" s="285">
        <v>124602</v>
      </c>
      <c r="K15" s="265">
        <v>79548</v>
      </c>
      <c r="L15" s="259">
        <v>152658</v>
      </c>
      <c r="M15" s="303">
        <v>193891</v>
      </c>
      <c r="N15" s="23"/>
      <c r="O15" s="23"/>
      <c r="P15" s="23"/>
      <c r="Q15" s="23"/>
      <c r="R15" s="23"/>
      <c r="S15" s="23"/>
      <c r="T15" s="23"/>
      <c r="U15" s="23"/>
    </row>
    <row r="16" spans="1:21" s="3" customFormat="1" ht="15" customHeight="1">
      <c r="A16" s="24">
        <f>A6+10</f>
        <v>11</v>
      </c>
      <c r="B16" s="283">
        <v>153049</v>
      </c>
      <c r="C16" s="298">
        <v>163689</v>
      </c>
      <c r="D16" s="301">
        <v>157103</v>
      </c>
      <c r="E16" s="82">
        <v>34672</v>
      </c>
      <c r="F16" s="258">
        <v>116564</v>
      </c>
      <c r="G16" s="670">
        <v>142867</v>
      </c>
      <c r="H16" s="260">
        <v>95592</v>
      </c>
      <c r="I16" s="298">
        <v>85080</v>
      </c>
      <c r="J16" s="116">
        <v>96074</v>
      </c>
      <c r="K16" s="69">
        <v>141370</v>
      </c>
      <c r="L16" s="259">
        <v>152094</v>
      </c>
      <c r="M16" s="95">
        <v>170623</v>
      </c>
      <c r="N16" s="23"/>
      <c r="O16" s="23"/>
      <c r="P16" s="23"/>
      <c r="Q16" s="23"/>
      <c r="R16" s="23"/>
      <c r="S16" s="23"/>
      <c r="T16" s="23"/>
      <c r="U16" s="23"/>
    </row>
    <row r="17" spans="1:21" s="3" customFormat="1" ht="15" customHeight="1">
      <c r="A17" s="24">
        <f>A6+11</f>
        <v>12</v>
      </c>
      <c r="B17" s="307">
        <v>147659</v>
      </c>
      <c r="C17" s="33">
        <v>115796</v>
      </c>
      <c r="D17" s="301">
        <v>163440</v>
      </c>
      <c r="E17" s="298">
        <v>96552</v>
      </c>
      <c r="F17" s="258">
        <v>120443</v>
      </c>
      <c r="G17" s="290">
        <v>104319</v>
      </c>
      <c r="H17" s="262">
        <v>157898</v>
      </c>
      <c r="I17" s="298">
        <v>82574</v>
      </c>
      <c r="J17" s="116">
        <v>62560</v>
      </c>
      <c r="K17" s="258">
        <v>129635</v>
      </c>
      <c r="L17" s="259">
        <v>162324</v>
      </c>
      <c r="M17" s="95">
        <v>134558</v>
      </c>
      <c r="N17" s="23"/>
      <c r="O17" s="23"/>
      <c r="P17" s="23"/>
      <c r="Q17" s="23"/>
      <c r="R17" s="23"/>
      <c r="S17" s="23"/>
      <c r="T17" s="23"/>
      <c r="U17" s="23"/>
    </row>
    <row r="18" spans="1:21" s="3" customFormat="1" ht="15" customHeight="1">
      <c r="A18" s="24">
        <f>A6+12</f>
        <v>13</v>
      </c>
      <c r="B18" s="285">
        <v>147327</v>
      </c>
      <c r="C18" s="82">
        <v>119575</v>
      </c>
      <c r="D18" s="288">
        <v>134026</v>
      </c>
      <c r="E18" s="298">
        <v>93409</v>
      </c>
      <c r="F18" s="290">
        <v>76929</v>
      </c>
      <c r="G18" s="82">
        <v>83651</v>
      </c>
      <c r="H18" s="262">
        <v>149488</v>
      </c>
      <c r="I18" s="298">
        <v>91487</v>
      </c>
      <c r="J18" s="285">
        <v>121641</v>
      </c>
      <c r="K18" s="298">
        <v>130252</v>
      </c>
      <c r="L18" s="115">
        <v>139466</v>
      </c>
      <c r="M18" s="303">
        <v>192165</v>
      </c>
      <c r="N18" s="23"/>
      <c r="O18" s="23"/>
      <c r="P18" s="23"/>
      <c r="Q18" s="23"/>
      <c r="R18" s="23"/>
      <c r="S18" s="23"/>
      <c r="T18" s="23"/>
      <c r="U18" s="23"/>
    </row>
    <row r="19" spans="1:21" s="3" customFormat="1" ht="15" customHeight="1">
      <c r="A19" s="24">
        <f>A6+13</f>
        <v>14</v>
      </c>
      <c r="B19" s="285">
        <v>144085</v>
      </c>
      <c r="C19" s="82">
        <v>114252</v>
      </c>
      <c r="D19" s="254">
        <v>98584</v>
      </c>
      <c r="E19" s="298">
        <v>93484</v>
      </c>
      <c r="F19" s="258">
        <v>126678</v>
      </c>
      <c r="G19" s="298">
        <v>137379</v>
      </c>
      <c r="H19" s="262">
        <v>150783</v>
      </c>
      <c r="I19" s="82">
        <v>71000</v>
      </c>
      <c r="J19" s="285">
        <v>112951</v>
      </c>
      <c r="K19" s="258">
        <v>130528</v>
      </c>
      <c r="L19" s="115">
        <v>103992</v>
      </c>
      <c r="M19" s="303">
        <v>183734</v>
      </c>
      <c r="N19" s="23"/>
      <c r="O19" s="23"/>
      <c r="P19" s="23">
        <f>31+28+29+26+31+30+31+31+30+31+30+31</f>
        <v>359</v>
      </c>
      <c r="Q19" s="23"/>
      <c r="R19" s="23"/>
      <c r="S19" s="23"/>
      <c r="T19" s="23"/>
      <c r="U19" s="23"/>
    </row>
    <row r="20" spans="1:21" s="3" customFormat="1" ht="15" customHeight="1">
      <c r="A20" s="24">
        <f>A6+14</f>
        <v>15</v>
      </c>
      <c r="B20" s="285">
        <v>150548</v>
      </c>
      <c r="C20" s="668">
        <v>168945</v>
      </c>
      <c r="D20" s="301">
        <v>161333</v>
      </c>
      <c r="E20" s="298">
        <v>94208</v>
      </c>
      <c r="F20" s="265">
        <v>106548</v>
      </c>
      <c r="G20" s="298">
        <v>133732</v>
      </c>
      <c r="H20" s="262">
        <v>150791</v>
      </c>
      <c r="I20" s="82">
        <v>41289</v>
      </c>
      <c r="J20" s="285">
        <v>113890</v>
      </c>
      <c r="K20" s="298">
        <v>143804</v>
      </c>
      <c r="L20" s="259">
        <v>166764</v>
      </c>
      <c r="M20" s="303">
        <v>189817</v>
      </c>
      <c r="N20" s="2"/>
      <c r="O20" s="23"/>
      <c r="P20" s="23"/>
      <c r="Q20" s="23"/>
      <c r="R20" s="23"/>
      <c r="S20" s="23"/>
      <c r="T20" s="23"/>
      <c r="U20" s="23"/>
    </row>
    <row r="21" spans="1:21" s="3" customFormat="1" ht="15" customHeight="1">
      <c r="A21" s="24">
        <f>A6+15</f>
        <v>16</v>
      </c>
      <c r="B21" s="116">
        <v>125514</v>
      </c>
      <c r="C21" s="298">
        <v>161598</v>
      </c>
      <c r="D21" s="253">
        <v>154009</v>
      </c>
      <c r="E21" s="298">
        <v>100004</v>
      </c>
      <c r="F21" s="82">
        <v>80727</v>
      </c>
      <c r="G21" s="298">
        <v>135213</v>
      </c>
      <c r="H21" s="262">
        <v>159856</v>
      </c>
      <c r="I21" s="298">
        <v>90580</v>
      </c>
      <c r="J21" s="285">
        <v>115624</v>
      </c>
      <c r="K21" s="82">
        <v>123266</v>
      </c>
      <c r="L21" s="259">
        <v>162509</v>
      </c>
      <c r="M21" s="303">
        <v>191485</v>
      </c>
      <c r="N21" s="23"/>
      <c r="O21" s="23"/>
      <c r="P21" s="23"/>
      <c r="Q21" s="23"/>
      <c r="R21" s="23"/>
      <c r="S21" s="23"/>
      <c r="T21" s="23"/>
      <c r="U21" s="23"/>
    </row>
    <row r="22" spans="1:21" s="3" customFormat="1" ht="15" customHeight="1">
      <c r="A22" s="24">
        <f>A6+16</f>
        <v>17</v>
      </c>
      <c r="B22" s="286">
        <v>94063</v>
      </c>
      <c r="C22" s="298">
        <v>160349</v>
      </c>
      <c r="D22" s="298">
        <v>150273</v>
      </c>
      <c r="E22" s="82">
        <v>80918</v>
      </c>
      <c r="F22" s="671">
        <v>137328</v>
      </c>
      <c r="G22" s="298">
        <v>129517</v>
      </c>
      <c r="H22" s="260">
        <v>133239</v>
      </c>
      <c r="I22" s="298">
        <v>88338</v>
      </c>
      <c r="J22" s="285">
        <v>123044</v>
      </c>
      <c r="K22" s="265">
        <v>88481</v>
      </c>
      <c r="L22" s="259">
        <v>162218</v>
      </c>
      <c r="M22" s="303">
        <v>200647</v>
      </c>
      <c r="N22" s="23"/>
      <c r="O22" s="23"/>
      <c r="P22" s="23"/>
      <c r="Q22" s="23"/>
      <c r="R22" s="23"/>
      <c r="S22" s="23"/>
      <c r="T22" s="23"/>
      <c r="U22" s="23"/>
    </row>
    <row r="23" spans="1:21" s="3" customFormat="1" ht="15" customHeight="1">
      <c r="A23" s="24">
        <f>A6+17</f>
        <v>18</v>
      </c>
      <c r="B23" s="285">
        <v>157855</v>
      </c>
      <c r="C23" s="298">
        <v>156500</v>
      </c>
      <c r="D23" s="298">
        <v>143817</v>
      </c>
      <c r="E23" s="82">
        <v>57760</v>
      </c>
      <c r="F23" s="258">
        <v>125105</v>
      </c>
      <c r="G23" s="298">
        <v>138787</v>
      </c>
      <c r="H23" s="260">
        <v>98970</v>
      </c>
      <c r="I23" s="298">
        <v>88224</v>
      </c>
      <c r="J23" s="116">
        <v>100799</v>
      </c>
      <c r="K23" s="69">
        <v>150141</v>
      </c>
      <c r="L23" s="259">
        <v>159756</v>
      </c>
      <c r="M23" s="308">
        <v>186595</v>
      </c>
      <c r="N23" s="23"/>
      <c r="O23" s="23"/>
      <c r="P23" s="23"/>
      <c r="Q23" s="23"/>
      <c r="R23" s="23"/>
      <c r="S23" s="23"/>
      <c r="T23" s="23"/>
      <c r="U23" s="23"/>
    </row>
    <row r="24" spans="1:21" s="3" customFormat="1" ht="15" customHeight="1">
      <c r="A24" s="24">
        <f>A6+18</f>
        <v>19</v>
      </c>
      <c r="B24" s="283">
        <v>148213</v>
      </c>
      <c r="C24" s="298">
        <v>164360</v>
      </c>
      <c r="D24" s="298">
        <v>151926</v>
      </c>
      <c r="E24" s="298">
        <v>110270</v>
      </c>
      <c r="F24" s="298">
        <v>124624</v>
      </c>
      <c r="G24" s="82">
        <v>118038</v>
      </c>
      <c r="H24" s="262">
        <v>165523</v>
      </c>
      <c r="I24" s="298">
        <v>83674</v>
      </c>
      <c r="J24" s="116">
        <v>67268</v>
      </c>
      <c r="K24" s="258">
        <v>140222</v>
      </c>
      <c r="L24" s="259">
        <v>171322</v>
      </c>
      <c r="M24" s="308">
        <v>137425</v>
      </c>
      <c r="N24" s="23"/>
      <c r="O24" s="23"/>
      <c r="P24" s="23"/>
      <c r="Q24" s="23"/>
      <c r="R24" s="23"/>
      <c r="S24" s="23"/>
      <c r="T24" s="23"/>
      <c r="U24" s="23"/>
    </row>
    <row r="25" spans="1:21" s="3" customFormat="1" ht="15" customHeight="1">
      <c r="A25" s="24">
        <f>A6+19</f>
        <v>20</v>
      </c>
      <c r="B25" s="283">
        <v>146118</v>
      </c>
      <c r="C25" s="82">
        <v>133720</v>
      </c>
      <c r="D25" s="82">
        <v>120230</v>
      </c>
      <c r="E25" s="670">
        <v>100985</v>
      </c>
      <c r="F25" s="258">
        <v>121447</v>
      </c>
      <c r="G25" s="82">
        <v>86381</v>
      </c>
      <c r="H25" s="263">
        <v>102561</v>
      </c>
      <c r="I25" s="298">
        <v>99355</v>
      </c>
      <c r="J25" s="285">
        <v>129136</v>
      </c>
      <c r="K25" s="298">
        <v>138742</v>
      </c>
      <c r="L25" s="115">
        <v>149281</v>
      </c>
      <c r="M25" s="309">
        <v>211014</v>
      </c>
      <c r="N25" s="23"/>
      <c r="O25" s="34"/>
      <c r="P25" s="23"/>
      <c r="Q25" s="23"/>
      <c r="R25" s="23"/>
      <c r="S25" s="23"/>
      <c r="T25" s="23"/>
      <c r="U25" s="23"/>
    </row>
    <row r="26" spans="1:21" s="3" customFormat="1" ht="15" customHeight="1">
      <c r="A26" s="24">
        <v>21</v>
      </c>
      <c r="B26" s="285">
        <v>143321</v>
      </c>
      <c r="C26" s="82">
        <v>99817</v>
      </c>
      <c r="D26" s="82">
        <v>86298</v>
      </c>
      <c r="E26" s="258">
        <v>99454</v>
      </c>
      <c r="F26" s="258">
        <v>128900</v>
      </c>
      <c r="G26" s="298">
        <v>135673</v>
      </c>
      <c r="H26" s="262">
        <v>143391</v>
      </c>
      <c r="I26" s="82">
        <v>74604</v>
      </c>
      <c r="J26" s="285">
        <v>120620</v>
      </c>
      <c r="K26" s="258">
        <v>136030</v>
      </c>
      <c r="L26" s="115">
        <v>111903</v>
      </c>
      <c r="M26" s="303">
        <v>202685</v>
      </c>
      <c r="N26" s="23"/>
      <c r="O26" s="23"/>
      <c r="P26" s="23"/>
      <c r="Q26" s="23"/>
      <c r="R26" s="23"/>
      <c r="S26" s="23"/>
      <c r="T26" s="23"/>
      <c r="U26" s="23"/>
    </row>
    <row r="27" spans="1:21" s="3" customFormat="1" ht="15" customHeight="1">
      <c r="A27" s="24">
        <f>A6+21</f>
        <v>22</v>
      </c>
      <c r="B27" s="285">
        <v>154651</v>
      </c>
      <c r="C27" s="26">
        <v>162095</v>
      </c>
      <c r="D27" s="298">
        <v>139186</v>
      </c>
      <c r="E27" s="258">
        <v>96381</v>
      </c>
      <c r="F27" s="265">
        <v>108717</v>
      </c>
      <c r="G27" s="298">
        <v>131745</v>
      </c>
      <c r="H27" s="262">
        <v>141850</v>
      </c>
      <c r="I27" s="82">
        <v>53588</v>
      </c>
      <c r="J27" s="285">
        <v>120491</v>
      </c>
      <c r="K27" s="258">
        <v>144176</v>
      </c>
      <c r="L27" s="259">
        <v>174357</v>
      </c>
      <c r="M27" s="303">
        <v>204497</v>
      </c>
      <c r="N27" s="23"/>
      <c r="O27" s="23"/>
      <c r="P27" s="23"/>
      <c r="Q27" s="23"/>
      <c r="R27" s="23"/>
      <c r="S27" s="23"/>
      <c r="T27" s="23"/>
      <c r="U27" s="23"/>
    </row>
    <row r="28" spans="1:21" s="3" customFormat="1" ht="15" customHeight="1">
      <c r="A28" s="24">
        <f>A6+22</f>
        <v>23</v>
      </c>
      <c r="B28" s="116">
        <v>125047</v>
      </c>
      <c r="C28" s="298">
        <v>157627</v>
      </c>
      <c r="D28" s="298">
        <v>125810</v>
      </c>
      <c r="E28" s="258">
        <v>104400</v>
      </c>
      <c r="F28" s="82">
        <v>79442</v>
      </c>
      <c r="G28" s="298">
        <v>130947</v>
      </c>
      <c r="H28" s="262">
        <v>149247</v>
      </c>
      <c r="I28" s="298">
        <v>115217</v>
      </c>
      <c r="J28" s="298">
        <v>117321</v>
      </c>
      <c r="K28" s="265">
        <v>121785</v>
      </c>
      <c r="L28" s="259">
        <v>161951</v>
      </c>
      <c r="M28" s="309">
        <v>223739</v>
      </c>
      <c r="N28" s="23"/>
      <c r="O28" s="23"/>
      <c r="P28" s="23"/>
      <c r="Q28" s="23"/>
      <c r="R28" s="23"/>
      <c r="S28" s="23"/>
      <c r="T28" s="23"/>
      <c r="U28" s="23"/>
    </row>
    <row r="29" spans="1:21" s="3" customFormat="1" ht="15" customHeight="1">
      <c r="A29" s="24">
        <f>A6+23</f>
        <v>24</v>
      </c>
      <c r="B29" s="116">
        <v>92467</v>
      </c>
      <c r="C29" s="258">
        <v>163845</v>
      </c>
      <c r="D29" s="298">
        <v>122264</v>
      </c>
      <c r="E29" s="265">
        <v>85340</v>
      </c>
      <c r="F29" s="298">
        <v>135309</v>
      </c>
      <c r="G29" s="298">
        <v>126180</v>
      </c>
      <c r="H29" s="260">
        <v>85309</v>
      </c>
      <c r="I29" s="298">
        <v>108610</v>
      </c>
      <c r="J29" s="285">
        <v>126325</v>
      </c>
      <c r="K29" s="265">
        <v>84158</v>
      </c>
      <c r="L29" s="259">
        <v>165948</v>
      </c>
      <c r="M29" s="303">
        <v>173411</v>
      </c>
      <c r="N29" s="23"/>
      <c r="O29" s="23"/>
      <c r="P29" s="23"/>
      <c r="Q29" s="23"/>
      <c r="R29" s="23"/>
      <c r="S29" s="23"/>
      <c r="T29" s="23"/>
      <c r="U29" s="23"/>
    </row>
    <row r="30" spans="1:21" s="3" customFormat="1" ht="15" customHeight="1">
      <c r="A30" s="24">
        <f>A6+24</f>
        <v>25</v>
      </c>
      <c r="B30" s="285">
        <v>158335</v>
      </c>
      <c r="C30" s="290">
        <v>108113</v>
      </c>
      <c r="D30" s="298">
        <v>121367</v>
      </c>
      <c r="E30" s="265">
        <v>61356</v>
      </c>
      <c r="F30" s="298">
        <v>127794</v>
      </c>
      <c r="G30" s="298">
        <v>136984</v>
      </c>
      <c r="H30" s="260">
        <v>74440</v>
      </c>
      <c r="I30" s="298">
        <v>110878</v>
      </c>
      <c r="J30" s="116">
        <v>109032</v>
      </c>
      <c r="K30" s="69">
        <v>146056</v>
      </c>
      <c r="L30" s="259">
        <v>166426</v>
      </c>
      <c r="M30" s="310">
        <v>141567</v>
      </c>
      <c r="N30" s="23"/>
      <c r="O30" s="23"/>
      <c r="P30" s="23"/>
      <c r="Q30" s="23"/>
      <c r="R30" s="23"/>
      <c r="S30" s="23"/>
      <c r="T30" s="23"/>
      <c r="U30" s="23"/>
    </row>
    <row r="31" spans="1:21" s="3" customFormat="1" ht="15" customHeight="1">
      <c r="A31" s="24">
        <f>A6+25</f>
        <v>26</v>
      </c>
      <c r="B31" s="285">
        <v>149476</v>
      </c>
      <c r="C31" s="258">
        <v>172665</v>
      </c>
      <c r="D31" s="298">
        <v>127202</v>
      </c>
      <c r="E31" s="258">
        <v>112783</v>
      </c>
      <c r="F31" s="298">
        <v>124033</v>
      </c>
      <c r="G31" s="82">
        <v>116743</v>
      </c>
      <c r="H31" s="262">
        <v>156617</v>
      </c>
      <c r="I31" s="298">
        <v>108890</v>
      </c>
      <c r="J31" s="116">
        <v>73403</v>
      </c>
      <c r="K31" s="258">
        <v>140269</v>
      </c>
      <c r="L31" s="259">
        <v>176940</v>
      </c>
      <c r="M31" s="95">
        <v>159042</v>
      </c>
      <c r="N31" s="23"/>
      <c r="O31" s="23"/>
      <c r="P31" s="23"/>
      <c r="Q31" s="23"/>
      <c r="R31" s="23"/>
      <c r="S31" s="23"/>
      <c r="T31" s="23"/>
      <c r="U31" s="23"/>
    </row>
    <row r="32" spans="1:21" s="3" customFormat="1" ht="15" customHeight="1">
      <c r="A32" s="24">
        <f>A6+26</f>
        <v>27</v>
      </c>
      <c r="B32" s="285">
        <v>152202</v>
      </c>
      <c r="C32" s="265">
        <v>138562</v>
      </c>
      <c r="D32" s="82">
        <v>100003</v>
      </c>
      <c r="E32" s="258">
        <v>103572</v>
      </c>
      <c r="F32" s="298">
        <v>122455</v>
      </c>
      <c r="G32" s="82">
        <v>84018</v>
      </c>
      <c r="H32" s="262">
        <v>153692</v>
      </c>
      <c r="I32" s="298">
        <v>115731</v>
      </c>
      <c r="J32" s="669">
        <v>132552</v>
      </c>
      <c r="K32" s="258">
        <v>143152</v>
      </c>
      <c r="L32" s="115">
        <v>156744</v>
      </c>
      <c r="M32" s="309">
        <v>209247</v>
      </c>
      <c r="N32" s="23"/>
      <c r="O32" s="23"/>
      <c r="P32" s="23"/>
      <c r="Q32" s="23"/>
      <c r="R32" s="23"/>
      <c r="S32" s="23"/>
      <c r="T32" s="23"/>
      <c r="U32" s="23"/>
    </row>
    <row r="33" spans="1:21" s="3" customFormat="1" ht="15" customHeight="1">
      <c r="A33" s="24">
        <v>28</v>
      </c>
      <c r="B33" s="285">
        <v>148471</v>
      </c>
      <c r="C33" s="265">
        <v>106157</v>
      </c>
      <c r="D33" s="82">
        <v>67730</v>
      </c>
      <c r="E33" s="258">
        <v>104032</v>
      </c>
      <c r="F33" s="298">
        <v>131996</v>
      </c>
      <c r="G33" s="298">
        <v>138164</v>
      </c>
      <c r="H33" s="262">
        <v>146032</v>
      </c>
      <c r="I33" s="82">
        <v>95061</v>
      </c>
      <c r="J33" s="283">
        <v>124145</v>
      </c>
      <c r="K33" s="258">
        <v>139957</v>
      </c>
      <c r="L33" s="115">
        <v>111330</v>
      </c>
      <c r="M33" s="309">
        <v>199922</v>
      </c>
      <c r="N33" s="23"/>
      <c r="O33" s="23"/>
      <c r="P33" s="23"/>
      <c r="Q33" s="23"/>
      <c r="R33" s="23"/>
      <c r="S33" s="23"/>
      <c r="T33" s="23"/>
      <c r="U33" s="23"/>
    </row>
    <row r="34" spans="1:21" s="3" customFormat="1" ht="15" customHeight="1">
      <c r="A34" s="24">
        <f>A6+28</f>
        <v>29</v>
      </c>
      <c r="B34" s="669">
        <v>159119</v>
      </c>
      <c r="C34" s="35"/>
      <c r="D34" s="298">
        <v>58259</v>
      </c>
      <c r="E34" s="258">
        <v>100759</v>
      </c>
      <c r="F34" s="82">
        <v>113822</v>
      </c>
      <c r="G34" s="298">
        <v>131007</v>
      </c>
      <c r="H34" s="262">
        <v>141707</v>
      </c>
      <c r="I34" s="82">
        <v>59176</v>
      </c>
      <c r="J34" s="283">
        <v>123563</v>
      </c>
      <c r="K34" s="671">
        <v>153292</v>
      </c>
      <c r="L34" s="673">
        <v>185300</v>
      </c>
      <c r="M34" s="309">
        <v>208235</v>
      </c>
      <c r="N34" s="23"/>
      <c r="O34" s="23"/>
      <c r="P34" s="23"/>
      <c r="Q34" s="23"/>
      <c r="R34" s="23"/>
      <c r="S34" s="23"/>
      <c r="T34" s="23"/>
      <c r="U34" s="23"/>
    </row>
    <row r="35" spans="1:21" s="3" customFormat="1" ht="15" customHeight="1">
      <c r="A35" s="24">
        <f>A6+29</f>
        <v>30</v>
      </c>
      <c r="B35" s="116">
        <v>130863</v>
      </c>
      <c r="C35" s="37"/>
      <c r="D35" s="302"/>
      <c r="E35" s="258">
        <v>117842</v>
      </c>
      <c r="F35" s="82">
        <v>85575</v>
      </c>
      <c r="G35" s="298">
        <v>135936</v>
      </c>
      <c r="H35" s="672">
        <v>165358</v>
      </c>
      <c r="I35" s="33">
        <v>71265</v>
      </c>
      <c r="J35" s="285">
        <v>122571</v>
      </c>
      <c r="K35" s="265">
        <v>133253</v>
      </c>
      <c r="L35" s="33">
        <v>127823</v>
      </c>
      <c r="M35" s="36">
        <v>156846</v>
      </c>
      <c r="N35" s="23"/>
      <c r="O35" s="23"/>
      <c r="P35" s="23"/>
      <c r="Q35" s="23"/>
      <c r="R35" s="23"/>
      <c r="S35" s="23"/>
      <c r="T35" s="23"/>
      <c r="U35" s="23"/>
    </row>
    <row r="36" spans="1:21" s="3" customFormat="1" ht="15" customHeight="1" thickBot="1">
      <c r="A36" s="38">
        <f>A6+30</f>
        <v>31</v>
      </c>
      <c r="B36" s="211">
        <v>98824</v>
      </c>
      <c r="C36" s="40"/>
      <c r="D36" s="311"/>
      <c r="E36" s="312"/>
      <c r="F36" s="313">
        <v>135610</v>
      </c>
      <c r="G36" s="40"/>
      <c r="H36" s="264">
        <v>135296</v>
      </c>
      <c r="I36" s="314">
        <v>122934</v>
      </c>
      <c r="J36" s="125"/>
      <c r="K36" s="315">
        <v>96320</v>
      </c>
      <c r="L36" s="43"/>
      <c r="M36" s="303">
        <v>132937</v>
      </c>
      <c r="N36" s="23"/>
      <c r="O36" s="34"/>
      <c r="P36" s="233"/>
      <c r="Q36" s="233"/>
      <c r="R36" s="233"/>
      <c r="S36" s="233"/>
      <c r="T36" s="233"/>
      <c r="U36" s="23"/>
    </row>
    <row r="37" spans="1:21">
      <c r="A37" s="45" t="s">
        <v>19</v>
      </c>
      <c r="B37" s="126">
        <f>AVERAGE(B6:B36)</f>
        <v>131072.06451612903</v>
      </c>
      <c r="C37" s="127">
        <f>IFERROR(AVERAGE(C6:C36),0)</f>
        <v>144832.32142857142</v>
      </c>
      <c r="D37" s="127">
        <f t="shared" ref="D37:M37" si="0">IFERROR(AVERAGE(D6:D36),0)</f>
        <v>135356.8275862069</v>
      </c>
      <c r="E37" s="127">
        <f t="shared" si="0"/>
        <v>84857.38461538461</v>
      </c>
      <c r="F37" s="127">
        <f t="shared" si="0"/>
        <v>111669.77419354839</v>
      </c>
      <c r="G37" s="127">
        <f t="shared" si="0"/>
        <v>123204.13333333333</v>
      </c>
      <c r="H37" s="127">
        <f t="shared" si="0"/>
        <v>136708.61290322582</v>
      </c>
      <c r="I37" s="127">
        <f t="shared" si="0"/>
        <v>93764.870967741939</v>
      </c>
      <c r="J37" s="127">
        <f t="shared" si="0"/>
        <v>109662.76666666666</v>
      </c>
      <c r="K37" s="127">
        <f t="shared" si="0"/>
        <v>126519.70967741935</v>
      </c>
      <c r="L37" s="127">
        <f t="shared" si="0"/>
        <v>147299</v>
      </c>
      <c r="M37" s="135">
        <f t="shared" si="0"/>
        <v>177684.06451612903</v>
      </c>
    </row>
    <row r="38" spans="1:21">
      <c r="A38" s="48" t="s">
        <v>20</v>
      </c>
      <c r="B38" s="129">
        <f>IFERROR(AVERAGE(B9:B13,B16:B20,B23:B27,B30:B34),0)</f>
        <v>148228.4</v>
      </c>
      <c r="C38" s="50">
        <f>AVERAGE(C6:C10,C13:C16,C20:C24,C27:C29,C31)</f>
        <v>160844.94444444444</v>
      </c>
      <c r="D38" s="50">
        <f>AVERAGE(D6:D10,D13:D17,D20:D24,D27:D31,D34:D36)</f>
        <v>146313.09523809524</v>
      </c>
      <c r="E38" s="50">
        <f>AVERAGE(E10:E13,E17:E21,E24:E28,E31:E35)</f>
        <v>94436.210526315786</v>
      </c>
      <c r="F38" s="50">
        <f t="shared" ref="F38:G38" si="1">AVERAGE(F10:F13,F17:F21,F24:F28,F31:F35)</f>
        <v>110157.31578947368</v>
      </c>
      <c r="G38" s="50">
        <f t="shared" si="1"/>
        <v>118922.78947368421</v>
      </c>
      <c r="H38" s="50">
        <f>AVERAGE(H6:H7,H10:H14,H17:H21,H24,H26:H28,H31:H35)</f>
        <v>150672.52380952382</v>
      </c>
      <c r="I38" s="50">
        <f>AVERAGE(I7:I11,I14:I18,I21:I25,I28:I32,I36)</f>
        <v>107341.47619047618</v>
      </c>
      <c r="J38" s="50">
        <f>AVERAGE(J6:J8,J11:J15,J18:J22,J25:J29,J32:J35)</f>
        <v>119384.54545454546</v>
      </c>
      <c r="K38" s="50">
        <f>AVERAGE(K6,K9:K13,K16:K20,K23:K27,K30:K34)</f>
        <v>137959.42857142858</v>
      </c>
      <c r="L38" s="50">
        <f>AVERAGE(L7:L10,L13:L17,L20:L24,L27:L31,L34)</f>
        <v>160777</v>
      </c>
      <c r="M38" s="146">
        <f>AVERAGE(M6:M8,M11:M12,M14:M15,M18:M22,M25:M29,M32:M34,M36)</f>
        <v>190572.90476190476</v>
      </c>
    </row>
    <row r="39" spans="1:21">
      <c r="A39" s="52" t="s">
        <v>21</v>
      </c>
      <c r="B39" s="129">
        <f>AVERAGE(B7,B14,B21,B28,B35)</f>
        <v>117838.6</v>
      </c>
      <c r="C39" s="53">
        <f>AVERAGE(C11,C18,C25,C32)</f>
        <v>129856.5</v>
      </c>
      <c r="D39" s="53">
        <f>AVERAGE(D11,D18,D25,D32)</f>
        <v>123647.25</v>
      </c>
      <c r="E39" s="53">
        <f>AVERAGE(E15,E22,E29)</f>
        <v>72189.666666666672</v>
      </c>
      <c r="F39" s="53">
        <f>IFERROR(AVERAGE(F13,F20,F27,F34),0)</f>
        <v>106842.75</v>
      </c>
      <c r="G39" s="53">
        <f>IFERROR(AVERAGE(G10,G24,G31),0)</f>
        <v>115574.33333333333</v>
      </c>
      <c r="H39" s="53">
        <f>AVERAGE(H8,H15,H22,H29,H36)</f>
        <v>121604.2</v>
      </c>
      <c r="I39" s="53">
        <f>AVERAGE(I12,I19,I26,I33)</f>
        <v>75603.25</v>
      </c>
      <c r="J39" s="53">
        <f>AVERAGE(J9,J16,J23,J30)</f>
        <v>99923</v>
      </c>
      <c r="K39" s="53">
        <f>AVERAGE(K7,K14,K21,K28,K35)</f>
        <v>119717.6</v>
      </c>
      <c r="L39" s="53">
        <f>AVERAGE(L11,L18,L25,L32)</f>
        <v>143503</v>
      </c>
      <c r="M39" s="147">
        <f>AVERAGE(M9,M16,M23)</f>
        <v>172706.66666666666</v>
      </c>
    </row>
    <row r="40" spans="1:21">
      <c r="A40" s="52" t="s">
        <v>22</v>
      </c>
      <c r="B40" s="129">
        <f>AVERAGE(B6,B8,B15,B22,B29,B36)</f>
        <v>84912.166666666672</v>
      </c>
      <c r="C40" s="53">
        <f>AVERAGE(C12,C17,C19,C26,C33,C30)</f>
        <v>106778.33333333333</v>
      </c>
      <c r="D40" s="53">
        <f>AVERAGE(D12,D19,D26,D33)</f>
        <v>89546</v>
      </c>
      <c r="E40" s="53">
        <f>AVERAGE(E14,E16,E23,E30)</f>
        <v>48858.75</v>
      </c>
      <c r="F40" s="53">
        <f>AVERAGE(F6:F7,F14,F21,F18,F28,F35)</f>
        <v>78297.857142857145</v>
      </c>
      <c r="G40" s="53">
        <f>IFERROR(AVERAGE(G11,G17:G18,G25,G32),0)</f>
        <v>88395.6</v>
      </c>
      <c r="H40" s="53">
        <f>AVERAGE(H9,H16,H23,H25,H30)</f>
        <v>93164.6</v>
      </c>
      <c r="I40" s="53">
        <f>AVERAGE(I13,I20,I27,I34:I35,I6)</f>
        <v>58354.5</v>
      </c>
      <c r="J40" s="53">
        <f>AVERAGE(J10,J17,J24,J31)</f>
        <v>65932.75</v>
      </c>
      <c r="K40" s="53">
        <f>AVERAGE(K8,K15,K22,K29,K36)</f>
        <v>85275</v>
      </c>
      <c r="L40" s="53">
        <f>AVERAGE(L6,L12,L19,L26,L33,L35)</f>
        <v>104903</v>
      </c>
      <c r="M40" s="147">
        <f>AVERAGE(M10,M13,M17,M24,M30:M31,M35)</f>
        <v>141150.71428571429</v>
      </c>
    </row>
    <row r="41" spans="1:21">
      <c r="A41" s="52" t="s">
        <v>23</v>
      </c>
      <c r="B41" s="129">
        <f>AVERAGE(B6:B8,B14:B15,B21:B22,B28:B29,B35:B36)</f>
        <v>99878.727272727279</v>
      </c>
      <c r="C41" s="53">
        <f>AVERAGE(C11:C12,C17:C19,C25:C26,C32:C33)</f>
        <v>116887</v>
      </c>
      <c r="D41" s="53">
        <f>AVERAGE(D11:D12,D18:D19,D25:D26,D32:D33)</f>
        <v>106596.625</v>
      </c>
      <c r="E41" s="53">
        <f>AVERAGE(E14:E16,E22:E23,E29:E30)</f>
        <v>58857.714285714283</v>
      </c>
      <c r="F41" s="53">
        <f>AVERAGE(F6:F7,F13:F14,F18,F20:F21,F27:F28,F34:F35)</f>
        <v>88677.818181818177</v>
      </c>
      <c r="G41" s="53">
        <f>IFERROR(AVERAGE(G10:G11,G17:G18,G24:G25,G31:G32),0)</f>
        <v>98587.625</v>
      </c>
      <c r="H41" s="53">
        <f>AVERAGE(H8:H9,H15:H16,H22:H23,H25,H29:H30,H36)</f>
        <v>107384.4</v>
      </c>
      <c r="I41" s="53">
        <f>AVERAGE(I6,I12:I13,I19:I20,I26:I27,I33:I34)</f>
        <v>64586.111111111109</v>
      </c>
      <c r="J41" s="53">
        <f>AVERAGE(J9:J10,J16:J17,J23:J24,J30:J31)</f>
        <v>82927.875</v>
      </c>
      <c r="K41" s="53">
        <f>AVERAGE(K7:K8,K14:K15,K21:K22,K28:K29,K35:K36)</f>
        <v>102496.3</v>
      </c>
      <c r="L41" s="53">
        <f>AVERAGE(L11:L12,L18:L19,L25:L26,L32:L33)</f>
        <v>124336.5</v>
      </c>
      <c r="M41" s="147">
        <f>AVERAGE(M9:M10,M13,M16:M17,M23:M24,M30:M31,M35)</f>
        <v>150617.5</v>
      </c>
      <c r="N41" s="59"/>
    </row>
    <row r="42" spans="1:21">
      <c r="A42" s="52" t="s">
        <v>24</v>
      </c>
      <c r="B42" s="129">
        <f>MAX(B6:B36)</f>
        <v>159119</v>
      </c>
      <c r="C42" s="49">
        <f t="shared" ref="C42:M42" si="2">MAX(C6:C36)</f>
        <v>172665</v>
      </c>
      <c r="D42" s="49">
        <f t="shared" si="2"/>
        <v>171717</v>
      </c>
      <c r="E42" s="49">
        <f t="shared" si="2"/>
        <v>117842</v>
      </c>
      <c r="F42" s="256">
        <f t="shared" si="2"/>
        <v>137328</v>
      </c>
      <c r="G42" s="49">
        <f t="shared" si="2"/>
        <v>142867</v>
      </c>
      <c r="H42" s="49">
        <f t="shared" si="2"/>
        <v>165523</v>
      </c>
      <c r="I42" s="49">
        <f>MAX(I6:I36)</f>
        <v>156493</v>
      </c>
      <c r="J42" s="49">
        <f t="shared" si="2"/>
        <v>132552</v>
      </c>
      <c r="K42" s="49">
        <f>MAX(K6:K36)</f>
        <v>153292</v>
      </c>
      <c r="L42" s="49">
        <f>MAX(L6:L36)</f>
        <v>185300</v>
      </c>
      <c r="M42" s="146">
        <f t="shared" si="2"/>
        <v>223739</v>
      </c>
    </row>
    <row r="43" spans="1:21">
      <c r="A43" s="52" t="s">
        <v>47</v>
      </c>
      <c r="B43" s="129">
        <f>MIN(B6:B36)</f>
        <v>55727</v>
      </c>
      <c r="C43" s="50">
        <f t="shared" ref="C43:M43" si="3">MIN(C6:C36)</f>
        <v>96535</v>
      </c>
      <c r="D43" s="50">
        <f t="shared" si="3"/>
        <v>58259</v>
      </c>
      <c r="E43" s="50">
        <f t="shared" si="3"/>
        <v>34672</v>
      </c>
      <c r="F43" s="53">
        <f t="shared" si="3"/>
        <v>69526</v>
      </c>
      <c r="G43" s="50">
        <f t="shared" si="3"/>
        <v>83609</v>
      </c>
      <c r="H43" s="50">
        <f t="shared" si="3"/>
        <v>74440</v>
      </c>
      <c r="I43" s="50">
        <f>MIN(I6:I36)</f>
        <v>36314</v>
      </c>
      <c r="J43" s="50">
        <f t="shared" si="3"/>
        <v>60500</v>
      </c>
      <c r="K43" s="50">
        <f>MIN(K6:K36)</f>
        <v>77868</v>
      </c>
      <c r="L43" s="50">
        <f>MIN(L6:L36)</f>
        <v>80915</v>
      </c>
      <c r="M43" s="146">
        <f t="shared" si="3"/>
        <v>122681</v>
      </c>
    </row>
    <row r="44" spans="1:21" s="60" customFormat="1" thickBot="1">
      <c r="A44" s="55" t="s">
        <v>25</v>
      </c>
      <c r="B44" s="132">
        <f t="shared" ref="B44:L44" si="4">SUM(B6:B36)</f>
        <v>4063234</v>
      </c>
      <c r="C44" s="133">
        <f t="shared" si="4"/>
        <v>4055305</v>
      </c>
      <c r="D44" s="133">
        <f>SUM(D6:D36)</f>
        <v>3925348</v>
      </c>
      <c r="E44" s="133">
        <f t="shared" si="4"/>
        <v>2206292</v>
      </c>
      <c r="F44" s="134">
        <f t="shared" si="4"/>
        <v>3461763</v>
      </c>
      <c r="G44" s="133">
        <f t="shared" si="4"/>
        <v>3696124</v>
      </c>
      <c r="H44" s="133">
        <f t="shared" si="4"/>
        <v>4237967</v>
      </c>
      <c r="I44" s="133">
        <f t="shared" si="4"/>
        <v>2906711</v>
      </c>
      <c r="J44" s="133">
        <f t="shared" si="4"/>
        <v>3289883</v>
      </c>
      <c r="K44" s="133">
        <f t="shared" si="4"/>
        <v>3922111</v>
      </c>
      <c r="L44" s="134">
        <f t="shared" si="4"/>
        <v>4418970</v>
      </c>
      <c r="M44" s="58">
        <f>SUM(M6:M36)</f>
        <v>5508206</v>
      </c>
    </row>
  </sheetData>
  <mergeCells count="2">
    <mergeCell ref="E1:I1"/>
    <mergeCell ref="E2:I3"/>
  </mergeCells>
  <conditionalFormatting sqref="B6:M36">
    <cfRule type="top10" dxfId="23" priority="1" rank="1"/>
  </conditionalFormatting>
  <printOptions horizontalCentered="1" verticalCentered="1"/>
  <pageMargins left="0.25" right="0.25" top="0.25" bottom="0.25" header="0.3" footer="0.3"/>
  <pageSetup paperSize="9" scale="87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8628-3149-4FD4-990E-126ABB47922E}">
  <sheetPr>
    <pageSetUpPr fitToPage="1"/>
  </sheetPr>
  <dimension ref="A1:U44"/>
  <sheetViews>
    <sheetView topLeftCell="A4" zoomScaleNormal="100" zoomScaleSheetLayoutView="110" zoomScalePageLayoutView="120" workbookViewId="0">
      <pane xSplit="1" topLeftCell="D1" activePane="topRight" state="frozen"/>
      <selection pane="topRight" activeCell="D21" sqref="D21"/>
      <selection activeCell="N59" sqref="N59"/>
    </sheetView>
  </sheetViews>
  <sheetFormatPr defaultColWidth="8.85546875" defaultRowHeight="12"/>
  <cols>
    <col min="1" max="1" width="20" style="4" bestFit="1" customWidth="1"/>
    <col min="2" max="4" width="12" style="4" bestFit="1" customWidth="1"/>
    <col min="5" max="5" width="11.7109375" style="4" bestFit="1" customWidth="1"/>
    <col min="6" max="7" width="10.5703125" style="4" bestFit="1" customWidth="1"/>
    <col min="8" max="9" width="10" style="4" customWidth="1"/>
    <col min="10" max="10" width="10.42578125" style="4" customWidth="1"/>
    <col min="11" max="11" width="10" style="4" customWidth="1"/>
    <col min="12" max="12" width="10.140625" style="4" bestFit="1" customWidth="1"/>
    <col min="13" max="13" width="10" style="4" customWidth="1"/>
    <col min="14" max="16384" width="8.85546875" style="4"/>
  </cols>
  <sheetData>
    <row r="1" spans="1:21" ht="12.75">
      <c r="E1" s="747" t="s">
        <v>0</v>
      </c>
      <c r="F1" s="747"/>
      <c r="G1" s="747"/>
      <c r="H1" s="747"/>
      <c r="I1" s="747"/>
    </row>
    <row r="2" spans="1:21" s="3" customFormat="1" ht="18">
      <c r="A2" s="1"/>
      <c r="B2" s="2"/>
      <c r="C2" s="2"/>
      <c r="E2" s="747" t="s">
        <v>1</v>
      </c>
      <c r="F2" s="747"/>
      <c r="G2" s="747"/>
      <c r="H2" s="747"/>
      <c r="I2" s="747"/>
    </row>
    <row r="3" spans="1:21" s="3" customFormat="1">
      <c r="A3" s="216" t="s">
        <v>59</v>
      </c>
      <c r="B3" s="217"/>
      <c r="C3" s="218"/>
      <c r="D3" s="219"/>
      <c r="E3" s="747"/>
      <c r="F3" s="747"/>
      <c r="G3" s="747"/>
      <c r="H3" s="747"/>
      <c r="I3" s="747"/>
      <c r="J3" s="219"/>
      <c r="K3" s="7" t="s">
        <v>3</v>
      </c>
      <c r="L3" s="327" t="s">
        <v>4</v>
      </c>
      <c r="M3" s="328" t="s">
        <v>5</v>
      </c>
    </row>
    <row r="4" spans="1:21" s="3" customFormat="1" ht="12.75" thickBot="1">
      <c r="A4" s="219"/>
      <c r="B4" s="217"/>
      <c r="C4" s="218"/>
      <c r="D4" s="219"/>
      <c r="E4" s="219"/>
      <c r="F4" s="216"/>
      <c r="G4" s="216"/>
      <c r="H4" s="219"/>
      <c r="I4" s="219"/>
      <c r="J4" s="219"/>
      <c r="K4" s="219"/>
      <c r="L4" s="219"/>
      <c r="M4" s="219"/>
    </row>
    <row r="5" spans="1:21" s="14" customFormat="1" ht="12.75" thickBot="1">
      <c r="A5" s="10" t="s">
        <v>6</v>
      </c>
      <c r="B5" s="11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3" t="s">
        <v>18</v>
      </c>
    </row>
    <row r="6" spans="1:21" s="3" customFormat="1" ht="15" customHeight="1">
      <c r="A6" s="15">
        <v>1</v>
      </c>
      <c r="B6" s="329">
        <v>98208</v>
      </c>
      <c r="C6" s="330">
        <v>127955</v>
      </c>
      <c r="D6" s="278">
        <v>228532</v>
      </c>
      <c r="E6" s="18">
        <v>309225</v>
      </c>
      <c r="F6" s="331">
        <v>211855</v>
      </c>
      <c r="G6" s="31">
        <v>362400</v>
      </c>
      <c r="H6" s="268">
        <v>333761</v>
      </c>
      <c r="I6" s="269">
        <v>321445</v>
      </c>
      <c r="J6" s="226">
        <v>312728</v>
      </c>
      <c r="K6" s="335">
        <v>277875</v>
      </c>
      <c r="L6" s="597">
        <v>168476</v>
      </c>
      <c r="M6" s="369">
        <v>341694</v>
      </c>
      <c r="N6" s="23"/>
      <c r="O6" s="225"/>
      <c r="Q6" s="23"/>
      <c r="R6" s="23"/>
      <c r="S6" s="23"/>
      <c r="T6" s="23"/>
      <c r="U6" s="23"/>
    </row>
    <row r="7" spans="1:21" s="3" customFormat="1" ht="15" customHeight="1">
      <c r="A7" s="24">
        <v>2</v>
      </c>
      <c r="B7" s="332">
        <v>136655</v>
      </c>
      <c r="C7" s="31">
        <v>196521</v>
      </c>
      <c r="D7" s="280">
        <v>230615</v>
      </c>
      <c r="E7" s="333">
        <v>263756</v>
      </c>
      <c r="F7" s="31">
        <v>325884</v>
      </c>
      <c r="G7" s="31">
        <v>357925</v>
      </c>
      <c r="H7" s="357">
        <v>263955</v>
      </c>
      <c r="I7" s="269">
        <v>315161</v>
      </c>
      <c r="J7" s="281">
        <v>319435</v>
      </c>
      <c r="K7" s="335">
        <v>207786</v>
      </c>
      <c r="L7" s="271">
        <v>280394</v>
      </c>
      <c r="M7" s="289">
        <v>340137</v>
      </c>
      <c r="N7" s="23"/>
      <c r="O7" s="23"/>
      <c r="P7" s="23"/>
      <c r="Q7" s="23"/>
      <c r="R7" s="23"/>
      <c r="S7" s="23"/>
      <c r="T7" s="23"/>
      <c r="U7" s="23"/>
    </row>
    <row r="8" spans="1:21" s="3" customFormat="1" ht="15" customHeight="1">
      <c r="A8" s="15">
        <v>3</v>
      </c>
      <c r="B8" s="282">
        <v>179792</v>
      </c>
      <c r="C8" s="31">
        <v>186210</v>
      </c>
      <c r="D8" s="280">
        <v>222331</v>
      </c>
      <c r="E8" s="333">
        <v>206934</v>
      </c>
      <c r="F8" s="208">
        <v>223345</v>
      </c>
      <c r="G8" s="31">
        <v>368565</v>
      </c>
      <c r="H8" s="357">
        <v>196943</v>
      </c>
      <c r="I8" s="269">
        <v>317768</v>
      </c>
      <c r="J8" s="336">
        <v>239091</v>
      </c>
      <c r="K8" s="31">
        <v>320530</v>
      </c>
      <c r="L8" s="271">
        <v>328845</v>
      </c>
      <c r="M8" s="598">
        <v>291465</v>
      </c>
      <c r="N8" s="23"/>
      <c r="O8" s="34"/>
      <c r="P8" s="23"/>
      <c r="Q8" s="23"/>
      <c r="R8" s="23"/>
      <c r="S8" s="23"/>
      <c r="T8" s="23"/>
      <c r="U8" s="23"/>
    </row>
    <row r="9" spans="1:21" s="3" customFormat="1" ht="15" customHeight="1">
      <c r="A9" s="24">
        <v>4</v>
      </c>
      <c r="B9" s="283">
        <v>160906</v>
      </c>
      <c r="C9" s="31">
        <v>196951</v>
      </c>
      <c r="D9" s="280">
        <v>236001</v>
      </c>
      <c r="E9" s="31">
        <v>315281</v>
      </c>
      <c r="F9" s="269">
        <v>345268</v>
      </c>
      <c r="G9" s="333">
        <v>310896</v>
      </c>
      <c r="H9" s="273">
        <v>321978</v>
      </c>
      <c r="I9" s="117">
        <v>307961</v>
      </c>
      <c r="J9" s="336">
        <v>185877</v>
      </c>
      <c r="K9" s="284">
        <v>302196</v>
      </c>
      <c r="L9" s="271">
        <v>328808</v>
      </c>
      <c r="M9" s="599">
        <v>220567</v>
      </c>
      <c r="N9" s="23"/>
      <c r="O9" s="23"/>
      <c r="P9" s="23"/>
      <c r="Q9" s="23"/>
      <c r="R9" s="23"/>
      <c r="S9" s="23"/>
      <c r="T9" s="23"/>
      <c r="U9" s="23"/>
    </row>
    <row r="10" spans="1:21" s="3" customFormat="1" ht="15" customHeight="1">
      <c r="A10" s="15">
        <v>5</v>
      </c>
      <c r="B10" s="283">
        <v>153183</v>
      </c>
      <c r="C10" s="333">
        <v>164360</v>
      </c>
      <c r="D10" s="334">
        <v>198203</v>
      </c>
      <c r="E10" s="31">
        <v>296500</v>
      </c>
      <c r="F10" s="269">
        <v>325910</v>
      </c>
      <c r="G10" s="333">
        <v>243117</v>
      </c>
      <c r="H10" s="271">
        <v>317351</v>
      </c>
      <c r="I10" s="117">
        <v>316420</v>
      </c>
      <c r="J10" s="281">
        <v>318368</v>
      </c>
      <c r="K10" s="269">
        <v>328443</v>
      </c>
      <c r="L10" s="367">
        <v>258971</v>
      </c>
      <c r="M10" s="272">
        <v>336754</v>
      </c>
      <c r="N10" s="23"/>
      <c r="O10" s="23"/>
      <c r="P10" s="23"/>
      <c r="Q10" s="23"/>
      <c r="R10" s="23"/>
      <c r="S10" s="23"/>
      <c r="T10" s="23"/>
      <c r="U10" s="23"/>
    </row>
    <row r="11" spans="1:21" s="3" customFormat="1" ht="15" customHeight="1">
      <c r="A11" s="24">
        <v>6</v>
      </c>
      <c r="B11" s="285">
        <v>143637</v>
      </c>
      <c r="C11" s="333">
        <v>119670</v>
      </c>
      <c r="D11" s="334">
        <v>149134</v>
      </c>
      <c r="E11" s="31">
        <v>320844</v>
      </c>
      <c r="F11" s="269">
        <v>339764</v>
      </c>
      <c r="G11" s="274">
        <v>370276</v>
      </c>
      <c r="H11" s="273">
        <v>320088</v>
      </c>
      <c r="I11" s="362">
        <v>254513</v>
      </c>
      <c r="J11" s="281">
        <v>321913</v>
      </c>
      <c r="K11" s="31">
        <v>319630</v>
      </c>
      <c r="L11" s="367">
        <v>197377</v>
      </c>
      <c r="M11" s="272">
        <v>338071</v>
      </c>
      <c r="N11" s="23"/>
      <c r="O11" s="23"/>
      <c r="P11" s="23"/>
      <c r="Q11" s="23"/>
      <c r="R11" s="23"/>
      <c r="S11" s="23"/>
      <c r="T11" s="23"/>
      <c r="U11" s="23"/>
    </row>
    <row r="12" spans="1:21" s="3" customFormat="1" ht="15" customHeight="1">
      <c r="A12" s="15">
        <v>7</v>
      </c>
      <c r="B12" s="285">
        <v>144565</v>
      </c>
      <c r="C12" s="31">
        <v>203531</v>
      </c>
      <c r="D12" s="270">
        <v>241571</v>
      </c>
      <c r="E12" s="31">
        <v>314602</v>
      </c>
      <c r="F12" s="335">
        <v>344020</v>
      </c>
      <c r="G12" s="31">
        <v>370109</v>
      </c>
      <c r="H12" s="273">
        <v>308905</v>
      </c>
      <c r="I12" s="362">
        <v>188293</v>
      </c>
      <c r="J12" s="281">
        <v>324543</v>
      </c>
      <c r="K12" s="269">
        <v>332668</v>
      </c>
      <c r="L12" s="271">
        <v>325296</v>
      </c>
      <c r="M12" s="370">
        <v>355580</v>
      </c>
      <c r="N12" s="23"/>
      <c r="O12" s="23"/>
      <c r="P12" s="23"/>
      <c r="Q12" s="23"/>
      <c r="R12" s="23"/>
      <c r="S12" s="23"/>
      <c r="T12" s="23"/>
      <c r="U12" s="23"/>
    </row>
    <row r="13" spans="1:21" s="3" customFormat="1" ht="15" customHeight="1">
      <c r="A13" s="24">
        <v>8</v>
      </c>
      <c r="B13" s="336">
        <v>114174</v>
      </c>
      <c r="C13" s="31">
        <v>195039</v>
      </c>
      <c r="D13" s="280">
        <v>234068</v>
      </c>
      <c r="E13" s="697">
        <v>335993</v>
      </c>
      <c r="F13" s="335">
        <v>201043</v>
      </c>
      <c r="G13" s="31">
        <v>371227</v>
      </c>
      <c r="H13" s="712">
        <v>336873</v>
      </c>
      <c r="I13" s="275">
        <v>315910</v>
      </c>
      <c r="J13" s="281">
        <v>318337</v>
      </c>
      <c r="K13" s="333">
        <v>266104</v>
      </c>
      <c r="L13" s="271">
        <v>328839</v>
      </c>
      <c r="M13" s="600">
        <v>237999</v>
      </c>
      <c r="N13" s="23"/>
      <c r="O13" s="23"/>
      <c r="P13" s="23"/>
      <c r="Q13" s="23"/>
      <c r="R13" s="23"/>
      <c r="S13" s="23"/>
      <c r="T13" s="23"/>
      <c r="U13" s="23"/>
    </row>
    <row r="14" spans="1:21" s="3" customFormat="1" ht="15" customHeight="1">
      <c r="A14" s="15">
        <v>9</v>
      </c>
      <c r="B14" s="337">
        <v>78471</v>
      </c>
      <c r="C14" s="31">
        <v>195637</v>
      </c>
      <c r="D14" s="280">
        <v>233845</v>
      </c>
      <c r="E14" s="208">
        <v>245083</v>
      </c>
      <c r="F14" s="208">
        <v>201182</v>
      </c>
      <c r="G14" s="269">
        <v>365170</v>
      </c>
      <c r="H14" s="360">
        <v>242609</v>
      </c>
      <c r="I14" s="269">
        <v>314354</v>
      </c>
      <c r="J14" s="281">
        <v>329855</v>
      </c>
      <c r="K14" s="333">
        <v>198983</v>
      </c>
      <c r="L14" s="271">
        <v>326410</v>
      </c>
      <c r="M14" s="289">
        <v>357294</v>
      </c>
      <c r="N14" s="23"/>
      <c r="O14" s="23"/>
      <c r="P14" s="23"/>
      <c r="Q14" s="23"/>
      <c r="R14" s="23"/>
      <c r="S14" s="23"/>
      <c r="T14" s="23"/>
      <c r="U14" s="23"/>
    </row>
    <row r="15" spans="1:21" s="3" customFormat="1" ht="15" customHeight="1">
      <c r="A15" s="24">
        <v>10</v>
      </c>
      <c r="B15" s="282">
        <v>146248</v>
      </c>
      <c r="C15" s="31">
        <v>193406</v>
      </c>
      <c r="D15" s="280">
        <v>233131</v>
      </c>
      <c r="E15" s="333">
        <v>207736</v>
      </c>
      <c r="F15" s="31">
        <v>325146</v>
      </c>
      <c r="G15" s="269">
        <v>381814</v>
      </c>
      <c r="H15" s="358">
        <v>195205</v>
      </c>
      <c r="I15" s="269">
        <v>321534</v>
      </c>
      <c r="J15" s="336">
        <v>251130</v>
      </c>
      <c r="K15" s="269">
        <v>326245</v>
      </c>
      <c r="L15" s="271">
        <v>327652</v>
      </c>
      <c r="M15" s="598">
        <v>292633</v>
      </c>
      <c r="N15" s="23"/>
      <c r="O15" s="23"/>
      <c r="P15" s="23"/>
      <c r="Q15" s="23"/>
      <c r="R15" s="23"/>
      <c r="S15" s="23"/>
      <c r="T15" s="23"/>
      <c r="U15" s="23"/>
    </row>
    <row r="16" spans="1:21" s="3" customFormat="1" ht="15" customHeight="1">
      <c r="A16" s="15">
        <v>11</v>
      </c>
      <c r="B16" s="283">
        <v>137843</v>
      </c>
      <c r="C16" s="31">
        <v>207486</v>
      </c>
      <c r="D16" s="280">
        <v>245219</v>
      </c>
      <c r="E16" s="31">
        <v>319120</v>
      </c>
      <c r="F16" s="269">
        <v>333679</v>
      </c>
      <c r="G16" s="333">
        <v>317671</v>
      </c>
      <c r="H16" s="273">
        <v>325717</v>
      </c>
      <c r="I16" s="31">
        <v>315860</v>
      </c>
      <c r="J16" s="336">
        <v>193388</v>
      </c>
      <c r="K16" s="269">
        <v>327553</v>
      </c>
      <c r="L16" s="271">
        <v>333973</v>
      </c>
      <c r="M16" s="598">
        <v>231032</v>
      </c>
      <c r="N16" s="23"/>
      <c r="O16" s="23"/>
      <c r="P16" s="23"/>
      <c r="Q16" s="23"/>
      <c r="R16" s="23"/>
      <c r="S16" s="23"/>
      <c r="T16" s="23"/>
      <c r="U16" s="23"/>
    </row>
    <row r="17" spans="1:21" s="3" customFormat="1" ht="15" customHeight="1">
      <c r="A17" s="24">
        <v>12</v>
      </c>
      <c r="B17" s="287">
        <v>136708</v>
      </c>
      <c r="C17" s="333">
        <v>176934</v>
      </c>
      <c r="D17" s="338">
        <v>203289</v>
      </c>
      <c r="E17" s="31">
        <v>310871</v>
      </c>
      <c r="F17" s="269">
        <v>326621</v>
      </c>
      <c r="G17" s="339">
        <v>242248</v>
      </c>
      <c r="H17" s="273">
        <v>315780</v>
      </c>
      <c r="I17" s="31">
        <v>326555</v>
      </c>
      <c r="J17" s="282">
        <v>327111</v>
      </c>
      <c r="K17" s="269">
        <v>328504</v>
      </c>
      <c r="L17" s="367">
        <v>272839</v>
      </c>
      <c r="M17" s="289">
        <v>343551</v>
      </c>
      <c r="N17" s="23"/>
      <c r="O17" s="23"/>
      <c r="P17" s="23"/>
      <c r="Q17" s="23"/>
      <c r="R17" s="23"/>
      <c r="S17" s="23"/>
      <c r="T17" s="23"/>
      <c r="U17" s="23"/>
    </row>
    <row r="18" spans="1:21" s="3" customFormat="1" ht="15" customHeight="1">
      <c r="A18" s="15">
        <v>13</v>
      </c>
      <c r="B18" s="283">
        <v>133451</v>
      </c>
      <c r="C18" s="333">
        <v>135754</v>
      </c>
      <c r="D18" s="338">
        <v>149823</v>
      </c>
      <c r="E18" s="35"/>
      <c r="F18" s="269">
        <v>345411</v>
      </c>
      <c r="G18" s="31">
        <v>374412</v>
      </c>
      <c r="H18" s="273">
        <v>313506</v>
      </c>
      <c r="I18" s="363">
        <v>261723</v>
      </c>
      <c r="J18" s="281">
        <v>322103</v>
      </c>
      <c r="K18" s="31">
        <v>319628</v>
      </c>
      <c r="L18" s="367">
        <v>203967</v>
      </c>
      <c r="M18" s="289">
        <v>343013</v>
      </c>
      <c r="N18" s="23"/>
      <c r="O18" s="23"/>
      <c r="P18" s="23"/>
      <c r="Q18" s="23"/>
      <c r="R18" s="23"/>
      <c r="S18" s="23"/>
      <c r="T18" s="23"/>
      <c r="U18" s="23"/>
    </row>
    <row r="19" spans="1:21" s="3" customFormat="1" ht="15" customHeight="1">
      <c r="A19" s="24">
        <v>14</v>
      </c>
      <c r="B19" s="283">
        <v>143592</v>
      </c>
      <c r="C19" s="31">
        <v>221767</v>
      </c>
      <c r="D19" s="270">
        <v>247745</v>
      </c>
      <c r="E19" s="35"/>
      <c r="F19" s="335">
        <v>278703</v>
      </c>
      <c r="G19" s="31">
        <v>374264</v>
      </c>
      <c r="H19" s="273">
        <v>310253</v>
      </c>
      <c r="I19" s="363">
        <v>196314</v>
      </c>
      <c r="J19" s="281">
        <v>322552</v>
      </c>
      <c r="K19" s="269">
        <v>338764</v>
      </c>
      <c r="L19" s="271">
        <v>325292</v>
      </c>
      <c r="M19" s="289">
        <v>353426</v>
      </c>
      <c r="N19" s="23"/>
      <c r="O19" s="23"/>
      <c r="P19" s="23"/>
      <c r="Q19" s="23"/>
      <c r="R19" s="23"/>
      <c r="S19" s="23"/>
      <c r="T19" s="23"/>
      <c r="U19" s="23"/>
    </row>
    <row r="20" spans="1:21" s="3" customFormat="1" ht="15" customHeight="1">
      <c r="A20" s="15">
        <v>15</v>
      </c>
      <c r="B20" s="337">
        <v>124752</v>
      </c>
      <c r="C20" s="31">
        <v>212849</v>
      </c>
      <c r="D20" s="280">
        <v>243845</v>
      </c>
      <c r="E20" s="35"/>
      <c r="F20" s="335">
        <v>210297</v>
      </c>
      <c r="G20" s="31">
        <v>381632</v>
      </c>
      <c r="H20" s="273">
        <v>325689</v>
      </c>
      <c r="I20" s="31">
        <v>327014</v>
      </c>
      <c r="J20" s="281">
        <v>324494</v>
      </c>
      <c r="K20" s="333">
        <v>277914</v>
      </c>
      <c r="L20" s="271">
        <v>333363</v>
      </c>
      <c r="M20" s="289">
        <v>357026</v>
      </c>
      <c r="N20" s="2"/>
      <c r="O20" s="23"/>
      <c r="P20" s="23"/>
      <c r="Q20" s="23"/>
      <c r="R20" s="23"/>
      <c r="S20" s="23"/>
      <c r="T20" s="23"/>
      <c r="U20" s="23"/>
    </row>
    <row r="21" spans="1:21" s="3" customFormat="1" ht="15" customHeight="1">
      <c r="A21" s="24">
        <v>16</v>
      </c>
      <c r="B21" s="337">
        <v>88699</v>
      </c>
      <c r="C21" s="31">
        <v>213245</v>
      </c>
      <c r="D21" s="270">
        <v>249222</v>
      </c>
      <c r="E21" s="35"/>
      <c r="F21" s="31">
        <v>340529</v>
      </c>
      <c r="G21" s="31">
        <v>379814</v>
      </c>
      <c r="H21" s="358">
        <v>269640</v>
      </c>
      <c r="I21" s="31">
        <v>330135</v>
      </c>
      <c r="J21" s="281">
        <v>336902</v>
      </c>
      <c r="K21" s="333">
        <v>205722</v>
      </c>
      <c r="L21" s="271">
        <v>340695</v>
      </c>
      <c r="M21" s="716">
        <v>371388</v>
      </c>
      <c r="N21" s="23"/>
      <c r="O21" s="23"/>
      <c r="P21" s="23"/>
      <c r="Q21" s="23"/>
      <c r="R21" s="23"/>
      <c r="S21" s="23"/>
      <c r="T21" s="23"/>
      <c r="U21" s="23"/>
    </row>
    <row r="22" spans="1:21" s="3" customFormat="1" ht="15" customHeight="1">
      <c r="A22" s="15">
        <v>17</v>
      </c>
      <c r="B22" s="282">
        <v>152646</v>
      </c>
      <c r="C22" s="31">
        <v>206816</v>
      </c>
      <c r="D22" s="31">
        <v>243007</v>
      </c>
      <c r="E22" s="35"/>
      <c r="F22" s="269">
        <v>338008</v>
      </c>
      <c r="G22" s="696">
        <v>389036</v>
      </c>
      <c r="H22" s="358">
        <v>198029</v>
      </c>
      <c r="I22" s="31">
        <v>325555</v>
      </c>
      <c r="J22" s="675">
        <v>276400</v>
      </c>
      <c r="K22" s="269">
        <v>328242</v>
      </c>
      <c r="L22" s="271">
        <v>333486</v>
      </c>
      <c r="M22" s="598">
        <v>310237</v>
      </c>
      <c r="N22" s="23"/>
      <c r="O22" s="340"/>
      <c r="P22" s="23"/>
      <c r="Q22" s="23"/>
      <c r="R22" s="23"/>
      <c r="S22" s="23"/>
      <c r="T22" s="23"/>
      <c r="U22" s="23"/>
    </row>
    <row r="23" spans="1:21" s="3" customFormat="1" ht="15" customHeight="1">
      <c r="A23" s="24">
        <v>18</v>
      </c>
      <c r="B23" s="283">
        <v>147011</v>
      </c>
      <c r="C23" s="31">
        <v>219837</v>
      </c>
      <c r="D23" s="31">
        <v>255425</v>
      </c>
      <c r="E23" s="31">
        <v>295392</v>
      </c>
      <c r="F23" s="269">
        <v>343664</v>
      </c>
      <c r="G23" s="333">
        <v>326076</v>
      </c>
      <c r="H23" s="273">
        <v>322784</v>
      </c>
      <c r="I23" s="31">
        <v>322317</v>
      </c>
      <c r="J23" s="336">
        <v>200031</v>
      </c>
      <c r="K23" s="269">
        <v>327472</v>
      </c>
      <c r="L23" s="715">
        <v>348908</v>
      </c>
      <c r="M23" s="598">
        <v>258309</v>
      </c>
      <c r="N23" s="23"/>
      <c r="O23" s="23"/>
      <c r="P23" s="23"/>
      <c r="Q23" s="23"/>
      <c r="R23" s="23"/>
      <c r="S23" s="23"/>
      <c r="T23" s="23"/>
      <c r="U23" s="23"/>
    </row>
    <row r="24" spans="1:21" s="3" customFormat="1" ht="15" customHeight="1">
      <c r="A24" s="15">
        <v>19</v>
      </c>
      <c r="B24" s="283">
        <v>149600</v>
      </c>
      <c r="C24" s="333">
        <v>184887</v>
      </c>
      <c r="D24" s="333">
        <v>214363</v>
      </c>
      <c r="E24" s="31">
        <v>304277</v>
      </c>
      <c r="F24" s="31">
        <v>338575</v>
      </c>
      <c r="G24" s="333">
        <v>250990</v>
      </c>
      <c r="H24" s="273">
        <v>316102</v>
      </c>
      <c r="I24" s="31">
        <v>314703</v>
      </c>
      <c r="J24" s="281">
        <v>317754</v>
      </c>
      <c r="K24" s="269">
        <v>329372</v>
      </c>
      <c r="L24" s="367">
        <v>278741</v>
      </c>
      <c r="M24" s="289">
        <v>355690</v>
      </c>
      <c r="N24" s="23"/>
      <c r="O24" s="23"/>
      <c r="P24" s="23"/>
      <c r="Q24" s="23"/>
      <c r="R24" s="23"/>
      <c r="S24" s="23"/>
      <c r="T24" s="23"/>
      <c r="U24" s="23"/>
    </row>
    <row r="25" spans="1:21" s="3" customFormat="1" ht="15" customHeight="1">
      <c r="A25" s="24">
        <v>20</v>
      </c>
      <c r="B25" s="283">
        <v>149937</v>
      </c>
      <c r="C25" s="333">
        <v>138110</v>
      </c>
      <c r="D25" s="333">
        <v>187674</v>
      </c>
      <c r="E25" s="31">
        <v>312493</v>
      </c>
      <c r="F25" s="269">
        <v>351592</v>
      </c>
      <c r="G25" s="31">
        <v>383237</v>
      </c>
      <c r="H25" s="273">
        <v>319509</v>
      </c>
      <c r="I25" s="362">
        <v>267052</v>
      </c>
      <c r="J25" s="281">
        <v>317357</v>
      </c>
      <c r="K25" s="31">
        <v>323754</v>
      </c>
      <c r="L25" s="368">
        <v>214652</v>
      </c>
      <c r="M25" s="289">
        <v>353772</v>
      </c>
      <c r="N25" s="23"/>
      <c r="O25" s="34"/>
      <c r="P25" s="23"/>
      <c r="Q25" s="23"/>
      <c r="R25" s="23"/>
      <c r="S25" s="23"/>
      <c r="T25" s="23"/>
      <c r="U25" s="23"/>
    </row>
    <row r="26" spans="1:21" s="3" customFormat="1" ht="15" customHeight="1">
      <c r="A26" s="15">
        <v>21</v>
      </c>
      <c r="B26" s="283">
        <v>162824</v>
      </c>
      <c r="C26" s="31">
        <v>223975</v>
      </c>
      <c r="D26" s="31">
        <v>254322</v>
      </c>
      <c r="E26" s="269">
        <v>305708</v>
      </c>
      <c r="F26" s="335">
        <v>288768</v>
      </c>
      <c r="G26" s="31">
        <v>385157</v>
      </c>
      <c r="H26" s="273">
        <v>304774</v>
      </c>
      <c r="I26" s="361">
        <v>199189</v>
      </c>
      <c r="J26" s="281">
        <v>329363</v>
      </c>
      <c r="K26" s="709">
        <v>340395</v>
      </c>
      <c r="L26" s="271">
        <v>328223</v>
      </c>
      <c r="M26" s="289">
        <v>348934</v>
      </c>
      <c r="N26" s="23"/>
      <c r="O26" s="23"/>
      <c r="P26" s="23"/>
      <c r="Q26" s="23"/>
      <c r="R26" s="23"/>
      <c r="S26" s="23"/>
      <c r="T26" s="23"/>
      <c r="U26" s="23"/>
    </row>
    <row r="27" spans="1:21" s="3" customFormat="1" ht="15" customHeight="1">
      <c r="A27" s="24">
        <v>22</v>
      </c>
      <c r="B27" s="337">
        <v>136673</v>
      </c>
      <c r="C27" s="31">
        <v>210652</v>
      </c>
      <c r="D27" s="31">
        <v>245244</v>
      </c>
      <c r="E27" s="269">
        <v>313952</v>
      </c>
      <c r="F27" s="335">
        <v>223819</v>
      </c>
      <c r="G27" s="31">
        <v>381863</v>
      </c>
      <c r="H27" s="273">
        <v>321291</v>
      </c>
      <c r="I27" s="31">
        <v>313785</v>
      </c>
      <c r="J27" s="282">
        <v>317601</v>
      </c>
      <c r="K27" s="335">
        <v>267856</v>
      </c>
      <c r="L27" s="271">
        <v>334313</v>
      </c>
      <c r="M27" s="289">
        <v>339701</v>
      </c>
      <c r="N27" s="23"/>
      <c r="O27" s="23"/>
      <c r="P27" s="23"/>
      <c r="Q27" s="23"/>
      <c r="R27" s="23"/>
      <c r="S27" s="23"/>
      <c r="T27" s="23"/>
      <c r="U27" s="23"/>
    </row>
    <row r="28" spans="1:21" s="3" customFormat="1" ht="15" customHeight="1">
      <c r="A28" s="15">
        <v>23</v>
      </c>
      <c r="B28" s="337">
        <v>95434</v>
      </c>
      <c r="C28" s="31">
        <v>214949</v>
      </c>
      <c r="D28" s="31">
        <v>247656</v>
      </c>
      <c r="E28" s="335">
        <v>273619</v>
      </c>
      <c r="F28" s="31">
        <v>347133</v>
      </c>
      <c r="G28" s="31">
        <v>373042</v>
      </c>
      <c r="H28" s="358">
        <v>259565</v>
      </c>
      <c r="I28" s="269">
        <v>296550</v>
      </c>
      <c r="J28" s="269">
        <v>334243</v>
      </c>
      <c r="K28" s="335">
        <v>198540</v>
      </c>
      <c r="L28" s="273">
        <v>336102</v>
      </c>
      <c r="M28" s="289">
        <v>339241</v>
      </c>
      <c r="N28" s="23"/>
      <c r="O28" s="23"/>
      <c r="P28" s="23"/>
      <c r="Q28" s="23"/>
      <c r="R28" s="23"/>
      <c r="S28" s="23"/>
      <c r="T28" s="23"/>
      <c r="U28" s="23"/>
    </row>
    <row r="29" spans="1:21" s="3" customFormat="1" ht="15" customHeight="1">
      <c r="A29" s="24">
        <v>24</v>
      </c>
      <c r="B29" s="282">
        <v>172581</v>
      </c>
      <c r="C29" s="269">
        <v>228203</v>
      </c>
      <c r="D29" s="31">
        <v>243436</v>
      </c>
      <c r="E29" s="335">
        <v>197563</v>
      </c>
      <c r="F29" s="31">
        <v>348927</v>
      </c>
      <c r="G29" s="31">
        <v>385439</v>
      </c>
      <c r="H29" s="358">
        <v>190802</v>
      </c>
      <c r="I29" s="269">
        <v>266805</v>
      </c>
      <c r="J29" s="337">
        <v>266337</v>
      </c>
      <c r="K29" s="69">
        <v>322028</v>
      </c>
      <c r="L29" s="273">
        <v>328710</v>
      </c>
      <c r="M29" s="598">
        <v>204997</v>
      </c>
      <c r="N29" s="23"/>
      <c r="O29" s="23"/>
      <c r="P29" s="23"/>
      <c r="Q29" s="23"/>
      <c r="R29" s="23"/>
      <c r="S29" s="23"/>
      <c r="T29" s="23"/>
      <c r="U29" s="23"/>
    </row>
    <row r="30" spans="1:21" s="3" customFormat="1" ht="15" customHeight="1">
      <c r="A30" s="15">
        <v>25</v>
      </c>
      <c r="B30" s="283">
        <v>168602</v>
      </c>
      <c r="C30" s="339">
        <v>166157</v>
      </c>
      <c r="D30" s="31">
        <v>258989</v>
      </c>
      <c r="E30" s="269">
        <v>310464</v>
      </c>
      <c r="F30" s="31">
        <v>353147</v>
      </c>
      <c r="G30" s="333">
        <v>339165</v>
      </c>
      <c r="H30" s="273">
        <v>300557</v>
      </c>
      <c r="I30" s="269">
        <v>319019</v>
      </c>
      <c r="J30" s="674">
        <v>144285</v>
      </c>
      <c r="K30" s="69">
        <v>325060</v>
      </c>
      <c r="L30" s="273">
        <v>340676</v>
      </c>
      <c r="M30" s="598">
        <v>204051</v>
      </c>
      <c r="N30" s="23"/>
      <c r="O30" s="23"/>
      <c r="P30" s="23"/>
      <c r="Q30" s="23"/>
      <c r="R30" s="23"/>
      <c r="S30" s="23"/>
      <c r="T30" s="23"/>
      <c r="U30" s="23"/>
    </row>
    <row r="31" spans="1:21" s="3" customFormat="1" ht="15" customHeight="1">
      <c r="A31" s="24">
        <v>26</v>
      </c>
      <c r="B31" s="285">
        <v>169531</v>
      </c>
      <c r="C31" s="335">
        <v>180096</v>
      </c>
      <c r="D31" s="333">
        <v>216584</v>
      </c>
      <c r="E31" s="269">
        <v>313512</v>
      </c>
      <c r="F31" s="31">
        <v>353553</v>
      </c>
      <c r="G31" s="333">
        <v>258957</v>
      </c>
      <c r="H31" s="273">
        <v>317348</v>
      </c>
      <c r="I31" s="269">
        <v>327864</v>
      </c>
      <c r="J31" s="365">
        <v>203006</v>
      </c>
      <c r="K31" s="269">
        <v>328248</v>
      </c>
      <c r="L31" s="368">
        <v>282935</v>
      </c>
      <c r="M31" s="289">
        <v>233916</v>
      </c>
      <c r="N31" s="23"/>
      <c r="O31" s="23"/>
      <c r="P31" s="23"/>
      <c r="Q31" s="23"/>
      <c r="R31" s="23"/>
      <c r="S31" s="23"/>
      <c r="T31" s="23"/>
      <c r="U31" s="23"/>
    </row>
    <row r="32" spans="1:21" s="3" customFormat="1" ht="15" customHeight="1">
      <c r="A32" s="15">
        <v>27</v>
      </c>
      <c r="B32" s="283">
        <v>167232</v>
      </c>
      <c r="C32" s="335">
        <v>140210</v>
      </c>
      <c r="D32" s="333">
        <v>163537</v>
      </c>
      <c r="E32" s="269">
        <v>315997</v>
      </c>
      <c r="F32" s="697">
        <v>366994</v>
      </c>
      <c r="G32" s="31">
        <v>383680</v>
      </c>
      <c r="H32" s="273">
        <v>284143</v>
      </c>
      <c r="I32" s="362">
        <v>261684</v>
      </c>
      <c r="J32" s="282">
        <v>337442</v>
      </c>
      <c r="K32" s="269">
        <v>328820</v>
      </c>
      <c r="L32" s="367">
        <v>211388</v>
      </c>
      <c r="M32" s="289">
        <v>316974</v>
      </c>
      <c r="N32" s="23"/>
      <c r="O32" s="23"/>
      <c r="P32" s="23"/>
      <c r="Q32" s="23"/>
      <c r="R32" s="23"/>
      <c r="S32" s="23"/>
      <c r="T32" s="23"/>
      <c r="U32" s="23"/>
    </row>
    <row r="33" spans="1:21" s="3" customFormat="1" ht="15" customHeight="1">
      <c r="A33" s="24">
        <v>28</v>
      </c>
      <c r="B33" s="283">
        <v>179399</v>
      </c>
      <c r="C33" s="709">
        <v>237594</v>
      </c>
      <c r="D33" s="31">
        <v>281507</v>
      </c>
      <c r="E33" s="269">
        <v>318132</v>
      </c>
      <c r="F33" s="333">
        <v>295682</v>
      </c>
      <c r="G33" s="31">
        <v>380094</v>
      </c>
      <c r="H33" s="273">
        <v>308378</v>
      </c>
      <c r="I33" s="364">
        <v>184227</v>
      </c>
      <c r="J33" s="282">
        <v>327863</v>
      </c>
      <c r="K33" s="269">
        <v>350435</v>
      </c>
      <c r="L33" s="271">
        <v>332772</v>
      </c>
      <c r="M33" s="289">
        <v>304761</v>
      </c>
      <c r="N33" s="23"/>
      <c r="O33" s="23"/>
      <c r="P33" s="23"/>
      <c r="Q33" s="23"/>
      <c r="R33" s="23"/>
      <c r="S33" s="23"/>
      <c r="T33" s="23"/>
      <c r="U33" s="23"/>
    </row>
    <row r="34" spans="1:21" s="3" customFormat="1" ht="15" customHeight="1">
      <c r="A34" s="15">
        <v>29</v>
      </c>
      <c r="B34" s="336">
        <v>151637</v>
      </c>
      <c r="C34" s="291"/>
      <c r="D34" s="284">
        <v>285091</v>
      </c>
      <c r="E34" s="269">
        <v>331419</v>
      </c>
      <c r="F34" s="333">
        <v>246568</v>
      </c>
      <c r="G34" s="31">
        <v>383179</v>
      </c>
      <c r="H34" s="273">
        <v>320984</v>
      </c>
      <c r="I34" s="361">
        <v>197315</v>
      </c>
      <c r="J34" s="282">
        <v>317385</v>
      </c>
      <c r="K34" s="335">
        <v>197992</v>
      </c>
      <c r="L34" s="273">
        <v>347478</v>
      </c>
      <c r="M34" s="289">
        <v>299824</v>
      </c>
      <c r="N34" s="23"/>
      <c r="O34" s="23"/>
      <c r="P34" s="23"/>
      <c r="Q34" s="23"/>
      <c r="R34" s="23"/>
      <c r="S34" s="23"/>
      <c r="T34" s="23"/>
      <c r="U34" s="23"/>
    </row>
    <row r="35" spans="1:21" s="3" customFormat="1" ht="15" customHeight="1">
      <c r="A35" s="24">
        <v>30</v>
      </c>
      <c r="B35" s="337">
        <v>107248</v>
      </c>
      <c r="C35" s="292"/>
      <c r="D35" s="31">
        <v>293290</v>
      </c>
      <c r="E35" s="335">
        <v>279655</v>
      </c>
      <c r="F35" s="31">
        <v>363571</v>
      </c>
      <c r="G35" s="31">
        <v>363729</v>
      </c>
      <c r="H35" s="358">
        <v>252297</v>
      </c>
      <c r="I35" s="713">
        <v>334295</v>
      </c>
      <c r="J35" s="714">
        <v>339546</v>
      </c>
      <c r="K35" s="335">
        <v>168929</v>
      </c>
      <c r="L35" s="366">
        <v>240162</v>
      </c>
      <c r="M35" s="600">
        <v>166597</v>
      </c>
      <c r="N35" s="23"/>
      <c r="O35" s="23"/>
      <c r="P35" s="23"/>
      <c r="Q35" s="23"/>
      <c r="R35" s="23"/>
      <c r="S35" s="23"/>
      <c r="T35" s="23"/>
      <c r="U35" s="23"/>
    </row>
    <row r="36" spans="1:21" s="3" customFormat="1" ht="15" customHeight="1">
      <c r="A36" s="15">
        <v>31</v>
      </c>
      <c r="B36" s="708">
        <v>192078</v>
      </c>
      <c r="C36" s="293"/>
      <c r="D36" s="711">
        <v>294621</v>
      </c>
      <c r="E36" s="293"/>
      <c r="F36" s="276">
        <v>359136</v>
      </c>
      <c r="G36" s="341"/>
      <c r="H36" s="359">
        <v>195554</v>
      </c>
      <c r="I36" s="277">
        <v>318670</v>
      </c>
      <c r="J36" s="342"/>
      <c r="K36" s="366">
        <v>181263</v>
      </c>
      <c r="L36" s="342"/>
      <c r="M36" s="598">
        <v>154011</v>
      </c>
      <c r="N36" s="23"/>
      <c r="O36" s="34"/>
      <c r="P36" s="233"/>
      <c r="Q36" s="233"/>
      <c r="R36" s="233"/>
      <c r="S36" s="233"/>
      <c r="T36" s="233"/>
      <c r="U36" s="23"/>
    </row>
    <row r="37" spans="1:21">
      <c r="A37" s="45" t="s">
        <v>19</v>
      </c>
      <c r="B37" s="371">
        <f t="shared" ref="B37:L37" si="0">IFERROR(AVERAGE(B6:B36),0)</f>
        <v>142687.64516129033</v>
      </c>
      <c r="C37" s="372">
        <f t="shared" si="0"/>
        <v>189242.89285714287</v>
      </c>
      <c r="D37" s="372">
        <f t="shared" si="0"/>
        <v>233268.38709677418</v>
      </c>
      <c r="E37" s="372">
        <f t="shared" si="0"/>
        <v>292725.12</v>
      </c>
      <c r="F37" s="372">
        <f t="shared" si="0"/>
        <v>309606.25806451612</v>
      </c>
      <c r="G37" s="372">
        <f t="shared" si="0"/>
        <v>351839.46666666667</v>
      </c>
      <c r="H37" s="372">
        <f t="shared" si="0"/>
        <v>287431.29032258067</v>
      </c>
      <c r="I37" s="372">
        <f t="shared" si="0"/>
        <v>289677.09677419357</v>
      </c>
      <c r="J37" s="372">
        <f t="shared" si="0"/>
        <v>292548</v>
      </c>
      <c r="K37" s="372">
        <f t="shared" si="0"/>
        <v>290224.22580645164</v>
      </c>
      <c r="L37" s="372">
        <f t="shared" si="0"/>
        <v>297991.43333333335</v>
      </c>
      <c r="M37" s="373">
        <v>300085</v>
      </c>
    </row>
    <row r="38" spans="1:21">
      <c r="A38" s="48" t="s">
        <v>20</v>
      </c>
      <c r="B38" s="374">
        <f>IFERROR(AVERAGE(B8:B12,B15:B19,B22:B26,B29:B33,B36),0)</f>
        <v>156731.71428571429</v>
      </c>
      <c r="C38" s="50">
        <f>IFERROR(AVERAGE(C7:C9,C12:C16,C19:C23,C26:C29,C33),0)</f>
        <v>209148.22222222222</v>
      </c>
      <c r="D38" s="50">
        <f>IFERROR(AVERAGE(D6:D9,D12:D16,D19:D23,D26:D30,D33:D36),0)</f>
        <v>249944.04347826086</v>
      </c>
      <c r="E38" s="130">
        <f>IFERROR(AVERAGE(E6,E9:E13,E16:E20,E23:E27,E30:E34),0)</f>
        <v>313543.44444444444</v>
      </c>
      <c r="F38" s="130">
        <f>IFERROR(AVERAGE(F7,F9:F11,F15:F18,F21:F25,F28:F32,F35:F36),0)</f>
        <v>343625.6</v>
      </c>
      <c r="G38" s="130">
        <f>AVERAGE(G6:G8,G11:G15,G18:G22,G25:G29,G32:G35)</f>
        <v>375730.18181818182</v>
      </c>
      <c r="H38" s="130">
        <f>AVERAGE(H6,H9:H13,H16:H20,H23:H27,H30:H34)</f>
        <v>316465.28571428574</v>
      </c>
      <c r="I38" s="130">
        <f>AVERAGE(I6:I10,I13:I17,I20:I24,I27:I31,I35:I36)</f>
        <v>316803.63636363635</v>
      </c>
      <c r="J38" s="130">
        <f>AVERAGE(J6:J7,J10:J14,J17:J21,J24:J28,J31:J35)</f>
        <v>319086.40909090912</v>
      </c>
      <c r="K38" s="50">
        <f>IFERROR(AVERAGE(K8:K12,K15:K19,K22:K26,K29:K33),0)</f>
        <v>327399.34999999998</v>
      </c>
      <c r="L38" s="130">
        <f>IFERROR(AVERAGE(L7:L9,L12:L16,L19:L23,L26:L30,L33:L34),0)</f>
        <v>330511.75</v>
      </c>
      <c r="M38" s="375">
        <f>AVERAGE(M6:M7,M10:M12,M14,M17:M21,M24:M28,M31:M34)</f>
        <v>336537.35</v>
      </c>
    </row>
    <row r="39" spans="1:21">
      <c r="A39" s="52" t="s">
        <v>21</v>
      </c>
      <c r="B39" s="374">
        <f>IFERROR(AVERAGE(B13,B20,B27,B34),0)</f>
        <v>131809</v>
      </c>
      <c r="C39" s="53">
        <f>IFERROR(AVERAGE(C10,C17,C24,C31),0)</f>
        <v>176569.25</v>
      </c>
      <c r="D39" s="53">
        <f>IFERROR(AVERAGE(D10,D17,D24,D31),0)</f>
        <v>208109.75</v>
      </c>
      <c r="E39" s="50">
        <f>IFERROR(AVERAGE(E7,E21,E28,E35),0)</f>
        <v>272343.33333333331</v>
      </c>
      <c r="F39" s="50">
        <f>IFERROR(AVERAGE(F12,F19,F26,F33),0)</f>
        <v>301793.25</v>
      </c>
      <c r="G39" s="50">
        <f>AVERAGE(G9,G16,G23,G30)</f>
        <v>323452</v>
      </c>
      <c r="H39" s="50">
        <f>AVERAGE(H7,H21,H28,H35)</f>
        <v>261364.25</v>
      </c>
      <c r="I39" s="50">
        <f>AVERAGE(I11,I18,I25,I32)</f>
        <v>261243</v>
      </c>
      <c r="J39" s="50">
        <f>AVERAGE(J8,J15,J22,J29)</f>
        <v>258239.5</v>
      </c>
      <c r="K39" s="53">
        <f>AVERAGE(K6,K13,K20,K27,K34)</f>
        <v>257548.2</v>
      </c>
      <c r="L39" s="50">
        <f>IFERROR(AVERAGE(L10,L17,L24,L31),0)</f>
        <v>273371.5</v>
      </c>
      <c r="M39" s="376">
        <f>AVERAGE(M8,M15,M22,M29,M36)</f>
        <v>250668.6</v>
      </c>
    </row>
    <row r="40" spans="1:21">
      <c r="A40" s="52" t="s">
        <v>22</v>
      </c>
      <c r="B40" s="374">
        <f>IFERROR(AVERAGE(B6:B7,B14,B21,B28,B35),0)</f>
        <v>100785.83333333333</v>
      </c>
      <c r="C40" s="53">
        <f>IFERROR(AVERAGE(C6,C11,C18,C25,C32,C30),0)</f>
        <v>137976</v>
      </c>
      <c r="D40" s="53">
        <f>IFERROR(AVERAGE(D11,D18,D25,D32),0)</f>
        <v>162542</v>
      </c>
      <c r="E40" s="53">
        <f>IFERROR(AVERAGE(E8,E14:E15,E22,E29),0)</f>
        <v>214329</v>
      </c>
      <c r="F40" s="50">
        <f>IFERROR(AVERAGE(F13:F14,F20,F27,F34,F8,F6),0)</f>
        <v>216872.71428571429</v>
      </c>
      <c r="G40" s="50">
        <f>AVERAGE(G10,G17,G24,G31)</f>
        <v>248828</v>
      </c>
      <c r="H40" s="50">
        <f>AVERAGE(H8,H14:H15,H22,H29,H36)</f>
        <v>203190.33333333334</v>
      </c>
      <c r="I40" s="50">
        <f>AVERAGE(I12,I19,I26,I33:I34)</f>
        <v>193067.6</v>
      </c>
      <c r="J40" s="50">
        <f>AVERAGE(J9,J16,J23,J31)</f>
        <v>195575.5</v>
      </c>
      <c r="K40" s="53">
        <f>AVERAGE(K7,K14,K21,K28,K35:K36)</f>
        <v>193537.16666666666</v>
      </c>
      <c r="L40" s="53">
        <f>IFERROR(AVERAGE(L11,L18,L25,L32,L6,L35),0)</f>
        <v>206003.66666666666</v>
      </c>
      <c r="M40" s="377">
        <f>AVERAGE(M9,M16,M23,M30,M37,M13)</f>
        <v>242007.16666666666</v>
      </c>
    </row>
    <row r="41" spans="1:21">
      <c r="A41" s="52" t="s">
        <v>23</v>
      </c>
      <c r="B41" s="374">
        <f>IFERROR(AVERAGE(B6:B7,B13:B14,B20:B21,B27:B28,B34:B35),0)</f>
        <v>113195.1</v>
      </c>
      <c r="C41" s="53">
        <f>IFERROR(AVERAGE(C6,C10:C11,C17:C18,C24:C25,C30:C32),0)</f>
        <v>153413.29999999999</v>
      </c>
      <c r="D41" s="53">
        <f>IFERROR(AVERAGE(D10:D11,D17:D18,D24:D25,D31:D32),0)</f>
        <v>185325.875</v>
      </c>
      <c r="E41" s="53">
        <f>IFERROR(AVERAGE(E7:E8,E14:E15,E21:E22,E28:E29,E35),0)</f>
        <v>239192.28571428571</v>
      </c>
      <c r="F41" s="53">
        <f>IFERROR(AVERAGE(F6,F8,F12:F14,F19:F20,F26:F27,F33:F34),0)</f>
        <v>247752.90909090909</v>
      </c>
      <c r="G41" s="53">
        <f>AVERAGE(G9:G10,G16:G17,G23:G24,G30:G31)</f>
        <v>286140</v>
      </c>
      <c r="H41" s="53">
        <f>AVERAGE(H7:H8,H14:H15,H21:H22,H28:H29,H35:H36)</f>
        <v>226459.9</v>
      </c>
      <c r="I41" s="53">
        <f>AVERAGE(I11:I12,I18:I19,I25:I26,I32:I34)</f>
        <v>223367.77777777778</v>
      </c>
      <c r="J41" s="53">
        <f>AVERAGE(J8:J9,J15:J16,J22:J23,J29:J31)</f>
        <v>217727.22222222222</v>
      </c>
      <c r="K41" s="53">
        <f>AVERAGE(K6:K7,K13:K14,K20:K21,K27:K28,K34:K36)</f>
        <v>222633.09090909091</v>
      </c>
      <c r="L41" s="53">
        <f>IFERROR(AVERAGE(L6,L10:L11,L17:L18,L24:L25,L31:L32,L35),0)</f>
        <v>232950.8</v>
      </c>
      <c r="M41" s="377">
        <f>AVERAGE(M8:M9,M13,M15:M16,M22:M23,M29:M30,M35:M36)</f>
        <v>233808.90909090909</v>
      </c>
      <c r="N41" s="59"/>
    </row>
    <row r="42" spans="1:21">
      <c r="A42" s="52" t="s">
        <v>24</v>
      </c>
      <c r="B42" s="378">
        <f t="shared" ref="B42:M42" si="1">MAX(B6:B36)</f>
        <v>192078</v>
      </c>
      <c r="C42" s="343">
        <f t="shared" si="1"/>
        <v>237594</v>
      </c>
      <c r="D42" s="710">
        <f t="shared" si="1"/>
        <v>294621</v>
      </c>
      <c r="E42" s="344">
        <f t="shared" si="1"/>
        <v>335993</v>
      </c>
      <c r="F42" s="344">
        <f t="shared" si="1"/>
        <v>366994</v>
      </c>
      <c r="G42" s="344">
        <f t="shared" si="1"/>
        <v>389036</v>
      </c>
      <c r="H42" s="344">
        <f t="shared" si="1"/>
        <v>336873</v>
      </c>
      <c r="I42" s="344">
        <f t="shared" si="1"/>
        <v>334295</v>
      </c>
      <c r="J42" s="344">
        <f t="shared" si="1"/>
        <v>339546</v>
      </c>
      <c r="K42" s="344">
        <f t="shared" si="1"/>
        <v>350435</v>
      </c>
      <c r="L42" s="344">
        <f t="shared" si="1"/>
        <v>348908</v>
      </c>
      <c r="M42" s="379">
        <f t="shared" si="1"/>
        <v>371388</v>
      </c>
    </row>
    <row r="43" spans="1:21" ht="12.75" thickBot="1">
      <c r="A43" s="345" t="s">
        <v>47</v>
      </c>
      <c r="B43" s="380">
        <f t="shared" ref="B43:M43" si="2">MIN(B6:B36)</f>
        <v>78471</v>
      </c>
      <c r="C43" s="381">
        <f t="shared" si="2"/>
        <v>119670</v>
      </c>
      <c r="D43" s="381">
        <f t="shared" si="2"/>
        <v>149134</v>
      </c>
      <c r="E43" s="381">
        <f t="shared" si="2"/>
        <v>197563</v>
      </c>
      <c r="F43" s="382">
        <f t="shared" si="2"/>
        <v>201043</v>
      </c>
      <c r="G43" s="381">
        <f t="shared" si="2"/>
        <v>242248</v>
      </c>
      <c r="H43" s="381">
        <f t="shared" si="2"/>
        <v>190802</v>
      </c>
      <c r="I43" s="381">
        <f t="shared" si="2"/>
        <v>184227</v>
      </c>
      <c r="J43" s="381">
        <f t="shared" si="2"/>
        <v>144285</v>
      </c>
      <c r="K43" s="381">
        <f t="shared" si="2"/>
        <v>168929</v>
      </c>
      <c r="L43" s="381">
        <f t="shared" si="2"/>
        <v>168476</v>
      </c>
      <c r="M43" s="383">
        <f t="shared" si="2"/>
        <v>154011</v>
      </c>
    </row>
    <row r="44" spans="1:21" s="60" customFormat="1" thickBot="1">
      <c r="A44" s="346" t="s">
        <v>25</v>
      </c>
      <c r="B44" s="347">
        <f t="shared" ref="B44:C44" si="3">SUM(B6:B36)</f>
        <v>4423317</v>
      </c>
      <c r="C44" s="348">
        <f t="shared" si="3"/>
        <v>5298801</v>
      </c>
      <c r="D44" s="348">
        <f>SUM(D6:D36)</f>
        <v>7231320</v>
      </c>
      <c r="E44" s="348">
        <f t="shared" ref="E44:L44" si="4">SUM(E6:E36)</f>
        <v>7318128</v>
      </c>
      <c r="F44" s="57">
        <f t="shared" si="4"/>
        <v>9597794</v>
      </c>
      <c r="G44" s="316">
        <f t="shared" si="4"/>
        <v>10555184</v>
      </c>
      <c r="H44" s="316">
        <f t="shared" si="4"/>
        <v>8910370</v>
      </c>
      <c r="I44" s="316">
        <f t="shared" si="4"/>
        <v>8979990</v>
      </c>
      <c r="J44" s="316">
        <f t="shared" si="4"/>
        <v>8776440</v>
      </c>
      <c r="K44" s="316">
        <f t="shared" si="4"/>
        <v>8996951</v>
      </c>
      <c r="L44" s="57">
        <f t="shared" si="4"/>
        <v>8939743</v>
      </c>
      <c r="M44" s="58">
        <f>SUM(M6:M36)</f>
        <v>9302645</v>
      </c>
    </row>
  </sheetData>
  <mergeCells count="2">
    <mergeCell ref="E1:I1"/>
    <mergeCell ref="E2:I3"/>
  </mergeCells>
  <conditionalFormatting sqref="B6:K29 B30:I30 K30 B31:K36">
    <cfRule type="top10" dxfId="22" priority="2" rank="1"/>
  </conditionalFormatting>
  <conditionalFormatting sqref="L6:M36">
    <cfRule type="top10" dxfId="21" priority="1" rank="1"/>
  </conditionalFormatting>
  <printOptions horizontalCentered="1" verticalCentered="1"/>
  <pageMargins left="0.25" right="0.25" top="0.25" bottom="0.75" header="0.3" footer="0.3"/>
  <pageSetup paperSize="9" scale="86" orientation="landscape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F412-B740-484C-8AB7-36BB35DFA9A7}">
  <sheetPr>
    <pageSetUpPr fitToPage="1"/>
  </sheetPr>
  <dimension ref="A1:U58"/>
  <sheetViews>
    <sheetView topLeftCell="A3" zoomScaleNormal="100" zoomScaleSheetLayoutView="110" zoomScalePageLayoutView="120" workbookViewId="0">
      <pane xSplit="1" topLeftCell="P1" activePane="topRight" state="frozen"/>
      <selection pane="topRight" activeCell="P19" sqref="P19"/>
      <selection activeCell="N59" sqref="N59"/>
    </sheetView>
  </sheetViews>
  <sheetFormatPr defaultColWidth="8.85546875" defaultRowHeight="12"/>
  <cols>
    <col min="1" max="1" width="20" style="4" bestFit="1" customWidth="1"/>
    <col min="2" max="4" width="12" style="4" bestFit="1" customWidth="1"/>
    <col min="5" max="5" width="11.7109375" style="4" bestFit="1" customWidth="1"/>
    <col min="6" max="7" width="10.5703125" style="4" bestFit="1" customWidth="1"/>
    <col min="8" max="9" width="10" style="4" customWidth="1"/>
    <col min="10" max="10" width="10.42578125" style="4" customWidth="1"/>
    <col min="11" max="11" width="10" style="4" customWidth="1"/>
    <col min="12" max="12" width="10.140625" style="4" bestFit="1" customWidth="1"/>
    <col min="13" max="13" width="10" style="4" customWidth="1"/>
    <col min="14" max="16384" width="8.85546875" style="4"/>
  </cols>
  <sheetData>
    <row r="1" spans="1:21" ht="12.75">
      <c r="E1" s="747" t="s">
        <v>0</v>
      </c>
      <c r="F1" s="747"/>
      <c r="G1" s="747"/>
      <c r="H1" s="747"/>
      <c r="I1" s="747"/>
    </row>
    <row r="2" spans="1:21" s="3" customFormat="1" ht="18">
      <c r="A2" s="1"/>
      <c r="B2" s="2"/>
      <c r="C2" s="2"/>
      <c r="E2" s="747" t="s">
        <v>1</v>
      </c>
      <c r="F2" s="747"/>
      <c r="G2" s="747"/>
      <c r="H2" s="747"/>
      <c r="I2" s="747"/>
    </row>
    <row r="3" spans="1:21" s="3" customFormat="1">
      <c r="A3" s="216" t="s">
        <v>60</v>
      </c>
      <c r="B3" s="217"/>
      <c r="C3" s="218"/>
      <c r="D3" s="219"/>
      <c r="E3" s="747"/>
      <c r="F3" s="747"/>
      <c r="G3" s="747"/>
      <c r="H3" s="747"/>
      <c r="I3" s="747"/>
      <c r="J3" s="219"/>
      <c r="K3" s="7" t="s">
        <v>3</v>
      </c>
      <c r="L3" s="327" t="s">
        <v>4</v>
      </c>
      <c r="M3" s="578" t="s">
        <v>5</v>
      </c>
    </row>
    <row r="4" spans="1:21" s="3" customFormat="1" ht="12.75" thickBot="1">
      <c r="A4" s="219"/>
      <c r="B4" s="217"/>
      <c r="C4" s="218"/>
      <c r="D4" s="219"/>
      <c r="E4" s="219"/>
      <c r="F4" s="216"/>
      <c r="G4" s="216"/>
      <c r="H4" s="219"/>
      <c r="I4" s="219"/>
      <c r="J4" s="219"/>
      <c r="K4" s="219"/>
      <c r="L4" s="219"/>
      <c r="M4" s="219"/>
    </row>
    <row r="5" spans="1:21" s="14" customFormat="1">
      <c r="A5" s="574" t="s">
        <v>6</v>
      </c>
      <c r="B5" s="557" t="s">
        <v>7</v>
      </c>
      <c r="C5" s="558" t="s">
        <v>8</v>
      </c>
      <c r="D5" s="558" t="s">
        <v>9</v>
      </c>
      <c r="E5" s="558" t="s">
        <v>10</v>
      </c>
      <c r="F5" s="558" t="s">
        <v>11</v>
      </c>
      <c r="G5" s="558" t="s">
        <v>12</v>
      </c>
      <c r="H5" s="558" t="s">
        <v>13</v>
      </c>
      <c r="I5" s="558" t="s">
        <v>14</v>
      </c>
      <c r="J5" s="558" t="s">
        <v>15</v>
      </c>
      <c r="K5" s="558" t="s">
        <v>16</v>
      </c>
      <c r="L5" s="558" t="s">
        <v>17</v>
      </c>
      <c r="M5" s="559" t="s">
        <v>18</v>
      </c>
    </row>
    <row r="6" spans="1:21" s="3" customFormat="1" ht="15" customHeight="1">
      <c r="A6" s="162">
        <v>1</v>
      </c>
      <c r="B6" s="579">
        <v>162027</v>
      </c>
      <c r="C6" s="513">
        <v>400182</v>
      </c>
      <c r="D6" s="295">
        <v>404498</v>
      </c>
      <c r="E6" s="575">
        <v>307957</v>
      </c>
      <c r="F6" s="297">
        <v>224848</v>
      </c>
      <c r="G6" s="26">
        <v>377340</v>
      </c>
      <c r="H6" s="580">
        <v>302685</v>
      </c>
      <c r="I6" s="69">
        <v>397582</v>
      </c>
      <c r="J6" s="139">
        <v>368578</v>
      </c>
      <c r="K6" s="584">
        <v>255428</v>
      </c>
      <c r="L6" s="21">
        <v>199185</v>
      </c>
      <c r="M6" s="560">
        <v>436706</v>
      </c>
      <c r="N6" s="23"/>
      <c r="O6" s="616"/>
      <c r="Q6" s="23"/>
      <c r="R6" s="23"/>
      <c r="S6" s="23"/>
      <c r="T6" s="23"/>
      <c r="U6" s="23"/>
    </row>
    <row r="7" spans="1:21" s="3" customFormat="1" ht="15" customHeight="1">
      <c r="A7" s="163">
        <v>2</v>
      </c>
      <c r="B7" s="561">
        <v>224163</v>
      </c>
      <c r="C7" s="513">
        <v>384276</v>
      </c>
      <c r="D7" s="301">
        <v>389146</v>
      </c>
      <c r="E7" s="576">
        <v>224428</v>
      </c>
      <c r="F7" s="593">
        <v>396268</v>
      </c>
      <c r="G7" s="26">
        <v>388643</v>
      </c>
      <c r="H7" s="581">
        <v>228652</v>
      </c>
      <c r="I7" s="69">
        <v>406040</v>
      </c>
      <c r="J7" s="588">
        <v>299817</v>
      </c>
      <c r="K7" s="69">
        <v>419450</v>
      </c>
      <c r="L7" s="122">
        <v>230637</v>
      </c>
      <c r="M7" s="621">
        <v>352213</v>
      </c>
      <c r="N7" s="23"/>
      <c r="O7" s="616"/>
      <c r="P7" s="23"/>
      <c r="Q7" s="23"/>
      <c r="R7" s="23"/>
      <c r="S7" s="23"/>
      <c r="T7" s="23"/>
      <c r="U7" s="23"/>
    </row>
    <row r="8" spans="1:21" s="3" customFormat="1" ht="15" customHeight="1">
      <c r="A8" s="162">
        <v>3</v>
      </c>
      <c r="B8" s="563">
        <v>337499</v>
      </c>
      <c r="C8" s="513">
        <v>402741</v>
      </c>
      <c r="D8" s="301">
        <v>402293</v>
      </c>
      <c r="E8" s="26">
        <v>376037</v>
      </c>
      <c r="F8" s="26">
        <v>389082</v>
      </c>
      <c r="G8" s="509">
        <v>308446</v>
      </c>
      <c r="H8" s="27">
        <v>392311</v>
      </c>
      <c r="I8" s="69">
        <v>393006</v>
      </c>
      <c r="J8" s="588">
        <v>216751</v>
      </c>
      <c r="K8" s="69">
        <v>418251</v>
      </c>
      <c r="L8" s="27">
        <v>365501</v>
      </c>
      <c r="M8" s="621">
        <v>268542</v>
      </c>
      <c r="N8" s="23"/>
      <c r="O8" s="616"/>
      <c r="P8" s="23"/>
      <c r="Q8" s="23"/>
      <c r="R8" s="23"/>
      <c r="S8" s="23"/>
      <c r="T8" s="23"/>
      <c r="U8" s="23"/>
    </row>
    <row r="9" spans="1:21" s="3" customFormat="1" ht="15" customHeight="1">
      <c r="A9" s="163">
        <v>4</v>
      </c>
      <c r="B9" s="564">
        <v>358415</v>
      </c>
      <c r="C9" s="514">
        <v>318428</v>
      </c>
      <c r="D9" s="507">
        <v>314633</v>
      </c>
      <c r="E9" s="26">
        <v>370793</v>
      </c>
      <c r="F9" s="69">
        <v>375550</v>
      </c>
      <c r="G9" s="509">
        <v>227855</v>
      </c>
      <c r="H9" s="384">
        <v>392230</v>
      </c>
      <c r="I9" s="227">
        <v>416874</v>
      </c>
      <c r="J9" s="30">
        <v>387702</v>
      </c>
      <c r="K9" s="227">
        <v>426842</v>
      </c>
      <c r="L9" s="581">
        <v>287985</v>
      </c>
      <c r="M9" s="562">
        <v>421221</v>
      </c>
      <c r="N9" s="23"/>
      <c r="O9" s="616"/>
      <c r="P9" s="23"/>
      <c r="Q9" s="23"/>
      <c r="R9" s="23"/>
      <c r="S9" s="23"/>
      <c r="T9" s="23"/>
      <c r="U9" s="23"/>
    </row>
    <row r="10" spans="1:21" s="3" customFormat="1" ht="15" customHeight="1">
      <c r="A10" s="162">
        <v>5</v>
      </c>
      <c r="B10" s="564">
        <v>328790</v>
      </c>
      <c r="C10" s="514">
        <v>240836</v>
      </c>
      <c r="D10" s="508">
        <v>239033</v>
      </c>
      <c r="E10" s="26">
        <v>372955</v>
      </c>
      <c r="F10" s="69">
        <v>381228</v>
      </c>
      <c r="G10" s="26">
        <v>384264</v>
      </c>
      <c r="H10" s="27">
        <v>395351</v>
      </c>
      <c r="I10" s="583">
        <v>329887</v>
      </c>
      <c r="J10" s="30">
        <v>427720</v>
      </c>
      <c r="K10" s="69">
        <v>419560</v>
      </c>
      <c r="L10" s="581">
        <v>233159</v>
      </c>
      <c r="M10" s="562">
        <v>419166</v>
      </c>
      <c r="N10" s="23"/>
      <c r="O10" s="616"/>
      <c r="P10" s="23"/>
      <c r="Q10" s="23"/>
      <c r="R10" s="23"/>
      <c r="S10" s="23"/>
      <c r="T10" s="23"/>
      <c r="U10" s="23"/>
    </row>
    <row r="11" spans="1:21" s="3" customFormat="1" ht="15" customHeight="1">
      <c r="A11" s="163">
        <v>6</v>
      </c>
      <c r="B11" s="566">
        <v>363668</v>
      </c>
      <c r="C11" s="513">
        <v>394311</v>
      </c>
      <c r="D11" s="253">
        <v>307860</v>
      </c>
      <c r="E11" s="510" t="s">
        <v>61</v>
      </c>
      <c r="F11" s="511">
        <v>294078</v>
      </c>
      <c r="G11" s="228">
        <v>384914</v>
      </c>
      <c r="H11" s="384">
        <v>388414</v>
      </c>
      <c r="I11" s="584">
        <v>247938</v>
      </c>
      <c r="J11" s="633">
        <v>434056</v>
      </c>
      <c r="K11" s="26">
        <v>425096</v>
      </c>
      <c r="L11" s="27">
        <v>414892</v>
      </c>
      <c r="M11" s="565">
        <v>444838</v>
      </c>
      <c r="N11" s="23"/>
      <c r="O11" s="616"/>
      <c r="P11" s="23"/>
      <c r="Q11" s="23"/>
      <c r="R11" s="23"/>
      <c r="S11" s="23"/>
      <c r="T11" s="23"/>
      <c r="U11" s="23"/>
    </row>
    <row r="12" spans="1:21" s="3" customFormat="1" ht="15" customHeight="1">
      <c r="A12" s="162">
        <v>7</v>
      </c>
      <c r="B12" s="567">
        <v>287207</v>
      </c>
      <c r="C12" s="513">
        <v>400821</v>
      </c>
      <c r="D12" s="253">
        <v>331850</v>
      </c>
      <c r="E12" s="510" t="s">
        <v>61</v>
      </c>
      <c r="F12" s="511">
        <v>217889</v>
      </c>
      <c r="G12" s="26">
        <v>390157</v>
      </c>
      <c r="H12" s="384">
        <v>395319</v>
      </c>
      <c r="I12" s="69">
        <v>421613</v>
      </c>
      <c r="J12" s="30">
        <v>425428</v>
      </c>
      <c r="K12" s="584">
        <v>331152</v>
      </c>
      <c r="L12" s="27">
        <v>404988</v>
      </c>
      <c r="M12" s="630">
        <v>444900</v>
      </c>
      <c r="N12" s="23"/>
      <c r="O12" s="616"/>
      <c r="P12" s="23"/>
      <c r="Q12" s="23"/>
      <c r="R12" s="23"/>
      <c r="S12" s="23"/>
      <c r="T12" s="23"/>
      <c r="U12" s="23"/>
    </row>
    <row r="13" spans="1:21" s="3" customFormat="1" ht="15" customHeight="1">
      <c r="A13" s="163">
        <v>8</v>
      </c>
      <c r="B13" s="568">
        <v>221974</v>
      </c>
      <c r="C13" s="513">
        <v>403128</v>
      </c>
      <c r="D13" s="301">
        <v>349090</v>
      </c>
      <c r="E13" s="510" t="s">
        <v>61</v>
      </c>
      <c r="F13" s="69">
        <v>375524</v>
      </c>
      <c r="G13" s="26">
        <v>381204</v>
      </c>
      <c r="H13" s="582">
        <v>307483</v>
      </c>
      <c r="I13" s="227">
        <v>421398</v>
      </c>
      <c r="J13" s="30">
        <v>429249</v>
      </c>
      <c r="K13" s="585">
        <v>242604</v>
      </c>
      <c r="L13" s="27">
        <v>429884</v>
      </c>
      <c r="M13" s="625">
        <v>320796</v>
      </c>
      <c r="N13" s="23"/>
      <c r="O13" s="616"/>
      <c r="P13" s="23"/>
      <c r="Q13" s="23"/>
      <c r="R13" s="23"/>
      <c r="S13" s="23"/>
      <c r="T13" s="23"/>
      <c r="U13" s="23"/>
    </row>
    <row r="14" spans="1:21" s="3" customFormat="1" ht="15" customHeight="1">
      <c r="A14" s="162">
        <v>9</v>
      </c>
      <c r="B14" s="523">
        <v>368927</v>
      </c>
      <c r="C14" s="513">
        <v>386697</v>
      </c>
      <c r="D14" s="301">
        <v>351798</v>
      </c>
      <c r="E14" s="510" t="s">
        <v>61</v>
      </c>
      <c r="F14" s="26">
        <v>378878</v>
      </c>
      <c r="G14" s="69">
        <v>391446</v>
      </c>
      <c r="H14" s="582">
        <v>229068</v>
      </c>
      <c r="I14" s="69">
        <v>420445</v>
      </c>
      <c r="J14" s="588">
        <v>331751</v>
      </c>
      <c r="K14" s="26">
        <v>413364</v>
      </c>
      <c r="L14" s="27">
        <v>420733</v>
      </c>
      <c r="M14" s="622">
        <v>341515</v>
      </c>
      <c r="N14" s="23"/>
      <c r="O14" s="616"/>
      <c r="P14" s="23"/>
      <c r="Q14" s="23"/>
      <c r="R14" s="23"/>
      <c r="S14" s="23"/>
      <c r="T14" s="23"/>
      <c r="U14" s="23"/>
    </row>
    <row r="15" spans="1:21" s="3" customFormat="1" ht="15" customHeight="1">
      <c r="A15" s="163">
        <v>10</v>
      </c>
      <c r="B15" s="563">
        <v>380797</v>
      </c>
      <c r="C15" s="513">
        <v>402463</v>
      </c>
      <c r="D15" s="301">
        <v>375420</v>
      </c>
      <c r="E15" s="306">
        <v>209147</v>
      </c>
      <c r="F15" s="26">
        <v>386933</v>
      </c>
      <c r="G15" s="511">
        <v>299893</v>
      </c>
      <c r="H15" s="384">
        <v>391361</v>
      </c>
      <c r="I15" s="69">
        <v>420987</v>
      </c>
      <c r="J15" s="588">
        <v>243202</v>
      </c>
      <c r="K15" s="69">
        <v>426472</v>
      </c>
      <c r="L15" s="271">
        <v>436519</v>
      </c>
      <c r="M15" s="622">
        <v>275655</v>
      </c>
      <c r="N15" s="23"/>
      <c r="O15" s="616"/>
      <c r="P15" s="23"/>
      <c r="Q15" s="23"/>
      <c r="R15" s="23"/>
      <c r="S15" s="23"/>
      <c r="T15" s="23"/>
      <c r="U15" s="23"/>
    </row>
    <row r="16" spans="1:21" s="3" customFormat="1" ht="15" customHeight="1">
      <c r="A16" s="162">
        <v>11</v>
      </c>
      <c r="B16" s="564">
        <v>387988</v>
      </c>
      <c r="C16" s="514">
        <v>314031</v>
      </c>
      <c r="D16" s="507">
        <v>300949</v>
      </c>
      <c r="E16" s="26">
        <v>392375</v>
      </c>
      <c r="F16" s="69">
        <v>378764</v>
      </c>
      <c r="G16" s="509">
        <v>200029</v>
      </c>
      <c r="H16" s="384">
        <v>396686</v>
      </c>
      <c r="I16" s="26">
        <v>428623</v>
      </c>
      <c r="J16" s="30">
        <v>419348</v>
      </c>
      <c r="K16" s="69">
        <v>429241</v>
      </c>
      <c r="L16" s="581">
        <v>341200</v>
      </c>
      <c r="M16" s="565">
        <v>426477</v>
      </c>
      <c r="N16" s="23"/>
      <c r="O16" s="616"/>
      <c r="P16" s="23"/>
      <c r="Q16" s="23"/>
      <c r="R16" s="23"/>
      <c r="S16" s="23"/>
      <c r="T16" s="23"/>
      <c r="U16" s="23"/>
    </row>
    <row r="17" spans="1:21" s="3" customFormat="1" ht="15" customHeight="1">
      <c r="A17" s="163">
        <v>12</v>
      </c>
      <c r="B17" s="569">
        <v>373845</v>
      </c>
      <c r="C17" s="514">
        <v>240476</v>
      </c>
      <c r="D17" s="507">
        <v>229230</v>
      </c>
      <c r="E17" s="26">
        <v>370040</v>
      </c>
      <c r="F17" s="69">
        <v>389205</v>
      </c>
      <c r="G17" s="577">
        <v>227901</v>
      </c>
      <c r="H17" s="384">
        <v>395454</v>
      </c>
      <c r="I17" s="585">
        <v>329803</v>
      </c>
      <c r="J17" s="365">
        <v>419069</v>
      </c>
      <c r="K17" s="69">
        <v>417275</v>
      </c>
      <c r="L17" s="581">
        <v>248607</v>
      </c>
      <c r="M17" s="565">
        <v>435652</v>
      </c>
      <c r="N17" s="23"/>
      <c r="O17" s="616"/>
      <c r="P17" s="23"/>
      <c r="Q17" s="23"/>
      <c r="R17" s="23"/>
      <c r="S17" s="23"/>
      <c r="T17" s="23"/>
      <c r="U17" s="23"/>
    </row>
    <row r="18" spans="1:21" s="3" customFormat="1" ht="15" customHeight="1">
      <c r="A18" s="162">
        <v>13</v>
      </c>
      <c r="B18" s="564">
        <v>388623</v>
      </c>
      <c r="C18" s="513">
        <v>394132</v>
      </c>
      <c r="D18" s="301">
        <v>391582</v>
      </c>
      <c r="E18" s="26">
        <v>371752</v>
      </c>
      <c r="F18" s="511">
        <v>302421</v>
      </c>
      <c r="G18" s="26">
        <v>404526</v>
      </c>
      <c r="H18" s="384">
        <v>364466</v>
      </c>
      <c r="I18" s="585">
        <v>244809</v>
      </c>
      <c r="J18" s="30">
        <v>422902</v>
      </c>
      <c r="K18" s="26">
        <v>429658</v>
      </c>
      <c r="L18" s="27">
        <v>415785</v>
      </c>
      <c r="M18" s="565">
        <v>434251</v>
      </c>
      <c r="N18" s="23"/>
      <c r="O18" s="616"/>
      <c r="P18" s="23">
        <f>31+28+31+26+31+30+31+31+30+31+30+31</f>
        <v>361</v>
      </c>
      <c r="Q18" s="23"/>
      <c r="R18" s="23"/>
      <c r="S18" s="23"/>
      <c r="T18" s="23"/>
      <c r="U18" s="23"/>
    </row>
    <row r="19" spans="1:21" s="3" customFormat="1" ht="15" customHeight="1">
      <c r="A19" s="163">
        <v>14</v>
      </c>
      <c r="B19" s="570">
        <v>303858</v>
      </c>
      <c r="C19" s="515">
        <v>408259</v>
      </c>
      <c r="D19" s="253">
        <v>391476</v>
      </c>
      <c r="E19" s="26">
        <v>382532</v>
      </c>
      <c r="F19" s="511">
        <v>219698</v>
      </c>
      <c r="G19" s="26">
        <v>394468</v>
      </c>
      <c r="H19" s="384">
        <v>390040</v>
      </c>
      <c r="I19" s="26">
        <v>412424</v>
      </c>
      <c r="J19" s="30">
        <v>419466</v>
      </c>
      <c r="K19" s="584">
        <v>344089</v>
      </c>
      <c r="L19" s="27">
        <v>424986</v>
      </c>
      <c r="M19" s="565">
        <v>421596</v>
      </c>
      <c r="N19" s="23"/>
      <c r="O19" s="616"/>
      <c r="P19" s="23" t="s">
        <v>62</v>
      </c>
      <c r="Q19" s="23"/>
      <c r="R19" s="23"/>
      <c r="S19" s="23"/>
      <c r="T19" s="23"/>
      <c r="U19" s="23"/>
    </row>
    <row r="20" spans="1:21" s="3" customFormat="1" ht="15" customHeight="1">
      <c r="A20" s="162">
        <v>15</v>
      </c>
      <c r="B20" s="571">
        <v>227407</v>
      </c>
      <c r="C20" s="513">
        <v>406396</v>
      </c>
      <c r="D20" s="301">
        <v>403242</v>
      </c>
      <c r="E20" s="509">
        <v>303293</v>
      </c>
      <c r="F20" s="69">
        <v>380368</v>
      </c>
      <c r="G20" s="26">
        <v>366925</v>
      </c>
      <c r="H20" s="582">
        <v>304604</v>
      </c>
      <c r="I20" s="26">
        <v>434696</v>
      </c>
      <c r="J20" s="30">
        <v>431198</v>
      </c>
      <c r="K20" s="585">
        <v>259727</v>
      </c>
      <c r="L20" s="27">
        <v>433461</v>
      </c>
      <c r="M20" s="565">
        <v>432158</v>
      </c>
      <c r="N20" s="2"/>
      <c r="O20" s="616"/>
      <c r="P20" s="23"/>
      <c r="Q20" s="23"/>
      <c r="R20" s="23"/>
      <c r="S20" s="23"/>
      <c r="T20" s="23"/>
      <c r="U20" s="23"/>
    </row>
    <row r="21" spans="1:21" s="3" customFormat="1" ht="15" customHeight="1">
      <c r="A21" s="163">
        <v>16</v>
      </c>
      <c r="B21" s="523">
        <v>383737</v>
      </c>
      <c r="C21" s="513">
        <v>397746</v>
      </c>
      <c r="D21" s="253">
        <v>397221</v>
      </c>
      <c r="E21" s="509">
        <v>230227</v>
      </c>
      <c r="F21" s="26">
        <v>383986</v>
      </c>
      <c r="G21" s="26">
        <v>397418</v>
      </c>
      <c r="H21" s="582">
        <v>219170</v>
      </c>
      <c r="I21" s="26">
        <v>436388</v>
      </c>
      <c r="J21" s="588">
        <v>340735</v>
      </c>
      <c r="K21" s="69">
        <v>387908</v>
      </c>
      <c r="L21" s="27">
        <v>428314</v>
      </c>
      <c r="M21" s="622">
        <v>369800</v>
      </c>
      <c r="N21" s="23"/>
      <c r="O21" s="616"/>
      <c r="P21" s="23"/>
      <c r="Q21" s="23"/>
      <c r="R21" s="23"/>
      <c r="S21" s="23"/>
      <c r="T21" s="23"/>
      <c r="U21" s="23"/>
    </row>
    <row r="22" spans="1:21" s="3" customFormat="1" ht="15" customHeight="1">
      <c r="A22" s="162">
        <v>17</v>
      </c>
      <c r="B22" s="563">
        <v>388094</v>
      </c>
      <c r="C22" s="513">
        <v>408095</v>
      </c>
      <c r="D22" s="593">
        <v>404430</v>
      </c>
      <c r="E22" s="26">
        <v>391021</v>
      </c>
      <c r="F22" s="69">
        <v>392760</v>
      </c>
      <c r="G22" s="509">
        <v>316630</v>
      </c>
      <c r="H22" s="384">
        <v>401401</v>
      </c>
      <c r="I22" s="69">
        <v>426037</v>
      </c>
      <c r="J22" s="588">
        <v>250209</v>
      </c>
      <c r="K22" s="69">
        <v>421055</v>
      </c>
      <c r="L22" s="271">
        <v>440227</v>
      </c>
      <c r="M22" s="622">
        <v>287730</v>
      </c>
      <c r="N22" s="23"/>
      <c r="O22" s="616"/>
      <c r="P22" s="23"/>
      <c r="Q22" s="23"/>
      <c r="R22" s="23"/>
      <c r="S22" s="23"/>
      <c r="T22" s="23"/>
      <c r="U22" s="23"/>
    </row>
    <row r="23" spans="1:21" s="3" customFormat="1" ht="15" customHeight="1">
      <c r="A23" s="163">
        <v>18</v>
      </c>
      <c r="B23" s="564">
        <v>391120</v>
      </c>
      <c r="C23" s="516">
        <v>319815</v>
      </c>
      <c r="D23" s="509">
        <v>316376</v>
      </c>
      <c r="E23" s="69">
        <v>393621</v>
      </c>
      <c r="F23" s="69">
        <v>381846</v>
      </c>
      <c r="G23" s="509">
        <v>225316</v>
      </c>
      <c r="H23" s="384">
        <v>412608</v>
      </c>
      <c r="I23" s="26">
        <v>436178</v>
      </c>
      <c r="J23" s="30">
        <v>418827</v>
      </c>
      <c r="K23" s="69">
        <v>428634</v>
      </c>
      <c r="L23" s="582">
        <v>350012</v>
      </c>
      <c r="M23" s="562">
        <v>425802</v>
      </c>
      <c r="N23" s="23"/>
      <c r="O23" s="616"/>
      <c r="P23" s="23"/>
      <c r="Q23" s="23"/>
      <c r="R23" s="23"/>
      <c r="S23" s="23"/>
      <c r="T23" s="23"/>
      <c r="U23" s="23"/>
    </row>
    <row r="24" spans="1:21" s="3" customFormat="1" ht="15" customHeight="1">
      <c r="A24" s="162">
        <v>19</v>
      </c>
      <c r="B24" s="564">
        <v>382510</v>
      </c>
      <c r="C24" s="516">
        <v>232345</v>
      </c>
      <c r="D24" s="509">
        <v>238217</v>
      </c>
      <c r="E24" s="26">
        <v>397402</v>
      </c>
      <c r="F24" s="26">
        <v>386872</v>
      </c>
      <c r="G24" s="69">
        <v>385596</v>
      </c>
      <c r="H24" s="384">
        <v>409416</v>
      </c>
      <c r="I24" s="585">
        <v>336539</v>
      </c>
      <c r="J24" s="30">
        <v>421799</v>
      </c>
      <c r="K24" s="69">
        <v>411584</v>
      </c>
      <c r="L24" s="581">
        <v>257191</v>
      </c>
      <c r="M24" s="562">
        <v>423230</v>
      </c>
      <c r="N24" s="23"/>
      <c r="O24" s="616"/>
      <c r="P24" s="23"/>
      <c r="Q24" s="23"/>
      <c r="R24" s="23"/>
      <c r="S24" s="23"/>
      <c r="T24" s="23"/>
      <c r="U24" s="23"/>
    </row>
    <row r="25" spans="1:21" s="3" customFormat="1" ht="15" customHeight="1">
      <c r="A25" s="163">
        <v>20</v>
      </c>
      <c r="B25" s="594">
        <v>396345</v>
      </c>
      <c r="C25" s="513">
        <v>395608</v>
      </c>
      <c r="D25" s="26">
        <v>390845</v>
      </c>
      <c r="E25" s="593">
        <v>410554</v>
      </c>
      <c r="F25" s="511">
        <v>308073</v>
      </c>
      <c r="G25" s="26">
        <v>390026</v>
      </c>
      <c r="H25" s="384">
        <v>402355</v>
      </c>
      <c r="I25" s="584">
        <v>255167</v>
      </c>
      <c r="J25" s="365">
        <v>424916</v>
      </c>
      <c r="K25" s="26">
        <v>426177</v>
      </c>
      <c r="L25" s="27">
        <v>394128</v>
      </c>
      <c r="M25" s="562">
        <v>429690</v>
      </c>
      <c r="N25" s="23"/>
      <c r="O25" s="616"/>
      <c r="P25" s="23"/>
      <c r="Q25" s="23"/>
      <c r="R25" s="23"/>
      <c r="S25" s="23"/>
      <c r="T25" s="23"/>
      <c r="U25" s="23"/>
    </row>
    <row r="26" spans="1:21" s="3" customFormat="1" ht="15" customHeight="1">
      <c r="A26" s="162">
        <v>21</v>
      </c>
      <c r="B26" s="570">
        <v>304282</v>
      </c>
      <c r="C26" s="513">
        <v>396963</v>
      </c>
      <c r="D26" s="26">
        <v>398318</v>
      </c>
      <c r="E26" s="577">
        <v>265270</v>
      </c>
      <c r="F26" s="511">
        <v>227056</v>
      </c>
      <c r="G26" s="26">
        <v>393772</v>
      </c>
      <c r="H26" s="595">
        <v>414916</v>
      </c>
      <c r="I26" s="26">
        <v>256336</v>
      </c>
      <c r="J26" s="70">
        <v>417501</v>
      </c>
      <c r="K26" s="601">
        <v>328763</v>
      </c>
      <c r="L26" s="124">
        <v>410450</v>
      </c>
      <c r="M26" s="572">
        <v>419418</v>
      </c>
      <c r="N26" s="23"/>
      <c r="O26" s="616"/>
      <c r="P26" s="23"/>
      <c r="Q26" s="23"/>
      <c r="R26" s="23"/>
      <c r="S26" s="23"/>
      <c r="T26" s="23"/>
      <c r="U26" s="23"/>
    </row>
    <row r="27" spans="1:21" s="3" customFormat="1" ht="15" customHeight="1">
      <c r="A27" s="163">
        <v>22</v>
      </c>
      <c r="B27" s="571">
        <v>228359</v>
      </c>
      <c r="C27" s="513">
        <v>399788</v>
      </c>
      <c r="D27" s="26">
        <v>399763</v>
      </c>
      <c r="E27" s="511">
        <v>271056</v>
      </c>
      <c r="F27" s="69">
        <v>381253</v>
      </c>
      <c r="G27" s="26">
        <v>388693</v>
      </c>
      <c r="H27" s="582">
        <v>321546</v>
      </c>
      <c r="I27" s="596">
        <v>450298</v>
      </c>
      <c r="J27" s="541">
        <v>419412</v>
      </c>
      <c r="K27" s="590">
        <v>247483</v>
      </c>
      <c r="L27" s="542">
        <v>413202</v>
      </c>
      <c r="M27" s="550">
        <v>419320</v>
      </c>
      <c r="N27" s="23"/>
      <c r="O27" s="616"/>
      <c r="P27" s="23"/>
      <c r="Q27" s="23"/>
      <c r="R27" s="23"/>
      <c r="S27" s="23"/>
      <c r="T27" s="23"/>
      <c r="U27" s="23"/>
    </row>
    <row r="28" spans="1:21" s="3" customFormat="1" ht="15" customHeight="1">
      <c r="A28" s="162">
        <v>23</v>
      </c>
      <c r="B28" s="523">
        <v>389970</v>
      </c>
      <c r="C28" s="513">
        <v>389910</v>
      </c>
      <c r="D28" s="26">
        <v>386539</v>
      </c>
      <c r="E28" s="511">
        <v>216992</v>
      </c>
      <c r="F28" s="26">
        <v>386740</v>
      </c>
      <c r="G28" s="26">
        <v>396353</v>
      </c>
      <c r="H28" s="582">
        <v>235724</v>
      </c>
      <c r="I28" s="27">
        <v>435569</v>
      </c>
      <c r="J28" s="589">
        <v>311838</v>
      </c>
      <c r="K28" s="543">
        <v>412145</v>
      </c>
      <c r="L28" s="544">
        <v>410545</v>
      </c>
      <c r="M28" s="632">
        <v>325394</v>
      </c>
      <c r="N28" s="531"/>
      <c r="O28" s="616"/>
      <c r="P28" s="532"/>
      <c r="Q28" s="531"/>
      <c r="R28" s="532"/>
      <c r="S28" s="531"/>
      <c r="T28" s="532"/>
      <c r="U28" s="531"/>
    </row>
    <row r="29" spans="1:21" s="3" customFormat="1" ht="15" customHeight="1">
      <c r="A29" s="163">
        <v>24</v>
      </c>
      <c r="B29" s="563">
        <v>389413</v>
      </c>
      <c r="C29" s="517">
        <v>304805</v>
      </c>
      <c r="D29" s="26">
        <v>398247</v>
      </c>
      <c r="E29" s="69">
        <v>383049</v>
      </c>
      <c r="F29" s="26">
        <v>384869</v>
      </c>
      <c r="G29" s="511">
        <v>315276</v>
      </c>
      <c r="H29" s="384">
        <v>330483</v>
      </c>
      <c r="I29" s="27">
        <v>429531</v>
      </c>
      <c r="J29" s="590">
        <v>243141</v>
      </c>
      <c r="K29" s="543">
        <v>423608</v>
      </c>
      <c r="L29" s="618">
        <v>421435</v>
      </c>
      <c r="M29" s="631">
        <v>211038</v>
      </c>
      <c r="N29" s="532"/>
      <c r="O29" s="616"/>
      <c r="P29" s="532"/>
      <c r="Q29" s="531"/>
      <c r="R29" s="532"/>
      <c r="S29" s="531"/>
      <c r="T29" s="532"/>
      <c r="U29" s="531"/>
    </row>
    <row r="30" spans="1:21" s="3" customFormat="1" ht="15" customHeight="1">
      <c r="A30" s="162">
        <v>25</v>
      </c>
      <c r="B30" s="564">
        <v>393621</v>
      </c>
      <c r="C30" s="516">
        <v>282843</v>
      </c>
      <c r="D30" s="509">
        <v>310992</v>
      </c>
      <c r="E30" s="69">
        <v>386820</v>
      </c>
      <c r="F30" s="26">
        <v>379678</v>
      </c>
      <c r="G30" s="511">
        <v>231181</v>
      </c>
      <c r="H30" s="384">
        <v>401122</v>
      </c>
      <c r="I30" s="27">
        <v>389528</v>
      </c>
      <c r="J30" s="541">
        <v>410884</v>
      </c>
      <c r="K30" s="543">
        <v>430764</v>
      </c>
      <c r="L30" s="617">
        <v>345514</v>
      </c>
      <c r="M30" s="624">
        <v>219731</v>
      </c>
      <c r="N30" s="532"/>
      <c r="O30" s="616"/>
      <c r="P30" s="532"/>
      <c r="Q30" s="531"/>
      <c r="R30" s="532"/>
      <c r="S30" s="531"/>
      <c r="T30" s="532"/>
      <c r="U30" s="531"/>
    </row>
    <row r="31" spans="1:21" s="3" customFormat="1" ht="15" customHeight="1">
      <c r="A31" s="163">
        <v>26</v>
      </c>
      <c r="B31" s="566">
        <v>386930</v>
      </c>
      <c r="C31" s="514">
        <v>225570</v>
      </c>
      <c r="D31" s="509">
        <v>238522</v>
      </c>
      <c r="E31" s="69">
        <v>389860</v>
      </c>
      <c r="F31" s="26">
        <v>372934</v>
      </c>
      <c r="G31" s="26">
        <v>386915</v>
      </c>
      <c r="H31" s="384">
        <v>375873</v>
      </c>
      <c r="I31" s="581">
        <v>323170</v>
      </c>
      <c r="J31" s="541">
        <v>428702</v>
      </c>
      <c r="K31" s="543">
        <v>426299</v>
      </c>
      <c r="L31" s="617">
        <v>255822</v>
      </c>
      <c r="M31" s="550">
        <v>263213</v>
      </c>
      <c r="N31" s="531"/>
      <c r="O31" s="616"/>
      <c r="P31" s="531"/>
      <c r="Q31" s="533"/>
      <c r="R31" s="532"/>
      <c r="S31" s="533"/>
      <c r="T31" s="532"/>
      <c r="U31" s="532"/>
    </row>
    <row r="32" spans="1:21" s="3" customFormat="1" ht="15" customHeight="1">
      <c r="A32" s="162">
        <v>27</v>
      </c>
      <c r="B32" s="564">
        <v>394716</v>
      </c>
      <c r="C32" s="513">
        <v>398981</v>
      </c>
      <c r="D32" s="26">
        <v>380406</v>
      </c>
      <c r="E32" s="69">
        <v>381100</v>
      </c>
      <c r="F32" s="509">
        <v>281840</v>
      </c>
      <c r="G32" s="592">
        <v>404665</v>
      </c>
      <c r="H32" s="384">
        <v>368837</v>
      </c>
      <c r="I32" s="581">
        <v>236411</v>
      </c>
      <c r="J32" s="541">
        <v>424007</v>
      </c>
      <c r="K32" s="628">
        <v>445904</v>
      </c>
      <c r="L32" s="626">
        <v>261467</v>
      </c>
      <c r="M32" s="550">
        <v>380846</v>
      </c>
      <c r="N32" s="531"/>
      <c r="O32" s="616"/>
      <c r="P32" s="532"/>
      <c r="Q32" s="533"/>
      <c r="R32" s="532"/>
      <c r="S32" s="531"/>
      <c r="T32" s="532"/>
      <c r="U32" s="532"/>
    </row>
    <row r="33" spans="1:21" s="3" customFormat="1" ht="15" customHeight="1">
      <c r="A33" s="163">
        <v>28</v>
      </c>
      <c r="B33" s="570">
        <v>306610</v>
      </c>
      <c r="C33" s="513">
        <v>404892</v>
      </c>
      <c r="D33" s="26">
        <v>392517</v>
      </c>
      <c r="E33" s="69">
        <v>395655</v>
      </c>
      <c r="F33" s="509">
        <v>213198</v>
      </c>
      <c r="G33" s="306">
        <v>255362</v>
      </c>
      <c r="H33" s="384">
        <v>397173</v>
      </c>
      <c r="I33" s="27">
        <v>247264</v>
      </c>
      <c r="J33" s="542">
        <v>423939</v>
      </c>
      <c r="K33" s="602">
        <v>343231</v>
      </c>
      <c r="L33" s="629">
        <v>446444</v>
      </c>
      <c r="M33" s="550">
        <v>358093</v>
      </c>
      <c r="N33" s="531"/>
      <c r="O33" s="616"/>
      <c r="P33" s="531"/>
      <c r="Q33" s="531"/>
      <c r="R33" s="532"/>
      <c r="S33" s="532"/>
      <c r="T33" s="532"/>
      <c r="U33" s="532"/>
    </row>
    <row r="34" spans="1:21" s="3" customFormat="1" ht="15" customHeight="1">
      <c r="A34" s="162">
        <v>29</v>
      </c>
      <c r="B34" s="568">
        <v>231170</v>
      </c>
      <c r="C34" s="518"/>
      <c r="D34" s="385">
        <v>390715</v>
      </c>
      <c r="E34" s="511">
        <v>307409</v>
      </c>
      <c r="F34" s="26">
        <v>375314</v>
      </c>
      <c r="G34" s="26">
        <v>390072</v>
      </c>
      <c r="H34" s="582">
        <v>298591</v>
      </c>
      <c r="I34" s="27">
        <v>435339</v>
      </c>
      <c r="J34" s="542">
        <v>433719</v>
      </c>
      <c r="K34" s="602">
        <v>245032</v>
      </c>
      <c r="L34" s="545">
        <v>432915</v>
      </c>
      <c r="M34" s="550">
        <v>359972</v>
      </c>
      <c r="N34" s="531"/>
      <c r="O34" s="616"/>
      <c r="P34" s="531"/>
      <c r="Q34" s="531"/>
      <c r="R34" s="532"/>
      <c r="S34" s="531"/>
      <c r="T34" s="532"/>
      <c r="U34" s="532"/>
    </row>
    <row r="35" spans="1:21" s="3" customFormat="1" ht="15" customHeight="1">
      <c r="A35" s="163">
        <v>30</v>
      </c>
      <c r="B35" s="523">
        <v>388880</v>
      </c>
      <c r="C35" s="518"/>
      <c r="D35" s="26">
        <v>385765</v>
      </c>
      <c r="E35" s="511">
        <v>221951</v>
      </c>
      <c r="F35" s="26">
        <v>379930</v>
      </c>
      <c r="G35" s="26">
        <v>399360</v>
      </c>
      <c r="H35" s="582">
        <v>220828</v>
      </c>
      <c r="I35" s="27">
        <v>419073</v>
      </c>
      <c r="J35" s="589">
        <v>348614</v>
      </c>
      <c r="K35" s="620">
        <v>223793</v>
      </c>
      <c r="L35" s="545">
        <v>427153</v>
      </c>
      <c r="M35" s="624">
        <v>254007</v>
      </c>
      <c r="N35" s="531"/>
      <c r="O35" s="616"/>
      <c r="P35" s="531"/>
      <c r="Q35" s="533"/>
      <c r="R35" s="532"/>
      <c r="S35" s="532"/>
      <c r="T35" s="532"/>
      <c r="U35" s="532"/>
    </row>
    <row r="36" spans="1:21" s="3" customFormat="1" ht="15" customHeight="1">
      <c r="A36" s="615">
        <v>31</v>
      </c>
      <c r="B36" s="573">
        <v>395167</v>
      </c>
      <c r="C36" s="519"/>
      <c r="D36" s="41">
        <v>398339</v>
      </c>
      <c r="E36" s="512"/>
      <c r="F36" s="41">
        <v>386136</v>
      </c>
      <c r="G36" s="512"/>
      <c r="H36" s="386">
        <v>394278</v>
      </c>
      <c r="I36" s="124">
        <v>379052</v>
      </c>
      <c r="J36" s="591"/>
      <c r="K36" s="554">
        <v>335803</v>
      </c>
      <c r="L36" s="619"/>
      <c r="M36" s="623">
        <v>166402</v>
      </c>
      <c r="N36" s="532"/>
      <c r="O36" s="616"/>
      <c r="P36" s="531"/>
      <c r="Q36" s="531"/>
      <c r="R36" s="532"/>
      <c r="S36" s="532"/>
      <c r="T36" s="532"/>
      <c r="U36" s="532"/>
    </row>
    <row r="37" spans="1:21">
      <c r="A37" s="609" t="s">
        <v>19</v>
      </c>
      <c r="B37" s="520">
        <f t="shared" ref="B37:M37" si="0">IFERROR(AVERAGE(B6:B36),0)</f>
        <v>337616.51612903224</v>
      </c>
      <c r="C37" s="521">
        <f t="shared" si="0"/>
        <v>359090.64285714284</v>
      </c>
      <c r="D37" s="522">
        <f t="shared" si="0"/>
        <v>355139.09677419357</v>
      </c>
      <c r="E37" s="522">
        <f t="shared" si="0"/>
        <v>335511.38461538462</v>
      </c>
      <c r="F37" s="522">
        <f t="shared" si="0"/>
        <v>345587.70967741933</v>
      </c>
      <c r="G37" s="522">
        <f t="shared" si="0"/>
        <v>346821.53333333333</v>
      </c>
      <c r="H37" s="522">
        <f>IFERROR(AVERAGE(H6:H36),0)</f>
        <v>350917.58064516127</v>
      </c>
      <c r="I37" s="535">
        <f t="shared" si="0"/>
        <v>374774.3548387097</v>
      </c>
      <c r="J37" s="555">
        <f t="shared" si="0"/>
        <v>379816</v>
      </c>
      <c r="K37" s="547">
        <f t="shared" si="0"/>
        <v>374077.16129032261</v>
      </c>
      <c r="L37" s="548">
        <f t="shared" si="0"/>
        <v>366078.03333333333</v>
      </c>
      <c r="M37" s="549">
        <f t="shared" si="0"/>
        <v>360947.48387096776</v>
      </c>
      <c r="N37" s="532"/>
      <c r="O37" s="531"/>
      <c r="P37" s="531"/>
      <c r="Q37" s="531"/>
      <c r="R37" s="532"/>
      <c r="S37" s="531"/>
      <c r="T37" s="532"/>
      <c r="U37" s="532"/>
    </row>
    <row r="38" spans="1:21">
      <c r="A38" s="610" t="s">
        <v>20</v>
      </c>
      <c r="B38" s="523">
        <f>IFERROR(AVERAGE(B8:B11,B14:B18,B21:B25,B28:B32,B35:B36),0)</f>
        <v>379478.80952380953</v>
      </c>
      <c r="C38" s="513">
        <f>AVERAGE(C6:C8,C11:C15,C18:C22,C25:C28,C32:C33)</f>
        <v>398704.68421052629</v>
      </c>
      <c r="D38" s="69">
        <f>IFERROR(AVERAGE(D6:D8,D11:D15,D18:D22,D25:D29,D32:D36),0)</f>
        <v>383537.39130434784</v>
      </c>
      <c r="E38" s="50">
        <f>AVERAGE(E8:E10,E16:E19,E22:E25,E29:E33)</f>
        <v>385347.875</v>
      </c>
      <c r="F38" s="50">
        <f>AVERAGE(F7:F10,F13:F17,F20:F24,F27:F31,F34:F36)</f>
        <v>382914.45454545453</v>
      </c>
      <c r="G38" s="50">
        <f>AVERAGE(G6:G7,G10:G14,G18:G21,G24:G28,G31:G32,G34:G35)</f>
        <v>389837.85</v>
      </c>
      <c r="H38" s="50">
        <f>AVERAGE(H8:H12,H15:H19,H22:H26,H29:H33,H36)</f>
        <v>390956.85714285716</v>
      </c>
      <c r="I38" s="536">
        <f>IFERROR(AVERAGE(I6:I9,I12:I16,I19:I23,I27:I30,I34:I36),0)</f>
        <v>419556.23809523811</v>
      </c>
      <c r="J38" s="541">
        <f>IFERROR(AVERAGE(J6,J9:J13,J16:J20,J23:J27,J30:J34),0)</f>
        <v>419448.66666666669</v>
      </c>
      <c r="K38" s="543">
        <f>AVERAGE(K7:K11,K14:K18,K21:K25,K28:K32,K36)</f>
        <v>417861.42857142858</v>
      </c>
      <c r="L38" s="544">
        <f>AVERAGE(L8,L11:L15,L18:L22,L25:L29,L33:L35)</f>
        <v>419555.89473684208</v>
      </c>
      <c r="M38" s="550">
        <f>AVERAGE(M6,M9:M12,M16:M20,M23:M27,M31:M34)</f>
        <v>410344.68421052629</v>
      </c>
      <c r="N38" s="531"/>
      <c r="O38" s="532"/>
      <c r="P38" s="531"/>
      <c r="Q38" s="532"/>
      <c r="R38" s="532"/>
      <c r="S38" s="531"/>
      <c r="T38" s="532"/>
      <c r="U38" s="532"/>
    </row>
    <row r="39" spans="1:21">
      <c r="A39" s="611" t="s">
        <v>21</v>
      </c>
      <c r="B39" s="523">
        <f>IFERROR(AVERAGE(B12,B19,B26,B33),0)</f>
        <v>300489.25</v>
      </c>
      <c r="C39" s="513">
        <f>AVERAGE(C9,C16,C23,C30)</f>
        <v>308779.25</v>
      </c>
      <c r="D39" s="258">
        <f>IFERROR(AVERAGE(D9,D16,D23,D30),0)</f>
        <v>310737.5</v>
      </c>
      <c r="E39" s="53">
        <f>AVERAGE(E6,E20,E27,E34)</f>
        <v>297428.75</v>
      </c>
      <c r="F39" s="53">
        <f>AVERAGE(F11,F18,F25,F32)</f>
        <v>296603</v>
      </c>
      <c r="G39" s="53">
        <f>AVERAGE(G8,G15,G22,G29)</f>
        <v>310061.25</v>
      </c>
      <c r="H39" s="53">
        <f>AVERAGE(H6,H13,H20,H27,H34)</f>
        <v>306981.8</v>
      </c>
      <c r="I39" s="384">
        <f>AVERAGE(I10,I17,I24,I31)</f>
        <v>329849.75</v>
      </c>
      <c r="J39" s="546">
        <f>AVERAGE(J7,J14,J21,J28,J35)</f>
        <v>326551</v>
      </c>
      <c r="K39" s="543">
        <f>IFERROR(AVERAGE(K12,K19,K26,K33),0)</f>
        <v>336808.75</v>
      </c>
      <c r="L39" s="544">
        <f>AVERAGE(L9,L16,L23,L30)</f>
        <v>331177.75</v>
      </c>
      <c r="M39" s="550">
        <f>AVERAGE(M7,M14,M21,M28)</f>
        <v>347230.5</v>
      </c>
      <c r="N39" s="531"/>
      <c r="O39" s="531"/>
      <c r="P39" s="531"/>
      <c r="Q39" s="532"/>
      <c r="R39" s="531"/>
      <c r="S39" s="531"/>
      <c r="T39" s="532"/>
      <c r="U39" s="532"/>
    </row>
    <row r="40" spans="1:21">
      <c r="A40" s="611" t="s">
        <v>22</v>
      </c>
      <c r="B40" s="523">
        <f>IFERROR(AVERAGE(B6:B7,B13,B20,B27,B34),0)</f>
        <v>215850</v>
      </c>
      <c r="C40" s="513">
        <f>AVERAGE(C10,C17,C24,C31,C29)</f>
        <v>248806.39999999999</v>
      </c>
      <c r="D40" s="258">
        <f>IFERROR(AVERAGE(D10,D17,D24,D31),0)</f>
        <v>236250.5</v>
      </c>
      <c r="E40" s="53">
        <f>AVERAGE(E7,E21,E28,E35,E15,E26)</f>
        <v>228002.5</v>
      </c>
      <c r="F40" s="53">
        <f>AVERAGE(F12,F19,F26,F33,F6)</f>
        <v>220537.8</v>
      </c>
      <c r="G40" s="53">
        <f>AVERAGE(G9,G16:G17,G23,G30,G33)</f>
        <v>227940.66666666666</v>
      </c>
      <c r="H40" s="53">
        <f>AVERAGE(H7,H14,H21,H28,H35)</f>
        <v>226688.4</v>
      </c>
      <c r="I40" s="384">
        <f>AVERAGE(I11,I18,I25:I26,I32:I33)</f>
        <v>247987.5</v>
      </c>
      <c r="J40" s="541">
        <f>AVERAGE(J8,J15,J22,J29)</f>
        <v>238325.75</v>
      </c>
      <c r="K40" s="543">
        <f>IFERROR(AVERAGE(K13,K20,K27,K34:K35,K6),0)</f>
        <v>245677.83333333334</v>
      </c>
      <c r="L40" s="544">
        <f>AVERAGE(L10,L17,L24,L31:L32,L6:L7)</f>
        <v>240866.85714285713</v>
      </c>
      <c r="M40" s="550">
        <f>AVERAGE(M13,M15,M22,M29:M30,M35:M36,M8)</f>
        <v>250487.625</v>
      </c>
      <c r="N40" s="531"/>
      <c r="O40" s="532"/>
      <c r="P40" s="531"/>
      <c r="Q40" s="532"/>
      <c r="R40" s="532"/>
      <c r="S40" s="532"/>
      <c r="T40" s="532"/>
      <c r="U40" s="532"/>
    </row>
    <row r="41" spans="1:21">
      <c r="A41" s="611" t="s">
        <v>23</v>
      </c>
      <c r="B41" s="523">
        <f>IFERROR(AVERAGE(B6:B7,B12:B13,B19:B20,B26:B27,B33:B34),0)</f>
        <v>249705.7</v>
      </c>
      <c r="C41" s="513">
        <f>AVERAGE(C9:C10,C16:C17,C23:C24,C29:C31)</f>
        <v>275461</v>
      </c>
      <c r="D41" s="258">
        <f>IFERROR(AVERAGE(D9:D10,D16:D17,D23:D24,D30:D31),0)</f>
        <v>273494</v>
      </c>
      <c r="E41" s="53">
        <f>AVERAGE(E6:E7,E15,E20:E21,E26:E28,E34:E35)</f>
        <v>255773</v>
      </c>
      <c r="F41" s="53">
        <f>AVERAGE(F6,F11:F12,F18:F19,F25:F26,F32:F33)</f>
        <v>254344.55555555556</v>
      </c>
      <c r="G41" s="53">
        <f>AVERAGE(G8:G9,G15:G17,G22:G23,G29:G30,G33)</f>
        <v>260788.9</v>
      </c>
      <c r="H41" s="53">
        <f>AVERAGE(H6:H7,H13:H14,H20:H21,H27:H28,H34:H35)</f>
        <v>266835.09999999998</v>
      </c>
      <c r="I41" s="262">
        <f>AVERAGE(I10:I11,I17:I18,I24:I25,I31:I32)</f>
        <v>287965.5</v>
      </c>
      <c r="J41" s="604">
        <f>AVERAGE(J7:J8,J14:J15,J21:J22,J28:J29,J35)</f>
        <v>287339.77777777775</v>
      </c>
      <c r="K41" s="604">
        <f>AVERAGE(K6,K12:K13,K19:K20,K26:K27,K33:K35)</f>
        <v>282130.2</v>
      </c>
      <c r="L41" s="605">
        <f>AVERAGE(L9:L10,L16:L17,L23:L24,L30:L31)</f>
        <v>289936.25</v>
      </c>
      <c r="M41" s="550">
        <f>AVERAGE(M7:M8,M14:M15,M21:M22,M28:M29,M36)</f>
        <v>288698.77777777775</v>
      </c>
      <c r="N41" s="531"/>
      <c r="O41" s="532"/>
      <c r="P41" s="531"/>
      <c r="Q41" s="532"/>
      <c r="R41" s="532"/>
      <c r="S41" s="531"/>
      <c r="T41" s="532"/>
      <c r="U41" s="532"/>
    </row>
    <row r="42" spans="1:21">
      <c r="A42" s="611" t="s">
        <v>24</v>
      </c>
      <c r="B42" s="524">
        <f>MAX(B6:B36)</f>
        <v>396345</v>
      </c>
      <c r="C42" s="525">
        <f>MAX(C6:C36)</f>
        <v>408259</v>
      </c>
      <c r="D42" s="525">
        <f t="shared" ref="D42:M42" si="1">MAX(D6:D36)</f>
        <v>404498</v>
      </c>
      <c r="E42" s="525">
        <f t="shared" si="1"/>
        <v>410554</v>
      </c>
      <c r="F42" s="525">
        <f t="shared" si="1"/>
        <v>396268</v>
      </c>
      <c r="G42" s="525">
        <f t="shared" si="1"/>
        <v>404665</v>
      </c>
      <c r="H42" s="525">
        <f t="shared" si="1"/>
        <v>414916</v>
      </c>
      <c r="I42" s="537">
        <f t="shared" si="1"/>
        <v>450298</v>
      </c>
      <c r="J42" s="603">
        <f t="shared" si="1"/>
        <v>434056</v>
      </c>
      <c r="K42" s="603">
        <f t="shared" si="1"/>
        <v>445904</v>
      </c>
      <c r="L42" s="603">
        <f t="shared" si="1"/>
        <v>446444</v>
      </c>
      <c r="M42" s="612">
        <f t="shared" si="1"/>
        <v>444900</v>
      </c>
      <c r="N42" s="531"/>
      <c r="O42" s="532"/>
      <c r="P42" s="531"/>
      <c r="Q42" s="532"/>
      <c r="R42" s="532"/>
      <c r="S42" s="532"/>
      <c r="T42" s="532"/>
      <c r="U42" s="532"/>
    </row>
    <row r="43" spans="1:21">
      <c r="A43" s="613" t="s">
        <v>47</v>
      </c>
      <c r="B43" s="526">
        <f>MIN(B6:B36)</f>
        <v>162027</v>
      </c>
      <c r="C43" s="527">
        <f t="shared" ref="C43" si="2">MIN(C6:C36)</f>
        <v>225570</v>
      </c>
      <c r="D43" s="527">
        <f t="shared" ref="D43:M43" si="3">MIN(D6:D36)</f>
        <v>229230</v>
      </c>
      <c r="E43" s="527">
        <f t="shared" si="3"/>
        <v>209147</v>
      </c>
      <c r="F43" s="528">
        <f t="shared" si="3"/>
        <v>213198</v>
      </c>
      <c r="G43" s="527">
        <f t="shared" si="3"/>
        <v>200029</v>
      </c>
      <c r="H43" s="527">
        <f t="shared" si="3"/>
        <v>219170</v>
      </c>
      <c r="I43" s="538">
        <f t="shared" si="3"/>
        <v>236411</v>
      </c>
      <c r="J43" s="606">
        <f t="shared" si="3"/>
        <v>216751</v>
      </c>
      <c r="K43" s="607">
        <f t="shared" si="3"/>
        <v>223793</v>
      </c>
      <c r="L43" s="608">
        <f t="shared" si="3"/>
        <v>199185</v>
      </c>
      <c r="M43" s="550">
        <f t="shared" si="3"/>
        <v>166402</v>
      </c>
      <c r="N43" s="532"/>
      <c r="O43" s="532"/>
      <c r="P43" s="531"/>
      <c r="Q43" s="532"/>
      <c r="R43" s="532"/>
      <c r="S43" s="531"/>
      <c r="T43" s="532"/>
      <c r="U43" s="532"/>
    </row>
    <row r="44" spans="1:21" s="60" customFormat="1" ht="11.25">
      <c r="A44" s="614" t="s">
        <v>25</v>
      </c>
      <c r="B44" s="529">
        <f t="shared" ref="B44:C44" si="4">SUM(B6:B36)</f>
        <v>10466112</v>
      </c>
      <c r="C44" s="530">
        <f t="shared" si="4"/>
        <v>10054538</v>
      </c>
      <c r="D44" s="530">
        <f>SUM(D6:D36)</f>
        <v>11009312</v>
      </c>
      <c r="E44" s="530">
        <f t="shared" ref="E44:L44" si="5">SUM(E6:E36)</f>
        <v>8723296</v>
      </c>
      <c r="F44" s="586">
        <f t="shared" si="5"/>
        <v>10713219</v>
      </c>
      <c r="G44" s="530">
        <f t="shared" si="5"/>
        <v>10404646</v>
      </c>
      <c r="H44" s="530">
        <f t="shared" si="5"/>
        <v>10878445</v>
      </c>
      <c r="I44" s="587">
        <f t="shared" si="5"/>
        <v>11618005</v>
      </c>
      <c r="J44" s="556">
        <f t="shared" si="5"/>
        <v>11394480</v>
      </c>
      <c r="K44" s="551">
        <f t="shared" si="5"/>
        <v>11596392</v>
      </c>
      <c r="L44" s="552">
        <f t="shared" si="5"/>
        <v>10982341</v>
      </c>
      <c r="M44" s="553">
        <f>SUM(M6:M36)</f>
        <v>11189372</v>
      </c>
      <c r="N44" s="531"/>
      <c r="O44" s="532"/>
      <c r="P44" s="531"/>
      <c r="Q44" s="532"/>
      <c r="R44" s="532"/>
      <c r="S44" s="531"/>
      <c r="T44" s="532"/>
      <c r="U44" s="532"/>
    </row>
    <row r="45" spans="1:21">
      <c r="J45" s="531"/>
      <c r="K45" s="539"/>
      <c r="L45" s="532"/>
      <c r="M45" s="532"/>
      <c r="N45" s="531"/>
      <c r="O45" s="532"/>
      <c r="P45" s="531"/>
      <c r="Q45" s="532"/>
      <c r="R45" s="532"/>
      <c r="S45" s="531"/>
      <c r="T45" s="532"/>
      <c r="U45" s="531"/>
    </row>
    <row r="46" spans="1:21">
      <c r="J46" s="531"/>
      <c r="K46" s="539"/>
      <c r="L46" s="532"/>
      <c r="M46" s="532"/>
      <c r="N46" s="532"/>
      <c r="O46" s="531"/>
      <c r="P46" s="531"/>
      <c r="Q46" s="532"/>
      <c r="R46" s="532"/>
      <c r="S46" s="531"/>
      <c r="T46" s="532"/>
      <c r="U46" s="531"/>
    </row>
    <row r="47" spans="1:21">
      <c r="J47" s="531"/>
      <c r="K47" s="539"/>
      <c r="L47" s="532"/>
      <c r="M47" s="532"/>
      <c r="N47" s="531"/>
      <c r="O47" s="532"/>
      <c r="P47" s="531"/>
      <c r="Q47" s="531"/>
      <c r="R47" s="531"/>
      <c r="S47" s="532"/>
      <c r="T47" s="532"/>
      <c r="U47" s="531"/>
    </row>
    <row r="48" spans="1:21">
      <c r="J48" s="531"/>
      <c r="K48" s="539"/>
      <c r="L48" s="532"/>
      <c r="M48" s="531"/>
      <c r="N48" s="531"/>
      <c r="O48" s="532"/>
      <c r="P48" s="531"/>
      <c r="Q48" s="532"/>
      <c r="R48" s="532"/>
      <c r="S48" s="531"/>
      <c r="T48" s="532"/>
      <c r="U48" s="532"/>
    </row>
    <row r="49" spans="10:21">
      <c r="J49" s="531"/>
      <c r="K49" s="539"/>
      <c r="L49" s="532"/>
      <c r="M49" s="531"/>
      <c r="N49" s="531"/>
      <c r="O49" s="532"/>
      <c r="P49" s="531"/>
      <c r="Q49" s="532"/>
      <c r="R49" s="531"/>
      <c r="S49" s="531"/>
      <c r="T49" s="532"/>
      <c r="U49" s="532"/>
    </row>
    <row r="50" spans="10:21">
      <c r="J50" s="531"/>
      <c r="K50" s="539"/>
      <c r="L50" s="532"/>
      <c r="M50" s="531"/>
      <c r="N50" s="532"/>
      <c r="O50" s="532"/>
      <c r="P50" s="531"/>
      <c r="Q50" s="532"/>
      <c r="R50" s="531"/>
      <c r="S50" s="531"/>
      <c r="T50" s="531"/>
      <c r="U50" s="531"/>
    </row>
    <row r="51" spans="10:21">
      <c r="J51" s="531"/>
      <c r="K51" s="539"/>
      <c r="L51" s="532"/>
      <c r="M51" s="531"/>
      <c r="N51" s="532"/>
      <c r="O51" s="531"/>
      <c r="P51" s="531"/>
      <c r="Q51" s="532"/>
      <c r="R51" s="531"/>
      <c r="S51" s="531"/>
      <c r="T51" s="531"/>
      <c r="U51" s="532"/>
    </row>
    <row r="52" spans="10:21">
      <c r="J52" s="531"/>
      <c r="K52" s="539"/>
      <c r="L52" s="532"/>
      <c r="M52" s="531"/>
      <c r="N52" s="532"/>
      <c r="O52" s="531"/>
      <c r="P52" s="531"/>
      <c r="Q52" s="532"/>
      <c r="R52" s="531"/>
      <c r="S52" s="531"/>
      <c r="T52" s="531"/>
      <c r="U52" s="531"/>
    </row>
    <row r="53" spans="10:21">
      <c r="J53" s="532"/>
      <c r="K53" s="539"/>
      <c r="L53" s="532"/>
      <c r="M53" s="531"/>
      <c r="N53" s="532"/>
      <c r="O53" s="532"/>
      <c r="P53" s="531"/>
      <c r="Q53" s="532"/>
      <c r="R53" s="531"/>
      <c r="S53" s="531"/>
      <c r="T53" s="531"/>
      <c r="U53" s="532"/>
    </row>
    <row r="54" spans="10:21">
      <c r="J54" s="531"/>
      <c r="K54" s="539"/>
      <c r="L54" s="532"/>
      <c r="M54" s="531"/>
      <c r="N54" s="532"/>
      <c r="O54" s="532"/>
      <c r="P54" s="531"/>
      <c r="Q54" s="532"/>
      <c r="R54" s="531"/>
      <c r="S54" s="531"/>
      <c r="T54" s="532"/>
      <c r="U54" s="531"/>
    </row>
    <row r="55" spans="10:21">
      <c r="J55" s="531"/>
      <c r="K55" s="539"/>
      <c r="L55" s="532"/>
      <c r="M55" s="531"/>
      <c r="N55" s="532"/>
      <c r="O55" s="532"/>
      <c r="P55" s="531"/>
      <c r="Q55" s="532"/>
      <c r="R55" s="531"/>
      <c r="S55" s="531"/>
      <c r="T55" s="532"/>
      <c r="U55" s="531"/>
    </row>
    <row r="56" spans="10:21">
      <c r="J56" s="532"/>
      <c r="K56" s="540"/>
      <c r="L56" s="534"/>
      <c r="M56" s="531"/>
      <c r="N56" s="532"/>
      <c r="O56" s="532"/>
      <c r="P56" s="531"/>
      <c r="Q56" s="532"/>
      <c r="R56" s="531"/>
      <c r="S56" s="531"/>
      <c r="T56" s="532"/>
      <c r="U56" s="531"/>
    </row>
    <row r="57" spans="10:21">
      <c r="J57" s="531"/>
      <c r="K57" s="540"/>
      <c r="L57" s="532"/>
      <c r="M57" s="531"/>
      <c r="N57" s="532"/>
      <c r="O57" s="532"/>
      <c r="P57" s="531"/>
      <c r="Q57" s="532"/>
      <c r="R57" s="531"/>
      <c r="S57" s="531"/>
      <c r="T57" s="532"/>
      <c r="U57" s="532"/>
    </row>
    <row r="58" spans="10:21">
      <c r="J58" s="532"/>
      <c r="K58" s="540"/>
      <c r="L58" s="532"/>
      <c r="M58" s="531"/>
      <c r="N58" s="532"/>
      <c r="O58" s="531"/>
      <c r="P58" s="531"/>
      <c r="Q58" s="532"/>
      <c r="R58" s="532"/>
      <c r="S58" s="531"/>
      <c r="T58" s="532"/>
      <c r="U58" s="532"/>
    </row>
  </sheetData>
  <mergeCells count="2">
    <mergeCell ref="E1:I1"/>
    <mergeCell ref="E2:I3"/>
  </mergeCells>
  <conditionalFormatting sqref="B6:M36">
    <cfRule type="top10" dxfId="20" priority="6" rank="1"/>
  </conditionalFormatting>
  <conditionalFormatting sqref="B42:M42">
    <cfRule type="top10" dxfId="19" priority="1" rank="1"/>
  </conditionalFormatting>
  <conditionalFormatting sqref="F6:F36">
    <cfRule type="top10" dxfId="18" priority="5" rank="1"/>
  </conditionalFormatting>
  <conditionalFormatting sqref="G6:G36">
    <cfRule type="top10" dxfId="17" priority="4" rank="1"/>
  </conditionalFormatting>
  <conditionalFormatting sqref="H6:H36">
    <cfRule type="top10" dxfId="16" priority="3" rank="1"/>
  </conditionalFormatting>
  <conditionalFormatting sqref="J6:J36">
    <cfRule type="top10" dxfId="15" priority="2" rank="1"/>
  </conditionalFormatting>
  <printOptions horizontalCentered="1" verticalCentered="1"/>
  <pageMargins left="0.25" right="0.25" top="0.25" bottom="0.75" header="0.3" footer="0.3"/>
  <pageSetup paperSize="9" scale="86" orientation="landscape" r:id="rId1"/>
  <ignoredErrors>
    <ignoredError sqref="J39:J40 M38:M41" evalError="1"/>
    <ignoredError sqref="J41" evalError="1" formulaRange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360B-D5C8-48CD-A14F-034265BE49C9}">
  <sheetPr>
    <pageSetUpPr fitToPage="1"/>
  </sheetPr>
  <dimension ref="A1:U58"/>
  <sheetViews>
    <sheetView zoomScaleNormal="100" zoomScaleSheetLayoutView="110" zoomScalePageLayoutView="120" workbookViewId="0">
      <pane xSplit="1" topLeftCell="B1" activePane="topRight" state="frozen"/>
      <selection pane="topRight" activeCell="M25" sqref="M25"/>
      <selection activeCell="N59" sqref="N59"/>
    </sheetView>
  </sheetViews>
  <sheetFormatPr defaultColWidth="8.85546875" defaultRowHeight="12"/>
  <cols>
    <col min="1" max="1" width="20" style="4" bestFit="1" customWidth="1"/>
    <col min="2" max="4" width="12" style="4" bestFit="1" customWidth="1"/>
    <col min="5" max="5" width="11.7109375" style="4" bestFit="1" customWidth="1"/>
    <col min="6" max="7" width="10.5703125" style="4" bestFit="1" customWidth="1"/>
    <col min="8" max="9" width="10" style="4" customWidth="1"/>
    <col min="10" max="10" width="10.42578125" style="4" customWidth="1"/>
    <col min="11" max="11" width="10" style="4" customWidth="1"/>
    <col min="12" max="12" width="10.140625" style="4" bestFit="1" customWidth="1"/>
    <col min="13" max="13" width="10" style="4" customWidth="1"/>
    <col min="14" max="16384" width="8.85546875" style="4"/>
  </cols>
  <sheetData>
    <row r="1" spans="1:21" ht="12.75">
      <c r="E1" s="747" t="s">
        <v>0</v>
      </c>
      <c r="F1" s="747"/>
      <c r="G1" s="747"/>
      <c r="H1" s="747"/>
      <c r="I1" s="747"/>
    </row>
    <row r="2" spans="1:21" s="3" customFormat="1" ht="18">
      <c r="A2" s="1"/>
      <c r="B2" s="2"/>
      <c r="C2" s="2"/>
      <c r="E2" s="747" t="s">
        <v>1</v>
      </c>
      <c r="F2" s="747"/>
      <c r="G2" s="747"/>
      <c r="H2" s="747"/>
      <c r="I2" s="747"/>
    </row>
    <row r="3" spans="1:21" s="3" customFormat="1">
      <c r="A3" s="216" t="s">
        <v>63</v>
      </c>
      <c r="B3" s="217"/>
      <c r="C3" s="218"/>
      <c r="D3" s="219"/>
      <c r="E3" s="747"/>
      <c r="F3" s="747"/>
      <c r="G3" s="747"/>
      <c r="H3" s="747"/>
      <c r="I3" s="747"/>
      <c r="J3" s="219"/>
      <c r="K3" s="7" t="s">
        <v>3</v>
      </c>
      <c r="L3" s="644" t="s">
        <v>4</v>
      </c>
      <c r="M3" s="578" t="s">
        <v>5</v>
      </c>
    </row>
    <row r="4" spans="1:21" s="3" customFormat="1">
      <c r="A4" s="219"/>
      <c r="B4" s="217"/>
      <c r="C4" s="218"/>
      <c r="D4" s="219"/>
      <c r="E4" s="219"/>
      <c r="F4" s="216"/>
      <c r="G4" s="216"/>
      <c r="H4" s="219"/>
      <c r="I4" s="219"/>
      <c r="J4" s="219"/>
      <c r="K4" s="219"/>
      <c r="L4" s="219"/>
      <c r="M4" s="219"/>
    </row>
    <row r="5" spans="1:21" s="14" customFormat="1" ht="12.75" thickBot="1">
      <c r="A5" s="574" t="s">
        <v>6</v>
      </c>
      <c r="B5" s="557" t="s">
        <v>7</v>
      </c>
      <c r="C5" s="558" t="s">
        <v>8</v>
      </c>
      <c r="D5" s="558" t="s">
        <v>9</v>
      </c>
      <c r="E5" s="558" t="s">
        <v>10</v>
      </c>
      <c r="F5" s="558" t="s">
        <v>11</v>
      </c>
      <c r="G5" s="558" t="s">
        <v>12</v>
      </c>
      <c r="H5" s="558" t="s">
        <v>13</v>
      </c>
      <c r="I5" s="558" t="s">
        <v>14</v>
      </c>
      <c r="J5" s="558" t="s">
        <v>15</v>
      </c>
      <c r="K5" s="558" t="s">
        <v>16</v>
      </c>
      <c r="L5" s="558" t="s">
        <v>17</v>
      </c>
      <c r="M5" s="559" t="s">
        <v>18</v>
      </c>
    </row>
    <row r="6" spans="1:21" s="3" customFormat="1" ht="15" customHeight="1">
      <c r="A6" s="162">
        <v>1</v>
      </c>
      <c r="B6" s="561">
        <v>174890</v>
      </c>
      <c r="C6" s="635">
        <v>423216</v>
      </c>
      <c r="D6" s="278">
        <v>432543</v>
      </c>
      <c r="E6" s="636">
        <v>397159</v>
      </c>
      <c r="F6" s="297">
        <v>255234</v>
      </c>
      <c r="G6" s="585">
        <v>320694</v>
      </c>
      <c r="H6" s="268">
        <v>411601</v>
      </c>
      <c r="I6" s="69">
        <v>426440</v>
      </c>
      <c r="J6" s="721">
        <v>242545</v>
      </c>
      <c r="K6" s="69">
        <v>441536</v>
      </c>
      <c r="L6" s="21">
        <v>217300</v>
      </c>
      <c r="M6" s="722">
        <v>264435</v>
      </c>
      <c r="N6" s="23"/>
      <c r="O6" s="616"/>
      <c r="Q6" s="23"/>
      <c r="R6" s="23"/>
      <c r="S6" s="23"/>
      <c r="T6" s="23"/>
      <c r="U6" s="23"/>
    </row>
    <row r="7" spans="1:21" s="3" customFormat="1" ht="15" customHeight="1">
      <c r="A7" s="163">
        <v>2</v>
      </c>
      <c r="B7" s="627">
        <v>330672</v>
      </c>
      <c r="C7" s="635">
        <v>429978</v>
      </c>
      <c r="D7" s="647">
        <v>326947</v>
      </c>
      <c r="E7" s="679">
        <v>414035</v>
      </c>
      <c r="F7" s="637">
        <v>414610</v>
      </c>
      <c r="G7" s="585">
        <v>240947</v>
      </c>
      <c r="H7" s="271">
        <v>403706</v>
      </c>
      <c r="I7" s="69">
        <v>426862</v>
      </c>
      <c r="J7" s="30">
        <v>259645</v>
      </c>
      <c r="K7" s="69">
        <v>447438</v>
      </c>
      <c r="L7" s="122">
        <v>220352</v>
      </c>
      <c r="M7" s="28">
        <v>431222</v>
      </c>
      <c r="N7" s="23"/>
      <c r="O7" s="616"/>
      <c r="P7" s="23"/>
      <c r="Q7" s="23"/>
      <c r="R7" s="23"/>
      <c r="S7" s="23"/>
      <c r="T7" s="23"/>
      <c r="U7" s="23"/>
    </row>
    <row r="8" spans="1:21" s="3" customFormat="1" ht="15" customHeight="1">
      <c r="A8" s="162">
        <v>3</v>
      </c>
      <c r="B8" s="563">
        <v>397398</v>
      </c>
      <c r="C8" s="642">
        <v>328082</v>
      </c>
      <c r="D8" s="647">
        <v>247440</v>
      </c>
      <c r="E8" s="269">
        <v>415558</v>
      </c>
      <c r="F8" s="31">
        <v>411310</v>
      </c>
      <c r="G8" s="31">
        <v>417022</v>
      </c>
      <c r="H8" s="271">
        <v>426443</v>
      </c>
      <c r="I8" s="335">
        <v>326344</v>
      </c>
      <c r="J8" s="365">
        <v>326898</v>
      </c>
      <c r="K8" s="69">
        <v>436874</v>
      </c>
      <c r="L8" s="357">
        <v>232513</v>
      </c>
      <c r="M8" s="28">
        <v>448188</v>
      </c>
      <c r="N8" s="23"/>
      <c r="O8" s="616"/>
      <c r="P8" s="23"/>
      <c r="Q8" s="23"/>
      <c r="R8" s="23"/>
      <c r="S8" s="23"/>
      <c r="T8" s="23"/>
      <c r="U8" s="23"/>
    </row>
    <row r="9" spans="1:21" s="3" customFormat="1" ht="15" customHeight="1">
      <c r="A9" s="163">
        <v>4</v>
      </c>
      <c r="B9" s="564">
        <v>387950</v>
      </c>
      <c r="C9" s="643">
        <v>242856</v>
      </c>
      <c r="D9" s="280">
        <v>422885</v>
      </c>
      <c r="E9" s="269">
        <v>407794</v>
      </c>
      <c r="F9" s="584">
        <v>306389</v>
      </c>
      <c r="G9" s="31">
        <v>420739</v>
      </c>
      <c r="H9" s="273">
        <v>413568</v>
      </c>
      <c r="I9" s="723">
        <v>239869</v>
      </c>
      <c r="J9" s="365">
        <v>381775</v>
      </c>
      <c r="K9" s="69">
        <v>442695</v>
      </c>
      <c r="L9" s="27">
        <v>429356</v>
      </c>
      <c r="M9" s="28">
        <v>448082</v>
      </c>
      <c r="N9" s="23"/>
      <c r="O9" s="616"/>
      <c r="P9" s="23"/>
      <c r="Q9" s="23"/>
      <c r="R9" s="23"/>
      <c r="S9" s="23"/>
      <c r="T9" s="23"/>
      <c r="U9" s="23"/>
    </row>
    <row r="10" spans="1:21" s="3" customFormat="1" ht="15" customHeight="1">
      <c r="A10" s="162">
        <v>5</v>
      </c>
      <c r="B10" s="564">
        <v>402214</v>
      </c>
      <c r="C10" s="638">
        <v>425995</v>
      </c>
      <c r="D10" s="270">
        <v>428432</v>
      </c>
      <c r="E10" s="269">
        <v>414604</v>
      </c>
      <c r="F10" s="584">
        <v>224842</v>
      </c>
      <c r="G10" s="31">
        <v>422268</v>
      </c>
      <c r="H10" s="271">
        <v>410329</v>
      </c>
      <c r="I10" s="227">
        <v>419248</v>
      </c>
      <c r="J10" s="365">
        <v>369486</v>
      </c>
      <c r="K10" s="335">
        <v>333650</v>
      </c>
      <c r="L10" s="27">
        <v>443986</v>
      </c>
      <c r="M10" s="28">
        <v>442102</v>
      </c>
      <c r="N10" s="23"/>
      <c r="O10" s="616"/>
      <c r="P10" s="23"/>
      <c r="Q10" s="23"/>
      <c r="R10" s="23"/>
      <c r="S10" s="23"/>
      <c r="T10" s="23"/>
      <c r="U10" s="23"/>
    </row>
    <row r="11" spans="1:21" s="3" customFormat="1" ht="15" customHeight="1">
      <c r="A11" s="163">
        <v>6</v>
      </c>
      <c r="B11" s="645">
        <v>309516</v>
      </c>
      <c r="C11" s="635">
        <v>434012</v>
      </c>
      <c r="D11" s="270">
        <v>433960</v>
      </c>
      <c r="E11" s="584">
        <v>305560</v>
      </c>
      <c r="F11" s="269">
        <v>407881</v>
      </c>
      <c r="G11" s="274">
        <v>417556</v>
      </c>
      <c r="H11" s="582">
        <v>315930</v>
      </c>
      <c r="I11" s="69">
        <v>426367</v>
      </c>
      <c r="J11" s="365">
        <v>418548</v>
      </c>
      <c r="K11" s="335">
        <v>238388</v>
      </c>
      <c r="L11" s="27">
        <v>448442</v>
      </c>
      <c r="M11" s="28">
        <v>456608</v>
      </c>
      <c r="N11" s="23"/>
      <c r="O11" s="616"/>
      <c r="P11" s="23"/>
      <c r="Q11" s="23"/>
      <c r="R11" s="23"/>
      <c r="S11" s="23"/>
      <c r="T11" s="23"/>
      <c r="U11" s="23"/>
    </row>
    <row r="12" spans="1:21" s="3" customFormat="1" ht="15" customHeight="1">
      <c r="A12" s="162">
        <v>7</v>
      </c>
      <c r="B12" s="645">
        <v>237810</v>
      </c>
      <c r="C12" s="635">
        <v>441093</v>
      </c>
      <c r="D12" s="270">
        <v>421707</v>
      </c>
      <c r="E12" s="584">
        <v>216558</v>
      </c>
      <c r="F12" s="269">
        <v>412500</v>
      </c>
      <c r="G12" s="31">
        <v>418902</v>
      </c>
      <c r="H12" s="582">
        <v>238879</v>
      </c>
      <c r="I12" s="69">
        <v>430140</v>
      </c>
      <c r="J12" s="336">
        <v>327435</v>
      </c>
      <c r="K12" s="69">
        <v>423949</v>
      </c>
      <c r="L12" s="27">
        <v>435639</v>
      </c>
      <c r="M12" s="724">
        <v>366349</v>
      </c>
      <c r="N12" s="23"/>
      <c r="O12" s="616"/>
      <c r="P12" s="23"/>
      <c r="Q12" s="23"/>
      <c r="R12" s="23"/>
      <c r="S12" s="23"/>
      <c r="T12" s="23"/>
      <c r="U12" s="23"/>
    </row>
    <row r="13" spans="1:21" s="3" customFormat="1" ht="15" customHeight="1">
      <c r="A13" s="163">
        <v>8</v>
      </c>
      <c r="B13" s="641">
        <v>413956</v>
      </c>
      <c r="C13" s="635">
        <v>447229</v>
      </c>
      <c r="D13" s="677">
        <v>434169</v>
      </c>
      <c r="E13" s="31">
        <v>398642</v>
      </c>
      <c r="F13" s="269">
        <v>418016</v>
      </c>
      <c r="G13" s="585">
        <v>321593</v>
      </c>
      <c r="H13" s="273">
        <v>416869</v>
      </c>
      <c r="I13" s="121">
        <v>421956</v>
      </c>
      <c r="J13" s="336">
        <v>241511</v>
      </c>
      <c r="K13" s="69">
        <v>447122</v>
      </c>
      <c r="L13" s="27">
        <v>445749</v>
      </c>
      <c r="M13" s="36">
        <v>279704</v>
      </c>
      <c r="N13" s="23"/>
      <c r="O13" s="616"/>
      <c r="P13" s="23"/>
      <c r="Q13" s="23"/>
      <c r="R13" s="23"/>
      <c r="S13" s="23" t="s">
        <v>64</v>
      </c>
      <c r="T13" s="23"/>
      <c r="U13" s="23"/>
    </row>
    <row r="14" spans="1:21" s="3" customFormat="1" ht="15" customHeight="1">
      <c r="A14" s="162">
        <v>9</v>
      </c>
      <c r="B14" s="523">
        <v>413520</v>
      </c>
      <c r="C14" s="653">
        <v>288611</v>
      </c>
      <c r="D14" s="647">
        <v>323961</v>
      </c>
      <c r="E14" s="33">
        <v>245225</v>
      </c>
      <c r="F14" s="31">
        <v>409041</v>
      </c>
      <c r="G14" s="584">
        <v>234457</v>
      </c>
      <c r="H14" s="273">
        <v>419811</v>
      </c>
      <c r="I14" s="69">
        <v>427966</v>
      </c>
      <c r="J14" s="30">
        <v>436957</v>
      </c>
      <c r="K14" s="69">
        <v>444107</v>
      </c>
      <c r="L14" s="357">
        <v>344343</v>
      </c>
      <c r="M14" s="28">
        <v>437439</v>
      </c>
      <c r="N14" s="23"/>
      <c r="O14" s="616"/>
      <c r="P14" s="23"/>
      <c r="Q14" s="23"/>
      <c r="R14" s="23"/>
      <c r="S14" s="23"/>
      <c r="T14" s="23"/>
      <c r="U14" s="23"/>
    </row>
    <row r="15" spans="1:21" s="3" customFormat="1" ht="15" customHeight="1">
      <c r="A15" s="163">
        <v>10</v>
      </c>
      <c r="B15" s="563">
        <v>430033</v>
      </c>
      <c r="C15" s="653">
        <v>272437</v>
      </c>
      <c r="D15" s="647">
        <v>237983</v>
      </c>
      <c r="E15" s="33">
        <v>240603</v>
      </c>
      <c r="F15" s="31">
        <v>413497</v>
      </c>
      <c r="G15" s="269">
        <v>423988</v>
      </c>
      <c r="H15" s="273">
        <v>426423</v>
      </c>
      <c r="I15" s="335">
        <v>322117</v>
      </c>
      <c r="J15" s="30">
        <v>448032</v>
      </c>
      <c r="K15" s="69">
        <v>436237</v>
      </c>
      <c r="L15" s="357">
        <v>252616</v>
      </c>
      <c r="M15" s="28">
        <v>455241</v>
      </c>
      <c r="N15" s="23"/>
      <c r="O15" s="616"/>
      <c r="P15" s="23"/>
      <c r="Q15" s="23"/>
      <c r="R15" s="23"/>
      <c r="S15" s="23"/>
      <c r="T15" s="23"/>
      <c r="U15" s="23"/>
    </row>
    <row r="16" spans="1:21" s="3" customFormat="1" ht="15" customHeight="1">
      <c r="A16" s="162">
        <v>11</v>
      </c>
      <c r="B16" s="564">
        <v>422982</v>
      </c>
      <c r="C16" s="643">
        <v>239253</v>
      </c>
      <c r="D16" s="280">
        <v>419562</v>
      </c>
      <c r="E16" s="31">
        <v>432622</v>
      </c>
      <c r="F16" s="584">
        <v>317752</v>
      </c>
      <c r="G16" s="31">
        <v>442393</v>
      </c>
      <c r="H16" s="273">
        <v>418694</v>
      </c>
      <c r="I16" s="335">
        <v>245555</v>
      </c>
      <c r="J16" s="30">
        <v>450814</v>
      </c>
      <c r="K16" s="69">
        <v>446147</v>
      </c>
      <c r="L16" s="27">
        <v>404667</v>
      </c>
      <c r="M16" s="28">
        <v>460675</v>
      </c>
      <c r="N16" s="23"/>
      <c r="O16" s="616"/>
      <c r="P16" s="23"/>
      <c r="Q16" s="23"/>
      <c r="R16" s="23"/>
      <c r="S16" s="23"/>
      <c r="T16" s="23"/>
      <c r="U16" s="23"/>
    </row>
    <row r="17" spans="1:21" s="3" customFormat="1" ht="15" customHeight="1">
      <c r="A17" s="163">
        <v>12</v>
      </c>
      <c r="B17" s="569">
        <v>427727</v>
      </c>
      <c r="C17" s="638">
        <v>428798</v>
      </c>
      <c r="D17" s="280">
        <v>429607</v>
      </c>
      <c r="E17" s="31">
        <v>423277</v>
      </c>
      <c r="F17" s="584">
        <v>230941</v>
      </c>
      <c r="G17" s="290">
        <v>279276</v>
      </c>
      <c r="H17" s="273">
        <v>421856</v>
      </c>
      <c r="I17" s="69">
        <v>427632</v>
      </c>
      <c r="J17" s="30">
        <v>441342</v>
      </c>
      <c r="K17" s="335">
        <v>336311</v>
      </c>
      <c r="L17" s="27">
        <v>445635</v>
      </c>
      <c r="M17" s="28">
        <v>449738</v>
      </c>
      <c r="N17" s="23"/>
      <c r="O17" s="616"/>
      <c r="P17" s="23"/>
      <c r="Q17" s="23"/>
      <c r="R17" s="23"/>
      <c r="S17" s="23"/>
      <c r="T17" s="23"/>
      <c r="U17" s="23"/>
    </row>
    <row r="18" spans="1:21" s="3" customFormat="1" ht="15" customHeight="1">
      <c r="A18" s="162">
        <v>13</v>
      </c>
      <c r="B18" s="646">
        <v>326178</v>
      </c>
      <c r="C18" s="635">
        <v>436878</v>
      </c>
      <c r="D18" s="280">
        <v>430430</v>
      </c>
      <c r="E18" s="585">
        <v>314085</v>
      </c>
      <c r="F18" s="269">
        <v>405858</v>
      </c>
      <c r="G18" s="31">
        <v>428714</v>
      </c>
      <c r="H18" s="582">
        <v>322206</v>
      </c>
      <c r="I18" s="69">
        <v>434989</v>
      </c>
      <c r="J18" s="30">
        <v>435420</v>
      </c>
      <c r="K18" s="333">
        <v>243783</v>
      </c>
      <c r="L18" s="27">
        <v>445417</v>
      </c>
      <c r="M18" s="28">
        <v>449721</v>
      </c>
      <c r="N18" s="23"/>
      <c r="O18" s="616"/>
      <c r="P18" s="23"/>
      <c r="Q18" s="23"/>
      <c r="R18" s="23"/>
      <c r="S18" s="23"/>
      <c r="T18" s="23"/>
      <c r="U18" s="23"/>
    </row>
    <row r="19" spans="1:21" s="3" customFormat="1" ht="15" customHeight="1">
      <c r="A19" s="163">
        <v>14</v>
      </c>
      <c r="B19" s="646">
        <v>238470</v>
      </c>
      <c r="C19" s="656">
        <v>446149</v>
      </c>
      <c r="D19" s="270">
        <v>423802</v>
      </c>
      <c r="E19" s="585">
        <v>226823</v>
      </c>
      <c r="F19" s="269">
        <v>409564</v>
      </c>
      <c r="G19" s="31">
        <v>426469</v>
      </c>
      <c r="H19" s="582">
        <v>242416</v>
      </c>
      <c r="I19" s="69">
        <v>433178</v>
      </c>
      <c r="J19" s="336">
        <v>342928</v>
      </c>
      <c r="K19" s="69">
        <v>422520</v>
      </c>
      <c r="L19" s="27">
        <v>440089</v>
      </c>
      <c r="M19" s="725">
        <v>382552</v>
      </c>
      <c r="N19" s="23"/>
      <c r="O19" s="616"/>
      <c r="P19" s="23" t="s">
        <v>62</v>
      </c>
      <c r="Q19" s="23"/>
      <c r="R19" s="23"/>
      <c r="S19" s="23"/>
      <c r="T19" s="23"/>
      <c r="U19" s="23"/>
    </row>
    <row r="20" spans="1:21" s="3" customFormat="1" ht="15" customHeight="1">
      <c r="A20" s="162">
        <v>15</v>
      </c>
      <c r="B20" s="523">
        <v>427779</v>
      </c>
      <c r="C20" s="635">
        <v>430944</v>
      </c>
      <c r="D20" s="678">
        <v>436748</v>
      </c>
      <c r="E20" s="31">
        <v>405082</v>
      </c>
      <c r="F20" s="269">
        <v>424247</v>
      </c>
      <c r="G20" s="585">
        <v>330510</v>
      </c>
      <c r="H20" s="273">
        <v>421657</v>
      </c>
      <c r="I20" s="69">
        <v>434558</v>
      </c>
      <c r="J20" s="336">
        <v>250540</v>
      </c>
      <c r="K20" s="26">
        <v>436041</v>
      </c>
      <c r="L20" s="27">
        <v>452355</v>
      </c>
      <c r="M20" s="725">
        <v>302154</v>
      </c>
      <c r="N20" s="2"/>
      <c r="O20" s="616"/>
      <c r="P20" s="23"/>
      <c r="Q20" s="23"/>
      <c r="R20" s="23"/>
      <c r="S20" s="23"/>
      <c r="T20" s="23"/>
      <c r="U20" s="23"/>
    </row>
    <row r="21" spans="1:21" s="3" customFormat="1" ht="15" customHeight="1">
      <c r="A21" s="163">
        <v>16</v>
      </c>
      <c r="B21" s="523">
        <v>430065</v>
      </c>
      <c r="C21" s="635">
        <v>435873</v>
      </c>
      <c r="D21" s="648">
        <v>338323</v>
      </c>
      <c r="E21" s="31">
        <v>418337</v>
      </c>
      <c r="F21" s="31">
        <v>415340</v>
      </c>
      <c r="G21" s="585">
        <v>238478</v>
      </c>
      <c r="H21" s="273">
        <v>428573</v>
      </c>
      <c r="I21" s="26">
        <v>439160</v>
      </c>
      <c r="J21" s="30">
        <v>431793</v>
      </c>
      <c r="K21" s="26">
        <v>458356</v>
      </c>
      <c r="L21" s="357">
        <v>354425</v>
      </c>
      <c r="M21" s="28">
        <v>445931</v>
      </c>
      <c r="N21" s="23"/>
      <c r="O21" s="616"/>
      <c r="P21" s="23"/>
      <c r="Q21" s="23"/>
      <c r="R21" s="23"/>
      <c r="S21" s="23"/>
      <c r="T21" s="23"/>
      <c r="U21" s="23"/>
    </row>
    <row r="22" spans="1:21" s="3" customFormat="1" ht="15" customHeight="1">
      <c r="A22" s="162">
        <v>17</v>
      </c>
      <c r="B22" s="563">
        <v>433564</v>
      </c>
      <c r="C22" s="642">
        <v>335949</v>
      </c>
      <c r="D22" s="676">
        <v>250390</v>
      </c>
      <c r="E22" s="31">
        <v>427297</v>
      </c>
      <c r="F22" s="269">
        <v>422090</v>
      </c>
      <c r="G22" s="31">
        <v>246606</v>
      </c>
      <c r="H22" s="273">
        <v>430159</v>
      </c>
      <c r="I22" s="333">
        <v>334765</v>
      </c>
      <c r="J22" s="30">
        <v>442780</v>
      </c>
      <c r="K22" s="69">
        <v>444670</v>
      </c>
      <c r="L22" s="357">
        <v>207617</v>
      </c>
      <c r="M22" s="28">
        <v>448906</v>
      </c>
      <c r="N22" s="23"/>
      <c r="O22" s="616"/>
      <c r="P22" s="23"/>
      <c r="Q22" s="23"/>
      <c r="R22" s="23"/>
      <c r="S22" s="23"/>
      <c r="T22" s="23"/>
      <c r="U22" s="23"/>
    </row>
    <row r="23" spans="1:21" s="3" customFormat="1" ht="15" customHeight="1">
      <c r="A23" s="163">
        <v>18</v>
      </c>
      <c r="B23" s="564">
        <v>425246</v>
      </c>
      <c r="C23" s="642">
        <v>248826</v>
      </c>
      <c r="D23" s="31">
        <v>423511</v>
      </c>
      <c r="E23" s="269">
        <v>422151</v>
      </c>
      <c r="F23" s="584">
        <v>321921</v>
      </c>
      <c r="G23" s="31">
        <v>448911</v>
      </c>
      <c r="H23" s="273">
        <v>414535</v>
      </c>
      <c r="I23" s="333">
        <v>244718</v>
      </c>
      <c r="J23" s="30">
        <v>449870</v>
      </c>
      <c r="K23" s="69">
        <v>449514</v>
      </c>
      <c r="L23" s="27">
        <v>401236</v>
      </c>
      <c r="M23" s="726">
        <v>446423</v>
      </c>
      <c r="N23" s="23"/>
      <c r="O23" s="616"/>
      <c r="P23" s="23"/>
      <c r="Q23" s="23"/>
      <c r="R23" s="23"/>
      <c r="S23" s="23"/>
      <c r="T23" s="23"/>
      <c r="U23" s="23"/>
    </row>
    <row r="24" spans="1:21" s="3" customFormat="1" ht="15" customHeight="1">
      <c r="A24" s="162">
        <v>19</v>
      </c>
      <c r="B24" s="564">
        <v>429713</v>
      </c>
      <c r="C24" s="635">
        <v>423659</v>
      </c>
      <c r="D24" s="31">
        <v>428752</v>
      </c>
      <c r="E24" s="31">
        <v>423812</v>
      </c>
      <c r="F24" s="585">
        <v>234605</v>
      </c>
      <c r="G24" s="269">
        <v>436765</v>
      </c>
      <c r="H24" s="273">
        <v>421342</v>
      </c>
      <c r="I24" s="26">
        <v>404125</v>
      </c>
      <c r="J24" s="30">
        <v>432888</v>
      </c>
      <c r="K24" s="335">
        <v>343731</v>
      </c>
      <c r="L24" s="27">
        <v>456079</v>
      </c>
      <c r="M24" s="726">
        <v>436832</v>
      </c>
      <c r="N24" s="23"/>
      <c r="O24" s="616"/>
      <c r="P24" s="23"/>
      <c r="Q24" s="23"/>
      <c r="R24" s="23"/>
      <c r="S24" s="23"/>
      <c r="T24" s="23"/>
      <c r="U24" s="23"/>
    </row>
    <row r="25" spans="1:21" s="3" customFormat="1" ht="15" customHeight="1">
      <c r="A25" s="163">
        <v>20</v>
      </c>
      <c r="B25" s="654">
        <v>328053</v>
      </c>
      <c r="C25" s="635">
        <v>433201</v>
      </c>
      <c r="D25" s="31">
        <v>433835</v>
      </c>
      <c r="E25" s="717">
        <v>313272</v>
      </c>
      <c r="F25" s="269">
        <v>414319</v>
      </c>
      <c r="G25" s="31">
        <v>425889</v>
      </c>
      <c r="H25" s="273">
        <v>322283</v>
      </c>
      <c r="I25" s="26">
        <v>432340</v>
      </c>
      <c r="J25" s="30">
        <v>443416</v>
      </c>
      <c r="K25" s="333">
        <v>250691</v>
      </c>
      <c r="L25" s="27">
        <v>453400</v>
      </c>
      <c r="M25" s="726">
        <v>469930</v>
      </c>
      <c r="N25" s="23"/>
      <c r="O25" s="616"/>
      <c r="P25" s="23"/>
      <c r="Q25" s="23"/>
      <c r="R25" s="23"/>
      <c r="S25" s="23"/>
      <c r="T25" s="23"/>
      <c r="U25" s="23"/>
    </row>
    <row r="26" spans="1:21" s="3" customFormat="1" ht="15" customHeight="1">
      <c r="A26" s="162">
        <v>21</v>
      </c>
      <c r="B26" s="646">
        <v>238351</v>
      </c>
      <c r="C26" s="635">
        <v>431843</v>
      </c>
      <c r="D26" s="31">
        <v>424733</v>
      </c>
      <c r="E26" s="584">
        <v>227049</v>
      </c>
      <c r="F26" s="269">
        <v>418764</v>
      </c>
      <c r="G26" s="31">
        <v>429186</v>
      </c>
      <c r="H26" s="731">
        <v>236275</v>
      </c>
      <c r="I26" s="26">
        <v>423894</v>
      </c>
      <c r="J26" s="336">
        <v>334249</v>
      </c>
      <c r="K26" s="69">
        <v>428703</v>
      </c>
      <c r="L26" s="27">
        <v>444844</v>
      </c>
      <c r="M26" s="727">
        <v>351388</v>
      </c>
      <c r="N26" s="23"/>
      <c r="O26" s="616"/>
      <c r="P26" s="23"/>
      <c r="Q26" s="23"/>
      <c r="R26" s="23"/>
      <c r="S26" s="23"/>
      <c r="T26" s="23"/>
      <c r="U26" s="23"/>
    </row>
    <row r="27" spans="1:21" s="3" customFormat="1" ht="15" customHeight="1">
      <c r="A27" s="163">
        <v>22</v>
      </c>
      <c r="B27" s="523">
        <v>421196</v>
      </c>
      <c r="C27" s="635">
        <v>422773</v>
      </c>
      <c r="D27" s="31">
        <v>426501</v>
      </c>
      <c r="E27" s="269">
        <v>412073</v>
      </c>
      <c r="F27" s="269">
        <v>418982</v>
      </c>
      <c r="G27" s="585">
        <v>354275</v>
      </c>
      <c r="H27" s="582">
        <v>387848</v>
      </c>
      <c r="I27" s="26">
        <v>444328</v>
      </c>
      <c r="J27" s="336">
        <v>241913</v>
      </c>
      <c r="K27" s="69">
        <v>443072</v>
      </c>
      <c r="L27" s="27">
        <v>452412</v>
      </c>
      <c r="M27" s="727">
        <v>271775</v>
      </c>
      <c r="N27" s="23"/>
      <c r="O27" s="616"/>
      <c r="P27" s="23"/>
      <c r="Q27" s="23"/>
      <c r="R27" s="23"/>
      <c r="S27" s="23"/>
      <c r="T27" s="23"/>
      <c r="U27" s="23"/>
    </row>
    <row r="28" spans="1:21" s="3" customFormat="1" ht="15" customHeight="1">
      <c r="A28" s="162">
        <v>23</v>
      </c>
      <c r="B28" s="523">
        <v>432037</v>
      </c>
      <c r="C28" s="635">
        <v>428790</v>
      </c>
      <c r="D28" s="585">
        <v>318853</v>
      </c>
      <c r="E28" s="269">
        <v>416496</v>
      </c>
      <c r="F28" s="31">
        <v>409046</v>
      </c>
      <c r="G28" s="585">
        <v>239602</v>
      </c>
      <c r="H28" s="273">
        <v>371898</v>
      </c>
      <c r="I28" s="33">
        <v>287252</v>
      </c>
      <c r="J28" s="26">
        <v>418274</v>
      </c>
      <c r="K28" s="69">
        <v>339701</v>
      </c>
      <c r="L28" s="357">
        <v>355679</v>
      </c>
      <c r="M28" s="726">
        <v>386893</v>
      </c>
      <c r="N28" s="531"/>
      <c r="O28" s="616"/>
      <c r="P28" s="532"/>
      <c r="Q28" s="531"/>
      <c r="R28" s="532"/>
      <c r="S28" s="531"/>
      <c r="T28" s="532"/>
      <c r="U28" s="531"/>
    </row>
    <row r="29" spans="1:21" s="3" customFormat="1" ht="15" customHeight="1">
      <c r="A29" s="163">
        <v>24</v>
      </c>
      <c r="B29" s="661">
        <v>439479</v>
      </c>
      <c r="C29" s="642">
        <v>325052</v>
      </c>
      <c r="D29" s="585">
        <v>232320</v>
      </c>
      <c r="E29" s="269">
        <v>411305</v>
      </c>
      <c r="F29" s="31">
        <v>412138</v>
      </c>
      <c r="G29" s="269">
        <v>404295</v>
      </c>
      <c r="H29" s="273">
        <v>174791</v>
      </c>
      <c r="I29" s="333">
        <v>304423</v>
      </c>
      <c r="J29" s="30">
        <v>427668</v>
      </c>
      <c r="K29" s="69">
        <v>305556</v>
      </c>
      <c r="L29" s="357">
        <v>260778</v>
      </c>
      <c r="M29" s="28">
        <v>219705</v>
      </c>
      <c r="N29" s="532"/>
      <c r="O29" s="616"/>
      <c r="P29" s="532"/>
      <c r="Q29" s="531"/>
      <c r="R29" s="532"/>
      <c r="S29" s="531"/>
      <c r="T29" s="532"/>
      <c r="U29" s="531"/>
    </row>
    <row r="30" spans="1:21" s="3" customFormat="1" ht="15" customHeight="1">
      <c r="A30" s="162">
        <v>25</v>
      </c>
      <c r="B30" s="564">
        <v>430079</v>
      </c>
      <c r="C30" s="642">
        <v>236752</v>
      </c>
      <c r="D30" s="31">
        <v>398159</v>
      </c>
      <c r="E30" s="269">
        <v>400438</v>
      </c>
      <c r="F30" s="585">
        <v>315760</v>
      </c>
      <c r="G30" s="269">
        <v>429696</v>
      </c>
      <c r="H30" s="273">
        <v>262229</v>
      </c>
      <c r="I30" s="333">
        <v>234452</v>
      </c>
      <c r="J30" s="30">
        <v>445216</v>
      </c>
      <c r="K30" s="69">
        <v>300810</v>
      </c>
      <c r="L30" s="27">
        <v>434037</v>
      </c>
      <c r="M30" s="310">
        <v>198598</v>
      </c>
      <c r="N30" s="532"/>
      <c r="O30" s="616"/>
      <c r="P30" s="532"/>
      <c r="Q30" s="531"/>
      <c r="R30" s="532"/>
      <c r="S30" s="531"/>
      <c r="T30" s="532"/>
      <c r="U30" s="531"/>
    </row>
    <row r="31" spans="1:21" s="3" customFormat="1" ht="15" customHeight="1">
      <c r="A31" s="163">
        <v>26</v>
      </c>
      <c r="B31" s="564">
        <v>434212</v>
      </c>
      <c r="C31" s="638">
        <v>421068</v>
      </c>
      <c r="D31" s="31">
        <v>397906</v>
      </c>
      <c r="E31" s="269">
        <v>407638</v>
      </c>
      <c r="F31" s="585">
        <v>192552</v>
      </c>
      <c r="G31" s="31">
        <v>428716</v>
      </c>
      <c r="H31" s="273">
        <v>400629</v>
      </c>
      <c r="I31" s="33">
        <v>242531</v>
      </c>
      <c r="J31" s="365">
        <v>437345</v>
      </c>
      <c r="K31" s="335">
        <v>315975</v>
      </c>
      <c r="L31" s="27">
        <v>449471</v>
      </c>
      <c r="M31" s="28">
        <v>351409</v>
      </c>
      <c r="N31" s="531"/>
      <c r="O31" s="616"/>
      <c r="P31" s="531"/>
      <c r="Q31" s="533"/>
      <c r="R31" s="532"/>
      <c r="S31" s="533"/>
      <c r="T31" s="532"/>
      <c r="U31" s="532"/>
    </row>
    <row r="32" spans="1:21" s="3" customFormat="1" ht="15" customHeight="1">
      <c r="A32" s="162">
        <v>27</v>
      </c>
      <c r="B32" s="646">
        <v>326665</v>
      </c>
      <c r="C32" s="635">
        <v>426131</v>
      </c>
      <c r="D32" s="31">
        <v>381082</v>
      </c>
      <c r="E32" s="584">
        <v>309445</v>
      </c>
      <c r="F32" s="31">
        <v>393213</v>
      </c>
      <c r="G32" s="639">
        <v>420909</v>
      </c>
      <c r="H32" s="273">
        <v>315997</v>
      </c>
      <c r="I32" s="26">
        <v>447647</v>
      </c>
      <c r="J32" s="365">
        <v>443733</v>
      </c>
      <c r="K32" s="335">
        <v>239013</v>
      </c>
      <c r="L32" s="27">
        <v>451765</v>
      </c>
      <c r="M32" s="726">
        <v>366796</v>
      </c>
      <c r="N32" s="531"/>
      <c r="O32" s="616"/>
      <c r="P32" s="532"/>
      <c r="Q32" s="533"/>
      <c r="R32" s="532"/>
      <c r="S32" s="531"/>
      <c r="T32" s="532"/>
      <c r="U32" s="532"/>
    </row>
    <row r="33" spans="1:21" s="3" customFormat="1" ht="15" customHeight="1">
      <c r="A33" s="163">
        <v>28</v>
      </c>
      <c r="B33" s="646">
        <v>243652</v>
      </c>
      <c r="C33" s="635">
        <v>432587</v>
      </c>
      <c r="D33" s="657"/>
      <c r="E33" s="584">
        <v>221033</v>
      </c>
      <c r="F33" s="31">
        <v>411293</v>
      </c>
      <c r="G33" s="31">
        <v>423703</v>
      </c>
      <c r="H33" s="582">
        <v>227703</v>
      </c>
      <c r="I33" s="26">
        <v>388166</v>
      </c>
      <c r="J33" s="337">
        <v>341654</v>
      </c>
      <c r="K33" s="69">
        <v>439159</v>
      </c>
      <c r="L33" s="27">
        <v>445027</v>
      </c>
      <c r="M33" s="727">
        <v>277466</v>
      </c>
      <c r="N33" s="531"/>
      <c r="O33" s="616"/>
      <c r="P33" s="531"/>
      <c r="Q33" s="531"/>
      <c r="R33" s="532"/>
      <c r="S33" s="532"/>
      <c r="T33" s="532"/>
      <c r="U33" s="532"/>
    </row>
    <row r="34" spans="1:21" s="3" customFormat="1" ht="15" customHeight="1">
      <c r="A34" s="162">
        <v>29</v>
      </c>
      <c r="B34" s="523">
        <v>424442</v>
      </c>
      <c r="C34" s="652">
        <v>426853</v>
      </c>
      <c r="D34" s="658"/>
      <c r="E34" s="269">
        <v>394841</v>
      </c>
      <c r="F34" s="31">
        <v>408910</v>
      </c>
      <c r="G34" s="31">
        <v>329428</v>
      </c>
      <c r="H34" s="582">
        <v>414410</v>
      </c>
      <c r="I34" s="26">
        <v>432631</v>
      </c>
      <c r="J34" s="337">
        <v>244930</v>
      </c>
      <c r="K34" s="69">
        <v>440447</v>
      </c>
      <c r="L34" s="27">
        <v>459627</v>
      </c>
      <c r="M34" s="727">
        <v>229673</v>
      </c>
      <c r="N34" s="531"/>
      <c r="O34" s="616"/>
      <c r="P34" s="531"/>
      <c r="Q34" s="531"/>
      <c r="R34" s="532"/>
      <c r="S34" s="531"/>
      <c r="T34" s="532"/>
      <c r="U34" s="532"/>
    </row>
    <row r="35" spans="1:21" s="3" customFormat="1" ht="15" customHeight="1">
      <c r="A35" s="163">
        <v>30</v>
      </c>
      <c r="B35" s="523">
        <v>436869</v>
      </c>
      <c r="C35" s="649"/>
      <c r="D35" s="657"/>
      <c r="E35" s="269">
        <v>418854</v>
      </c>
      <c r="F35" s="31">
        <v>399897</v>
      </c>
      <c r="G35" s="31">
        <v>250158</v>
      </c>
      <c r="H35" s="273">
        <v>425178</v>
      </c>
      <c r="I35" s="26">
        <v>440206</v>
      </c>
      <c r="J35" s="365">
        <v>429494</v>
      </c>
      <c r="K35" s="69">
        <v>445602</v>
      </c>
      <c r="L35" s="33">
        <v>316222</v>
      </c>
      <c r="M35" s="36">
        <v>220778</v>
      </c>
      <c r="N35" s="531"/>
      <c r="O35" s="616"/>
      <c r="P35" s="531"/>
      <c r="Q35" s="533"/>
      <c r="R35" s="532"/>
      <c r="S35" s="532"/>
      <c r="T35" s="532"/>
      <c r="U35" s="532"/>
    </row>
    <row r="36" spans="1:21" s="3" customFormat="1" ht="15" customHeight="1" thickBot="1">
      <c r="A36" s="615">
        <v>31</v>
      </c>
      <c r="B36" s="655">
        <v>432265</v>
      </c>
      <c r="C36" s="650"/>
      <c r="D36" s="659"/>
      <c r="E36" s="651"/>
      <c r="F36" s="276">
        <v>409861</v>
      </c>
      <c r="G36" s="651"/>
      <c r="H36" s="640">
        <v>431562</v>
      </c>
      <c r="I36" s="728">
        <v>339660</v>
      </c>
      <c r="J36" s="729"/>
      <c r="K36" s="730">
        <v>408447</v>
      </c>
      <c r="L36" s="659"/>
      <c r="M36" s="36">
        <v>168284</v>
      </c>
      <c r="N36" s="532"/>
      <c r="O36" s="616"/>
      <c r="P36" s="531"/>
      <c r="Q36" s="531"/>
      <c r="R36" s="532"/>
      <c r="S36" s="532"/>
      <c r="T36" s="532"/>
      <c r="U36" s="532"/>
    </row>
    <row r="37" spans="1:21">
      <c r="A37" s="609" t="s">
        <v>19</v>
      </c>
      <c r="B37" s="520">
        <f t="shared" ref="B37:L37" si="0">IFERROR(AVERAGE(B6:B36),0)</f>
        <v>375709.12903225806</v>
      </c>
      <c r="C37" s="521">
        <f t="shared" si="0"/>
        <v>384306.4827586207</v>
      </c>
      <c r="D37" s="522">
        <f t="shared" si="0"/>
        <v>381649.66666666669</v>
      </c>
      <c r="E37" s="522">
        <f>IFERROR(AVERAGE(E6:E36),0)</f>
        <v>362722.26666666666</v>
      </c>
      <c r="F37" s="522">
        <f>IFERROR(AVERAGE(F6:F36),0)</f>
        <v>369689.45161290321</v>
      </c>
      <c r="G37" s="522">
        <f t="shared" si="0"/>
        <v>368404.83333333331</v>
      </c>
      <c r="H37" s="522">
        <f>IFERROR(AVERAGE(H6:H36),0)</f>
        <v>366961.29032258067</v>
      </c>
      <c r="I37" s="535">
        <f>IFERROR(AVERAGE(I6:I36),0)</f>
        <v>376887.70967741933</v>
      </c>
      <c r="J37" s="555">
        <f t="shared" si="0"/>
        <v>377969.96666666667</v>
      </c>
      <c r="K37" s="547">
        <f t="shared" si="0"/>
        <v>388072.41935483873</v>
      </c>
      <c r="L37" s="548">
        <f t="shared" si="0"/>
        <v>386702.6</v>
      </c>
      <c r="M37" s="549">
        <f>IFERROR(AVERAGE(M6:M36),0)</f>
        <v>366612.80645161291</v>
      </c>
      <c r="N37" s="532"/>
      <c r="O37" s="531"/>
      <c r="P37" s="531"/>
      <c r="Q37" s="531"/>
      <c r="R37" s="532"/>
      <c r="S37" s="531"/>
      <c r="T37" s="532"/>
      <c r="U37" s="532"/>
    </row>
    <row r="38" spans="1:21">
      <c r="A38" s="610" t="s">
        <v>20</v>
      </c>
      <c r="B38" s="523">
        <f>IFERROR(AVERAGE(B7:B10,B13:B17,B20:B24,B27:B31,B34:B36),0)</f>
        <v>419245.36363636365</v>
      </c>
      <c r="C38" s="513">
        <f>AVERAGE(C6:C7,C10:C13,C17:C21,C24:C28,C31:C34)</f>
        <v>431353.5</v>
      </c>
      <c r="D38" s="69">
        <f>AVERAGE(D6,D9:D13,D16:D20,D23:D27,D30:D32)</f>
        <v>422543.36842105264</v>
      </c>
      <c r="E38" s="50">
        <f>AVERAGE(E6:E10,E13,E16:E17,E20:E24,E27:E31,E34:E35)</f>
        <v>413100.75</v>
      </c>
      <c r="F38" s="50">
        <f>AVERAGE(F7:F8,F11:F15,F18:F22,F25:F29,F32:F36)</f>
        <v>411835.31818181818</v>
      </c>
      <c r="G38" s="50">
        <f>AVERAGE(G8:G12,G15:G16,G18:G19,G22:G26,G29:G33)</f>
        <v>416459.31578947371</v>
      </c>
      <c r="H38" s="50">
        <f>IFERROR(AVERAGE(H6:H10,H13:H17,H20:H24,H27:H31,H34:H36),0)</f>
        <v>398004.82608695654</v>
      </c>
      <c r="I38" s="536">
        <f>IFERROR(AVERAGE(I6:I7,I10:I14,I17:I21,I24:I25,I27:I28,I32:I35),0)</f>
        <v>421259.55</v>
      </c>
      <c r="J38" s="541">
        <f>IFERROR(AVERAGE(J7:J11,J14:J18,J21:J25,J28:J32,J35),0)</f>
        <v>417685.42857142858</v>
      </c>
      <c r="K38" s="543">
        <f>AVERAGE(K6:K9,K12:K16,K19:K23,K26:K30,K33:K36)</f>
        <v>422987.08695652173</v>
      </c>
      <c r="L38" s="545">
        <f>AVERAGE(L9:L13,L16:L20,L23:L27,L30:L34)</f>
        <v>441961.65</v>
      </c>
      <c r="M38" s="550">
        <f>AVERAGE(M7:M11,M14:M18,M21:M25,M28:M29,M31:M32)</f>
        <v>423781.10526315792</v>
      </c>
      <c r="N38" s="531"/>
      <c r="O38" s="532"/>
      <c r="P38" s="531"/>
      <c r="Q38" s="532"/>
      <c r="R38" s="532"/>
      <c r="S38" s="531"/>
      <c r="T38" s="532"/>
      <c r="U38" s="532"/>
    </row>
    <row r="39" spans="1:21">
      <c r="A39" s="611" t="s">
        <v>21</v>
      </c>
      <c r="B39" s="523">
        <f>IFERROR(AVERAGE(B11,B18,B25,B32),0)</f>
        <v>322603</v>
      </c>
      <c r="C39" s="513">
        <f>AVERAGE(C8,C22,C29)</f>
        <v>329694.33333333331</v>
      </c>
      <c r="D39" s="258">
        <f>SUM(D7,D14,D21,D28)</f>
        <v>1308084</v>
      </c>
      <c r="E39" s="53">
        <f>IFERROR(AVERAGE(E11,E18,E25,E32),0)</f>
        <v>310590.5</v>
      </c>
      <c r="F39" s="53">
        <f>AVERAGE(F9,F16,F23,F30)</f>
        <v>315455.5</v>
      </c>
      <c r="G39" s="53">
        <f>AVERAGE(G6,G13,G20,G27,G34)</f>
        <v>331300</v>
      </c>
      <c r="H39" s="53">
        <f>AVERAGE(H11,H18,H25,H32)</f>
        <v>319104</v>
      </c>
      <c r="I39" s="384">
        <f>AVERAGE(I8,I15,I22,I29,I36)</f>
        <v>325461.8</v>
      </c>
      <c r="J39" s="546">
        <f>AVERAGE(J12,J19,J26,J33)</f>
        <v>336566.5</v>
      </c>
      <c r="K39" s="543">
        <f>AVERAGE(K10,K17,K24,K31)</f>
        <v>332416.75</v>
      </c>
      <c r="L39" s="544">
        <f>AVERAGE(L14,L21,L28)</f>
        <v>351482.33333333331</v>
      </c>
      <c r="M39" s="550">
        <f>AVERAGE(M12,M19,M26,M33)</f>
        <v>344438.75</v>
      </c>
      <c r="N39" s="531"/>
      <c r="O39" s="531"/>
      <c r="P39" s="531"/>
      <c r="Q39" s="532"/>
      <c r="R39" s="531"/>
      <c r="S39" s="531"/>
      <c r="T39" s="532"/>
      <c r="U39" s="532"/>
    </row>
    <row r="40" spans="1:21">
      <c r="A40" s="611" t="s">
        <v>22</v>
      </c>
      <c r="B40" s="523">
        <f>IFERROR(AVERAGE(B6,B12,B19,B26,B33),0)</f>
        <v>226634.6</v>
      </c>
      <c r="C40" s="513">
        <f>AVERAGE(C9,C14:C16,C23,C30)</f>
        <v>254789.16666666666</v>
      </c>
      <c r="D40" s="258">
        <f>IFERROR(AVERAGE(D8,D15,D22,D29),0)</f>
        <v>242033.25</v>
      </c>
      <c r="E40" s="53">
        <f>IFERROR(AVERAGE(E12,E14:E15,E19,E26,E33),0)</f>
        <v>229548.5</v>
      </c>
      <c r="F40" s="53">
        <f>AVERAGE(F10,F17,F24,F31,F6)</f>
        <v>227634.8</v>
      </c>
      <c r="G40" s="53">
        <f>AVERAGE(G7,G14,G17,G21,G28,G35)</f>
        <v>247153</v>
      </c>
      <c r="H40" s="53">
        <f>AVERAGE(H12,H19,H26,H33)</f>
        <v>236318.25</v>
      </c>
      <c r="I40" s="384">
        <f>AVERAGE(I9,I16,I23,I28,I30:I31)</f>
        <v>249062.83333333334</v>
      </c>
      <c r="J40" s="541">
        <f>AVERAGE(J6,J13,J20,J27,J34)</f>
        <v>244287.8</v>
      </c>
      <c r="K40" s="543">
        <f>AVERAGE(K18,K25,K32,K11)</f>
        <v>242968.75</v>
      </c>
      <c r="L40" s="544">
        <f>AVERAGE(L15,L22,L29,L6:L8,L35)</f>
        <v>243914</v>
      </c>
      <c r="M40" s="550">
        <f>AVERAGE(M12:M13,M20,M27,M30,M6,M34:M36)</f>
        <v>255750</v>
      </c>
      <c r="N40" s="531"/>
      <c r="O40" s="532"/>
      <c r="P40" s="531"/>
      <c r="Q40" s="532"/>
      <c r="R40" s="532"/>
      <c r="S40" s="532"/>
      <c r="T40" s="532"/>
      <c r="U40" s="532"/>
    </row>
    <row r="41" spans="1:21">
      <c r="A41" s="611" t="s">
        <v>23</v>
      </c>
      <c r="B41" s="523">
        <f>IFERROR(AVERAGE(B6,B11:B12,B18:B19,B25:B26,B32:B33),0)</f>
        <v>269287.22222222225</v>
      </c>
      <c r="C41" s="513">
        <f>AVERAGE(C8:C9,C14:C16,C22:C23,C29:C30)</f>
        <v>279757.55555555556</v>
      </c>
      <c r="D41" s="258">
        <f>AVERAGE(D7:D8,D14:D15,D21:D22,D28:D29)</f>
        <v>284527.125</v>
      </c>
      <c r="E41" s="53">
        <f>AVERAGE(E11:E12,E14:E15,E18:E19,E25:E26,E32:E33)</f>
        <v>261965.3</v>
      </c>
      <c r="F41" s="53">
        <f>AVERAGE(F6,F9:F10,F16:F17,F23:F24,F30:F31)</f>
        <v>266666.22222222225</v>
      </c>
      <c r="G41" s="53">
        <f>AVERAGE(G6:G7,G13:G14,G17,G20:G21,G27:G28,G34:G35)</f>
        <v>285401.63636363635</v>
      </c>
      <c r="H41" s="53">
        <f>AVERAGE(H11:H12,H18:H19,H25:H26,H32:H33)</f>
        <v>277711.125</v>
      </c>
      <c r="I41" s="262">
        <f>AVERAGE(I8:I9,I15:I16,I22:I23,I28:I31,I36)</f>
        <v>283789.63636363635</v>
      </c>
      <c r="J41" s="604">
        <f>AVERAGE(J6,J12:J13,J19:J20,J26:J27,J33:J34)</f>
        <v>285300.55555555556</v>
      </c>
      <c r="K41" s="604">
        <f>AVERAGE(K10:K11,K17:K18,K24:K25,K31:K32)</f>
        <v>287692.75</v>
      </c>
      <c r="L41" s="605">
        <f>AVERAGE(L6:L8,L14:L15,L21:L22,L28:L29,L35)</f>
        <v>276184.5</v>
      </c>
      <c r="M41" s="550">
        <f>AVERAGE(M6,M12:M13,M19:M20,M26:M27,M30,M33:M36)</f>
        <v>276096.33333333331</v>
      </c>
      <c r="N41" s="531"/>
      <c r="O41" s="532"/>
      <c r="P41" s="531"/>
      <c r="Q41" s="532"/>
      <c r="R41" s="532"/>
      <c r="S41" s="531"/>
      <c r="T41" s="532"/>
      <c r="U41" s="532"/>
    </row>
    <row r="42" spans="1:21">
      <c r="A42" s="611" t="s">
        <v>24</v>
      </c>
      <c r="B42" s="660">
        <f>MAX(B6:B36)</f>
        <v>439479</v>
      </c>
      <c r="C42" s="719">
        <f>MAX(C6:C36)</f>
        <v>447229</v>
      </c>
      <c r="D42" s="718">
        <f t="shared" ref="D42:M42" si="1">MAX(D6:D36)</f>
        <v>436748</v>
      </c>
      <c r="E42" s="720">
        <f t="shared" si="1"/>
        <v>432622</v>
      </c>
      <c r="F42" s="720">
        <f t="shared" si="1"/>
        <v>424247</v>
      </c>
      <c r="G42" s="720">
        <f t="shared" si="1"/>
        <v>448911</v>
      </c>
      <c r="H42" s="720">
        <f t="shared" si="1"/>
        <v>431562</v>
      </c>
      <c r="I42" s="537">
        <f t="shared" si="1"/>
        <v>447647</v>
      </c>
      <c r="J42" s="603">
        <f t="shared" si="1"/>
        <v>450814</v>
      </c>
      <c r="K42" s="603">
        <f t="shared" si="1"/>
        <v>458356</v>
      </c>
      <c r="L42" s="603">
        <f t="shared" si="1"/>
        <v>459627</v>
      </c>
      <c r="M42" s="612">
        <f t="shared" si="1"/>
        <v>469930</v>
      </c>
      <c r="N42" s="531"/>
      <c r="O42" s="532"/>
      <c r="P42" s="531"/>
      <c r="Q42" s="532"/>
      <c r="R42" s="532"/>
      <c r="S42" s="532"/>
      <c r="T42" s="532"/>
      <c r="U42" s="532"/>
    </row>
    <row r="43" spans="1:21">
      <c r="A43" s="613" t="s">
        <v>47</v>
      </c>
      <c r="B43" s="526">
        <f>MIN(B6:B36)</f>
        <v>174890</v>
      </c>
      <c r="C43" s="527">
        <f t="shared" ref="C43:M43" si="2">MIN(C6:C36)</f>
        <v>236752</v>
      </c>
      <c r="D43" s="527">
        <f t="shared" si="2"/>
        <v>232320</v>
      </c>
      <c r="E43" s="527">
        <f t="shared" si="2"/>
        <v>216558</v>
      </c>
      <c r="F43" s="528">
        <f t="shared" si="2"/>
        <v>192552</v>
      </c>
      <c r="G43" s="527">
        <f t="shared" si="2"/>
        <v>234457</v>
      </c>
      <c r="H43" s="527">
        <f t="shared" si="2"/>
        <v>174791</v>
      </c>
      <c r="I43" s="538">
        <f>MIN(I6:I36)</f>
        <v>234452</v>
      </c>
      <c r="J43" s="606">
        <f t="shared" si="2"/>
        <v>241511</v>
      </c>
      <c r="K43" s="607">
        <f t="shared" si="2"/>
        <v>238388</v>
      </c>
      <c r="L43" s="608">
        <f>MIN(L6:L36)</f>
        <v>207617</v>
      </c>
      <c r="M43" s="550">
        <f t="shared" si="2"/>
        <v>168284</v>
      </c>
      <c r="N43" s="532"/>
      <c r="O43" s="532"/>
      <c r="P43" s="531"/>
      <c r="Q43" s="532"/>
      <c r="R43" s="532"/>
      <c r="S43" s="531"/>
      <c r="T43" s="532"/>
      <c r="U43" s="532"/>
    </row>
    <row r="44" spans="1:21" s="60" customFormat="1" ht="11.25">
      <c r="A44" s="614" t="s">
        <v>25</v>
      </c>
      <c r="B44" s="529">
        <f t="shared" ref="B44:C44" si="3">SUM(B6:B36)</f>
        <v>11646983</v>
      </c>
      <c r="C44" s="530">
        <f t="shared" si="3"/>
        <v>11144888</v>
      </c>
      <c r="D44" s="530">
        <f>SUM(D6:D36)</f>
        <v>10304541</v>
      </c>
      <c r="E44" s="530">
        <f t="shared" ref="E44:L44" si="4">SUM(E6:E36)</f>
        <v>10881668</v>
      </c>
      <c r="F44" s="586">
        <f t="shared" si="4"/>
        <v>11460373</v>
      </c>
      <c r="G44" s="530">
        <f t="shared" si="4"/>
        <v>11052145</v>
      </c>
      <c r="H44" s="530">
        <f t="shared" si="4"/>
        <v>11375800</v>
      </c>
      <c r="I44" s="587">
        <f t="shared" si="4"/>
        <v>11683519</v>
      </c>
      <c r="J44" s="556">
        <f t="shared" si="4"/>
        <v>11339099</v>
      </c>
      <c r="K44" s="551">
        <f t="shared" si="4"/>
        <v>12030245</v>
      </c>
      <c r="L44" s="552">
        <f t="shared" si="4"/>
        <v>11601078</v>
      </c>
      <c r="M44" s="553">
        <f>SUM(M6:M36)</f>
        <v>11364997</v>
      </c>
      <c r="N44" s="531"/>
      <c r="O44" s="532"/>
      <c r="P44" s="531"/>
      <c r="Q44" s="532"/>
      <c r="R44" s="532"/>
      <c r="S44" s="531"/>
      <c r="T44" s="532"/>
      <c r="U44" s="532"/>
    </row>
    <row r="45" spans="1:21">
      <c r="J45" s="531"/>
      <c r="K45" s="539"/>
      <c r="L45" s="532"/>
      <c r="M45" s="532"/>
      <c r="N45" s="531"/>
      <c r="O45" s="532"/>
      <c r="P45" s="531"/>
      <c r="Q45" s="532"/>
      <c r="R45" s="532"/>
      <c r="S45" s="531"/>
      <c r="T45" s="532"/>
      <c r="U45" s="531"/>
    </row>
    <row r="46" spans="1:21">
      <c r="J46" s="531"/>
      <c r="K46" s="539"/>
      <c r="L46" s="532"/>
      <c r="M46" s="532"/>
      <c r="N46" s="532"/>
      <c r="O46" s="531"/>
      <c r="P46" s="531"/>
      <c r="Q46" s="532"/>
      <c r="R46" s="532"/>
      <c r="S46" s="531"/>
      <c r="T46" s="532"/>
      <c r="U46" s="531"/>
    </row>
    <row r="47" spans="1:21">
      <c r="J47" s="531"/>
      <c r="K47" s="539"/>
      <c r="L47" s="532"/>
      <c r="M47" s="532"/>
      <c r="N47" s="531"/>
      <c r="O47" s="532"/>
      <c r="P47" s="531"/>
      <c r="Q47" s="531"/>
      <c r="R47" s="531"/>
      <c r="S47" s="532"/>
      <c r="T47" s="532"/>
      <c r="U47" s="531"/>
    </row>
    <row r="48" spans="1:21">
      <c r="J48" s="531"/>
      <c r="K48" s="539"/>
      <c r="L48" s="532"/>
      <c r="M48" s="531"/>
      <c r="N48" s="531"/>
      <c r="O48" s="532"/>
      <c r="P48" s="531"/>
      <c r="Q48" s="532"/>
      <c r="R48" s="532"/>
      <c r="S48" s="531"/>
      <c r="T48" s="532"/>
      <c r="U48" s="532"/>
    </row>
    <row r="49" spans="10:21">
      <c r="J49" s="531"/>
      <c r="K49" s="539"/>
      <c r="L49" s="532"/>
      <c r="M49" s="531"/>
      <c r="N49" s="531"/>
      <c r="O49" s="532"/>
      <c r="P49" s="531"/>
      <c r="Q49" s="532"/>
      <c r="R49" s="531"/>
      <c r="S49" s="531"/>
      <c r="T49" s="532"/>
      <c r="U49" s="532"/>
    </row>
    <row r="50" spans="10:21">
      <c r="J50" s="531"/>
      <c r="K50" s="539"/>
      <c r="L50" s="532"/>
      <c r="M50" s="531"/>
      <c r="N50" s="532"/>
      <c r="O50" s="532"/>
      <c r="P50" s="531"/>
      <c r="Q50" s="532"/>
      <c r="R50" s="531"/>
      <c r="S50" s="531"/>
      <c r="T50" s="531"/>
      <c r="U50" s="531"/>
    </row>
    <row r="51" spans="10:21">
      <c r="J51" s="531"/>
      <c r="K51" s="539"/>
      <c r="L51" s="532"/>
      <c r="M51" s="531"/>
      <c r="N51" s="532"/>
      <c r="O51" s="531"/>
      <c r="P51" s="531"/>
      <c r="Q51" s="532"/>
      <c r="R51" s="531"/>
      <c r="S51" s="531"/>
      <c r="T51" s="531"/>
      <c r="U51" s="532"/>
    </row>
    <row r="52" spans="10:21">
      <c r="J52" s="531"/>
      <c r="K52" s="539"/>
      <c r="L52" s="532"/>
      <c r="M52" s="531"/>
      <c r="N52" s="532"/>
      <c r="O52" s="531"/>
      <c r="P52" s="531"/>
      <c r="Q52" s="532"/>
      <c r="R52" s="531"/>
      <c r="S52" s="531"/>
      <c r="T52" s="531"/>
      <c r="U52" s="531"/>
    </row>
    <row r="53" spans="10:21">
      <c r="J53" s="532"/>
      <c r="K53" s="539"/>
      <c r="L53" s="532"/>
      <c r="M53" s="531"/>
      <c r="N53" s="532"/>
      <c r="O53" s="532"/>
      <c r="P53" s="531"/>
      <c r="Q53" s="532"/>
      <c r="R53" s="531"/>
      <c r="S53" s="531"/>
      <c r="T53" s="531"/>
      <c r="U53" s="532"/>
    </row>
    <row r="54" spans="10:21">
      <c r="J54" s="531"/>
      <c r="K54" s="539"/>
      <c r="L54" s="532"/>
      <c r="M54" s="531"/>
      <c r="N54" s="532"/>
      <c r="O54" s="532"/>
      <c r="P54" s="531"/>
      <c r="Q54" s="532"/>
      <c r="R54" s="531"/>
      <c r="S54" s="531"/>
      <c r="T54" s="532"/>
      <c r="U54" s="531"/>
    </row>
    <row r="55" spans="10:21">
      <c r="J55" s="531"/>
      <c r="K55" s="539"/>
      <c r="L55" s="532"/>
      <c r="M55" s="531"/>
      <c r="N55" s="532"/>
      <c r="O55" s="532"/>
      <c r="P55" s="531"/>
      <c r="Q55" s="532"/>
      <c r="R55" s="531"/>
      <c r="S55" s="531"/>
      <c r="T55" s="532"/>
      <c r="U55" s="531"/>
    </row>
    <row r="56" spans="10:21">
      <c r="J56" s="532"/>
      <c r="K56" s="540"/>
      <c r="L56" s="534"/>
      <c r="M56" s="531"/>
      <c r="N56" s="532"/>
      <c r="O56" s="532"/>
      <c r="P56" s="531"/>
      <c r="Q56" s="532"/>
      <c r="R56" s="531"/>
      <c r="S56" s="531"/>
      <c r="T56" s="532"/>
      <c r="U56" s="531"/>
    </row>
    <row r="57" spans="10:21">
      <c r="J57" s="531"/>
      <c r="K57" s="540"/>
      <c r="L57" s="532"/>
      <c r="M57" s="531"/>
      <c r="N57" s="532"/>
      <c r="O57" s="532"/>
      <c r="P57" s="531"/>
      <c r="Q57" s="532"/>
      <c r="R57" s="531"/>
      <c r="S57" s="531"/>
      <c r="T57" s="532"/>
      <c r="U57" s="532"/>
    </row>
    <row r="58" spans="10:21">
      <c r="J58" s="532"/>
      <c r="K58" s="540"/>
      <c r="L58" s="532"/>
      <c r="M58" s="531"/>
      <c r="N58" s="532"/>
      <c r="O58" s="531"/>
      <c r="P58" s="531"/>
      <c r="Q58" s="532"/>
      <c r="R58" s="532"/>
      <c r="S58" s="531"/>
      <c r="T58" s="532"/>
      <c r="U58" s="532"/>
    </row>
  </sheetData>
  <mergeCells count="2">
    <mergeCell ref="E1:I1"/>
    <mergeCell ref="E2:I3"/>
  </mergeCells>
  <conditionalFormatting sqref="B6:H36">
    <cfRule type="top10" dxfId="14" priority="7" rank="1"/>
  </conditionalFormatting>
  <conditionalFormatting sqref="B42:M42">
    <cfRule type="top10" dxfId="13" priority="2" rank="1"/>
  </conditionalFormatting>
  <conditionalFormatting sqref="F6:F36">
    <cfRule type="top10" dxfId="12" priority="6" rank="1"/>
  </conditionalFormatting>
  <conditionalFormatting sqref="G6:G36">
    <cfRule type="top10" dxfId="11" priority="5" rank="1"/>
  </conditionalFormatting>
  <conditionalFormatting sqref="H6:H36">
    <cfRule type="top10" dxfId="10" priority="4" rank="1"/>
  </conditionalFormatting>
  <conditionalFormatting sqref="I6:J36 L6:M36">
    <cfRule type="top10" dxfId="9" priority="1" rank="1"/>
  </conditionalFormatting>
  <printOptions horizontalCentered="1" verticalCentered="1"/>
  <pageMargins left="0.25" right="0.25" top="0.25" bottom="0.75" header="0.3" footer="0.3"/>
  <pageSetup paperSize="9" scale="86" orientation="landscape"/>
  <ignoredErrors>
    <ignoredError sqref="F38:F41 G38:H41 K38:K41 L38:L41 M38:M41" evalError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7DEC-D09B-417C-8EF9-5D52BCAAE387}">
  <sheetPr>
    <pageSetUpPr fitToPage="1"/>
  </sheetPr>
  <dimension ref="A1:U58"/>
  <sheetViews>
    <sheetView tabSelected="1" zoomScaleNormal="100" zoomScaleSheetLayoutView="110" zoomScalePageLayoutView="120" workbookViewId="0">
      <pane xSplit="1" topLeftCell="B1" activePane="topRight" state="frozen"/>
      <selection pane="topRight" activeCell="D8" sqref="D8"/>
      <selection activeCell="N59" sqref="N59"/>
    </sheetView>
  </sheetViews>
  <sheetFormatPr defaultColWidth="8.85546875" defaultRowHeight="12"/>
  <cols>
    <col min="1" max="1" width="20" style="4" bestFit="1" customWidth="1"/>
    <col min="2" max="4" width="12" style="4" bestFit="1" customWidth="1"/>
    <col min="5" max="5" width="11.7109375" style="4" bestFit="1" customWidth="1"/>
    <col min="6" max="7" width="10.5703125" style="4" bestFit="1" customWidth="1"/>
    <col min="8" max="9" width="10" style="4" customWidth="1"/>
    <col min="10" max="10" width="10.42578125" style="4" customWidth="1"/>
    <col min="11" max="11" width="10" style="4" customWidth="1"/>
    <col min="12" max="12" width="10.140625" style="4" bestFit="1" customWidth="1"/>
    <col min="13" max="13" width="10" style="4" customWidth="1"/>
    <col min="14" max="16384" width="8.85546875" style="4"/>
  </cols>
  <sheetData>
    <row r="1" spans="1:21" ht="12.75">
      <c r="E1" s="747" t="s">
        <v>0</v>
      </c>
      <c r="F1" s="747"/>
      <c r="G1" s="747"/>
      <c r="H1" s="747"/>
      <c r="I1" s="747"/>
    </row>
    <row r="2" spans="1:21" s="3" customFormat="1" ht="18">
      <c r="A2" s="1"/>
      <c r="B2" s="2"/>
      <c r="C2" s="2"/>
      <c r="E2" s="747" t="s">
        <v>1</v>
      </c>
      <c r="F2" s="747"/>
      <c r="G2" s="747"/>
      <c r="H2" s="747"/>
      <c r="I2" s="747"/>
    </row>
    <row r="3" spans="1:21" s="3" customFormat="1">
      <c r="A3" s="216" t="s">
        <v>65</v>
      </c>
      <c r="B3" s="217"/>
      <c r="C3" s="218"/>
      <c r="D3" s="219"/>
      <c r="E3" s="747"/>
      <c r="F3" s="747"/>
      <c r="G3" s="747"/>
      <c r="H3" s="747"/>
      <c r="I3" s="747"/>
      <c r="J3" s="219"/>
      <c r="K3" s="7" t="s">
        <v>3</v>
      </c>
      <c r="L3" s="644" t="s">
        <v>4</v>
      </c>
      <c r="M3" s="578" t="s">
        <v>5</v>
      </c>
    </row>
    <row r="4" spans="1:21" s="3" customFormat="1" ht="12.75" thickBot="1">
      <c r="A4" s="219"/>
      <c r="B4" s="217"/>
      <c r="C4" s="218"/>
      <c r="D4" s="219"/>
      <c r="E4" s="219"/>
      <c r="F4" s="216"/>
      <c r="G4" s="216"/>
      <c r="H4" s="219"/>
      <c r="I4" s="219"/>
      <c r="J4" s="219"/>
      <c r="K4" s="219"/>
      <c r="L4" s="219"/>
      <c r="M4" s="219"/>
    </row>
    <row r="5" spans="1:21" s="14" customFormat="1" ht="12.75" thickBot="1">
      <c r="A5" s="574" t="s">
        <v>6</v>
      </c>
      <c r="B5" s="557" t="s">
        <v>7</v>
      </c>
      <c r="C5" s="558" t="s">
        <v>8</v>
      </c>
      <c r="D5" s="558" t="s">
        <v>9</v>
      </c>
      <c r="E5" s="558" t="s">
        <v>10</v>
      </c>
      <c r="F5" s="558" t="s">
        <v>11</v>
      </c>
      <c r="G5" s="558" t="s">
        <v>12</v>
      </c>
      <c r="H5" s="558" t="s">
        <v>13</v>
      </c>
      <c r="I5" s="558" t="s">
        <v>14</v>
      </c>
      <c r="J5" s="558" t="s">
        <v>15</v>
      </c>
      <c r="K5" s="558" t="s">
        <v>16</v>
      </c>
      <c r="L5" s="558" t="s">
        <v>17</v>
      </c>
      <c r="M5" s="559" t="s">
        <v>18</v>
      </c>
    </row>
    <row r="6" spans="1:21" s="3" customFormat="1" ht="15" customHeight="1">
      <c r="A6" s="162">
        <v>1</v>
      </c>
      <c r="B6" s="561">
        <v>170732</v>
      </c>
      <c r="C6" s="742">
        <v>328125</v>
      </c>
      <c r="D6" s="295">
        <v>327248</v>
      </c>
      <c r="E6" s="732"/>
      <c r="F6" s="733"/>
      <c r="G6" s="26"/>
      <c r="H6" s="734"/>
      <c r="I6" s="69"/>
      <c r="J6" s="139"/>
      <c r="K6" s="69"/>
      <c r="L6" s="734"/>
      <c r="M6" s="22"/>
      <c r="N6" s="23"/>
      <c r="O6" s="616"/>
      <c r="Q6" s="23"/>
      <c r="R6" s="23"/>
      <c r="S6" s="23"/>
      <c r="T6" s="23"/>
      <c r="U6" s="23"/>
    </row>
    <row r="7" spans="1:21" s="3" customFormat="1" ht="15" customHeight="1">
      <c r="A7" s="163">
        <v>2</v>
      </c>
      <c r="B7" s="627">
        <v>327355</v>
      </c>
      <c r="C7" s="585">
        <v>243217</v>
      </c>
      <c r="D7" s="301">
        <v>241431</v>
      </c>
      <c r="E7" s="735"/>
      <c r="F7" s="593"/>
      <c r="G7" s="26"/>
      <c r="H7" s="27"/>
      <c r="I7" s="69"/>
      <c r="J7" s="30"/>
      <c r="K7" s="69"/>
      <c r="L7" s="27"/>
      <c r="M7" s="28"/>
      <c r="N7" s="23"/>
      <c r="O7" s="616"/>
      <c r="P7" s="23"/>
      <c r="Q7" s="23"/>
      <c r="R7" s="23"/>
      <c r="S7" s="23"/>
      <c r="T7" s="23"/>
      <c r="U7" s="23"/>
    </row>
    <row r="8" spans="1:21" s="3" customFormat="1" ht="15" customHeight="1">
      <c r="A8" s="162">
        <v>3</v>
      </c>
      <c r="B8" s="563">
        <v>360437</v>
      </c>
      <c r="C8" s="26">
        <v>438748</v>
      </c>
      <c r="D8" s="301"/>
      <c r="E8" s="69"/>
      <c r="F8" s="26"/>
      <c r="G8" s="26"/>
      <c r="H8" s="27"/>
      <c r="I8" s="69"/>
      <c r="J8" s="365"/>
      <c r="K8" s="69"/>
      <c r="L8" s="27"/>
      <c r="M8" s="28"/>
      <c r="N8" s="23"/>
      <c r="O8" s="616"/>
      <c r="P8" s="23"/>
      <c r="Q8" s="23"/>
      <c r="R8" s="23"/>
      <c r="S8" s="23"/>
      <c r="T8" s="23"/>
      <c r="U8" s="23"/>
    </row>
    <row r="9" spans="1:21" s="3" customFormat="1" ht="15" customHeight="1">
      <c r="A9" s="163">
        <v>4</v>
      </c>
      <c r="B9" s="646">
        <v>274487</v>
      </c>
      <c r="C9" s="26">
        <v>443245</v>
      </c>
      <c r="D9" s="301"/>
      <c r="E9" s="69"/>
      <c r="F9" s="69"/>
      <c r="G9" s="26"/>
      <c r="H9" s="384"/>
      <c r="I9" s="227"/>
      <c r="J9" s="365"/>
      <c r="K9" s="69"/>
      <c r="L9" s="27"/>
      <c r="M9" s="28"/>
      <c r="N9" s="23"/>
      <c r="O9" s="616"/>
      <c r="P9" s="23"/>
      <c r="Q9" s="23"/>
      <c r="R9" s="23"/>
      <c r="S9" s="23"/>
      <c r="T9" s="23"/>
      <c r="U9" s="23"/>
    </row>
    <row r="10" spans="1:21" s="3" customFormat="1" ht="15" customHeight="1">
      <c r="A10" s="162">
        <v>5</v>
      </c>
      <c r="B10" s="646">
        <v>230464</v>
      </c>
      <c r="C10" s="26">
        <v>449925</v>
      </c>
      <c r="D10" s="253"/>
      <c r="E10" s="69"/>
      <c r="F10" s="69"/>
      <c r="G10" s="26"/>
      <c r="H10" s="27"/>
      <c r="I10" s="227"/>
      <c r="J10" s="365"/>
      <c r="K10" s="69"/>
      <c r="L10" s="27"/>
      <c r="M10" s="28"/>
      <c r="N10" s="23"/>
      <c r="O10" s="616"/>
      <c r="P10" s="23"/>
      <c r="Q10" s="23"/>
      <c r="R10" s="23"/>
      <c r="S10" s="23"/>
      <c r="T10" s="23"/>
      <c r="U10" s="23"/>
    </row>
    <row r="11" spans="1:21" s="3" customFormat="1" ht="15" customHeight="1">
      <c r="A11" s="163">
        <v>6</v>
      </c>
      <c r="B11" s="641">
        <v>422713</v>
      </c>
      <c r="C11" s="26">
        <v>434285</v>
      </c>
      <c r="D11" s="253"/>
      <c r="E11" s="69"/>
      <c r="F11" s="69"/>
      <c r="G11" s="228"/>
      <c r="H11" s="384"/>
      <c r="I11" s="69"/>
      <c r="J11" s="365"/>
      <c r="K11" s="69"/>
      <c r="L11" s="27"/>
      <c r="M11" s="28"/>
      <c r="N11" s="23"/>
      <c r="O11" s="616"/>
      <c r="P11" s="23"/>
      <c r="Q11" s="23"/>
      <c r="R11" s="23"/>
      <c r="S11" s="23"/>
      <c r="T11" s="23"/>
      <c r="U11" s="23"/>
    </row>
    <row r="12" spans="1:21" s="3" customFormat="1" ht="15" customHeight="1">
      <c r="A12" s="162">
        <v>7</v>
      </c>
      <c r="B12" s="641">
        <v>430728</v>
      </c>
      <c r="C12" s="26">
        <v>442364</v>
      </c>
      <c r="D12" s="253"/>
      <c r="E12" s="69"/>
      <c r="F12" s="69"/>
      <c r="G12" s="26"/>
      <c r="H12" s="384"/>
      <c r="I12" s="69"/>
      <c r="J12" s="30"/>
      <c r="K12" s="69"/>
      <c r="L12" s="27"/>
      <c r="M12" s="736"/>
      <c r="N12" s="23"/>
      <c r="O12" s="616"/>
      <c r="P12" s="23"/>
      <c r="Q12" s="23"/>
      <c r="R12" s="23"/>
      <c r="S12" s="23"/>
      <c r="T12" s="23"/>
      <c r="U12" s="23"/>
    </row>
    <row r="13" spans="1:21" s="3" customFormat="1" ht="15" customHeight="1">
      <c r="A13" s="163">
        <v>8</v>
      </c>
      <c r="B13" s="641">
        <v>437166</v>
      </c>
      <c r="C13" s="717">
        <v>325816</v>
      </c>
      <c r="D13" s="737"/>
      <c r="E13" s="26"/>
      <c r="F13" s="69"/>
      <c r="G13" s="26"/>
      <c r="H13" s="384"/>
      <c r="I13" s="121"/>
      <c r="J13" s="30"/>
      <c r="K13" s="69"/>
      <c r="L13" s="27"/>
      <c r="M13" s="28"/>
      <c r="N13" s="23"/>
      <c r="O13" s="616"/>
      <c r="P13" s="23"/>
      <c r="Q13" s="23"/>
      <c r="R13" s="23"/>
      <c r="S13" s="23" t="s">
        <v>64</v>
      </c>
      <c r="T13" s="23"/>
      <c r="U13" s="23"/>
    </row>
    <row r="14" spans="1:21" s="3" customFormat="1" ht="15" customHeight="1">
      <c r="A14" s="162">
        <v>9</v>
      </c>
      <c r="B14" s="523">
        <v>420089</v>
      </c>
      <c r="C14" s="585">
        <v>233202</v>
      </c>
      <c r="D14" s="301"/>
      <c r="E14" s="118"/>
      <c r="F14" s="26"/>
      <c r="G14" s="69"/>
      <c r="H14" s="384"/>
      <c r="I14" s="69"/>
      <c r="J14" s="30"/>
      <c r="K14" s="69"/>
      <c r="L14" s="27"/>
      <c r="M14" s="28"/>
      <c r="N14" s="23"/>
      <c r="O14" s="616"/>
      <c r="P14" s="23"/>
      <c r="Q14" s="23"/>
      <c r="R14" s="23"/>
      <c r="S14" s="23"/>
      <c r="T14" s="23"/>
      <c r="U14" s="23"/>
    </row>
    <row r="15" spans="1:21" s="3" customFormat="1" ht="15" customHeight="1">
      <c r="A15" s="163">
        <v>10</v>
      </c>
      <c r="B15" s="523">
        <v>431640</v>
      </c>
      <c r="C15" s="26">
        <v>437025</v>
      </c>
      <c r="D15" s="301"/>
      <c r="E15" s="26"/>
      <c r="F15" s="26"/>
      <c r="G15" s="69"/>
      <c r="H15" s="384"/>
      <c r="I15" s="69"/>
      <c r="J15" s="30"/>
      <c r="K15" s="69"/>
      <c r="L15" s="27"/>
      <c r="M15" s="28"/>
      <c r="N15" s="23"/>
      <c r="O15" s="616"/>
      <c r="P15" s="23"/>
      <c r="Q15" s="23"/>
      <c r="R15" s="23"/>
      <c r="S15" s="23"/>
      <c r="T15" s="23"/>
      <c r="U15" s="23"/>
    </row>
    <row r="16" spans="1:21" s="3" customFormat="1" ht="15" customHeight="1">
      <c r="A16" s="162">
        <v>11</v>
      </c>
      <c r="B16" s="646">
        <v>315484</v>
      </c>
      <c r="C16" s="26">
        <v>449179</v>
      </c>
      <c r="D16" s="301"/>
      <c r="E16" s="26"/>
      <c r="F16" s="69"/>
      <c r="G16" s="26"/>
      <c r="H16" s="384"/>
      <c r="I16" s="69"/>
      <c r="J16" s="30"/>
      <c r="K16" s="69"/>
      <c r="L16" s="27"/>
      <c r="M16" s="28"/>
      <c r="N16" s="23"/>
      <c r="O16" s="616"/>
      <c r="P16" s="23"/>
      <c r="Q16" s="23"/>
      <c r="R16" s="23"/>
      <c r="S16" s="23"/>
      <c r="T16" s="23"/>
      <c r="U16" s="23"/>
    </row>
    <row r="17" spans="1:21" s="3" customFormat="1" ht="15" customHeight="1">
      <c r="A17" s="163">
        <v>12</v>
      </c>
      <c r="B17" s="654">
        <v>234718</v>
      </c>
      <c r="C17" s="26">
        <v>451020</v>
      </c>
      <c r="D17" s="301"/>
      <c r="E17" s="26"/>
      <c r="F17" s="69"/>
      <c r="G17" s="69"/>
      <c r="H17" s="384"/>
      <c r="I17" s="69"/>
      <c r="J17" s="30"/>
      <c r="K17" s="69"/>
      <c r="L17" s="27"/>
      <c r="M17" s="28"/>
      <c r="N17" s="23"/>
      <c r="O17" s="616"/>
      <c r="P17" s="23"/>
      <c r="Q17" s="23"/>
      <c r="R17" s="23"/>
      <c r="S17" s="23"/>
      <c r="T17" s="23"/>
      <c r="U17" s="23"/>
    </row>
    <row r="18" spans="1:21" s="3" customFormat="1" ht="15" customHeight="1">
      <c r="A18" s="162">
        <v>13</v>
      </c>
      <c r="B18" s="523">
        <v>412129</v>
      </c>
      <c r="C18" s="26">
        <v>440399</v>
      </c>
      <c r="D18" s="301"/>
      <c r="E18" s="26"/>
      <c r="F18" s="69"/>
      <c r="G18" s="26"/>
      <c r="H18" s="384"/>
      <c r="I18" s="69"/>
      <c r="J18" s="30"/>
      <c r="K18" s="26"/>
      <c r="L18" s="27"/>
      <c r="M18" s="28"/>
      <c r="N18" s="23"/>
      <c r="O18" s="616"/>
      <c r="P18" s="23"/>
      <c r="Q18" s="23"/>
      <c r="R18" s="23"/>
      <c r="S18" s="23"/>
      <c r="T18" s="23"/>
      <c r="U18" s="23"/>
    </row>
    <row r="19" spans="1:21" s="3" customFormat="1" ht="15" customHeight="1">
      <c r="A19" s="163">
        <v>14</v>
      </c>
      <c r="B19" s="523">
        <v>445470</v>
      </c>
      <c r="C19" s="743">
        <v>451727</v>
      </c>
      <c r="D19" s="253"/>
      <c r="E19" s="26"/>
      <c r="F19" s="69"/>
      <c r="G19" s="26"/>
      <c r="H19" s="384"/>
      <c r="I19" s="69"/>
      <c r="J19" s="30"/>
      <c r="K19" s="69"/>
      <c r="L19" s="27"/>
      <c r="M19" s="28"/>
      <c r="N19" s="23"/>
      <c r="O19" s="616"/>
      <c r="P19" s="23" t="s">
        <v>62</v>
      </c>
      <c r="Q19" s="23"/>
      <c r="R19" s="23"/>
      <c r="S19" s="23"/>
      <c r="T19" s="23"/>
      <c r="U19" s="23"/>
    </row>
    <row r="20" spans="1:21" s="3" customFormat="1" ht="15" customHeight="1">
      <c r="A20" s="162">
        <v>15</v>
      </c>
      <c r="B20" s="523">
        <v>450488</v>
      </c>
      <c r="C20" s="585">
        <v>342018</v>
      </c>
      <c r="D20" s="738"/>
      <c r="E20" s="26"/>
      <c r="F20" s="69"/>
      <c r="G20" s="26"/>
      <c r="H20" s="384"/>
      <c r="I20" s="69"/>
      <c r="J20" s="30"/>
      <c r="K20" s="26"/>
      <c r="L20" s="27"/>
      <c r="M20" s="28"/>
      <c r="N20" s="2"/>
      <c r="O20" s="616"/>
      <c r="P20" s="23"/>
      <c r="Q20" s="23"/>
      <c r="R20" s="23"/>
      <c r="S20" s="23"/>
      <c r="T20" s="23"/>
      <c r="U20" s="23"/>
    </row>
    <row r="21" spans="1:21" s="3" customFormat="1" ht="15" customHeight="1">
      <c r="A21" s="163">
        <v>16</v>
      </c>
      <c r="B21" s="523">
        <v>444518</v>
      </c>
      <c r="C21" s="585">
        <v>252215</v>
      </c>
      <c r="D21" s="253"/>
      <c r="E21" s="26"/>
      <c r="F21" s="26"/>
      <c r="G21" s="26"/>
      <c r="H21" s="384"/>
      <c r="I21" s="26"/>
      <c r="J21" s="30"/>
      <c r="K21" s="26"/>
      <c r="L21" s="27"/>
      <c r="M21" s="28"/>
      <c r="N21" s="23"/>
      <c r="O21" s="616"/>
      <c r="P21" s="23"/>
      <c r="Q21" s="23"/>
      <c r="R21" s="23"/>
      <c r="S21" s="23"/>
      <c r="T21" s="23"/>
      <c r="U21" s="23"/>
    </row>
    <row r="22" spans="1:21" s="3" customFormat="1" ht="15" customHeight="1">
      <c r="A22" s="162">
        <v>17</v>
      </c>
      <c r="B22" s="523">
        <v>449191</v>
      </c>
      <c r="C22" s="26">
        <v>436090</v>
      </c>
      <c r="D22" s="739"/>
      <c r="E22" s="26"/>
      <c r="F22" s="69"/>
      <c r="G22" s="26"/>
      <c r="H22" s="384"/>
      <c r="I22" s="26"/>
      <c r="J22" s="30"/>
      <c r="K22" s="69"/>
      <c r="L22" s="27"/>
      <c r="M22" s="28"/>
      <c r="N22" s="23"/>
      <c r="O22" s="616"/>
      <c r="P22" s="23"/>
      <c r="Q22" s="23"/>
      <c r="R22" s="23"/>
      <c r="S22" s="23"/>
      <c r="T22" s="23"/>
      <c r="U22" s="23"/>
    </row>
    <row r="23" spans="1:21" s="3" customFormat="1" ht="15" customHeight="1">
      <c r="A23" s="163">
        <v>18</v>
      </c>
      <c r="B23" s="646">
        <v>332503</v>
      </c>
      <c r="C23" s="26">
        <v>430990</v>
      </c>
      <c r="D23" s="26"/>
      <c r="E23" s="69"/>
      <c r="F23" s="69"/>
      <c r="G23" s="26"/>
      <c r="H23" s="384"/>
      <c r="I23" s="26"/>
      <c r="J23" s="30"/>
      <c r="K23" s="69"/>
      <c r="L23" s="27"/>
      <c r="M23" s="726"/>
      <c r="N23" s="23"/>
      <c r="O23" s="616"/>
      <c r="P23" s="23"/>
      <c r="Q23" s="23"/>
      <c r="R23" s="23"/>
      <c r="S23" s="23"/>
      <c r="T23" s="23"/>
      <c r="U23" s="23"/>
    </row>
    <row r="24" spans="1:21" s="3" customFormat="1" ht="15" customHeight="1">
      <c r="A24" s="162">
        <v>19</v>
      </c>
      <c r="B24" s="646">
        <v>240719</v>
      </c>
      <c r="C24" s="26">
        <v>447975</v>
      </c>
      <c r="D24" s="26"/>
      <c r="E24" s="26"/>
      <c r="F24" s="26"/>
      <c r="G24" s="69"/>
      <c r="H24" s="384"/>
      <c r="I24" s="26"/>
      <c r="J24" s="30"/>
      <c r="K24" s="69"/>
      <c r="L24" s="27"/>
      <c r="M24" s="726"/>
      <c r="N24" s="23"/>
      <c r="O24" s="616"/>
      <c r="P24" s="23"/>
      <c r="Q24" s="23"/>
      <c r="R24" s="23"/>
      <c r="S24" s="23"/>
      <c r="T24" s="23"/>
      <c r="U24" s="23"/>
    </row>
    <row r="25" spans="1:21" s="3" customFormat="1" ht="15" customHeight="1">
      <c r="A25" s="163">
        <v>20</v>
      </c>
      <c r="B25" s="741">
        <v>435818</v>
      </c>
      <c r="C25" s="26">
        <v>440535</v>
      </c>
      <c r="D25" s="26"/>
      <c r="E25" s="118"/>
      <c r="F25" s="69"/>
      <c r="G25" s="26"/>
      <c r="H25" s="384"/>
      <c r="I25" s="26"/>
      <c r="J25" s="30"/>
      <c r="K25" s="26"/>
      <c r="L25" s="27"/>
      <c r="M25" s="726"/>
      <c r="N25" s="23"/>
      <c r="O25" s="616"/>
      <c r="P25" s="23"/>
      <c r="Q25" s="23"/>
      <c r="R25" s="23"/>
      <c r="S25" s="23"/>
      <c r="T25" s="23"/>
      <c r="U25" s="23"/>
    </row>
    <row r="26" spans="1:21" s="3" customFormat="1" ht="15" customHeight="1">
      <c r="A26" s="162">
        <v>21</v>
      </c>
      <c r="B26" s="523">
        <v>443490</v>
      </c>
      <c r="C26" s="26">
        <v>441886</v>
      </c>
      <c r="D26" s="26"/>
      <c r="E26" s="69"/>
      <c r="F26" s="69"/>
      <c r="G26" s="26"/>
      <c r="H26" s="740"/>
      <c r="I26" s="26"/>
      <c r="J26" s="30"/>
      <c r="K26" s="69"/>
      <c r="L26" s="27"/>
      <c r="M26" s="28"/>
      <c r="N26" s="23"/>
      <c r="O26" s="616"/>
      <c r="P26" s="23"/>
      <c r="Q26" s="23"/>
      <c r="R26" s="23"/>
      <c r="S26" s="23"/>
      <c r="T26" s="23"/>
      <c r="U26" s="23"/>
    </row>
    <row r="27" spans="1:21" s="3" customFormat="1" ht="15" customHeight="1">
      <c r="A27" s="163">
        <v>22</v>
      </c>
      <c r="B27" s="523">
        <v>447341</v>
      </c>
      <c r="C27" s="585">
        <v>328866</v>
      </c>
      <c r="D27" s="26"/>
      <c r="E27" s="69"/>
      <c r="F27" s="69"/>
      <c r="G27" s="26"/>
      <c r="H27" s="384"/>
      <c r="I27" s="26"/>
      <c r="J27" s="30"/>
      <c r="K27" s="69"/>
      <c r="L27" s="27"/>
      <c r="M27" s="28"/>
      <c r="N27" s="23"/>
      <c r="O27" s="616"/>
      <c r="P27" s="23"/>
      <c r="Q27" s="23"/>
      <c r="R27" s="23"/>
      <c r="S27" s="23"/>
      <c r="T27" s="23"/>
      <c r="U27" s="23"/>
    </row>
    <row r="28" spans="1:21" s="3" customFormat="1" ht="15" customHeight="1">
      <c r="A28" s="162">
        <v>23</v>
      </c>
      <c r="B28" s="523">
        <v>440087</v>
      </c>
      <c r="C28" s="585">
        <v>236860</v>
      </c>
      <c r="D28" s="26"/>
      <c r="E28" s="69"/>
      <c r="F28" s="26"/>
      <c r="G28" s="26"/>
      <c r="H28" s="384"/>
      <c r="I28" s="26"/>
      <c r="J28" s="26"/>
      <c r="K28" s="69"/>
      <c r="L28" s="27"/>
      <c r="M28" s="726"/>
      <c r="N28" s="531"/>
      <c r="O28" s="616"/>
      <c r="P28" s="532"/>
      <c r="Q28" s="531"/>
      <c r="R28" s="532"/>
      <c r="S28" s="531"/>
      <c r="T28" s="532"/>
      <c r="U28" s="531"/>
    </row>
    <row r="29" spans="1:21" s="3" customFormat="1" ht="15" customHeight="1">
      <c r="A29" s="163">
        <v>24</v>
      </c>
      <c r="B29" s="741">
        <v>436243</v>
      </c>
      <c r="C29" s="69">
        <v>428382</v>
      </c>
      <c r="D29" s="26"/>
      <c r="E29" s="69"/>
      <c r="F29" s="26"/>
      <c r="G29" s="69"/>
      <c r="H29" s="384"/>
      <c r="I29" s="26"/>
      <c r="J29" s="30"/>
      <c r="K29" s="69"/>
      <c r="L29" s="27"/>
      <c r="M29" s="28"/>
      <c r="N29" s="532"/>
      <c r="O29" s="616"/>
      <c r="P29" s="532"/>
      <c r="Q29" s="531"/>
      <c r="R29" s="532"/>
      <c r="S29" s="531"/>
      <c r="T29" s="532"/>
      <c r="U29" s="531"/>
    </row>
    <row r="30" spans="1:21" s="3" customFormat="1" ht="15" customHeight="1">
      <c r="A30" s="162">
        <v>25</v>
      </c>
      <c r="B30" s="646">
        <v>325280</v>
      </c>
      <c r="C30" s="69">
        <v>421408</v>
      </c>
      <c r="D30" s="26"/>
      <c r="E30" s="69"/>
      <c r="F30" s="26"/>
      <c r="G30" s="69"/>
      <c r="H30" s="384"/>
      <c r="I30" s="26"/>
      <c r="J30" s="30"/>
      <c r="K30" s="69"/>
      <c r="L30" s="27"/>
      <c r="M30" s="726"/>
      <c r="N30" s="532"/>
      <c r="O30" s="616"/>
      <c r="P30" s="532"/>
      <c r="Q30" s="531"/>
      <c r="R30" s="532"/>
      <c r="S30" s="531"/>
      <c r="T30" s="532"/>
      <c r="U30" s="531"/>
    </row>
    <row r="31" spans="1:21" s="3" customFormat="1" ht="15" customHeight="1">
      <c r="A31" s="163">
        <v>26</v>
      </c>
      <c r="B31" s="646">
        <v>235496</v>
      </c>
      <c r="C31" s="69">
        <v>448664</v>
      </c>
      <c r="D31" s="26"/>
      <c r="E31" s="69"/>
      <c r="F31" s="26"/>
      <c r="G31" s="26"/>
      <c r="H31" s="384"/>
      <c r="I31" s="26"/>
      <c r="J31" s="365"/>
      <c r="K31" s="69"/>
      <c r="L31" s="27"/>
      <c r="M31" s="28"/>
      <c r="N31" s="531"/>
      <c r="O31" s="616"/>
      <c r="P31" s="531"/>
      <c r="Q31" s="533"/>
      <c r="R31" s="532"/>
      <c r="S31" s="533"/>
      <c r="T31" s="532"/>
      <c r="U31" s="532"/>
    </row>
    <row r="32" spans="1:21" s="3" customFormat="1" ht="15" customHeight="1">
      <c r="A32" s="162">
        <v>27</v>
      </c>
      <c r="B32" s="523">
        <v>433980</v>
      </c>
      <c r="C32" s="69">
        <v>435284</v>
      </c>
      <c r="D32" s="26"/>
      <c r="E32" s="69"/>
      <c r="F32" s="26"/>
      <c r="G32" s="592"/>
      <c r="H32" s="384"/>
      <c r="I32" s="26"/>
      <c r="J32" s="365"/>
      <c r="K32" s="69"/>
      <c r="L32" s="27"/>
      <c r="M32" s="726"/>
      <c r="N32" s="531"/>
      <c r="O32" s="616"/>
      <c r="P32" s="532"/>
      <c r="Q32" s="533"/>
      <c r="R32" s="532"/>
      <c r="S32" s="531"/>
      <c r="T32" s="532"/>
      <c r="U32" s="532"/>
    </row>
    <row r="33" spans="1:21" s="3" customFormat="1" ht="15" customHeight="1">
      <c r="A33" s="163">
        <v>28</v>
      </c>
      <c r="B33" s="523">
        <v>455919</v>
      </c>
      <c r="C33" s="69">
        <v>442730</v>
      </c>
      <c r="D33" s="26"/>
      <c r="E33" s="69"/>
      <c r="F33" s="26"/>
      <c r="G33" s="26"/>
      <c r="H33" s="384"/>
      <c r="I33" s="26"/>
      <c r="J33" s="365"/>
      <c r="K33" s="69"/>
      <c r="L33" s="27"/>
      <c r="M33" s="726"/>
      <c r="N33" s="531"/>
      <c r="O33" s="616"/>
      <c r="P33" s="531"/>
      <c r="Q33" s="531"/>
      <c r="R33" s="532"/>
      <c r="S33" s="532"/>
      <c r="T33" s="532"/>
      <c r="U33" s="532"/>
    </row>
    <row r="34" spans="1:21" s="3" customFormat="1" ht="15" customHeight="1">
      <c r="A34" s="162">
        <v>29</v>
      </c>
      <c r="B34" s="746">
        <v>272666</v>
      </c>
      <c r="C34" s="744"/>
      <c r="D34" s="385"/>
      <c r="E34" s="69"/>
      <c r="F34" s="26"/>
      <c r="G34" s="26"/>
      <c r="H34" s="384"/>
      <c r="I34" s="26"/>
      <c r="J34" s="365"/>
      <c r="K34" s="69"/>
      <c r="L34" s="27"/>
      <c r="M34" s="726"/>
      <c r="N34" s="531"/>
      <c r="O34" s="616"/>
      <c r="P34" s="531"/>
      <c r="Q34" s="531"/>
      <c r="R34" s="532"/>
      <c r="S34" s="531"/>
      <c r="T34" s="532"/>
      <c r="U34" s="532"/>
    </row>
    <row r="35" spans="1:21" s="3" customFormat="1" ht="15" customHeight="1">
      <c r="A35" s="163">
        <v>30</v>
      </c>
      <c r="B35" s="523">
        <v>443303</v>
      </c>
      <c r="C35" s="745"/>
      <c r="D35" s="26"/>
      <c r="E35" s="69"/>
      <c r="F35" s="26"/>
      <c r="G35" s="26"/>
      <c r="H35" s="384"/>
      <c r="I35" s="26"/>
      <c r="J35" s="365"/>
      <c r="K35" s="69"/>
      <c r="L35" s="26"/>
      <c r="M35" s="28"/>
      <c r="N35" s="531"/>
      <c r="O35" s="616"/>
      <c r="P35" s="531"/>
      <c r="Q35" s="533"/>
      <c r="R35" s="532"/>
      <c r="S35" s="532"/>
      <c r="T35" s="532"/>
      <c r="U35" s="532"/>
    </row>
    <row r="36" spans="1:21" s="3" customFormat="1" ht="15" customHeight="1" thickBot="1">
      <c r="A36" s="615">
        <v>31</v>
      </c>
      <c r="B36" s="655">
        <v>448998</v>
      </c>
      <c r="C36" s="341"/>
      <c r="D36" s="41"/>
      <c r="E36" s="71"/>
      <c r="F36" s="41"/>
      <c r="G36" s="71"/>
      <c r="H36" s="386"/>
      <c r="I36" s="72"/>
      <c r="J36" s="70"/>
      <c r="K36" s="730"/>
      <c r="L36" s="41"/>
      <c r="M36" s="28"/>
      <c r="N36" s="532"/>
      <c r="O36" s="616"/>
      <c r="P36" s="531"/>
      <c r="Q36" s="531"/>
      <c r="R36" s="532"/>
      <c r="S36" s="532"/>
      <c r="T36" s="532"/>
      <c r="U36" s="532"/>
    </row>
    <row r="37" spans="1:21">
      <c r="A37" s="609" t="s">
        <v>19</v>
      </c>
      <c r="B37" s="520">
        <f t="shared" ref="B37:L37" si="0">IFERROR(AVERAGE(B6:B36),0)</f>
        <v>375795.22580645164</v>
      </c>
      <c r="C37" s="521">
        <f>IFERROR(AVERAGE(C6:C36),0)</f>
        <v>396506.42857142858</v>
      </c>
      <c r="D37" s="522">
        <f t="shared" si="0"/>
        <v>284339.5</v>
      </c>
      <c r="E37" s="522">
        <f>IFERROR(AVERAGE(E6:E36),0)</f>
        <v>0</v>
      </c>
      <c r="F37" s="522">
        <f>IFERROR(AVERAGE(F6:F36),0)</f>
        <v>0</v>
      </c>
      <c r="G37" s="522">
        <f t="shared" si="0"/>
        <v>0</v>
      </c>
      <c r="H37" s="522">
        <f>IFERROR(AVERAGE(H6:H36),0)</f>
        <v>0</v>
      </c>
      <c r="I37" s="535">
        <f>IFERROR(AVERAGE(I6:I36),0)</f>
        <v>0</v>
      </c>
      <c r="J37" s="555">
        <f t="shared" si="0"/>
        <v>0</v>
      </c>
      <c r="K37" s="547">
        <f t="shared" si="0"/>
        <v>0</v>
      </c>
      <c r="L37" s="548">
        <f t="shared" si="0"/>
        <v>0</v>
      </c>
      <c r="M37" s="549">
        <f>IFERROR(AVERAGE(M6:M36),0)</f>
        <v>0</v>
      </c>
      <c r="N37" s="532"/>
      <c r="O37" s="531"/>
      <c r="P37" s="531"/>
      <c r="Q37" s="531"/>
      <c r="R37" s="532"/>
      <c r="S37" s="531"/>
      <c r="T37" s="532"/>
      <c r="U37" s="532"/>
    </row>
    <row r="38" spans="1:21">
      <c r="A38" s="610" t="s">
        <v>20</v>
      </c>
      <c r="B38" s="523">
        <f>IFERROR(AVERAGE(B7:B8,B11:B15,B18:B22,B25:B29,B32:B36),0)</f>
        <v>422262.22727272729</v>
      </c>
      <c r="C38" s="513">
        <f>AVERAGE(C8:C12,C15:C19,C22:C26,C29:C33)</f>
        <v>440593.05</v>
      </c>
      <c r="D38" s="69">
        <f>AVERAGE(D6,D9:D13,D16:D20,D23:D27,D30:D32)</f>
        <v>327248</v>
      </c>
      <c r="E38" s="50" t="e">
        <f>AVERAGE(E6:E10,E13,E16:E17,E20:E24,E27:E31,E34:E35)</f>
        <v>#DIV/0!</v>
      </c>
      <c r="F38" s="50" t="e">
        <f>AVERAGE(F7:F8,F11:F15,F18:F22,F25:F29,F32:F36)</f>
        <v>#DIV/0!</v>
      </c>
      <c r="G38" s="50" t="e">
        <f>AVERAGE(G8:G12,G15:G16,G18:G19,G22:G26,G29:G33)</f>
        <v>#DIV/0!</v>
      </c>
      <c r="H38" s="50">
        <f>IFERROR(AVERAGE(H6:H10,H13:H17,H20:H24,H27:H31,H34:H36),0)</f>
        <v>0</v>
      </c>
      <c r="I38" s="536">
        <f>IFERROR(AVERAGE(I6:I7,I10:I14,I17:I21,I24:I25,I27:I28,I32:I35),0)</f>
        <v>0</v>
      </c>
      <c r="J38" s="541">
        <f>IFERROR(AVERAGE(J7:J11,J14:J18,J21:J25,J28:J32,J35),0)</f>
        <v>0</v>
      </c>
      <c r="K38" s="543" t="e">
        <f>AVERAGE(K6:K9,K12:K16,K19:K23,K26:K30,K33:K36)</f>
        <v>#DIV/0!</v>
      </c>
      <c r="L38" s="545" t="e">
        <f>AVERAGE(L9:L13,L16:L20,L23:L27,L30:L34)</f>
        <v>#DIV/0!</v>
      </c>
      <c r="M38" s="550" t="e">
        <f>AVERAGE(M7:M11,M14:M18,M21:M25,M28:M29,M31:M32)</f>
        <v>#DIV/0!</v>
      </c>
      <c r="N38" s="531"/>
      <c r="O38" s="532"/>
      <c r="P38" s="531"/>
      <c r="Q38" s="532"/>
      <c r="R38" s="532"/>
      <c r="S38" s="531"/>
      <c r="T38" s="532"/>
      <c r="U38" s="532"/>
    </row>
    <row r="39" spans="1:21">
      <c r="A39" s="611" t="s">
        <v>21</v>
      </c>
      <c r="B39" s="523">
        <f>IFERROR(AVERAGE(B11,B18,B25,B32),0)</f>
        <v>426160</v>
      </c>
      <c r="C39" s="513">
        <f>IFERROR(AVERAGE(C6,C13,C20,C27),0)</f>
        <v>331206.25</v>
      </c>
      <c r="D39" s="258">
        <f>SUM(D7,D14,D21,D28)</f>
        <v>241431</v>
      </c>
      <c r="E39" s="53">
        <f>IFERROR(AVERAGE(E11,E18,E25,E32),0)</f>
        <v>0</v>
      </c>
      <c r="F39" s="53" t="e">
        <f>AVERAGE(F9,F16,F23,F30)</f>
        <v>#DIV/0!</v>
      </c>
      <c r="G39" s="53" t="e">
        <f>AVERAGE(G6,G13,G20,G27,G34)</f>
        <v>#DIV/0!</v>
      </c>
      <c r="H39" s="53" t="e">
        <f>AVERAGE(H11,H18,H25,H32)</f>
        <v>#DIV/0!</v>
      </c>
      <c r="I39" s="384" t="e">
        <f>AVERAGE(I8,I15,I22,I29,I36)</f>
        <v>#DIV/0!</v>
      </c>
      <c r="J39" s="546" t="e">
        <f>AVERAGE(J12,J19,J26,J33)</f>
        <v>#DIV/0!</v>
      </c>
      <c r="K39" s="543" t="e">
        <f>AVERAGE(K10,K17,K24,K31)</f>
        <v>#DIV/0!</v>
      </c>
      <c r="L39" s="544" t="e">
        <f>AVERAGE(L14,L21,L28)</f>
        <v>#DIV/0!</v>
      </c>
      <c r="M39" s="550" t="e">
        <f>AVERAGE(M12,M19,M26,M33)</f>
        <v>#DIV/0!</v>
      </c>
      <c r="N39" s="531"/>
      <c r="O39" s="531"/>
      <c r="P39" s="531"/>
      <c r="Q39" s="532"/>
      <c r="R39" s="531"/>
      <c r="S39" s="531"/>
      <c r="T39" s="532"/>
      <c r="U39" s="532"/>
    </row>
    <row r="40" spans="1:21">
      <c r="A40" s="611" t="s">
        <v>22</v>
      </c>
      <c r="B40" s="523">
        <f>IFERROR(AVERAGE(B6,B10,B17,B24,B31),0)</f>
        <v>222425.8</v>
      </c>
      <c r="C40" s="513">
        <f>IFERROR(AVERAGE(C7,C14,C21,C28),0)</f>
        <v>241373.5</v>
      </c>
      <c r="D40" s="258">
        <f>IFERROR(AVERAGE(D8,D15,D22,D29),0)</f>
        <v>0</v>
      </c>
      <c r="E40" s="53">
        <f>IFERROR(AVERAGE(E12,E14:E15,E19,E26,E33),0)</f>
        <v>0</v>
      </c>
      <c r="F40" s="53" t="e">
        <f>AVERAGE(F10,F17,F24,F31,F6)</f>
        <v>#DIV/0!</v>
      </c>
      <c r="G40" s="53" t="e">
        <f>AVERAGE(G7,G14,G17,G21,G28,G35)</f>
        <v>#DIV/0!</v>
      </c>
      <c r="H40" s="53" t="e">
        <f>AVERAGE(H12,H19,H26,H33)</f>
        <v>#DIV/0!</v>
      </c>
      <c r="I40" s="384" t="e">
        <f>AVERAGE(I9,I16,I23,I28,I30:I31)</f>
        <v>#DIV/0!</v>
      </c>
      <c r="J40" s="541" t="e">
        <f>AVERAGE(J6,J13,J20,J27,J34)</f>
        <v>#DIV/0!</v>
      </c>
      <c r="K40" s="543" t="e">
        <f>AVERAGE(K18,K25,K32,K11)</f>
        <v>#DIV/0!</v>
      </c>
      <c r="L40" s="544" t="e">
        <f>AVERAGE(L15,L22,L29,L6:L8,L35)</f>
        <v>#DIV/0!</v>
      </c>
      <c r="M40" s="550" t="e">
        <f>AVERAGE(M12:M13,M20,M27,M30,M6,M34:M36)</f>
        <v>#DIV/0!</v>
      </c>
      <c r="N40" s="531"/>
      <c r="O40" s="532"/>
      <c r="P40" s="531"/>
      <c r="Q40" s="532"/>
      <c r="R40" s="532"/>
      <c r="S40" s="532"/>
      <c r="T40" s="532"/>
      <c r="U40" s="532"/>
    </row>
    <row r="41" spans="1:21">
      <c r="A41" s="611" t="s">
        <v>23</v>
      </c>
      <c r="B41" s="523">
        <f>IFERROR(AVERAGE(B6,B9:B10,B16:B17,B23:B24,B30:B31),0)</f>
        <v>262209.22222222225</v>
      </c>
      <c r="C41" s="513">
        <f>AVERAGE(C6:C7,C13:C14,C20:C21,C27:C28)</f>
        <v>286289.875</v>
      </c>
      <c r="D41" s="258">
        <f>AVERAGE(D7:D8,D14:D15,D21:D22,D28:D29)</f>
        <v>241431</v>
      </c>
      <c r="E41" s="53" t="e">
        <f>AVERAGE(E11:E12,E14:E15,E18:E19,E25:E26,E32:E33)</f>
        <v>#DIV/0!</v>
      </c>
      <c r="F41" s="53" t="e">
        <f>AVERAGE(F6,F9:F10,F16:F17,F23:F24,F30:F31)</f>
        <v>#DIV/0!</v>
      </c>
      <c r="G41" s="53" t="e">
        <f>AVERAGE(G6:G7,G13:G14,G17,G20:G21,G27:G28,G34:G35)</f>
        <v>#DIV/0!</v>
      </c>
      <c r="H41" s="53" t="e">
        <f>AVERAGE(H11:H12,H18:H19,H25:H26,H32:H33)</f>
        <v>#DIV/0!</v>
      </c>
      <c r="I41" s="262" t="e">
        <f>AVERAGE(I8:I9,I15:I16,I22:I23,I28:I31,I36)</f>
        <v>#DIV/0!</v>
      </c>
      <c r="J41" s="604" t="e">
        <f>AVERAGE(J6,J12:J13,J19:J20,J26:J27,J33:J34)</f>
        <v>#DIV/0!</v>
      </c>
      <c r="K41" s="604" t="e">
        <f>AVERAGE(K10:K11,K17:K18,K24:K25,K31:K32)</f>
        <v>#DIV/0!</v>
      </c>
      <c r="L41" s="605" t="e">
        <f>AVERAGE(L6:L8,L14:L15,L21:L22,L28:L29,L35)</f>
        <v>#DIV/0!</v>
      </c>
      <c r="M41" s="550" t="e">
        <f>AVERAGE(M6,M12:M13,M19:M20,M26:M27,M30,M33:M36)</f>
        <v>#DIV/0!</v>
      </c>
      <c r="N41" s="531"/>
      <c r="O41" s="532"/>
      <c r="P41" s="531"/>
      <c r="Q41" s="532"/>
      <c r="R41" s="532"/>
      <c r="S41" s="531"/>
      <c r="T41" s="532"/>
      <c r="U41" s="532"/>
    </row>
    <row r="42" spans="1:21">
      <c r="A42" s="611" t="s">
        <v>24</v>
      </c>
      <c r="B42" s="660">
        <f>MAX(B6:B36)</f>
        <v>455919</v>
      </c>
      <c r="C42" s="719">
        <f>MAX(C6:C36)</f>
        <v>451727</v>
      </c>
      <c r="D42" s="718">
        <f t="shared" ref="D42:M42" si="1">MAX(D6:D36)</f>
        <v>327248</v>
      </c>
      <c r="E42" s="720">
        <f t="shared" si="1"/>
        <v>0</v>
      </c>
      <c r="F42" s="720">
        <f t="shared" si="1"/>
        <v>0</v>
      </c>
      <c r="G42" s="720">
        <f t="shared" si="1"/>
        <v>0</v>
      </c>
      <c r="H42" s="720">
        <f t="shared" si="1"/>
        <v>0</v>
      </c>
      <c r="I42" s="537">
        <f t="shared" si="1"/>
        <v>0</v>
      </c>
      <c r="J42" s="603">
        <f t="shared" si="1"/>
        <v>0</v>
      </c>
      <c r="K42" s="603">
        <f t="shared" si="1"/>
        <v>0</v>
      </c>
      <c r="L42" s="603">
        <f t="shared" si="1"/>
        <v>0</v>
      </c>
      <c r="M42" s="612">
        <f t="shared" si="1"/>
        <v>0</v>
      </c>
      <c r="N42" s="531"/>
      <c r="O42" s="532"/>
      <c r="P42" s="531"/>
      <c r="Q42" s="532"/>
      <c r="R42" s="532"/>
      <c r="S42" s="532"/>
      <c r="T42" s="532"/>
      <c r="U42" s="532"/>
    </row>
    <row r="43" spans="1:21" ht="12.75" thickBot="1">
      <c r="A43" s="613" t="s">
        <v>47</v>
      </c>
      <c r="B43" s="526">
        <f>MIN(B6:B36)</f>
        <v>170732</v>
      </c>
      <c r="C43" s="527">
        <f>MIN(C6:C36)</f>
        <v>233202</v>
      </c>
      <c r="D43" s="527">
        <f t="shared" ref="D43:M43" si="2">MIN(D6:D36)</f>
        <v>241431</v>
      </c>
      <c r="E43" s="527">
        <f t="shared" si="2"/>
        <v>0</v>
      </c>
      <c r="F43" s="528">
        <f t="shared" si="2"/>
        <v>0</v>
      </c>
      <c r="G43" s="527">
        <f t="shared" si="2"/>
        <v>0</v>
      </c>
      <c r="H43" s="527">
        <f t="shared" si="2"/>
        <v>0</v>
      </c>
      <c r="I43" s="538">
        <f>MIN(I6:I36)</f>
        <v>0</v>
      </c>
      <c r="J43" s="606">
        <f t="shared" si="2"/>
        <v>0</v>
      </c>
      <c r="K43" s="607">
        <f t="shared" si="2"/>
        <v>0</v>
      </c>
      <c r="L43" s="608">
        <f>MIN(L6:L36)</f>
        <v>0</v>
      </c>
      <c r="M43" s="550">
        <f t="shared" si="2"/>
        <v>0</v>
      </c>
      <c r="N43" s="532"/>
      <c r="O43" s="532"/>
      <c r="P43" s="531"/>
      <c r="Q43" s="532"/>
      <c r="R43" s="532"/>
      <c r="S43" s="531"/>
      <c r="T43" s="532"/>
      <c r="U43" s="532"/>
    </row>
    <row r="44" spans="1:21" s="60" customFormat="1" thickBot="1">
      <c r="A44" s="614" t="s">
        <v>25</v>
      </c>
      <c r="B44" s="529">
        <f t="shared" ref="B44" si="3">SUM(B6:B36)</f>
        <v>11649652</v>
      </c>
      <c r="C44" s="530">
        <f>SUM(C6:C36)</f>
        <v>11102180</v>
      </c>
      <c r="D44" s="530">
        <f>SUM(D6:D36)</f>
        <v>568679</v>
      </c>
      <c r="E44" s="530">
        <f t="shared" ref="E44:L44" si="4">SUM(E6:E36)</f>
        <v>0</v>
      </c>
      <c r="F44" s="586">
        <f t="shared" si="4"/>
        <v>0</v>
      </c>
      <c r="G44" s="530">
        <f t="shared" si="4"/>
        <v>0</v>
      </c>
      <c r="H44" s="530">
        <f t="shared" si="4"/>
        <v>0</v>
      </c>
      <c r="I44" s="587">
        <f t="shared" si="4"/>
        <v>0</v>
      </c>
      <c r="J44" s="556">
        <f t="shared" si="4"/>
        <v>0</v>
      </c>
      <c r="K44" s="551">
        <f t="shared" si="4"/>
        <v>0</v>
      </c>
      <c r="L44" s="552">
        <f t="shared" si="4"/>
        <v>0</v>
      </c>
      <c r="M44" s="553">
        <f>SUM(M6:M36)</f>
        <v>0</v>
      </c>
      <c r="N44" s="531"/>
      <c r="O44" s="532"/>
      <c r="P44" s="531"/>
      <c r="Q44" s="532"/>
      <c r="R44" s="532"/>
      <c r="S44" s="531"/>
      <c r="T44" s="532"/>
      <c r="U44" s="532"/>
    </row>
    <row r="45" spans="1:21">
      <c r="J45" s="531"/>
      <c r="K45" s="539"/>
      <c r="L45" s="532"/>
      <c r="M45" s="532"/>
      <c r="N45" s="531"/>
      <c r="O45" s="532"/>
      <c r="P45" s="531"/>
      <c r="Q45" s="532"/>
      <c r="R45" s="532"/>
      <c r="S45" s="531"/>
      <c r="T45" s="532"/>
      <c r="U45" s="531"/>
    </row>
    <row r="46" spans="1:21">
      <c r="J46" s="531"/>
      <c r="K46" s="539"/>
      <c r="L46" s="532"/>
      <c r="M46" s="532"/>
      <c r="N46" s="532"/>
      <c r="O46" s="531"/>
      <c r="P46" s="531"/>
      <c r="Q46" s="532"/>
      <c r="R46" s="532"/>
      <c r="S46" s="531"/>
      <c r="T46" s="532"/>
      <c r="U46" s="531"/>
    </row>
    <row r="47" spans="1:21">
      <c r="J47" s="531"/>
      <c r="K47" s="539"/>
      <c r="L47" s="532"/>
      <c r="M47" s="532"/>
      <c r="N47" s="531"/>
      <c r="O47" s="532"/>
      <c r="P47" s="531"/>
      <c r="Q47" s="531"/>
      <c r="R47" s="531"/>
      <c r="S47" s="532"/>
      <c r="T47" s="532"/>
      <c r="U47" s="531"/>
    </row>
    <row r="48" spans="1:21">
      <c r="J48" s="531"/>
      <c r="K48" s="539"/>
      <c r="L48" s="532"/>
      <c r="M48" s="531"/>
      <c r="N48" s="531"/>
      <c r="O48" s="532"/>
      <c r="P48" s="531"/>
      <c r="Q48" s="532"/>
      <c r="R48" s="532"/>
      <c r="S48" s="531"/>
      <c r="T48" s="532"/>
      <c r="U48" s="532"/>
    </row>
    <row r="49" spans="10:21">
      <c r="J49" s="531"/>
      <c r="K49" s="539"/>
      <c r="L49" s="532"/>
      <c r="M49" s="531"/>
      <c r="N49" s="531"/>
      <c r="O49" s="532"/>
      <c r="P49" s="531"/>
      <c r="Q49" s="532"/>
      <c r="R49" s="531"/>
      <c r="S49" s="531"/>
      <c r="T49" s="532"/>
      <c r="U49" s="532"/>
    </row>
    <row r="50" spans="10:21">
      <c r="J50" s="531"/>
      <c r="K50" s="539"/>
      <c r="L50" s="532"/>
      <c r="M50" s="531"/>
      <c r="N50" s="532"/>
      <c r="O50" s="532"/>
      <c r="P50" s="531"/>
      <c r="Q50" s="532"/>
      <c r="R50" s="531"/>
      <c r="S50" s="531"/>
      <c r="T50" s="531"/>
      <c r="U50" s="531"/>
    </row>
    <row r="51" spans="10:21">
      <c r="J51" s="531"/>
      <c r="K51" s="539"/>
      <c r="L51" s="532"/>
      <c r="M51" s="531"/>
      <c r="N51" s="532"/>
      <c r="O51" s="531"/>
      <c r="P51" s="531"/>
      <c r="Q51" s="532"/>
      <c r="R51" s="531"/>
      <c r="S51" s="531"/>
      <c r="T51" s="531"/>
      <c r="U51" s="532"/>
    </row>
    <row r="52" spans="10:21">
      <c r="J52" s="531"/>
      <c r="K52" s="539"/>
      <c r="L52" s="532"/>
      <c r="M52" s="531"/>
      <c r="N52" s="532"/>
      <c r="O52" s="531"/>
      <c r="P52" s="531"/>
      <c r="Q52" s="532"/>
      <c r="R52" s="531"/>
      <c r="S52" s="531"/>
      <c r="T52" s="531"/>
      <c r="U52" s="531"/>
    </row>
    <row r="53" spans="10:21">
      <c r="J53" s="532"/>
      <c r="K53" s="539"/>
      <c r="L53" s="532"/>
      <c r="M53" s="531"/>
      <c r="N53" s="532"/>
      <c r="O53" s="532"/>
      <c r="P53" s="531"/>
      <c r="Q53" s="532"/>
      <c r="R53" s="531"/>
      <c r="S53" s="531"/>
      <c r="T53" s="531"/>
      <c r="U53" s="532"/>
    </row>
    <row r="54" spans="10:21">
      <c r="J54" s="531"/>
      <c r="K54" s="539"/>
      <c r="L54" s="532"/>
      <c r="M54" s="531"/>
      <c r="N54" s="532"/>
      <c r="O54" s="532"/>
      <c r="P54" s="531"/>
      <c r="Q54" s="532"/>
      <c r="R54" s="531"/>
      <c r="S54" s="531"/>
      <c r="T54" s="532"/>
      <c r="U54" s="531"/>
    </row>
    <row r="55" spans="10:21">
      <c r="J55" s="531"/>
      <c r="K55" s="539"/>
      <c r="L55" s="532"/>
      <c r="M55" s="531"/>
      <c r="N55" s="532"/>
      <c r="O55" s="532"/>
      <c r="P55" s="531"/>
      <c r="Q55" s="532"/>
      <c r="R55" s="531"/>
      <c r="S55" s="531"/>
      <c r="T55" s="532"/>
      <c r="U55" s="531"/>
    </row>
    <row r="56" spans="10:21">
      <c r="J56" s="532"/>
      <c r="K56" s="540"/>
      <c r="L56" s="534"/>
      <c r="M56" s="531"/>
      <c r="N56" s="532"/>
      <c r="O56" s="532"/>
      <c r="P56" s="531"/>
      <c r="Q56" s="532"/>
      <c r="R56" s="531"/>
      <c r="S56" s="531"/>
      <c r="T56" s="532"/>
      <c r="U56" s="531"/>
    </row>
    <row r="57" spans="10:21">
      <c r="J57" s="531"/>
      <c r="K57" s="540"/>
      <c r="L57" s="532"/>
      <c r="M57" s="531"/>
      <c r="N57" s="532"/>
      <c r="O57" s="532"/>
      <c r="P57" s="531"/>
      <c r="Q57" s="532"/>
      <c r="R57" s="531"/>
      <c r="S57" s="531"/>
      <c r="T57" s="532"/>
      <c r="U57" s="532"/>
    </row>
    <row r="58" spans="10:21">
      <c r="J58" s="532"/>
      <c r="K58" s="540"/>
      <c r="L58" s="532"/>
      <c r="M58" s="531"/>
      <c r="N58" s="532"/>
      <c r="O58" s="531"/>
      <c r="P58" s="531"/>
      <c r="Q58" s="532"/>
      <c r="R58" s="532"/>
      <c r="S58" s="531"/>
      <c r="T58" s="532"/>
      <c r="U58" s="532"/>
    </row>
  </sheetData>
  <mergeCells count="2">
    <mergeCell ref="E1:I1"/>
    <mergeCell ref="E2:I3"/>
  </mergeCells>
  <conditionalFormatting sqref="B6:B36 D6:H36">
    <cfRule type="top10" dxfId="8" priority="7" rank="1"/>
  </conditionalFormatting>
  <conditionalFormatting sqref="B42:M42">
    <cfRule type="top10" dxfId="7" priority="3" rank="1"/>
  </conditionalFormatting>
  <conditionalFormatting sqref="C6:C36">
    <cfRule type="top10" dxfId="6" priority="1" stopIfTrue="1" rank="1"/>
  </conditionalFormatting>
  <conditionalFormatting sqref="F6:F36">
    <cfRule type="top10" dxfId="5" priority="6" rank="1"/>
  </conditionalFormatting>
  <conditionalFormatting sqref="G6:G36">
    <cfRule type="top10" dxfId="4" priority="5" rank="1"/>
  </conditionalFormatting>
  <conditionalFormatting sqref="H6:H36">
    <cfRule type="top10" dxfId="3" priority="4" rank="1"/>
  </conditionalFormatting>
  <conditionalFormatting sqref="I6:J36 L6:M36">
    <cfRule type="top10" dxfId="2" priority="2" rank="1"/>
  </conditionalFormatting>
  <printOptions horizontalCentered="1" verticalCentered="1"/>
  <pageMargins left="0.25" right="0.25" top="0.25" bottom="0.75" header="0.3" footer="0.3"/>
  <pageSetup paperSize="9" scale="86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3DF0-6556-4D2B-9D39-2A4D9CF346F6}">
  <dimension ref="A1:F28"/>
  <sheetViews>
    <sheetView workbookViewId="0">
      <selection activeCell="D4" sqref="D4"/>
    </sheetView>
  </sheetViews>
  <sheetFormatPr defaultRowHeight="15"/>
  <cols>
    <col min="1" max="1" width="9.140625" style="319"/>
    <col min="2" max="2" width="10.140625" style="319" bestFit="1" customWidth="1"/>
    <col min="3" max="3" width="9.140625" style="319"/>
    <col min="4" max="4" width="16.7109375" style="319" bestFit="1" customWidth="1"/>
    <col min="5" max="5" width="10.42578125" style="319" bestFit="1" customWidth="1"/>
    <col min="6" max="16384" width="9.140625" style="319"/>
  </cols>
  <sheetData>
    <row r="1" spans="1:6">
      <c r="A1" s="319" t="s">
        <v>66</v>
      </c>
    </row>
    <row r="3" spans="1:6">
      <c r="A3" s="318" t="s">
        <v>67</v>
      </c>
      <c r="B3" s="318" t="s">
        <v>68</v>
      </c>
      <c r="C3" s="318" t="s">
        <v>69</v>
      </c>
      <c r="D3" s="319" t="s">
        <v>24</v>
      </c>
      <c r="E3" s="319" t="s">
        <v>70</v>
      </c>
      <c r="F3" s="320" t="s">
        <v>71</v>
      </c>
    </row>
    <row r="4" spans="1:6">
      <c r="A4" s="318">
        <v>1999</v>
      </c>
      <c r="B4" s="319" t="s">
        <v>18</v>
      </c>
      <c r="C4" s="319">
        <v>23</v>
      </c>
      <c r="D4" s="324">
        <f>MAX('DAILY 1999'!M21:M36)</f>
        <v>39760</v>
      </c>
      <c r="E4" s="326">
        <v>0</v>
      </c>
      <c r="F4" s="322" cm="1">
        <f t="array" ref="F4:F28">RANK(D4:D28,D4:D28)</f>
        <v>25</v>
      </c>
    </row>
    <row r="5" spans="1:6">
      <c r="A5" s="318">
        <v>2000</v>
      </c>
      <c r="B5" s="319" t="s">
        <v>18</v>
      </c>
      <c r="C5" s="319">
        <v>22</v>
      </c>
      <c r="D5" s="324">
        <f>MAX('DAILY 2000'!$B$6:$M$36)</f>
        <v>296969</v>
      </c>
      <c r="E5" s="349">
        <f t="shared" ref="E5:E27" si="0">D5/D4-1</f>
        <v>6.4690392354124748</v>
      </c>
      <c r="F5" s="321">
        <v>23</v>
      </c>
    </row>
    <row r="6" spans="1:6">
      <c r="A6" s="318">
        <v>2001</v>
      </c>
      <c r="B6" s="319" t="s">
        <v>10</v>
      </c>
      <c r="C6" s="319">
        <v>4</v>
      </c>
      <c r="D6" s="324">
        <f>MAX('DAILY 2001'!$B$6:$M$36)</f>
        <v>539343</v>
      </c>
      <c r="E6" s="349">
        <f t="shared" si="0"/>
        <v>0.81615926241459547</v>
      </c>
      <c r="F6" s="321">
        <v>8</v>
      </c>
    </row>
    <row r="7" spans="1:6">
      <c r="A7" s="318">
        <v>2002</v>
      </c>
      <c r="B7" s="319" t="s">
        <v>13</v>
      </c>
      <c r="C7" s="319">
        <v>1</v>
      </c>
      <c r="D7" s="324">
        <f>MAX('DAILY 2002'!$B$6:$M$36)</f>
        <v>417059</v>
      </c>
      <c r="E7" s="349">
        <f t="shared" si="0"/>
        <v>-0.22672770389158658</v>
      </c>
      <c r="F7" s="321">
        <v>18</v>
      </c>
    </row>
    <row r="8" spans="1:6">
      <c r="A8" s="318">
        <v>2003</v>
      </c>
      <c r="B8" s="319" t="s">
        <v>18</v>
      </c>
      <c r="C8" s="319">
        <v>19</v>
      </c>
      <c r="D8" s="324">
        <f>MAX('DAILY 2003'!$B$6:$M$36)</f>
        <v>438809</v>
      </c>
      <c r="E8" s="349">
        <f t="shared" si="0"/>
        <v>5.215089471753398E-2</v>
      </c>
      <c r="F8" s="321">
        <v>17</v>
      </c>
    </row>
    <row r="9" spans="1:6">
      <c r="A9" s="318">
        <v>2004</v>
      </c>
      <c r="B9" s="319" t="s">
        <v>18</v>
      </c>
      <c r="C9" s="319">
        <v>16</v>
      </c>
      <c r="D9" s="324">
        <f>MAX('DAILY 2004'!$B$6:$M$36)</f>
        <v>452926</v>
      </c>
      <c r="E9" s="349">
        <f t="shared" si="0"/>
        <v>3.2171172423537397E-2</v>
      </c>
      <c r="F9" s="321">
        <v>15</v>
      </c>
    </row>
    <row r="10" spans="1:6">
      <c r="A10" s="318">
        <v>2005</v>
      </c>
      <c r="B10" s="319" t="s">
        <v>18</v>
      </c>
      <c r="C10" s="319">
        <v>14</v>
      </c>
      <c r="D10" s="324">
        <f>MAX('DAILY 2005'!$B$6:$M$36)</f>
        <v>511131</v>
      </c>
      <c r="E10" s="349">
        <f t="shared" si="0"/>
        <v>0.12850885133553835</v>
      </c>
      <c r="F10" s="321">
        <v>11</v>
      </c>
    </row>
    <row r="11" spans="1:6">
      <c r="A11" s="318">
        <v>2006</v>
      </c>
      <c r="B11" s="319" t="s">
        <v>18</v>
      </c>
      <c r="C11" s="319">
        <v>15</v>
      </c>
      <c r="D11" s="324">
        <f>MAX('DAILY 2006'!$B$6:$M$36)</f>
        <v>487735</v>
      </c>
      <c r="E11" s="349">
        <f t="shared" si="0"/>
        <v>-4.5773001441900441E-2</v>
      </c>
      <c r="F11" s="321">
        <v>13</v>
      </c>
    </row>
    <row r="12" spans="1:6">
      <c r="A12" s="318">
        <v>2007</v>
      </c>
      <c r="B12" s="319" t="s">
        <v>18</v>
      </c>
      <c r="C12" s="319">
        <v>21</v>
      </c>
      <c r="D12" s="324">
        <f>MAX('DAILY 2007'!$B$6:$M$36)</f>
        <v>539813</v>
      </c>
      <c r="E12" s="349">
        <f t="shared" si="0"/>
        <v>0.10677519554676218</v>
      </c>
      <c r="F12" s="321">
        <v>7</v>
      </c>
    </row>
    <row r="13" spans="1:6">
      <c r="A13" s="318">
        <v>2008</v>
      </c>
      <c r="B13" s="319" t="s">
        <v>16</v>
      </c>
      <c r="C13" s="319">
        <v>15</v>
      </c>
      <c r="D13" s="324">
        <f>MAX('DAILY 2008'!$B$6:$M$36)</f>
        <v>527530</v>
      </c>
      <c r="E13" s="349">
        <f t="shared" si="0"/>
        <v>-2.2754175983164537E-2</v>
      </c>
      <c r="F13" s="321">
        <v>9</v>
      </c>
    </row>
    <row r="14" spans="1:6">
      <c r="A14" s="318">
        <v>2009</v>
      </c>
      <c r="B14" s="319" t="s">
        <v>15</v>
      </c>
      <c r="C14" s="319">
        <v>15</v>
      </c>
      <c r="D14" s="324">
        <f>MAX('DAILY 2009'!$B$6:$M$36)</f>
        <v>560637</v>
      </c>
      <c r="E14" s="349">
        <f t="shared" si="0"/>
        <v>6.2758516103349482E-2</v>
      </c>
      <c r="F14" s="321">
        <v>5</v>
      </c>
    </row>
    <row r="15" spans="1:6">
      <c r="A15" s="318">
        <v>2010</v>
      </c>
      <c r="B15" s="319" t="s">
        <v>16</v>
      </c>
      <c r="C15" s="319">
        <v>15</v>
      </c>
      <c r="D15" s="324">
        <f>MAX('DAILY 2010'!$B$6:$M$36)</f>
        <v>552509</v>
      </c>
      <c r="E15" s="349">
        <f t="shared" si="0"/>
        <v>-1.4497794473072645E-2</v>
      </c>
      <c r="F15" s="321">
        <v>6</v>
      </c>
    </row>
    <row r="16" spans="1:6">
      <c r="A16" s="318">
        <v>2011</v>
      </c>
      <c r="B16" s="319" t="s">
        <v>16</v>
      </c>
      <c r="C16" s="319">
        <v>14</v>
      </c>
      <c r="D16" s="324">
        <f>MAX('DAILY 2011'!$B$6:$M$36)</f>
        <v>577015</v>
      </c>
      <c r="E16" s="349">
        <f t="shared" si="0"/>
        <v>4.4354028622158204E-2</v>
      </c>
      <c r="F16" s="321">
        <v>4</v>
      </c>
    </row>
    <row r="17" spans="1:6">
      <c r="A17" s="318">
        <v>2012</v>
      </c>
      <c r="B17" s="319" t="s">
        <v>14</v>
      </c>
      <c r="C17" s="319">
        <v>17</v>
      </c>
      <c r="D17" s="324">
        <f>MAX('DAILY 2012'!$B$6:$M$36)</f>
        <v>622880</v>
      </c>
      <c r="E17" s="349">
        <f t="shared" si="0"/>
        <v>7.9486668457492415E-2</v>
      </c>
      <c r="F17" s="321">
        <v>1</v>
      </c>
    </row>
    <row r="18" spans="1:6">
      <c r="A18" s="318">
        <v>2013</v>
      </c>
      <c r="B18" s="319" t="s">
        <v>16</v>
      </c>
      <c r="C18" s="319">
        <v>25</v>
      </c>
      <c r="D18" s="324">
        <f>MAX('DAILY 2013'!$B$6:$M$36)</f>
        <v>621913</v>
      </c>
      <c r="E18" s="349">
        <f t="shared" si="0"/>
        <v>-1.5524659645517191E-3</v>
      </c>
      <c r="F18" s="321">
        <v>2</v>
      </c>
    </row>
    <row r="19" spans="1:6">
      <c r="A19" s="318">
        <v>2014</v>
      </c>
      <c r="B19" s="319" t="s">
        <v>8</v>
      </c>
      <c r="C19" s="319">
        <v>14</v>
      </c>
      <c r="D19" s="324">
        <f>MAX('DAILY 2014'!$B$6:$M$36)</f>
        <v>614807</v>
      </c>
      <c r="E19" s="349">
        <f t="shared" si="0"/>
        <v>-1.142603547441523E-2</v>
      </c>
      <c r="F19" s="321">
        <v>3</v>
      </c>
    </row>
    <row r="20" spans="1:6">
      <c r="A20" s="318">
        <v>2015</v>
      </c>
      <c r="B20" s="319" t="s">
        <v>8</v>
      </c>
      <c r="C20" s="319">
        <v>25</v>
      </c>
      <c r="D20" s="324">
        <f>MAX('DAILY 2015'!$B$6:$M$36)</f>
        <v>455164.00000000012</v>
      </c>
      <c r="E20" s="349">
        <f t="shared" si="0"/>
        <v>-0.2596636017481907</v>
      </c>
      <c r="F20" s="321">
        <v>14</v>
      </c>
    </row>
    <row r="21" spans="1:6">
      <c r="A21" s="318">
        <v>2016</v>
      </c>
      <c r="B21" s="319" t="s">
        <v>18</v>
      </c>
      <c r="C21" s="319">
        <v>16</v>
      </c>
      <c r="D21" s="324">
        <f>MAX('DAILY 2016'!$B$6:$M$36)</f>
        <v>517929</v>
      </c>
      <c r="E21" s="349">
        <f t="shared" si="0"/>
        <v>0.13789535200499126</v>
      </c>
      <c r="F21" s="321">
        <v>10</v>
      </c>
    </row>
    <row r="22" spans="1:6">
      <c r="A22" s="318">
        <v>2017</v>
      </c>
      <c r="B22" s="319" t="s">
        <v>8</v>
      </c>
      <c r="C22" s="319">
        <v>10</v>
      </c>
      <c r="D22" s="324">
        <f>MAX('DAILY 2017'!$B$6:$M$36)</f>
        <v>506001</v>
      </c>
      <c r="E22" s="349">
        <f t="shared" si="0"/>
        <v>-2.3030183673824034E-2</v>
      </c>
      <c r="F22" s="321">
        <v>12</v>
      </c>
    </row>
    <row r="23" spans="1:6">
      <c r="A23" s="318">
        <v>2018</v>
      </c>
      <c r="B23" s="319" t="s">
        <v>7</v>
      </c>
      <c r="C23" s="319">
        <v>12</v>
      </c>
      <c r="D23" s="324">
        <f>MAX('DAILY 2018'!$B$6:$M$36)</f>
        <v>390325</v>
      </c>
      <c r="E23" s="349">
        <f t="shared" si="0"/>
        <v>-0.22860824385722556</v>
      </c>
      <c r="F23" s="321">
        <v>19</v>
      </c>
    </row>
    <row r="24" spans="1:6">
      <c r="A24" s="318">
        <v>2019</v>
      </c>
      <c r="B24" s="319" t="s">
        <v>7</v>
      </c>
      <c r="C24" s="319">
        <v>25</v>
      </c>
      <c r="D24" s="324">
        <f>MAX('DAILY 2019'!$B$6:$M$36)</f>
        <v>359447</v>
      </c>
      <c r="E24" s="349">
        <f t="shared" si="0"/>
        <v>-7.9108435278293698E-2</v>
      </c>
      <c r="F24" s="321">
        <v>21</v>
      </c>
    </row>
    <row r="25" spans="1:6">
      <c r="A25" s="318">
        <v>2020</v>
      </c>
      <c r="B25" s="323" t="str">
        <f>INDEX('DAILY 2020'!$B$5:$M$5,MATCH(MAX('DAILY 2020'!$B$42:$M$42),'DAILY 2020'!$B$42:$M$42,0))</f>
        <v>January</v>
      </c>
      <c r="C25" s="319">
        <v>24</v>
      </c>
      <c r="D25" s="324">
        <f>MAX('DAILY 2020'!$B$6:$M$36)</f>
        <v>326564</v>
      </c>
      <c r="E25" s="349">
        <f t="shared" si="0"/>
        <v>-9.1482193480540985E-2</v>
      </c>
      <c r="F25" s="321">
        <v>22</v>
      </c>
    </row>
    <row r="26" spans="1:6">
      <c r="A26" s="318">
        <v>2021</v>
      </c>
      <c r="B26" s="323" t="str">
        <f>INDEX('DAILY 2021'!$B$5:$M$5,MATCH(MAX('DAILY 2021'!$B$42:$M$42),'DAILY 2021'!$B$42:$M$42,0))</f>
        <v>December</v>
      </c>
      <c r="C26" s="319">
        <v>23</v>
      </c>
      <c r="D26" s="324">
        <f>MAX('DAILY 2021'!B6:M36)</f>
        <v>223739</v>
      </c>
      <c r="E26" s="349">
        <f t="shared" si="0"/>
        <v>-0.31486936710721325</v>
      </c>
      <c r="F26" s="321">
        <v>24</v>
      </c>
    </row>
    <row r="27" spans="1:6">
      <c r="A27" s="318">
        <v>2022</v>
      </c>
      <c r="B27" s="323" t="str">
        <f>INDEX('DAILY 2022'!B5:M5,MATCH(MAX('DAILY 2022'!B42:M42),'DAILY 2022'!B42:M42,0))</f>
        <v>June</v>
      </c>
      <c r="C27" s="350">
        <v>17</v>
      </c>
      <c r="D27" s="324">
        <f>MAX('DAILY 2022'!B7:M37)</f>
        <v>389036</v>
      </c>
      <c r="E27" s="349">
        <f t="shared" si="0"/>
        <v>0.73879386249156376</v>
      </c>
      <c r="F27" s="321">
        <v>20</v>
      </c>
    </row>
    <row r="28" spans="1:6">
      <c r="A28" s="318">
        <v>2023</v>
      </c>
      <c r="B28" s="323" t="str">
        <f>INDEX('DAILY 2023'!B5:M5,MATCH(D28,'DAILY 2023'!B42:M42,0))</f>
        <v>August</v>
      </c>
      <c r="C28" s="325" cm="1">
        <f t="array" ref="C28">INDEX('DAILY 2023'!$A$6:$A$36,MATCH(TRUE,INDEX(((('DAILY 2023'!$B$6:$B$36)='Highest Ridership'!$D28)+(('DAILY 2023'!$C$6:$C$36)='Highest Ridership'!$D28)+(('DAILY 2023'!$D$6:$D$36)='Highest Ridership'!$D28)+(('DAILY 2023'!$E$6:$E$36)='Highest Ridership'!$D28)+(('DAILY 2023'!$F$6:$F$36)='Highest Ridership'!$D28)+(('DAILY 2023'!$G$6:$G$36)='Highest Ridership'!$D28)+(('DAILY 2023'!$H$6:$H$36)='Highest Ridership'!$D28)+(('DAILY 2023'!$I$6:$I$36)='Highest Ridership'!$D28)+(('DAILY 2023'!$J$6:$J$36)='Highest Ridership'!$D28)+(('DAILY 2023'!$K$6:$K$36)='Highest Ridership'!$D28)*(('DAILY 2023'!$L$6:$L$36)='Highest Ridership'!$D28)+(('DAILY 2023'!$M$6:$M$36)='Highest Ridership'!$D28))&gt;0,0,1),0))</f>
        <v>22</v>
      </c>
      <c r="D28" s="324">
        <f>MAX('DAILY 2023'!B7:M37)</f>
        <v>450298</v>
      </c>
      <c r="E28" s="349">
        <f t="shared" ref="E28" si="1">D28/D27-1</f>
        <v>0.15747128800419508</v>
      </c>
      <c r="F28" s="321">
        <v>16</v>
      </c>
    </row>
  </sheetData>
  <sheetProtection sheet="1" objects="1" scenarios="1"/>
  <phoneticPr fontId="24" type="noConversion"/>
  <conditionalFormatting sqref="B28">
    <cfRule type="top10" dxfId="1" priority="1" rank="1"/>
  </conditionalFormatting>
  <conditionalFormatting sqref="F4:F26 A27:B27 A4:D26">
    <cfRule type="top10" dxfId="0" priority="18" rank="1"/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0788-7D4B-2149-9CA6-4007B4F5467D}">
  <dimension ref="A2:F30"/>
  <sheetViews>
    <sheetView topLeftCell="A6" workbookViewId="0">
      <selection activeCell="J24" sqref="J24"/>
    </sheetView>
  </sheetViews>
  <sheetFormatPr defaultRowHeight="15"/>
  <cols>
    <col min="2" max="6" width="18" customWidth="1"/>
  </cols>
  <sheetData>
    <row r="2" spans="1:6">
      <c r="A2" t="s">
        <v>72</v>
      </c>
    </row>
    <row r="4" spans="1:6">
      <c r="A4" s="352"/>
      <c r="B4" s="352" t="s">
        <v>73</v>
      </c>
      <c r="C4" s="352" t="s">
        <v>74</v>
      </c>
      <c r="D4" s="352" t="s">
        <v>75</v>
      </c>
      <c r="E4" s="352" t="s">
        <v>76</v>
      </c>
      <c r="F4" s="352" t="s">
        <v>77</v>
      </c>
    </row>
    <row r="5" spans="1:6">
      <c r="A5" s="352">
        <v>1999</v>
      </c>
      <c r="B5" s="353"/>
      <c r="C5" s="353"/>
      <c r="D5" s="353"/>
      <c r="E5" s="353"/>
      <c r="F5" s="353"/>
    </row>
    <row r="6" spans="1:6">
      <c r="A6" s="352">
        <v>2000</v>
      </c>
      <c r="B6" s="354">
        <f>AVERAGE('DAILY 2000'!B$37:M$37)</f>
        <v>108744.93330291017</v>
      </c>
      <c r="C6" s="354"/>
      <c r="D6" s="354"/>
      <c r="E6" s="354"/>
      <c r="F6" s="354"/>
    </row>
    <row r="7" spans="1:6">
      <c r="A7" s="352">
        <v>2001</v>
      </c>
      <c r="B7" s="354">
        <f>AVERAGE('DAILY 2001'!B$37:M$37)</f>
        <v>249073.56712251806</v>
      </c>
      <c r="C7" s="354"/>
      <c r="D7" s="354"/>
      <c r="E7" s="354"/>
      <c r="F7" s="354"/>
    </row>
    <row r="8" spans="1:6">
      <c r="A8" s="352">
        <v>2002</v>
      </c>
      <c r="B8" s="354">
        <f>AVERAGE('DAILY 2002'!B$37:M$37)</f>
        <v>278269.53531105991</v>
      </c>
      <c r="C8" s="354"/>
      <c r="D8" s="354"/>
      <c r="E8" s="354"/>
      <c r="F8" s="354"/>
    </row>
    <row r="9" spans="1:6">
      <c r="A9" s="352">
        <v>2003</v>
      </c>
      <c r="B9" s="354">
        <f>AVERAGE('DAILY 2003'!B$37:M$37)</f>
        <v>309315.38369531208</v>
      </c>
      <c r="C9" s="354"/>
      <c r="D9" s="354"/>
      <c r="E9" s="354"/>
      <c r="F9" s="354"/>
    </row>
    <row r="10" spans="1:6">
      <c r="A10" s="352">
        <v>2004</v>
      </c>
      <c r="B10" s="354">
        <f>AVERAGE('DAILY 2004'!B$37:M$37)</f>
        <v>338392.87843353965</v>
      </c>
      <c r="C10" s="354"/>
      <c r="D10" s="354"/>
      <c r="E10" s="354"/>
      <c r="F10" s="354"/>
    </row>
    <row r="11" spans="1:6">
      <c r="A11" s="352">
        <v>2005</v>
      </c>
      <c r="B11" s="354">
        <f>AVERAGE('DAILY 2005'!B$37:M$37)</f>
        <v>355744.59017537133</v>
      </c>
      <c r="C11" s="354"/>
      <c r="D11" s="354"/>
      <c r="E11" s="354"/>
      <c r="F11" s="354"/>
    </row>
    <row r="12" spans="1:6">
      <c r="A12" s="352">
        <v>2006</v>
      </c>
      <c r="B12" s="354">
        <f>AVERAGE('DAILY 2006'!B$37:M$37)</f>
        <v>373356.48520865338</v>
      </c>
      <c r="C12" s="354"/>
      <c r="D12" s="354"/>
      <c r="E12" s="354"/>
      <c r="F12" s="354"/>
    </row>
    <row r="13" spans="1:6">
      <c r="A13" s="352">
        <v>2007</v>
      </c>
      <c r="B13" s="354">
        <f>AVERAGE('DAILY 2007'!B$37:M$37)</f>
        <v>395624.66370573873</v>
      </c>
      <c r="C13" s="354"/>
      <c r="D13" s="354"/>
      <c r="E13" s="354"/>
      <c r="F13" s="354"/>
    </row>
    <row r="14" spans="1:6">
      <c r="A14" s="352">
        <v>2008</v>
      </c>
      <c r="B14" s="354">
        <f>AVERAGE('DAILY 2008'!B$37:M$37)</f>
        <v>413267.21900087892</v>
      </c>
      <c r="C14" s="354"/>
      <c r="D14" s="354"/>
      <c r="E14" s="354"/>
      <c r="F14" s="354"/>
    </row>
    <row r="15" spans="1:6">
      <c r="A15" s="352">
        <v>2009</v>
      </c>
      <c r="B15" s="354">
        <f>AVERAGE('DAILY 2009'!B$37:M$37)</f>
        <v>419849.02516001021</v>
      </c>
      <c r="C15" s="354"/>
      <c r="D15" s="354"/>
      <c r="E15" s="354"/>
      <c r="F15" s="354"/>
    </row>
    <row r="16" spans="1:6">
      <c r="A16" s="352">
        <v>2010</v>
      </c>
      <c r="B16" s="354">
        <f>AVERAGE('DAILY 2010'!B$37:M$37)</f>
        <v>424276.85745598486</v>
      </c>
      <c r="C16" s="354">
        <f>AVERAGE('DAILY 2010'!B$38:M$38)</f>
        <v>487198.124146747</v>
      </c>
      <c r="D16" s="354">
        <f>AVERAGE('DAILY 2010'!$B$39:$M$39)</f>
        <v>357980.6486111111</v>
      </c>
      <c r="E16" s="354">
        <f>AVERAGE('DAILY 2010'!$B$40:$M$40)</f>
        <v>245098.78670634923</v>
      </c>
      <c r="F16" s="354">
        <f>AVERAGE('DAILY 2010'!$B$41:$M$41)</f>
        <v>293095.58271705144</v>
      </c>
    </row>
    <row r="17" spans="1:6">
      <c r="A17" s="352">
        <v>2011</v>
      </c>
      <c r="B17" s="354">
        <f>AVERAGE('DAILY 2011'!B$37:M$37)</f>
        <v>407341.76210169756</v>
      </c>
      <c r="C17" s="354">
        <f>AVERAGE('DAILY 2011'!B$38:M$38)</f>
        <v>502594.13596709998</v>
      </c>
      <c r="D17" s="354">
        <f>AVERAGE('DAILY 2011'!B$39:M$39)</f>
        <v>369805.12916666665</v>
      </c>
      <c r="E17" s="354">
        <f>AVERAGE('DAILY 2011'!$B$40:$M$40)</f>
        <v>246750.83571428573</v>
      </c>
      <c r="F17" s="354">
        <f>AVERAGE('DAILY 2011'!$B$41:$M$41)</f>
        <v>302743.52423039923</v>
      </c>
    </row>
    <row r="18" spans="1:6">
      <c r="A18" s="352">
        <v>2012</v>
      </c>
      <c r="B18" s="354">
        <f>AVERAGE('DAILY 2012'!B$37:M$37)</f>
        <v>446703.47047938051</v>
      </c>
      <c r="C18" s="354">
        <f>AVERAGE('DAILY 2012'!B$38:M$38)</f>
        <v>553061.62530382629</v>
      </c>
      <c r="D18" s="354">
        <f>AVERAGE('DAILY 2012'!B$39:M$39)</f>
        <v>416113.31388888886</v>
      </c>
      <c r="E18" s="354">
        <f>AVERAGE('DAILY 2012'!$B$40:$M$40)</f>
        <v>272477.32480158727</v>
      </c>
      <c r="F18" s="354">
        <f>AVERAGE('DAILY 2012'!$B$41:$M$41)</f>
        <v>335987.59959068708</v>
      </c>
    </row>
    <row r="19" spans="1:6">
      <c r="A19" s="352">
        <v>2013</v>
      </c>
      <c r="B19" s="354">
        <f>AVERAGE('DAILY 2013'!B$37:M$37)</f>
        <v>450334.59542157361</v>
      </c>
      <c r="C19" s="354">
        <f>AVERAGE('DAILY 2013'!B$38:M$38)</f>
        <v>562122.05228438508</v>
      </c>
      <c r="D19" s="354">
        <f>AVERAGE('DAILY 2013'!B$39:M$39)</f>
        <v>422519.63194444444</v>
      </c>
      <c r="E19" s="354">
        <f>AVERAGE('DAILY 2013'!$B$40:$M$40)</f>
        <v>278755.27123015875</v>
      </c>
      <c r="F19" s="354">
        <f>AVERAGE('DAILY 2013'!$B$41:$M$41)</f>
        <v>338825.44045954046</v>
      </c>
    </row>
    <row r="20" spans="1:6">
      <c r="A20" s="352">
        <v>2014</v>
      </c>
      <c r="B20" s="354">
        <f>AVERAGE('DAILY 2014'!B$37:M$37)</f>
        <v>427797.04726210167</v>
      </c>
      <c r="C20" s="354">
        <f>AVERAGE('DAILY 2014'!B$38:M$38)</f>
        <v>532516.18398216728</v>
      </c>
      <c r="D20" s="354">
        <f>AVERAGE('DAILY 2014'!B$39:M$39)</f>
        <v>417250.2111111111</v>
      </c>
      <c r="E20" s="354">
        <f>AVERAGE('DAILY 2014'!$B$40:$M$40)</f>
        <v>270783.10284391529</v>
      </c>
      <c r="F20" s="354">
        <f>AVERAGE('DAILY 2014'!$B$41:$M$41)</f>
        <v>333590.72883597878</v>
      </c>
    </row>
    <row r="21" spans="1:6">
      <c r="A21" s="352">
        <v>2015</v>
      </c>
      <c r="B21" s="354">
        <f>AVERAGE('DAILY 2015'!B$37:M$37)</f>
        <v>343486.09677419352</v>
      </c>
      <c r="C21" s="354">
        <f>AVERAGE('DAILY 2015'!B$38:M$38)</f>
        <v>378658.02228004183</v>
      </c>
      <c r="D21" s="354">
        <f>AVERAGE('DAILY 2015'!B$39:M$39)</f>
        <v>280789.9222222222</v>
      </c>
      <c r="E21" s="354">
        <f>AVERAGE('DAILY 2015'!$B$40:$M$40)</f>
        <v>189074.5797974648</v>
      </c>
      <c r="F21" s="354">
        <f>AVERAGE('DAILY 2015'!$B$41:$M$41)</f>
        <v>228171.02451737729</v>
      </c>
    </row>
    <row r="22" spans="1:6">
      <c r="A22" s="352">
        <v>2016</v>
      </c>
      <c r="B22" s="354">
        <f>AVERAGE('DAILY 2016'!B$6:M$36)</f>
        <v>370035.6077348066</v>
      </c>
      <c r="C22" s="354">
        <f>AVERAGE('DAILY 2016'!B$38:M$38)</f>
        <v>425745.0114234449</v>
      </c>
      <c r="D22" s="354">
        <f>AVERAGE('DAILY 2016'!B$39:M$39)</f>
        <v>317534.18472222221</v>
      </c>
      <c r="E22" s="354">
        <f>AVERAGE('DAILY 2016'!$B$40:$M$40)</f>
        <v>200568.45972222221</v>
      </c>
      <c r="F22" s="354">
        <f>AVERAGE('DAILY 2016'!$B$41:$M$41)</f>
        <v>250317.26719276095</v>
      </c>
    </row>
    <row r="23" spans="1:6">
      <c r="A23" s="352">
        <v>2017</v>
      </c>
      <c r="B23" s="354">
        <f>AVERAGE('DAILY 2017'!B$6:M$36)</f>
        <v>388233.13296398893</v>
      </c>
      <c r="C23" s="354">
        <f>AVERAGE('DAILY 2017'!B$38:M$38)</f>
        <v>449001.61237495992</v>
      </c>
      <c r="D23" s="354">
        <f>AVERAGE('DAILY 2017'!B$39:M$39)</f>
        <v>327264.60277777776</v>
      </c>
      <c r="E23" s="354">
        <f>AVERAGE('DAILY 2017'!$B$40:$M$40)</f>
        <v>213733.60535714286</v>
      </c>
      <c r="F23" s="354">
        <f>AVERAGE('DAILY 2017'!$B$41:$M$41)</f>
        <v>262766.83162878786</v>
      </c>
    </row>
    <row r="24" spans="1:6">
      <c r="A24" s="352">
        <v>2018</v>
      </c>
      <c r="B24" s="354">
        <f>AVERAGE('DAILY 2018'!B$6:M$36)</f>
        <v>289653.78333333333</v>
      </c>
      <c r="C24" s="354">
        <f>AVERAGE('DAILY 2018'!B$38:M$38)</f>
        <v>330490.33494723029</v>
      </c>
      <c r="D24" s="354">
        <f>AVERAGE('DAILY 2018'!B$39:M$39)</f>
        <v>250422.73333333331</v>
      </c>
      <c r="E24" s="354">
        <f>AVERAGE('DAILY 2018'!$B$40:$M$40)</f>
        <v>167156.7314484127</v>
      </c>
      <c r="F24" s="354">
        <f>AVERAGE('DAILY 2018'!$B$41:$M$41)</f>
        <v>204495.44267676762</v>
      </c>
    </row>
    <row r="25" spans="1:6">
      <c r="A25" s="352">
        <v>2019</v>
      </c>
      <c r="B25" s="354">
        <f>AVERAGE('DAILY 2019'!B$6:M$36)</f>
        <v>271368.98324022349</v>
      </c>
      <c r="C25" s="354">
        <f>AVERAGE('DAILY 2019'!B$38:M$38)</f>
        <v>311245.60552752245</v>
      </c>
      <c r="D25" s="354">
        <f>AVERAGE('DAILY 2019'!B$39:M$39)</f>
        <v>237629.24166666667</v>
      </c>
      <c r="E25" s="354">
        <f>AVERAGE('DAILY 2019'!$B$40:$M$40)</f>
        <v>157095.26884920633</v>
      </c>
      <c r="F25" s="354">
        <f>AVERAGE('DAILY 2019'!$B$41:$M$41)</f>
        <v>190897.48079721202</v>
      </c>
    </row>
    <row r="26" spans="1:6">
      <c r="A26" s="352">
        <v>2020</v>
      </c>
      <c r="B26" s="354">
        <f>AVERAGE('DAILY 2020'!B$6:M$36)</f>
        <v>122123.24137931035</v>
      </c>
      <c r="C26" s="354">
        <f>AVERAGE('DAILY 2020'!B$38:M$38)</f>
        <v>137382.77656926407</v>
      </c>
      <c r="D26" s="354">
        <f>AVERAGE('DAILY 2020'!B$39:M$39)</f>
        <v>103723.92833333333</v>
      </c>
      <c r="E26" s="354">
        <f>AVERAGE('DAILY 2020'!$B$40:$M$40)</f>
        <v>71806.014999999985</v>
      </c>
      <c r="F26" s="354">
        <f>AVERAGE('DAILY 2020'!$B$41:$M$41)</f>
        <v>84778.477295482284</v>
      </c>
    </row>
    <row r="27" spans="1:6">
      <c r="A27" s="352">
        <v>2021</v>
      </c>
      <c r="B27" s="354">
        <f>AVERAGE('DAILY 2021'!B$6:M$36)</f>
        <v>127275.52646239554</v>
      </c>
      <c r="C27" s="354">
        <f>AVERAGE('DAILY 2021'!B$38:M$38)</f>
        <v>137134.21952165771</v>
      </c>
      <c r="D27" s="354">
        <f>AVERAGE('DAILY 2021'!B$39:M$39)</f>
        <v>116583.90138888889</v>
      </c>
      <c r="E27" s="354">
        <f>AVERAGE('DAILY 2021'!$B$40:$M$40)</f>
        <v>87130.772619047624</v>
      </c>
      <c r="F27" s="354">
        <f>AVERAGE('DAILY 2021'!$B$41:$M$41)</f>
        <v>100152.84965428092</v>
      </c>
    </row>
    <row r="28" spans="1:6">
      <c r="A28" s="352">
        <v>2022</v>
      </c>
      <c r="B28" s="354">
        <f>AVERAGE('DAILY 2022'!B$6:M$36)</f>
        <v>273140.78611111111</v>
      </c>
      <c r="C28" s="354">
        <f>AVERAGEIF('DAILY 2022'!B38:M38,"&gt;0",'DAILY 2022'!B38:M38)</f>
        <v>299627.24895147124</v>
      </c>
      <c r="D28" s="354">
        <f>AVERAGE('DAILY 2022'!B$39:M$39)</f>
        <v>248042.63611111112</v>
      </c>
      <c r="E28" s="354">
        <f>AVERAGE('DAILY 2022'!$B$40:$M$40)</f>
        <v>192892.91507936511</v>
      </c>
      <c r="F28" s="354">
        <f>AVERAGE('DAILY 2022'!$B$41:$M$41)</f>
        <v>215163.93081709955</v>
      </c>
    </row>
    <row r="29" spans="1:6">
      <c r="A29" s="352">
        <v>2023</v>
      </c>
      <c r="B29" s="354">
        <f>AVERAGE('DAILY 2023'!B$6:M$36)</f>
        <v>357424.26038781164</v>
      </c>
      <c r="C29" s="354">
        <f>AVERAGEIF('DAILY 2023'!B39:M39,"&gt;0",'DAILY 2023'!B39:M39)</f>
        <v>316891.54583333334</v>
      </c>
      <c r="D29" s="354">
        <f>AVERAGEIF('DAILY 2023'!B$39:M$39,"&gt;0",'DAILY 2023'!B$39:M$39)</f>
        <v>316891.54583333334</v>
      </c>
      <c r="E29" s="354">
        <f>AVERAGEIF('DAILY 2023'!$B$40:$M$40,"&gt;0",'DAILY 2023'!$B$40:$M$40)</f>
        <v>235618.48601190478</v>
      </c>
      <c r="F29" s="354">
        <f>AVERAGEIF('DAILY 2023'!$B$41:$M$41,"&gt;0",'DAILY 2023'!$B$41:$M$41)</f>
        <v>272706.06342592597</v>
      </c>
    </row>
    <row r="30" spans="1:6">
      <c r="B30" s="457"/>
      <c r="C30" s="45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DDC568472E44992923B34915CD353" ma:contentTypeVersion="10" ma:contentTypeDescription="Create a new document." ma:contentTypeScope="" ma:versionID="7006cdc516131c807fbb3c322c9df30f">
  <xsd:schema xmlns:xsd="http://www.w3.org/2001/XMLSchema" xmlns:xs="http://www.w3.org/2001/XMLSchema" xmlns:p="http://schemas.microsoft.com/office/2006/metadata/properties" xmlns:ns2="8c0b0975-54de-45a0-b4f4-21916a06c781" xmlns:ns3="18e676bd-b7fb-4293-b9be-509c11081a50" targetNamespace="http://schemas.microsoft.com/office/2006/metadata/properties" ma:root="true" ma:fieldsID="2c04aa68b7e39074dc174e09a0931c09" ns2:_="" ns3:_="">
    <xsd:import namespace="8c0b0975-54de-45a0-b4f4-21916a06c781"/>
    <xsd:import namespace="18e676bd-b7fb-4293-b9be-509c11081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b0975-54de-45a0-b4f4-21916a06c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676bd-b7fb-4293-b9be-509c11081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F99B0A-8AEF-4E47-9EC8-BF6F638A5568}"/>
</file>

<file path=customXml/itemProps2.xml><?xml version="1.0" encoding="utf-8"?>
<ds:datastoreItem xmlns:ds="http://schemas.openxmlformats.org/officeDocument/2006/customXml" ds:itemID="{86574888-7850-4D78-9B1B-70F967D28D56}"/>
</file>

<file path=customXml/itemProps3.xml><?xml version="1.0" encoding="utf-8"?>
<ds:datastoreItem xmlns:ds="http://schemas.openxmlformats.org/officeDocument/2006/customXml" ds:itemID="{B0656549-C369-4141-A2A3-40C5B77116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AFCS</dc:creator>
  <cp:keywords/>
  <dc:description/>
  <cp:lastModifiedBy>Support-AFCS</cp:lastModifiedBy>
  <cp:revision/>
  <dcterms:created xsi:type="dcterms:W3CDTF">2019-03-07T13:57:41Z</dcterms:created>
  <dcterms:modified xsi:type="dcterms:W3CDTF">2025-03-03T01:45:55Z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0x010100D44DDC568472E44992923B34915CD353</vt:lpwstr>
  </property>
</Properties>
</file>