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3" sheetId="1" r:id="rId1"/>
  </sheets>
  <definedNames>
    <definedName name="BoardQty">test3!$I$1</definedName>
    <definedName name="digikey_part_data">test3!$J$5:$O$38</definedName>
    <definedName name="farnell_part_data">test3!$P$5:$U$38</definedName>
    <definedName name="global_part_data">test3!$A$5:$I$38</definedName>
    <definedName name="mouser_part_data">test3!$V$5:$AA$38</definedName>
    <definedName name="TotalCost">test3!$I$2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O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  <comment ref="V6" authorId="0">
      <text>
        <r>
          <rPr>
            <sz val="8"/>
            <color indexed="81"/>
            <rFont val="Tahoma"/>
            <family val="2"/>
          </rPr>
          <t>Available quantity of each part at the distributor.</t>
        </r>
      </text>
    </comment>
    <comment ref="W6" authorId="0">
      <text>
        <r>
          <rPr>
            <sz val="8"/>
            <color indexed="81"/>
            <rFont val="Tahoma"/>
            <family val="2"/>
          </rPr>
          <t>Purchase quantity of each part from this distributor.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Unit price of each part from this distributor.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(Unit Price) x (Purchase Qty) of each part from this distributor.</t>
        </r>
      </text>
    </comment>
    <comment ref="Z6" authorId="0">
      <text>
        <r>
          <rPr>
            <sz val="8"/>
            <color indexed="81"/>
            <rFont val="Tahoma"/>
            <family val="2"/>
          </rPr>
          <t>Distributor-assigned part number for each part.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Link to distributor webpage for each part.</t>
        </r>
      </text>
    </comment>
  </commentList>
</comments>
</file>

<file path=xl/sharedStrings.xml><?xml version="1.0" encoding="utf-8"?>
<sst xmlns="http://schemas.openxmlformats.org/spreadsheetml/2006/main" count="279" uniqueCount="171">
  <si>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</si>
  <si>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</si>
  <si>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</si>
  <si>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</si>
  <si>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</si>
  <si>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</si>
  <si>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</si>
  <si>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</si>
  <si>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</si>
  <si>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</si>
  <si>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C17</t>
  </si>
  <si>
    <t>GA343DR7GD472KW01L</t>
  </si>
  <si>
    <t>Murata</t>
  </si>
  <si>
    <t>Footprints:SM1812</t>
  </si>
  <si>
    <t>4700 pF</t>
  </si>
  <si>
    <t>R23,R24,R31,R33,R47</t>
  </si>
  <si>
    <t>RC0402FR-0710KL</t>
  </si>
  <si>
    <t>Yageo</t>
  </si>
  <si>
    <t>Footprints:SM0402_r_YDF</t>
  </si>
  <si>
    <t>10k</t>
  </si>
  <si>
    <t>R20</t>
  </si>
  <si>
    <t>RC0402FR-071ML</t>
  </si>
  <si>
    <t>1M</t>
  </si>
  <si>
    <t>J5</t>
  </si>
  <si>
    <t>500075-1517</t>
  </si>
  <si>
    <t>Molex</t>
  </si>
  <si>
    <t>Footprints:MOLEX-MINIB-USB-TH</t>
  </si>
  <si>
    <t>MOLEX_TH_USB</t>
  </si>
  <si>
    <t>R69</t>
  </si>
  <si>
    <t>Footprints:SM0805_YDF_Sunnee</t>
  </si>
  <si>
    <t>NO-INSTALL</t>
  </si>
  <si>
    <t>C13</t>
  </si>
  <si>
    <t>TMK107BJ104KA-T</t>
  </si>
  <si>
    <t>Taiyo-Yuden</t>
  </si>
  <si>
    <t>Footprints:SM0603_Capa_ydf_sunnee</t>
  </si>
  <si>
    <t>0.1 uF</t>
  </si>
  <si>
    <t>C1,C30,C31</t>
  </si>
  <si>
    <t>JMK107BJ225KA-T</t>
  </si>
  <si>
    <t>2.2 uF</t>
  </si>
  <si>
    <t>U6</t>
  </si>
  <si>
    <t>LP3982IMM-3.3/NOPB</t>
  </si>
  <si>
    <t>TI</t>
  </si>
  <si>
    <t>Footprints:LP3982-VSSOP8</t>
  </si>
  <si>
    <t>LP3982IMMX-3.3</t>
  </si>
  <si>
    <t>C4,C14,C15,C26,C27,C29</t>
  </si>
  <si>
    <t>LMK105BJ104KV-F</t>
  </si>
  <si>
    <t>Footprints:SM0402_c_YDF_Sunnee</t>
  </si>
  <si>
    <t>C32</t>
  </si>
  <si>
    <t>C35,C37</t>
  </si>
  <si>
    <t>C1005X7R1E104K050BB</t>
  </si>
  <si>
    <t>TDK</t>
  </si>
  <si>
    <t>C6,C28</t>
  </si>
  <si>
    <t>LMK105BJ105KV-F</t>
  </si>
  <si>
    <t>R2,R25</t>
  </si>
  <si>
    <t>ERJ-2RKF4701X</t>
  </si>
  <si>
    <t>Panasonic</t>
  </si>
  <si>
    <t>4.7k</t>
  </si>
  <si>
    <t>D2</t>
  </si>
  <si>
    <t>SML-LX0603SRW-TR</t>
  </si>
  <si>
    <t>Lumex Opto</t>
  </si>
  <si>
    <t>Footprints:LED-0603_YDF_Sunnee</t>
  </si>
  <si>
    <t>RED</t>
  </si>
  <si>
    <t>R8</t>
  </si>
  <si>
    <t>100k</t>
  </si>
  <si>
    <t>U7</t>
  </si>
  <si>
    <t xml:space="preserve">MCP98243-BE/ST    </t>
  </si>
  <si>
    <t>Microchip</t>
  </si>
  <si>
    <t>Footprints:SOIC8_MICROCHIP_YDF</t>
  </si>
  <si>
    <t>MCP98243-BE/ST</t>
  </si>
  <si>
    <t>C19</t>
  </si>
  <si>
    <t>C0402C333K4RACTU</t>
  </si>
  <si>
    <t>Kemet</t>
  </si>
  <si>
    <t>0.033 uF</t>
  </si>
  <si>
    <t>J6</t>
  </si>
  <si>
    <t>FH19C-4S-0.5SH(05)</t>
  </si>
  <si>
    <t>Hirose</t>
  </si>
  <si>
    <t>Footprints:HIROSE_FH19C_YDF_Sunnee</t>
  </si>
  <si>
    <t>CONN_4</t>
  </si>
  <si>
    <t>DH1-DH4</t>
  </si>
  <si>
    <t>Footprints:YDF_TAU_HOLE</t>
  </si>
  <si>
    <t>YDF_TAU_HOLE</t>
  </si>
  <si>
    <t>TP3,TP4</t>
  </si>
  <si>
    <t>Footprints:TESTPOINT2</t>
  </si>
  <si>
    <t>TESTPOINT</t>
  </si>
  <si>
    <t>R27,R53-R55</t>
  </si>
  <si>
    <t>0</t>
  </si>
  <si>
    <t>C5,C7</t>
  </si>
  <si>
    <t>C1005C0G1H040B050BA</t>
  </si>
  <si>
    <t>8 pF</t>
  </si>
  <si>
    <t>R6,R9,R21</t>
  </si>
  <si>
    <t>RC0402FR-07100KL</t>
  </si>
  <si>
    <t>R22,R70</t>
  </si>
  <si>
    <t>R62,R64</t>
  </si>
  <si>
    <t>330</t>
  </si>
  <si>
    <t>C10,C16,C18,C20,C21</t>
  </si>
  <si>
    <t>CL10A106MQ8NNNC</t>
  </si>
  <si>
    <t>Samsung</t>
  </si>
  <si>
    <t>10 uF</t>
  </si>
  <si>
    <t>R30,R32,R52</t>
  </si>
  <si>
    <t>R28</t>
  </si>
  <si>
    <t>RC0402FR-07330RL</t>
  </si>
  <si>
    <t>R3</t>
  </si>
  <si>
    <t>CRCW08050000Z0EAHP</t>
  </si>
  <si>
    <t>Vishay Dale</t>
  </si>
  <si>
    <t>0.05</t>
  </si>
  <si>
    <t>U9</t>
  </si>
  <si>
    <t>24AA128ISN</t>
  </si>
  <si>
    <t>Footprints:SO8_YDF</t>
  </si>
  <si>
    <t>R1,R26,R60,R61</t>
  </si>
  <si>
    <t>RC0402JR-070RL</t>
  </si>
  <si>
    <t>C12</t>
  </si>
  <si>
    <t>CC0402JRNPO9BN220</t>
  </si>
  <si>
    <t>Yaego</t>
  </si>
  <si>
    <t>22 pF</t>
  </si>
  <si>
    <t>Board Qty:</t>
  </si>
  <si>
    <t>Total Cost:</t>
  </si>
  <si>
    <t>Unit Cost:</t>
  </si>
  <si>
    <t>Digi-Key</t>
  </si>
  <si>
    <t>Doc</t>
  </si>
  <si>
    <t>Avail</t>
  </si>
  <si>
    <t>Purch</t>
  </si>
  <si>
    <t>Cat#</t>
  </si>
  <si>
    <t>Link</t>
  </si>
  <si>
    <t>490-3493-1-ND</t>
  </si>
  <si>
    <t>311-10.0KLRCT-ND</t>
  </si>
  <si>
    <t>311-1.00MLRCT-ND</t>
  </si>
  <si>
    <t>WM2072-ND</t>
  </si>
  <si>
    <t>LP3982IMM-3.3/NOPBCT-ND</t>
  </si>
  <si>
    <t>445-7348-1-ND</t>
  </si>
  <si>
    <t>P4.70KLCT-ND</t>
  </si>
  <si>
    <t>67-1551-1-ND</t>
  </si>
  <si>
    <t>MCP98243-BE/ST-ND</t>
  </si>
  <si>
    <t>399-4891-1-ND</t>
  </si>
  <si>
    <t>HFN404CT-ND</t>
  </si>
  <si>
    <t>445-4876-1-ND</t>
  </si>
  <si>
    <t>311-100KLRCT-ND</t>
  </si>
  <si>
    <t>311-330LRCT-ND</t>
  </si>
  <si>
    <t>541-0.0TBCT-ND</t>
  </si>
  <si>
    <t>24AA128-I/SN-ND</t>
  </si>
  <si>
    <t>311-0.0JRCT-ND</t>
  </si>
  <si>
    <t>311-1018-1-ND</t>
  </si>
  <si>
    <t>Farnell</t>
  </si>
  <si>
    <t>2363463</t>
  </si>
  <si>
    <t>9239588</t>
  </si>
  <si>
    <t>1125349</t>
  </si>
  <si>
    <t>2525045</t>
  </si>
  <si>
    <t>2302707</t>
  </si>
  <si>
    <t>2427738</t>
  </si>
  <si>
    <t>2576746</t>
  </si>
  <si>
    <t>9239472</t>
  </si>
  <si>
    <t>9239170</t>
  </si>
  <si>
    <t>9232516</t>
  </si>
  <si>
    <t>3019184</t>
  </si>
  <si>
    <t>Mouser</t>
  </si>
  <si>
    <t>81-GA343DR7GD472KL</t>
  </si>
  <si>
    <t>603-RC0402FR-0710KL</t>
  </si>
  <si>
    <t>603-RC0402FR-071ML</t>
  </si>
  <si>
    <t>538-500075-1517</t>
  </si>
  <si>
    <t>926-3982IMM-3.3/NOPB</t>
  </si>
  <si>
    <t>810-C1005X7R1E104K</t>
  </si>
  <si>
    <t>667-ERJ-2RKF4701X</t>
  </si>
  <si>
    <t>696-SML-LX0603SRW</t>
  </si>
  <si>
    <t>579-MCP98243-BE/ST</t>
  </si>
  <si>
    <t>80-C0402C333K4R</t>
  </si>
  <si>
    <t>798-FH19C4S0.5SH05</t>
  </si>
  <si>
    <t>810-C1005C0G1H040B</t>
  </si>
  <si>
    <t>603-RC0402FR-07100KL</t>
  </si>
  <si>
    <t>603-RC0402FR-07330RL</t>
  </si>
  <si>
    <t>78-008N002ABPP5N0000</t>
  </si>
  <si>
    <t>579-24AA128-I/SN</t>
  </si>
  <si>
    <t>603-RC0402JR-070RL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</si>
</sst>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murata-electronics-north-america/GA343DR7GD472KW01L/490-3493-1-ND/789327" TargetMode="External"/><Relationship Id="rId2" Type="http://schemas.openxmlformats.org/officeDocument/2006/relationships/hyperlink" Target="http://it.farnell.com/murata/ga343dr7gd472kw01l/condens-mlcc-x7r-4700pf-250v-1812/dp/2456082" TargetMode="External"/><Relationship Id="rId3" Type="http://schemas.openxmlformats.org/officeDocument/2006/relationships/hyperlink" Target="http://www.mouser.com/Search/../ProductDetail/Murata-Electronics/GA343DR7GD472KW01L/?qs=sGAEpiMZZMs0AnBnWHyRQJcQhoJRj%2flrgDcKK%252bozBB8%3d" TargetMode="External"/><Relationship Id="rId4" Type="http://schemas.openxmlformats.org/officeDocument/2006/relationships/hyperlink" Target="http://www.digikey.com/product-detail/en/yageo/RC0402FR-0710KL/311-10.0KLRCT-ND/729470" TargetMode="External"/><Relationship Id="rId5" Type="http://schemas.openxmlformats.org/officeDocument/2006/relationships/hyperlink" Target="http://it.farnell.com/yageo/rc0402fr-0710kl/res-thick-film-10k-1-0-0625w-0402/dp/2363463" TargetMode="External"/><Relationship Id="rId6" Type="http://schemas.openxmlformats.org/officeDocument/2006/relationships/hyperlink" Target="http://www.mouser.com/Search/Refine.aspx?Keyword=RC0402FR-0710KL%20Yageo" TargetMode="External"/><Relationship Id="rId7" Type="http://schemas.openxmlformats.org/officeDocument/2006/relationships/hyperlink" Target="http://www.digikey.com/product-detail/en/yageo/RC0402FR-071ML/311-1.00MLRCT-ND/729462" TargetMode="External"/><Relationship Id="rId8" Type="http://schemas.openxmlformats.org/officeDocument/2006/relationships/hyperlink" Target="http://it.farnell.com/yageo-phycomp/rc0402fr-071ml/res-film-spesso-1m-1-0-063w-0402/dp/9239588" TargetMode="External"/><Relationship Id="rId9" Type="http://schemas.openxmlformats.org/officeDocument/2006/relationships/hyperlink" Target="http://www.mouser.com/Search/Refine.aspx?Keyword=RC0402FR-071ML%20Yageo" TargetMode="External"/><Relationship Id="rId10" Type="http://schemas.openxmlformats.org/officeDocument/2006/relationships/hyperlink" Target="http://www.digikey.com/scripts/DkSearch/dksus.dll?WT.z_header=search_go&amp;lang=en&amp;keywords=500075-1517%20Molex" TargetMode="External"/><Relationship Id="rId11" Type="http://schemas.openxmlformats.org/officeDocument/2006/relationships/hyperlink" Target="http://it.farnell.com/webapp/wcs/stores/servlet/Search?catalogId=15001&amp;langId=-4&amp;storeId=10165&amp;gs=true&amp;st=500075-1517%20Molex" TargetMode="External"/><Relationship Id="rId12" Type="http://schemas.openxmlformats.org/officeDocument/2006/relationships/hyperlink" Target="http://www.mouser.com/Search/Refine.aspx?Keyword=500075-1517%20Molex" TargetMode="External"/><Relationship Id="rId13" Type="http://schemas.openxmlformats.org/officeDocument/2006/relationships/hyperlink" Target="http://www.digikey.com/product-detail/en/texas-instruments/LP3982IMM-3.3-NOPB/LP3982IMM-3.3-NOPBCT-ND/570192" TargetMode="External"/><Relationship Id="rId14" Type="http://schemas.openxmlformats.org/officeDocument/2006/relationships/hyperlink" Target="http://www.mouser.com/Search/Refine.aspx?Keyword=LP3982IMM-3.3%2FNOPB%20TI" TargetMode="External"/><Relationship Id="rId15" Type="http://schemas.openxmlformats.org/officeDocument/2006/relationships/hyperlink" Target="http://www.digikey.com/product-detail/en/tdk-corporation/C1005X7R1E104K050BB/445-7348-1-ND/2733420" TargetMode="External"/><Relationship Id="rId16" Type="http://schemas.openxmlformats.org/officeDocument/2006/relationships/hyperlink" Target="http://it.farnell.com/tdk/c1005x7r1e104k050bb/condensatore-mlcc-x7r-0-1uf-25v/dp/2525045" TargetMode="External"/><Relationship Id="rId17" Type="http://schemas.openxmlformats.org/officeDocument/2006/relationships/hyperlink" Target="http://www.mouser.com/Search/Refine.aspx?Keyword=C1005X7R1E104K050BB%20TDK" TargetMode="External"/><Relationship Id="rId18" Type="http://schemas.openxmlformats.org/officeDocument/2006/relationships/hyperlink" Target="http://www.digikey.com/product-detail/en/panasonic-electronic-components/ERJ-2RKF4701X/P4.70KLCT-ND/1746692" TargetMode="External"/><Relationship Id="rId19" Type="http://schemas.openxmlformats.org/officeDocument/2006/relationships/hyperlink" Target="http://it.farnell.com/panasonic-electronic-components/erj2rkf4701x/res-film-spesso-4k7-1-0-1w-0402/dp/2302707" TargetMode="External"/><Relationship Id="rId20" Type="http://schemas.openxmlformats.org/officeDocument/2006/relationships/hyperlink" Target="http://www.mouser.com/Search/Refine.aspx?Keyword=ERJ-2RKF4701X%20Panasonic" TargetMode="External"/><Relationship Id="rId21" Type="http://schemas.openxmlformats.org/officeDocument/2006/relationships/hyperlink" Target="http://www.digikey.com/product-detail/en/lumex-opto-components-inc/SML-LX0603SRW-TR/67-1551-1-ND/304364" TargetMode="External"/><Relationship Id="rId22" Type="http://schemas.openxmlformats.org/officeDocument/2006/relationships/hyperlink" Target="http://www.mouser.com/Search/Refine.aspx?Keyword=SML-LX0603SRW-TR%20Lumex%20Opto" TargetMode="External"/><Relationship Id="rId23" Type="http://schemas.openxmlformats.org/officeDocument/2006/relationships/hyperlink" Target="http://www.digikey.com/scripts/DkSearch/dksus.dll?WT.z_header=search_go&amp;lang=en&amp;keywords=MCP98243-BE%2FST%20%20%20%20%20Microchip" TargetMode="External"/><Relationship Id="rId24" Type="http://schemas.openxmlformats.org/officeDocument/2006/relationships/hyperlink" Target="http://www.mouser.com/Search/../ProductDetail/Microchip-Technology/MCP98243-BE-ST/?qs=sGAEpiMZZMucenltShoSnqnerzio2%252bNR6ZmDwkKZre8%3d" TargetMode="External"/><Relationship Id="rId25" Type="http://schemas.openxmlformats.org/officeDocument/2006/relationships/hyperlink" Target="http://www.digikey.com/product-detail/en/kemet/C0402C333K4RACTU/399-4891-1-ND/1090886" TargetMode="External"/><Relationship Id="rId26" Type="http://schemas.openxmlformats.org/officeDocument/2006/relationships/hyperlink" Target="http://it.farnell.com/kemet/c0402c333k4ractu/condensatore-mlcc-x7r-33nf-16v/dp/1414591" TargetMode="External"/><Relationship Id="rId27" Type="http://schemas.openxmlformats.org/officeDocument/2006/relationships/hyperlink" Target="http://www.mouser.com/Search/../ProductDetail/Kemet/C0402C333K4RACTU/?qs=sGAEpiMZZMs0AnBnWHyRQOaIejjzTpAyHJ4eONoC7Hc%3d" TargetMode="External"/><Relationship Id="rId28" Type="http://schemas.openxmlformats.org/officeDocument/2006/relationships/hyperlink" Target="http://www.digikey.com/product-detail/en/hirose-electric-co-ltd/FH19C-4S-0.5SH(05)/HFN404CT-ND/1124164" TargetMode="External"/><Relationship Id="rId29" Type="http://schemas.openxmlformats.org/officeDocument/2006/relationships/hyperlink" Target="http://it.farnell.com/hirose-hrs/fh19c-4s-0-5sh-05/connector-ffc-fpc-rcpt-4pos-1row/dp/2427738" TargetMode="External"/><Relationship Id="rId30" Type="http://schemas.openxmlformats.org/officeDocument/2006/relationships/hyperlink" Target="http://www.mouser.com/Search/../ProductDetail/Hirose-Connector/FH19C-4S-05SH05/?qs=sGAEpiMZZMs7i6cT6ogu4yZySt0VxuzBSRNwfA3MbEE%3d" TargetMode="External"/><Relationship Id="rId31" Type="http://schemas.openxmlformats.org/officeDocument/2006/relationships/hyperlink" Target="http://www.digikey.com/product-detail/en/tdk-corporation/C1005C0G1H040B050BA/445-4876-1-ND/2093490" TargetMode="External"/><Relationship Id="rId32" Type="http://schemas.openxmlformats.org/officeDocument/2006/relationships/hyperlink" Target="http://it.farnell.com/tdk/c1005c0g1h040b050ba/cond-mlcc-c0g-4pf-50v-0402/dp/2576746" TargetMode="External"/><Relationship Id="rId33" Type="http://schemas.openxmlformats.org/officeDocument/2006/relationships/hyperlink" Target="http://www.mouser.com/Search/Refine.aspx?Keyword=C1005C0G1H040B050BA%20TDK" TargetMode="External"/><Relationship Id="rId34" Type="http://schemas.openxmlformats.org/officeDocument/2006/relationships/hyperlink" Target="http://www.digikey.com/product-detail/en/yageo/RC0402FR-07100KL/311-100KLRCT-ND/729473" TargetMode="External"/><Relationship Id="rId35" Type="http://schemas.openxmlformats.org/officeDocument/2006/relationships/hyperlink" Target="http://it.farnell.com/yageo-phycomp/rc0402fr-07100kl/res-film-spesso-100k-1-0-063w/dp/9239472" TargetMode="External"/><Relationship Id="rId36" Type="http://schemas.openxmlformats.org/officeDocument/2006/relationships/hyperlink" Target="http://www.mouser.com/Search/Refine.aspx?Keyword=RC0402FR-07100KL%20Yageo" TargetMode="External"/><Relationship Id="rId37" Type="http://schemas.openxmlformats.org/officeDocument/2006/relationships/hyperlink" Target="http://www.digikey.com/product-detail/en/samsung-electro-mechanics-america-inc/CL10A106MQ8NNNC/1276-1119-1-ND/3889205" TargetMode="External"/><Relationship Id="rId38" Type="http://schemas.openxmlformats.org/officeDocument/2006/relationships/hyperlink" Target="http://www.digikey.com/product-detail/en/yageo/RC0402FR-07330RL/311-330LRCT-ND/729541" TargetMode="External"/><Relationship Id="rId39" Type="http://schemas.openxmlformats.org/officeDocument/2006/relationships/hyperlink" Target="http://it.farnell.com/yageo-phycomp/rc0402fr-07330rl/res-film-spesso-330r-1-0-063w/dp/9239170" TargetMode="External"/><Relationship Id="rId40" Type="http://schemas.openxmlformats.org/officeDocument/2006/relationships/hyperlink" Target="http://www.mouser.com/Search/Refine.aspx?Keyword=RC0402FR-07330RL%20Yageo" TargetMode="External"/><Relationship Id="rId41" Type="http://schemas.openxmlformats.org/officeDocument/2006/relationships/hyperlink" Target="http://www.digikey.com/product-detail/en/vishay-dale/CRCW08050000Z0EAHP/541-0.0TBCT-ND/2222831" TargetMode="External"/><Relationship Id="rId42" Type="http://schemas.openxmlformats.org/officeDocument/2006/relationships/hyperlink" Target="http://www.mouser.com/Search/../ProductDetail/Vishay-Dale/O008N002ABPP5N0000/?qs=sGAEpiMZZMuaNOX%2fX9zx4TGQb6vDwnW3x74VRFRnkvQ%3d" TargetMode="External"/><Relationship Id="rId43" Type="http://schemas.openxmlformats.org/officeDocument/2006/relationships/hyperlink" Target="http://www.digikey.com/product-detail/en/microchip-technology/24AA128-I-SN/24AA128-I-SN-ND/442845" TargetMode="External"/><Relationship Id="rId44" Type="http://schemas.openxmlformats.org/officeDocument/2006/relationships/hyperlink" Target="http://www.mouser.com/Search/../ProductDetail/Microchip-Technology/24AA128-I-SN/?qs=sGAEpiMZZMuVhdAcoizlRX0wR2PvTykKN%252bCb8qKI4r8%3d" TargetMode="External"/><Relationship Id="rId45" Type="http://schemas.openxmlformats.org/officeDocument/2006/relationships/hyperlink" Target="http://www.digikey.com/product-detail/en/yageo/RC0402JR-070RL/311-0.0JRCT-ND/729353" TargetMode="External"/><Relationship Id="rId46" Type="http://schemas.openxmlformats.org/officeDocument/2006/relationships/hyperlink" Target="http://it.farnell.com/yageo-phycomp/rc0402jr-070rl/res-film-spesso-0r-5-0-0625w-0402/dp/9232516" TargetMode="External"/><Relationship Id="rId47" Type="http://schemas.openxmlformats.org/officeDocument/2006/relationships/hyperlink" Target="http://www.mouser.com/Search/Refine.aspx?Keyword=RC0402JR-070RL%20Yageo" TargetMode="External"/><Relationship Id="rId48" Type="http://schemas.openxmlformats.org/officeDocument/2006/relationships/hyperlink" Target="http://www.digikey.com/product-detail/en/yageo/CC0402JRNPO9BN220/311-1018-1-ND/302935" TargetMode="External"/><Relationship Id="rId49" Type="http://schemas.openxmlformats.org/officeDocument/2006/relationships/hyperlink" Target="http://it.farnell.com/yageo-phycomp/cc0402jrnpo9bn220/condens-mlcc-c0g-np0-22pf-50v/dp/3019184" TargetMode="External"/><Relationship Id="rId50" Type="http://schemas.openxmlformats.org/officeDocument/2006/relationships/vmlDrawing" Target="../drawings/vmlDrawing1.vm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9.140625" outlineLevel="2"/>
    <col min="15" max="15" width="9.140625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9.140625" outlineLevel="2"/>
    <col min="21" max="21" width="9.140625" outlineLevel="2"/>
    <col min="22" max="22" width="9.140625" outlineLevel="1"/>
    <col min="23" max="23" width="9.140625" outlineLevel="2"/>
    <col min="24" max="24" width="9.140625" outlineLevel="2"/>
    <col min="25" max="25" width="15.7109375" customWidth="1"/>
    <col min="26" max="26" width="9.140625" outlineLevel="2"/>
    <col min="27" max="27" width="9.140625" outlineLevel="2"/>
  </cols>
  <sheetData>
    <row r="1" spans="1:27">
      <c r="H1" s="2" t="s">
        <v>114</v>
      </c>
      <c r="I1" s="2">
        <v>100</v>
      </c>
    </row>
    <row r="2" spans="1:27">
      <c r="H2" s="3" t="s">
        <v>115</v>
      </c>
      <c r="I2" s="4">
        <f>sum(I7:I38)</f>
        <v>0</v>
      </c>
      <c r="M2" s="4">
        <f>sum(M7:M38)</f>
        <v>0</v>
      </c>
      <c r="S2" s="4">
        <f>sum(S7:S38)</f>
        <v>0</v>
      </c>
      <c r="Y2" s="4">
        <f>sum(Y7:Y38)</f>
        <v>0</v>
      </c>
    </row>
    <row r="3" spans="1:27">
      <c r="H3" s="3" t="s">
        <v>116</v>
      </c>
      <c r="I3" s="5">
        <f>TotalCost/BoardQty</f>
        <v>0</v>
      </c>
    </row>
    <row r="5" spans="1:27">
      <c r="A5" s="6" t="s">
        <v>0</v>
      </c>
      <c r="B5" s="6"/>
      <c r="C5" s="6"/>
      <c r="D5" s="6"/>
      <c r="E5" s="6"/>
      <c r="F5" s="6"/>
      <c r="G5" s="6"/>
      <c r="H5" s="6"/>
      <c r="I5" s="6"/>
      <c r="J5" s="7" t="s">
        <v>117</v>
      </c>
      <c r="K5" s="7"/>
      <c r="L5" s="7"/>
      <c r="M5" s="7"/>
      <c r="N5" s="7"/>
      <c r="O5" s="7"/>
      <c r="P5" s="8" t="s">
        <v>141</v>
      </c>
      <c r="Q5" s="8"/>
      <c r="R5" s="8"/>
      <c r="S5" s="8"/>
      <c r="T5" s="8"/>
      <c r="U5" s="8"/>
      <c r="V5" s="9" t="s">
        <v>153</v>
      </c>
      <c r="W5" s="9"/>
      <c r="X5" s="9"/>
      <c r="Y5" s="9"/>
      <c r="Z5" s="9"/>
      <c r="AA5" s="9"/>
    </row>
    <row r="6" spans="1:27">
      <c r="A6" s="10" t="s">
        <v>6</v>
      </c>
      <c r="B6" s="10" t="s">
        <v>8</v>
      </c>
      <c r="C6" s="10" t="s">
        <v>9</v>
      </c>
      <c r="D6" s="10" t="s">
        <v>5</v>
      </c>
      <c r="E6" s="10" t="s">
        <v>4</v>
      </c>
      <c r="F6" s="10" t="s">
        <v>1</v>
      </c>
      <c r="G6" s="10" t="s">
        <v>7</v>
      </c>
      <c r="H6" s="10" t="s">
        <v>3</v>
      </c>
      <c r="I6" s="10" t="s">
        <v>2</v>
      </c>
      <c r="J6" s="10" t="s">
        <v>119</v>
      </c>
      <c r="K6" s="10" t="s">
        <v>120</v>
      </c>
      <c r="L6" s="10" t="s">
        <v>3</v>
      </c>
      <c r="M6" s="10" t="s">
        <v>2</v>
      </c>
      <c r="N6" s="10" t="s">
        <v>121</v>
      </c>
      <c r="O6" s="10" t="s">
        <v>118</v>
      </c>
      <c r="P6" s="10" t="s">
        <v>119</v>
      </c>
      <c r="Q6" s="10" t="s">
        <v>120</v>
      </c>
      <c r="R6" s="10" t="s">
        <v>3</v>
      </c>
      <c r="S6" s="10" t="s">
        <v>2</v>
      </c>
      <c r="T6" s="10" t="s">
        <v>121</v>
      </c>
      <c r="U6" s="10" t="s">
        <v>118</v>
      </c>
      <c r="V6" s="10" t="s">
        <v>119</v>
      </c>
      <c r="W6" s="10" t="s">
        <v>120</v>
      </c>
      <c r="X6" s="10" t="s">
        <v>3</v>
      </c>
      <c r="Y6" s="10" t="s">
        <v>2</v>
      </c>
      <c r="Z6" s="10" t="s">
        <v>121</v>
      </c>
      <c r="AA6" s="10" t="s">
        <v>118</v>
      </c>
    </row>
    <row r="7" spans="1:27">
      <c r="A7" t="s">
        <v>10</v>
      </c>
      <c r="B7" t="s">
        <v>14</v>
      </c>
      <c r="D7" t="s">
        <v>13</v>
      </c>
      <c r="E7" t="s">
        <v>12</v>
      </c>
      <c r="F7" t="s">
        <v>11</v>
      </c>
      <c r="G7">
        <f>BoardQty*1</f>
        <v>0</v>
      </c>
      <c r="H7" s="11">
        <f>MINA(INDIRECT(ADDRESS(ROW(),COLUMN(digikey_part_data)+2)),INDIRECT(ADDRESS(ROW(),COLUMN(mouser_part_data)+2)),INDIRECT(ADDRESS(ROW(),COLUMN(farnell_part_data)+2)))</f>
        <v>0</v>
      </c>
      <c r="I7" s="11">
        <f>iferror(G7*H7,"")</f>
        <v>0</v>
      </c>
      <c r="J7">
        <v>461</v>
      </c>
      <c r="L7" s="11">
        <f>iferror(lookup(if(K7="",G7,K7),{0,1,10,50,100,250,500,1000,2000,5000,10000,25000,50000},{0.0,0.86,0.819,0.4892,0.3975,0.33024,0.29966,0.20793,0.1957,0.18347,0.17124,0.16512,0.16106}),"")</f>
        <v>0</v>
      </c>
      <c r="M7" s="11">
        <f>iferror(if(K7="",G7,K7)*L7,"")</f>
        <v>0</v>
      </c>
      <c r="N7" t="s">
        <v>123</v>
      </c>
      <c r="O7" s="12" t="s">
        <v>122</v>
      </c>
      <c r="U7" s="12" t="s">
        <v>122</v>
      </c>
      <c r="V7">
        <v>239</v>
      </c>
      <c r="X7" s="11">
        <f>iferror(lookup(if(W7="",G7,W7),{0,1,10,100,500,1000,2000,10000,25000,50000},{0.0,0.86,0.538,0.359,0.324,0.297,0.187,0.184,0.18,0.179}),"")</f>
        <v>0</v>
      </c>
      <c r="Y7" s="11">
        <f>iferror(if(W7="",G7,W7)*X7,"")</f>
        <v>0</v>
      </c>
      <c r="Z7" t="s">
        <v>154</v>
      </c>
      <c r="AA7" s="12" t="s">
        <v>122</v>
      </c>
    </row>
    <row r="8" spans="1:27">
      <c r="A8" t="s">
        <v>15</v>
      </c>
      <c r="B8" t="s">
        <v>19</v>
      </c>
      <c r="D8" t="s">
        <v>18</v>
      </c>
      <c r="E8" t="s">
        <v>17</v>
      </c>
      <c r="F8" t="s">
        <v>16</v>
      </c>
      <c r="G8">
        <f>BoardQty*5</f>
        <v>0</v>
      </c>
      <c r="H8" s="11">
        <f>MINA(INDIRECT(ADDRESS(ROW(),COLUMN(digikey_part_data)+2)),INDIRECT(ADDRESS(ROW(),COLUMN(mouser_part_data)+2)),INDIRECT(ADDRESS(ROW(),COLUMN(farnell_part_data)+2)))</f>
        <v>0</v>
      </c>
      <c r="I8" s="11">
        <f>iferror(G8*H8,"")</f>
        <v>0</v>
      </c>
      <c r="J8">
        <v>19470000</v>
      </c>
      <c r="L8" s="11">
        <f>iferror(lookup(if(K8="",G8,K8),{0,1,10,25,50,100,250,500,1000,5000,10000,30000,50000,100000},{0.0,0.1,0.012,0.0088,0.0066,0.0049,0.00372,0.00298,0.0022,0.00158,0.00137,0.0012,0.0011,0.00108}),"")</f>
        <v>0</v>
      </c>
      <c r="M8" s="11">
        <f>iferror(if(K8="",G8,K8)*L8,"")</f>
        <v>0</v>
      </c>
      <c r="N8" t="s">
        <v>124</v>
      </c>
      <c r="O8" s="12" t="s">
        <v>122</v>
      </c>
      <c r="P8">
        <v>270000</v>
      </c>
      <c r="R8" s="11">
        <f>iferror(lookup(if(Q8="",G8,Q8),{0,1,10000,20000},{0.0,0.00331383,0.00331383,0.00285675}),"")</f>
        <v>0</v>
      </c>
      <c r="S8" s="11">
        <f>iferror(if(Q8="",G8,Q8)*R8,"")</f>
        <v>0</v>
      </c>
      <c r="T8" t="s">
        <v>142</v>
      </c>
      <c r="U8" s="12" t="s">
        <v>122</v>
      </c>
      <c r="V8">
        <v>1454006</v>
      </c>
      <c r="X8" s="11">
        <f>iferror(lookup(if(W8="",G8,W8),{0,1,10,100,1000,2500,10000},{0.0,0.1,0.008,0.003,0.002,0.001,0.001}),"")</f>
        <v>0</v>
      </c>
      <c r="Y8" s="11">
        <f>iferror(if(W8="",G8,W8)*X8,"")</f>
        <v>0</v>
      </c>
      <c r="Z8" t="s">
        <v>155</v>
      </c>
      <c r="AA8" s="12" t="s">
        <v>122</v>
      </c>
    </row>
    <row r="9" spans="1:27">
      <c r="A9" t="s">
        <v>20</v>
      </c>
      <c r="B9" t="s">
        <v>22</v>
      </c>
      <c r="D9" t="s">
        <v>18</v>
      </c>
      <c r="E9" t="s">
        <v>17</v>
      </c>
      <c r="F9" t="s">
        <v>21</v>
      </c>
      <c r="G9">
        <f>BoardQty*1</f>
        <v>0</v>
      </c>
      <c r="H9" s="11">
        <f>MINA(INDIRECT(ADDRESS(ROW(),COLUMN(digikey_part_data)+2)),INDIRECT(ADDRESS(ROW(),COLUMN(mouser_part_data)+2)),INDIRECT(ADDRESS(ROW(),COLUMN(farnell_part_data)+2)))</f>
        <v>0</v>
      </c>
      <c r="I9" s="11">
        <f>iferror(G9*H9,"")</f>
        <v>0</v>
      </c>
      <c r="J9">
        <v>5268481</v>
      </c>
      <c r="L9" s="11">
        <f>iferror(lookup(if(K9="",G9,K9),{0,1,10,25,50,100,250,500,1000,5000,10000,30000,50000,100000},{0.0,0.1,0.012,0.0088,0.0066,0.0049,0.00372,0.00298,0.0022,0.00158,0.00137,0.0012,0.0011,0.00108}),"")</f>
        <v>0</v>
      </c>
      <c r="M9" s="11">
        <f>iferror(if(K9="",G9,K9)*L9,"")</f>
        <v>0</v>
      </c>
      <c r="N9" t="s">
        <v>125</v>
      </c>
      <c r="O9" s="12" t="s">
        <v>122</v>
      </c>
      <c r="P9">
        <v>250467</v>
      </c>
      <c r="R9" s="11">
        <f>iferror(lookup(if(Q9="",G9,Q9),{0,1,10,500,1000,2500,5000},{0.0,0.00754182,0.00754182,0.00639912,0.00559923,0.00377091,0.00285675}),"")</f>
        <v>0</v>
      </c>
      <c r="S9" s="11">
        <f>iferror(if(Q9="",G9,Q9)*R9,"")</f>
        <v>0</v>
      </c>
      <c r="T9" t="s">
        <v>143</v>
      </c>
      <c r="U9" s="12" t="s">
        <v>122</v>
      </c>
      <c r="V9">
        <v>377913</v>
      </c>
      <c r="X9" s="11">
        <f>iferror(lookup(if(W9="",G9,W9),{0,1,10,100,1000,2500,10000},{0.0,0.1,0.008,0.003,0.002,0.001,0.001}),"")</f>
        <v>0</v>
      </c>
      <c r="Y9" s="11">
        <f>iferror(if(W9="",G9,W9)*X9,"")</f>
        <v>0</v>
      </c>
      <c r="Z9" t="s">
        <v>156</v>
      </c>
      <c r="AA9" s="12" t="s">
        <v>122</v>
      </c>
    </row>
    <row r="10" spans="1:27">
      <c r="A10" t="s">
        <v>23</v>
      </c>
      <c r="B10" t="s">
        <v>27</v>
      </c>
      <c r="D10" t="s">
        <v>26</v>
      </c>
      <c r="E10" t="s">
        <v>25</v>
      </c>
      <c r="F10" t="s">
        <v>24</v>
      </c>
      <c r="G10">
        <f>BoardQty*1</f>
        <v>0</v>
      </c>
      <c r="H10" s="11">
        <f>MINA(INDIRECT(ADDRESS(ROW(),COLUMN(digikey_part_data)+2)),INDIRECT(ADDRESS(ROW(),COLUMN(mouser_part_data)+2)),INDIRECT(ADDRESS(ROW(),COLUMN(farnell_part_data)+2)))</f>
        <v>0</v>
      </c>
      <c r="I10" s="11">
        <f>iferror(G10*H10,"")</f>
        <v>0</v>
      </c>
      <c r="J10">
        <v>8147</v>
      </c>
      <c r="L10" s="11">
        <f>iferror(lookup(if(K10="",G10,K10),{0,1,10,50,100,250,500,1000,2500},{0.0,4.33,4.16,3.6404,3.467,3.03364,2.94696,2.51358,2.34022}),"")</f>
        <v>0</v>
      </c>
      <c r="M10" s="11">
        <f>iferror(if(K10="",G10,K10)*L10,"")</f>
        <v>0</v>
      </c>
      <c r="N10" t="s">
        <v>126</v>
      </c>
      <c r="O10" s="12" t="s">
        <v>122</v>
      </c>
      <c r="P10">
        <v>9457</v>
      </c>
      <c r="R10" s="11">
        <f>iferror(lookup(if(Q10="",G10,Q10),{0,1,5,20,60,200,600,2000},{0.0,4.662216,2.765334,2.605356,2.433951,2.102568,1.794039,1.668342}),"")</f>
        <v>0</v>
      </c>
      <c r="S10" s="11">
        <f>iferror(if(Q10="",G10,Q10)*R10,"")</f>
        <v>0</v>
      </c>
      <c r="T10" t="s">
        <v>144</v>
      </c>
      <c r="U10" s="12" t="s">
        <v>122</v>
      </c>
      <c r="V10">
        <v>2966</v>
      </c>
      <c r="X10" s="11">
        <f>iferror(lookup(if(W10="",G10,W10),{0,1,10,25,100,250,500,1000,2000,5000},{0.0,4.32,3.81,3.64,3.46,3.03,2.94,2.51,2.34,2.25}),"")</f>
        <v>0</v>
      </c>
      <c r="Y10" s="11">
        <f>iferror(if(W10="",G10,W10)*X10,"")</f>
        <v>0</v>
      </c>
      <c r="Z10" t="s">
        <v>157</v>
      </c>
      <c r="AA10" s="12" t="s">
        <v>122</v>
      </c>
    </row>
    <row r="11" spans="1:27">
      <c r="A11" t="s">
        <v>28</v>
      </c>
      <c r="B11" t="s">
        <v>22</v>
      </c>
      <c r="C11" t="s">
        <v>30</v>
      </c>
      <c r="D11" t="s">
        <v>29</v>
      </c>
      <c r="G11">
        <f>BoardQty*1</f>
        <v>0</v>
      </c>
      <c r="H11" s="11">
        <f>MINA(INDIRECT(ADDRESS(ROW(),COLUMN(digikey_part_data)+2)),INDIRECT(ADDRESS(ROW(),COLUMN(mouser_part_data)+2)),INDIRECT(ADDRESS(ROW(),COLUMN(farnell_part_data)+2)))</f>
        <v>0</v>
      </c>
      <c r="I11" s="11">
        <f>iferror(G11*H11,"")</f>
        <v>0</v>
      </c>
    </row>
    <row r="12" spans="1:27">
      <c r="A12" t="s">
        <v>31</v>
      </c>
      <c r="B12" t="s">
        <v>35</v>
      </c>
      <c r="D12" t="s">
        <v>34</v>
      </c>
      <c r="E12" t="s">
        <v>33</v>
      </c>
      <c r="F12" t="s">
        <v>32</v>
      </c>
      <c r="G12">
        <f>BoardQty*1</f>
        <v>0</v>
      </c>
      <c r="H12" s="11">
        <f>MINA(INDIRECT(ADDRESS(ROW(),COLUMN(digikey_part_data)+2)),INDIRECT(ADDRESS(ROW(),COLUMN(mouser_part_data)+2)),INDIRECT(ADDRESS(ROW(),COLUMN(farnell_part_data)+2)))</f>
        <v>0</v>
      </c>
      <c r="I12" s="11">
        <f>iferror(G12*H12,"")</f>
        <v>0</v>
      </c>
    </row>
    <row r="13" spans="1:27">
      <c r="A13" t="s">
        <v>36</v>
      </c>
      <c r="B13" t="s">
        <v>38</v>
      </c>
      <c r="D13" t="s">
        <v>34</v>
      </c>
      <c r="E13" t="s">
        <v>33</v>
      </c>
      <c r="F13" t="s">
        <v>37</v>
      </c>
      <c r="G13">
        <f>BoardQty*3</f>
        <v>0</v>
      </c>
      <c r="H13" s="11">
        <f>MINA(INDIRECT(ADDRESS(ROW(),COLUMN(digikey_part_data)+2)),INDIRECT(ADDRESS(ROW(),COLUMN(mouser_part_data)+2)),INDIRECT(ADDRESS(ROW(),COLUMN(farnell_part_data)+2)))</f>
        <v>0</v>
      </c>
      <c r="I13" s="11">
        <f>iferror(G13*H13,"")</f>
        <v>0</v>
      </c>
    </row>
    <row r="14" spans="1:27">
      <c r="A14" t="s">
        <v>39</v>
      </c>
      <c r="B14" t="s">
        <v>43</v>
      </c>
      <c r="D14" t="s">
        <v>42</v>
      </c>
      <c r="E14" t="s">
        <v>41</v>
      </c>
      <c r="F14" t="s">
        <v>40</v>
      </c>
      <c r="G14">
        <f>BoardQty*1</f>
        <v>0</v>
      </c>
      <c r="H14" s="11">
        <f>MINA(INDIRECT(ADDRESS(ROW(),COLUMN(digikey_part_data)+2)),INDIRECT(ADDRESS(ROW(),COLUMN(mouser_part_data)+2)),INDIRECT(ADDRESS(ROW(),COLUMN(farnell_part_data)+2)))</f>
        <v>0</v>
      </c>
      <c r="I14" s="11">
        <f>iferror(G14*H14,"")</f>
        <v>0</v>
      </c>
      <c r="J14">
        <v>9284</v>
      </c>
      <c r="L14" s="11">
        <f>iferror(lookup(if(K14="",G14,K14),{0,1,10,100,500,1000,2000,5000,10000,25000},{0.0,0.66,0.578,0.442,0.3502,0.272,0.2465,0.2295,0.221,0.2125}),"")</f>
        <v>0</v>
      </c>
      <c r="M14" s="11">
        <f>iferror(if(K14="",G14,K14)*L14,"")</f>
        <v>0</v>
      </c>
      <c r="N14" t="s">
        <v>127</v>
      </c>
      <c r="O14" s="12" t="s">
        <v>122</v>
      </c>
      <c r="V14">
        <v>3699</v>
      </c>
      <c r="X14" s="11">
        <f>iferror(lookup(if(W14="",G14,W14),{0,1,10,100,1000,2000,5000,10000},{0.0,0.63,0.527,0.34,0.271,0.23,0.229,0.22}),"")</f>
        <v>0</v>
      </c>
      <c r="Y14" s="11">
        <f>iferror(if(W14="",G14,W14)*X14,"")</f>
        <v>0</v>
      </c>
      <c r="Z14" t="s">
        <v>158</v>
      </c>
      <c r="AA14" s="12" t="s">
        <v>122</v>
      </c>
    </row>
    <row r="15" spans="1:27">
      <c r="A15" t="s">
        <v>44</v>
      </c>
      <c r="B15" t="s">
        <v>35</v>
      </c>
      <c r="D15" t="s">
        <v>46</v>
      </c>
      <c r="E15" t="s">
        <v>33</v>
      </c>
      <c r="F15" t="s">
        <v>45</v>
      </c>
      <c r="G15">
        <f>BoardQty*6</f>
        <v>0</v>
      </c>
      <c r="H15" s="11">
        <f>MINA(INDIRECT(ADDRESS(ROW(),COLUMN(digikey_part_data)+2)),INDIRECT(ADDRESS(ROW(),COLUMN(mouser_part_data)+2)),INDIRECT(ADDRESS(ROW(),COLUMN(farnell_part_data)+2)))</f>
        <v>0</v>
      </c>
      <c r="I15" s="11">
        <f>iferror(G15*H15,"")</f>
        <v>0</v>
      </c>
    </row>
    <row r="16" spans="1:27">
      <c r="A16" t="s">
        <v>47</v>
      </c>
      <c r="B16" t="s">
        <v>35</v>
      </c>
      <c r="D16" t="s">
        <v>46</v>
      </c>
      <c r="E16" t="s">
        <v>33</v>
      </c>
      <c r="G16">
        <f>BoardQty*1</f>
        <v>0</v>
      </c>
      <c r="H16" s="11">
        <f>MINA(INDIRECT(ADDRESS(ROW(),COLUMN(digikey_part_data)+2)),INDIRECT(ADDRESS(ROW(),COLUMN(mouser_part_data)+2)),INDIRECT(ADDRESS(ROW(),COLUMN(farnell_part_data)+2)))</f>
        <v>0</v>
      </c>
      <c r="I16" s="11">
        <f>iferror(G16*H16,"")</f>
        <v>0</v>
      </c>
    </row>
    <row r="17" spans="1:27">
      <c r="A17" t="s">
        <v>48</v>
      </c>
      <c r="B17" t="s">
        <v>35</v>
      </c>
      <c r="D17" t="s">
        <v>46</v>
      </c>
      <c r="E17" t="s">
        <v>50</v>
      </c>
      <c r="F17" t="s">
        <v>49</v>
      </c>
      <c r="G17">
        <f>BoardQty*2</f>
        <v>0</v>
      </c>
      <c r="H17" s="11">
        <f>MINA(INDIRECT(ADDRESS(ROW(),COLUMN(digikey_part_data)+2)),INDIRECT(ADDRESS(ROW(),COLUMN(mouser_part_data)+2)),INDIRECT(ADDRESS(ROW(),COLUMN(farnell_part_data)+2)))</f>
        <v>0</v>
      </c>
      <c r="I17" s="11">
        <f>iferror(G17*H17,"")</f>
        <v>0</v>
      </c>
      <c r="J17">
        <v>3150800</v>
      </c>
      <c r="L17" s="11">
        <f>iferror(lookup(if(K17="",G17,K17),{0,1,10,100,250,500,1000,5000,10000,20000,30000,50000,100000},{0.0,0.1,0.076,0.035,0.02864,0.0245,0.01909,0.01591,0.01336,0.01273,0.01209,0.01082,0.00875}),"")</f>
        <v>0</v>
      </c>
      <c r="M17" s="11">
        <f>iferror(if(K17="",G17,K17)*L17,"")</f>
        <v>0</v>
      </c>
      <c r="N17" t="s">
        <v>128</v>
      </c>
      <c r="O17" s="12" t="s">
        <v>122</v>
      </c>
      <c r="P17">
        <v>16130</v>
      </c>
      <c r="R17" s="11">
        <f>iferror(lookup(if(Q17="",G17,Q17),{0,1,10,300,1000,2500,5000},{0.0,0.0434226,0.0434226,0.03176706,0.0205686,0.0171405,0.01588353}),"")</f>
        <v>0</v>
      </c>
      <c r="S17" s="11">
        <f>iferror(if(Q17="",G17,Q17)*R17,"")</f>
        <v>0</v>
      </c>
      <c r="T17" t="s">
        <v>145</v>
      </c>
      <c r="U17" s="12" t="s">
        <v>122</v>
      </c>
      <c r="V17">
        <v>354405</v>
      </c>
      <c r="X17" s="11">
        <f>iferror(lookup(if(W17="",G17,W17),{0,1,10,100,500,1000,2500,10000,20000,50000},{0.0,0.1,0.076,0.028,0.024,0.018,0.015,0.013,0.011,0.01}),"")</f>
        <v>0</v>
      </c>
      <c r="Y17" s="11">
        <f>iferror(if(W17="",G17,W17)*X17,"")</f>
        <v>0</v>
      </c>
      <c r="Z17" t="s">
        <v>159</v>
      </c>
      <c r="AA17" s="12" t="s">
        <v>122</v>
      </c>
    </row>
    <row r="18" spans="1:27">
      <c r="A18" t="s">
        <v>51</v>
      </c>
      <c r="B18" t="s">
        <v>35</v>
      </c>
      <c r="D18" t="s">
        <v>46</v>
      </c>
      <c r="E18" t="s">
        <v>33</v>
      </c>
      <c r="F18" t="s">
        <v>52</v>
      </c>
      <c r="G18">
        <f>BoardQty*2</f>
        <v>0</v>
      </c>
      <c r="H18" s="11">
        <f>MINA(INDIRECT(ADDRESS(ROW(),COLUMN(digikey_part_data)+2)),INDIRECT(ADDRESS(ROW(),COLUMN(mouser_part_data)+2)),INDIRECT(ADDRESS(ROW(),COLUMN(farnell_part_data)+2)))</f>
        <v>0</v>
      </c>
      <c r="I18" s="11">
        <f>iferror(G18*H18,"")</f>
        <v>0</v>
      </c>
    </row>
    <row r="19" spans="1:27">
      <c r="A19" t="s">
        <v>53</v>
      </c>
      <c r="B19" t="s">
        <v>56</v>
      </c>
      <c r="D19" t="s">
        <v>18</v>
      </c>
      <c r="E19" t="s">
        <v>55</v>
      </c>
      <c r="F19" t="s">
        <v>54</v>
      </c>
      <c r="G19">
        <f>BoardQty*2</f>
        <v>0</v>
      </c>
      <c r="H19" s="11">
        <f>MINA(INDIRECT(ADDRESS(ROW(),COLUMN(digikey_part_data)+2)),INDIRECT(ADDRESS(ROW(),COLUMN(mouser_part_data)+2)),INDIRECT(ADDRESS(ROW(),COLUMN(farnell_part_data)+2)))</f>
        <v>0</v>
      </c>
      <c r="I19" s="11">
        <f>iferror(G19*H19,"")</f>
        <v>0</v>
      </c>
      <c r="J19">
        <v>1826704</v>
      </c>
      <c r="L19" s="11">
        <f>iferror(lookup(if(K19="",G19,K19),{0,1,10,25,50,100,250,500,1000,5000,10000,30000,50000},{0.0,0.1,0.025,0.018,0.0136,0.01,0.00764,0.00612,0.00451,0.00323,0.00281,0.00247,0.00231}),"")</f>
        <v>0</v>
      </c>
      <c r="M19" s="11">
        <f>iferror(if(K19="",G19,K19)*L19,"")</f>
        <v>0</v>
      </c>
      <c r="N19" t="s">
        <v>129</v>
      </c>
      <c r="O19" s="12" t="s">
        <v>122</v>
      </c>
      <c r="P19">
        <v>46213</v>
      </c>
      <c r="R19" s="11">
        <f>iferror(lookup(if(Q19="",G19,Q19),{0,1,10,400,1000,2500,5000},{0.0,0.01108419,0.01108419,0.00902733,0.00639912,0.00502788,0.00445653}),"")</f>
        <v>0</v>
      </c>
      <c r="S19" s="11">
        <f>iferror(if(Q19="",G19,Q19)*R19,"")</f>
        <v>0</v>
      </c>
      <c r="T19" t="s">
        <v>146</v>
      </c>
      <c r="U19" s="12" t="s">
        <v>122</v>
      </c>
      <c r="V19">
        <v>478983</v>
      </c>
      <c r="X19" s="11">
        <f>iferror(lookup(if(W19="",G19,W19),{0,1,10,100,1000,5000,10000},{0.0,0.1,0.015,0.006,0.004,0.003,0.002}),"")</f>
        <v>0</v>
      </c>
      <c r="Y19" s="11">
        <f>iferror(if(W19="",G19,W19)*X19,"")</f>
        <v>0</v>
      </c>
      <c r="Z19" t="s">
        <v>160</v>
      </c>
      <c r="AA19" s="12" t="s">
        <v>122</v>
      </c>
    </row>
    <row r="20" spans="1:27">
      <c r="A20" t="s">
        <v>57</v>
      </c>
      <c r="B20" t="s">
        <v>61</v>
      </c>
      <c r="D20" t="s">
        <v>60</v>
      </c>
      <c r="E20" t="s">
        <v>59</v>
      </c>
      <c r="F20" t="s">
        <v>58</v>
      </c>
      <c r="G20">
        <f>BoardQty*1</f>
        <v>0</v>
      </c>
      <c r="H20" s="11">
        <f>MINA(INDIRECT(ADDRESS(ROW(),COLUMN(digikey_part_data)+2)),INDIRECT(ADDRESS(ROW(),COLUMN(mouser_part_data)+2)),INDIRECT(ADDRESS(ROW(),COLUMN(farnell_part_data)+2)))</f>
        <v>0</v>
      </c>
      <c r="I20" s="11">
        <f>iferror(G20*H20,"")</f>
        <v>0</v>
      </c>
      <c r="J20">
        <v>163581</v>
      </c>
      <c r="L20" s="11">
        <f>iferror(lookup(if(K20="",G20,K20),{0,1,10,25,100,250,500,1000,4000,8000,12000,28000,100000},{0.0,0.44,0.317,0.2428,0.1584,0.11616,0.09856,0.08096,0.064,0.0576,0.0512,0.048,0.0416}),"")</f>
        <v>0</v>
      </c>
      <c r="M20" s="11">
        <f>iferror(if(K20="",G20,K20)*L20,"")</f>
        <v>0</v>
      </c>
      <c r="N20" t="s">
        <v>130</v>
      </c>
      <c r="O20" s="12" t="s">
        <v>122</v>
      </c>
      <c r="V20">
        <v>22524</v>
      </c>
      <c r="X20" s="11">
        <f>iferror(lookup(if(W20="",G20,W20),{0,1,10,100,500,1000,2000,4000,8000},{0.0,0.429,0.32,0.141,0.102,0.08,0.077,0.064,0.058}),"")</f>
        <v>0</v>
      </c>
      <c r="Y20" s="11">
        <f>iferror(if(W20="",G20,W20)*X20,"")</f>
        <v>0</v>
      </c>
      <c r="Z20" t="s">
        <v>161</v>
      </c>
      <c r="AA20" s="12" t="s">
        <v>122</v>
      </c>
    </row>
    <row r="21" spans="1:27">
      <c r="A21" t="s">
        <v>62</v>
      </c>
      <c r="B21" t="s">
        <v>63</v>
      </c>
      <c r="C21" t="s">
        <v>30</v>
      </c>
      <c r="D21" t="s">
        <v>18</v>
      </c>
      <c r="G21">
        <f>BoardQty*1</f>
        <v>0</v>
      </c>
      <c r="H21" s="11">
        <f>MINA(INDIRECT(ADDRESS(ROW(),COLUMN(digikey_part_data)+2)),INDIRECT(ADDRESS(ROW(),COLUMN(mouser_part_data)+2)),INDIRECT(ADDRESS(ROW(),COLUMN(farnell_part_data)+2)))</f>
        <v>0</v>
      </c>
      <c r="I21" s="11">
        <f>iferror(G21*H21,"")</f>
        <v>0</v>
      </c>
    </row>
    <row r="22" spans="1:27">
      <c r="A22" t="s">
        <v>64</v>
      </c>
      <c r="B22" t="s">
        <v>68</v>
      </c>
      <c r="D22" t="s">
        <v>67</v>
      </c>
      <c r="E22" t="s">
        <v>66</v>
      </c>
      <c r="F22" t="s">
        <v>65</v>
      </c>
      <c r="G22">
        <f>BoardQty*1</f>
        <v>0</v>
      </c>
      <c r="H22" s="11">
        <f>MINA(INDIRECT(ADDRESS(ROW(),COLUMN(digikey_part_data)+2)),INDIRECT(ADDRESS(ROW(),COLUMN(mouser_part_data)+2)),INDIRECT(ADDRESS(ROW(),COLUMN(farnell_part_data)+2)))</f>
        <v>0</v>
      </c>
      <c r="I22" s="11">
        <f>iferror(G22*H22,"")</f>
        <v>0</v>
      </c>
      <c r="J22">
        <v>2357</v>
      </c>
      <c r="L22" s="11">
        <f>iferror(lookup(if(K22="",G22,K22),{0,1,25,100,2500},{0.0,1.04,0.8652,0.7828,0.7828}),"")</f>
        <v>0</v>
      </c>
      <c r="M22" s="11">
        <f>iferror(if(K22="",G22,K22)*L22,"")</f>
        <v>0</v>
      </c>
      <c r="N22" t="s">
        <v>131</v>
      </c>
      <c r="O22" s="12" t="s">
        <v>122</v>
      </c>
      <c r="V22">
        <v>2443</v>
      </c>
      <c r="X22" s="11">
        <f>iferror(lookup(if(W22="",G22,W22),{0,1,10,25,100},{0.0,1.1,1.01,0.84,0.76}),"")</f>
        <v>0</v>
      </c>
      <c r="Y22" s="11">
        <f>iferror(if(W22="",G22,W22)*X22,"")</f>
        <v>0</v>
      </c>
      <c r="Z22" t="s">
        <v>162</v>
      </c>
      <c r="AA22" s="12" t="s">
        <v>122</v>
      </c>
    </row>
    <row r="23" spans="1:27">
      <c r="A23" t="s">
        <v>69</v>
      </c>
      <c r="B23" t="s">
        <v>72</v>
      </c>
      <c r="D23" t="s">
        <v>46</v>
      </c>
      <c r="E23" t="s">
        <v>71</v>
      </c>
      <c r="F23" t="s">
        <v>70</v>
      </c>
      <c r="G23">
        <f>BoardQty*1</f>
        <v>0</v>
      </c>
      <c r="H23" s="11">
        <f>MINA(INDIRECT(ADDRESS(ROW(),COLUMN(digikey_part_data)+2)),INDIRECT(ADDRESS(ROW(),COLUMN(mouser_part_data)+2)),INDIRECT(ADDRESS(ROW(),COLUMN(farnell_part_data)+2)))</f>
        <v>0</v>
      </c>
      <c r="I23" s="11">
        <f>iferror(G23*H23,"")</f>
        <v>0</v>
      </c>
      <c r="J23">
        <v>640607</v>
      </c>
      <c r="L23" s="11">
        <f>iferror(lookup(if(K23="",G23,K23),{0,1,10,25,50,100,250,500,1000,5000,10000,20000,30000,50000,100000},{0.0,0.32,0.22,0.1808,0.1542,0.1322,0.11016,0.09916,0.08373,0.07492,0.06893,0.06539,0.06302,0.05909,0.05239}),"")</f>
        <v>0</v>
      </c>
      <c r="M23" s="11">
        <f>iferror(if(K23="",G23,K23)*L23,"")</f>
        <v>0</v>
      </c>
      <c r="N23" t="s">
        <v>132</v>
      </c>
      <c r="O23" s="12" t="s">
        <v>122</v>
      </c>
      <c r="U23" s="12" t="s">
        <v>122</v>
      </c>
      <c r="V23">
        <v>20453</v>
      </c>
      <c r="X23" s="11">
        <f>iferror(lookup(if(W23="",G23,W23),{0,1,10,100,500,1000,2000,10000,20000,50000},{0.0,0.37,0.194,0.117,0.103,0.091,0.076,0.068,0.061,0.054}),"")</f>
        <v>0</v>
      </c>
      <c r="Y23" s="11">
        <f>iferror(if(W23="",G23,W23)*X23,"")</f>
        <v>0</v>
      </c>
      <c r="Z23" t="s">
        <v>163</v>
      </c>
      <c r="AA23" s="12" t="s">
        <v>122</v>
      </c>
    </row>
    <row r="24" spans="1:27">
      <c r="A24" t="s">
        <v>73</v>
      </c>
      <c r="B24" t="s">
        <v>77</v>
      </c>
      <c r="D24" t="s">
        <v>76</v>
      </c>
      <c r="E24" t="s">
        <v>75</v>
      </c>
      <c r="F24" t="s">
        <v>74</v>
      </c>
      <c r="G24">
        <f>BoardQty*1</f>
        <v>0</v>
      </c>
      <c r="H24" s="11">
        <f>MINA(INDIRECT(ADDRESS(ROW(),COLUMN(digikey_part_data)+2)),INDIRECT(ADDRESS(ROW(),COLUMN(mouser_part_data)+2)),INDIRECT(ADDRESS(ROW(),COLUMN(farnell_part_data)+2)))</f>
        <v>0</v>
      </c>
      <c r="I24" s="11">
        <f>iferror(G24*H24,"")</f>
        <v>0</v>
      </c>
      <c r="J24">
        <v>18992</v>
      </c>
      <c r="L24" s="11">
        <f>iferror(lookup(if(K24="",G24,K24),{0,1,10,25,50,100,250,500,1000,2500,5000,10000,15000},{0.0,1.37,1.206,1.1352,1.088,1.0406,0.946,0.8514,0.7568,0.68585,0.602,0.5719,0.559}),"")</f>
        <v>0</v>
      </c>
      <c r="M24" s="11">
        <f>iferror(if(K24="",G24,K24)*L24,"")</f>
        <v>0</v>
      </c>
      <c r="N24" t="s">
        <v>133</v>
      </c>
      <c r="O24" s="12" t="s">
        <v>122</v>
      </c>
      <c r="P24">
        <v>3729</v>
      </c>
      <c r="R24" s="11">
        <f>iferror(lookup(if(Q24="",G24,Q24),{0,1,10,100,500,1000,2500},{0.0,1.0238592,1.0238592,0.8924487,0.8044608,0.7164729,0.5564949}),"")</f>
        <v>0</v>
      </c>
      <c r="S24" s="11">
        <f>iferror(if(Q24="",G24,Q24)*R24,"")</f>
        <v>0</v>
      </c>
      <c r="T24" t="s">
        <v>147</v>
      </c>
      <c r="U24" s="12" t="s">
        <v>122</v>
      </c>
      <c r="V24">
        <v>4991</v>
      </c>
      <c r="X24" s="11">
        <f>iferror(lookup(if(W24="",G24,W24),{0,1,10,100,250,500,1000,2500,5000,10000},{0.0,1.36,1.08,1.04,0.946,0.85,0.757,0.622,0.602,0.559}),"")</f>
        <v>0</v>
      </c>
      <c r="Y24" s="11">
        <f>iferror(if(W24="",G24,W24)*X24,"")</f>
        <v>0</v>
      </c>
      <c r="Z24" t="s">
        <v>164</v>
      </c>
      <c r="AA24" s="12" t="s">
        <v>122</v>
      </c>
    </row>
    <row r="25" spans="1:27">
      <c r="A25" t="s">
        <v>78</v>
      </c>
      <c r="B25" t="s">
        <v>80</v>
      </c>
      <c r="C25" t="s">
        <v>30</v>
      </c>
      <c r="D25" t="s">
        <v>79</v>
      </c>
      <c r="G25">
        <f>BoardQty*4</f>
        <v>0</v>
      </c>
      <c r="H25" s="11">
        <f>MINA(INDIRECT(ADDRESS(ROW(),COLUMN(digikey_part_data)+2)),INDIRECT(ADDRESS(ROW(),COLUMN(mouser_part_data)+2)),INDIRECT(ADDRESS(ROW(),COLUMN(farnell_part_data)+2)))</f>
        <v>0</v>
      </c>
      <c r="I25" s="11">
        <f>iferror(G25*H25,"")</f>
        <v>0</v>
      </c>
    </row>
    <row r="26" spans="1:27">
      <c r="A26" t="s">
        <v>81</v>
      </c>
      <c r="B26" t="s">
        <v>83</v>
      </c>
      <c r="C26" t="s">
        <v>30</v>
      </c>
      <c r="D26" t="s">
        <v>82</v>
      </c>
      <c r="G26">
        <f>BoardQty*2</f>
        <v>0</v>
      </c>
      <c r="H26" s="11">
        <f>MINA(INDIRECT(ADDRESS(ROW(),COLUMN(digikey_part_data)+2)),INDIRECT(ADDRESS(ROW(),COLUMN(mouser_part_data)+2)),INDIRECT(ADDRESS(ROW(),COLUMN(farnell_part_data)+2)))</f>
        <v>0</v>
      </c>
      <c r="I26" s="11">
        <f>iferror(G26*H26,"")</f>
        <v>0</v>
      </c>
    </row>
    <row r="27" spans="1:27">
      <c r="A27" t="s">
        <v>84</v>
      </c>
      <c r="B27" t="s">
        <v>85</v>
      </c>
      <c r="C27" t="s">
        <v>30</v>
      </c>
      <c r="D27" t="s">
        <v>18</v>
      </c>
      <c r="G27">
        <f>BoardQty*4</f>
        <v>0</v>
      </c>
      <c r="H27" s="11">
        <f>MINA(INDIRECT(ADDRESS(ROW(),COLUMN(digikey_part_data)+2)),INDIRECT(ADDRESS(ROW(),COLUMN(mouser_part_data)+2)),INDIRECT(ADDRESS(ROW(),COLUMN(farnell_part_data)+2)))</f>
        <v>0</v>
      </c>
      <c r="I27" s="11">
        <f>iferror(G27*H27,"")</f>
        <v>0</v>
      </c>
    </row>
    <row r="28" spans="1:27">
      <c r="A28" t="s">
        <v>86</v>
      </c>
      <c r="B28" t="s">
        <v>88</v>
      </c>
      <c r="D28" t="s">
        <v>46</v>
      </c>
      <c r="E28" t="s">
        <v>50</v>
      </c>
      <c r="F28" t="s">
        <v>87</v>
      </c>
      <c r="G28">
        <f>BoardQty*2</f>
        <v>0</v>
      </c>
      <c r="H28" s="11">
        <f>MINA(INDIRECT(ADDRESS(ROW(),COLUMN(digikey_part_data)+2)),INDIRECT(ADDRESS(ROW(),COLUMN(mouser_part_data)+2)),INDIRECT(ADDRESS(ROW(),COLUMN(farnell_part_data)+2)))</f>
        <v>0</v>
      </c>
      <c r="I28" s="11">
        <f>iferror(G28*H28,"")</f>
        <v>0</v>
      </c>
      <c r="J28">
        <v>23170</v>
      </c>
      <c r="L28" s="11">
        <f>iferror(lookup(if(K28="",G28,K28),{0,1,10,100,250,500,1000,5000,10000,20000,30000,50000,100000},{0.0,0.1,0.047,0.0217,0.01772,0.01516,0.01182,0.00985,0.00827,0.00788,0.00748,0.0067,0.00542}),"")</f>
        <v>0</v>
      </c>
      <c r="M28" s="11">
        <f>iferror(if(K28="",G28,K28)*L28,"")</f>
        <v>0</v>
      </c>
      <c r="N28" t="s">
        <v>134</v>
      </c>
      <c r="O28" s="12" t="s">
        <v>122</v>
      </c>
      <c r="P28">
        <v>8350</v>
      </c>
      <c r="R28" s="11">
        <f>iferror(lookup(if(Q28="",G28,Q28),{0,1,10,100,500,2500,5000,10000,50000,100000},{0.0,0.0388518,0.0388518,0.02491086,0.0171405,0.01279824,0.01062711,0.00925587,0.0068562,0.00674193}),"")</f>
        <v>0</v>
      </c>
      <c r="S28" s="11">
        <f>iferror(if(Q28="",G28,Q28)*R28,"")</f>
        <v>0</v>
      </c>
      <c r="T28" t="s">
        <v>148</v>
      </c>
      <c r="U28" s="12" t="s">
        <v>122</v>
      </c>
      <c r="V28">
        <v>6220</v>
      </c>
      <c r="X28" s="11">
        <f>iferror(lookup(if(W28="",G28,W28),{0,1,10,100,500,1000,2500,10000,20000},{0.0,0.2,0.025,0.018,0.015,0.012,0.01,0.008,0.007}),"")</f>
        <v>0</v>
      </c>
      <c r="Y28" s="11">
        <f>iferror(if(W28="",G28,W28)*X28,"")</f>
        <v>0</v>
      </c>
      <c r="Z28" t="s">
        <v>165</v>
      </c>
      <c r="AA28" s="12" t="s">
        <v>122</v>
      </c>
    </row>
    <row r="29" spans="1:27">
      <c r="A29" t="s">
        <v>89</v>
      </c>
      <c r="B29" t="s">
        <v>63</v>
      </c>
      <c r="D29" t="s">
        <v>18</v>
      </c>
      <c r="E29" t="s">
        <v>17</v>
      </c>
      <c r="F29" t="s">
        <v>90</v>
      </c>
      <c r="G29">
        <f>BoardQty*3</f>
        <v>0</v>
      </c>
      <c r="H29" s="11">
        <f>MINA(INDIRECT(ADDRESS(ROW(),COLUMN(digikey_part_data)+2)),INDIRECT(ADDRESS(ROW(),COLUMN(mouser_part_data)+2)),INDIRECT(ADDRESS(ROW(),COLUMN(farnell_part_data)+2)))</f>
        <v>0</v>
      </c>
      <c r="I29" s="11">
        <f>iferror(G29*H29,"")</f>
        <v>0</v>
      </c>
      <c r="J29">
        <v>8839305</v>
      </c>
      <c r="L29" s="11">
        <f>iferror(lookup(if(K29="",G29,K29),{0,1,10,25,50,100,250,500,1000,5000,10000,30000,50000,100000},{0.0,0.1,0.012,0.0088,0.0066,0.0049,0.00372,0.00298,0.0022,0.00158,0.00137,0.0012,0.0011,0.00108}),"")</f>
        <v>0</v>
      </c>
      <c r="M29" s="11">
        <f>iferror(if(K29="",G29,K29)*L29,"")</f>
        <v>0</v>
      </c>
      <c r="N29" t="s">
        <v>135</v>
      </c>
      <c r="O29" s="12" t="s">
        <v>122</v>
      </c>
      <c r="P29">
        <v>113461</v>
      </c>
      <c r="R29" s="11">
        <f>iferror(lookup(if(Q29="",G29,Q29),{0,1,10,500,1000,2500,5000},{0.0,0.00742755,0.00742755,0.00639912,0.00559923,0.00365664,0.00274248}),"")</f>
        <v>0</v>
      </c>
      <c r="S29" s="11">
        <f>iferror(if(Q29="",G29,Q29)*R29,"")</f>
        <v>0</v>
      </c>
      <c r="T29" t="s">
        <v>149</v>
      </c>
      <c r="U29" s="12" t="s">
        <v>122</v>
      </c>
      <c r="V29">
        <v>1890310</v>
      </c>
      <c r="X29" s="11">
        <f>iferror(lookup(if(W29="",G29,W29),{0,1,10,100,1000,10000},{0.0,0.1,0.008,0.003,0.002,0.002}),"")</f>
        <v>0</v>
      </c>
      <c r="Y29" s="11">
        <f>iferror(if(W29="",G29,W29)*X29,"")</f>
        <v>0</v>
      </c>
      <c r="Z29" t="s">
        <v>166</v>
      </c>
      <c r="AA29" s="12" t="s">
        <v>122</v>
      </c>
    </row>
    <row r="30" spans="1:27">
      <c r="A30" t="s">
        <v>91</v>
      </c>
      <c r="B30" t="s">
        <v>22</v>
      </c>
      <c r="D30" t="s">
        <v>29</v>
      </c>
      <c r="G30">
        <f>BoardQty*2</f>
        <v>0</v>
      </c>
      <c r="H30" s="11">
        <f>MINA(INDIRECT(ADDRESS(ROW(),COLUMN(digikey_part_data)+2)),INDIRECT(ADDRESS(ROW(),COLUMN(mouser_part_data)+2)),INDIRECT(ADDRESS(ROW(),COLUMN(farnell_part_data)+2)))</f>
        <v>0</v>
      </c>
      <c r="I30" s="11">
        <f>iferror(G30*H30,"")</f>
        <v>0</v>
      </c>
    </row>
    <row r="31" spans="1:27">
      <c r="A31" t="s">
        <v>92</v>
      </c>
      <c r="B31" t="s">
        <v>93</v>
      </c>
      <c r="C31" t="s">
        <v>30</v>
      </c>
      <c r="D31" t="s">
        <v>18</v>
      </c>
      <c r="G31">
        <f>BoardQty*2</f>
        <v>0</v>
      </c>
      <c r="H31" s="11">
        <f>MINA(INDIRECT(ADDRESS(ROW(),COLUMN(digikey_part_data)+2)),INDIRECT(ADDRESS(ROW(),COLUMN(mouser_part_data)+2)),INDIRECT(ADDRESS(ROW(),COLUMN(farnell_part_data)+2)))</f>
        <v>0</v>
      </c>
      <c r="I31" s="11">
        <f>iferror(G31*H31,"")</f>
        <v>0</v>
      </c>
    </row>
    <row r="32" spans="1:27">
      <c r="A32" t="s">
        <v>94</v>
      </c>
      <c r="B32" t="s">
        <v>97</v>
      </c>
      <c r="D32" t="s">
        <v>34</v>
      </c>
      <c r="E32" t="s">
        <v>96</v>
      </c>
      <c r="F32" t="s">
        <v>95</v>
      </c>
      <c r="G32">
        <f>BoardQty*5</f>
        <v>0</v>
      </c>
      <c r="H32" s="11">
        <f>MINA(INDIRECT(ADDRESS(ROW(),COLUMN(digikey_part_data)+2)),INDIRECT(ADDRESS(ROW(),COLUMN(mouser_part_data)+2)),INDIRECT(ADDRESS(ROW(),COLUMN(farnell_part_data)+2)))</f>
        <v>0</v>
      </c>
      <c r="I32" s="11">
        <f>iferror(G32*H32,"")</f>
        <v>0</v>
      </c>
      <c r="O32" s="12" t="s">
        <v>122</v>
      </c>
    </row>
    <row r="33" spans="1:27">
      <c r="A33" t="s">
        <v>98</v>
      </c>
      <c r="B33" t="s">
        <v>19</v>
      </c>
      <c r="C33" t="s">
        <v>30</v>
      </c>
      <c r="D33" t="s">
        <v>18</v>
      </c>
      <c r="G33">
        <f>BoardQty*3</f>
        <v>0</v>
      </c>
      <c r="H33" s="11">
        <f>MINA(INDIRECT(ADDRESS(ROW(),COLUMN(digikey_part_data)+2)),INDIRECT(ADDRESS(ROW(),COLUMN(mouser_part_data)+2)),INDIRECT(ADDRESS(ROW(),COLUMN(farnell_part_data)+2)))</f>
        <v>0</v>
      </c>
      <c r="I33" s="11">
        <f>iferror(G33*H33,"")</f>
        <v>0</v>
      </c>
    </row>
    <row r="34" spans="1:27">
      <c r="A34" t="s">
        <v>99</v>
      </c>
      <c r="B34" t="s">
        <v>93</v>
      </c>
      <c r="D34" t="s">
        <v>18</v>
      </c>
      <c r="E34" t="s">
        <v>17</v>
      </c>
      <c r="F34" t="s">
        <v>100</v>
      </c>
      <c r="G34">
        <f>BoardQty*1</f>
        <v>0</v>
      </c>
      <c r="H34" s="11">
        <f>MINA(INDIRECT(ADDRESS(ROW(),COLUMN(digikey_part_data)+2)),INDIRECT(ADDRESS(ROW(),COLUMN(mouser_part_data)+2)),INDIRECT(ADDRESS(ROW(),COLUMN(farnell_part_data)+2)))</f>
        <v>0</v>
      </c>
      <c r="I34" s="11">
        <f>iferror(G34*H34,"")</f>
        <v>0</v>
      </c>
      <c r="J34">
        <v>1034515</v>
      </c>
      <c r="L34" s="11">
        <f>iferror(lookup(if(K34="",G34,K34),{0,1,10,25,50,100,250,500,1000,5000,10000,30000,50000,100000},{0.0,0.1,0.012,0.0088,0.0066,0.0049,0.00372,0.00298,0.0022,0.00158,0.00137,0.0012,0.0011,0.00108}),"")</f>
        <v>0</v>
      </c>
      <c r="M34" s="11">
        <f>iferror(if(K34="",G34,K34)*L34,"")</f>
        <v>0</v>
      </c>
      <c r="N34" t="s">
        <v>136</v>
      </c>
      <c r="O34" s="12" t="s">
        <v>122</v>
      </c>
      <c r="P34">
        <v>40726</v>
      </c>
      <c r="R34" s="11">
        <f>iferror(lookup(if(Q34="",G34,Q34),{0,1,100,500,2500,5000,10000,50000,100000},{0.0,0.00765609,0.00765609,0.00651339,0.00377091,0.00285675,0.00217113,0.00148551,0.00137124}),"")</f>
        <v>0</v>
      </c>
      <c r="S34" s="11">
        <f>iferror(if(Q34="",G34,Q34)*R34,"")</f>
        <v>0</v>
      </c>
      <c r="T34" t="s">
        <v>150</v>
      </c>
      <c r="U34" s="12" t="s">
        <v>122</v>
      </c>
      <c r="V34">
        <v>263896</v>
      </c>
      <c r="X34" s="11">
        <f>iferror(lookup(if(W34="",G34,W34),{0,1,10,100,1000,10000},{0.0,0.1,0.01,0.003,0.002,0.001}),"")</f>
        <v>0</v>
      </c>
      <c r="Y34" s="11">
        <f>iferror(if(W34="",G34,W34)*X34,"")</f>
        <v>0</v>
      </c>
      <c r="Z34" t="s">
        <v>167</v>
      </c>
      <c r="AA34" s="12" t="s">
        <v>122</v>
      </c>
    </row>
    <row r="35" spans="1:27">
      <c r="A35" t="s">
        <v>101</v>
      </c>
      <c r="B35" t="s">
        <v>104</v>
      </c>
      <c r="D35" t="s">
        <v>29</v>
      </c>
      <c r="E35" t="s">
        <v>103</v>
      </c>
      <c r="F35" t="s">
        <v>102</v>
      </c>
      <c r="G35">
        <f>BoardQty*1</f>
        <v>0</v>
      </c>
      <c r="H35" s="11">
        <f>MINA(INDIRECT(ADDRESS(ROW(),COLUMN(digikey_part_data)+2)),INDIRECT(ADDRESS(ROW(),COLUMN(mouser_part_data)+2)),INDIRECT(ADDRESS(ROW(),COLUMN(farnell_part_data)+2)))</f>
        <v>0</v>
      </c>
      <c r="I35" s="11">
        <f>iferror(G35*H35,"")</f>
        <v>0</v>
      </c>
      <c r="J35">
        <v>72911</v>
      </c>
      <c r="L35" s="11">
        <f>iferror(lookup(if(K35="",G35,K35),{0,1,10,25,50,100,250,500,1000,5000,10000,25000,50000,125000},{0.0,0.23,0.194,0.1408,0.102,0.0757,0.05808,0.04576,0.03168,0.024,0.0224,0.02128,0.02085,0.0204}),"")</f>
        <v>0</v>
      </c>
      <c r="M35" s="11">
        <f>iferror(if(K35="",G35,K35)*L35,"")</f>
        <v>0</v>
      </c>
      <c r="N35" t="s">
        <v>137</v>
      </c>
      <c r="O35" s="12" t="s">
        <v>122</v>
      </c>
      <c r="V35">
        <v>21</v>
      </c>
      <c r="X35" s="11">
        <f>iferror(lookup(if(W35="",G35,W35),{0,1,10,25,50,100,250,500,1000},{0.0,11.36,10.34,9.56,9.03,8.79,8.0,7.48,6.87}),"")</f>
        <v>0</v>
      </c>
      <c r="Y35" s="11">
        <f>iferror(if(W35="",G35,W35)*X35,"")</f>
        <v>0</v>
      </c>
      <c r="Z35" t="s">
        <v>168</v>
      </c>
      <c r="AA35" s="12" t="s">
        <v>122</v>
      </c>
    </row>
    <row r="36" spans="1:27">
      <c r="A36" t="s">
        <v>105</v>
      </c>
      <c r="B36" t="s">
        <v>106</v>
      </c>
      <c r="D36" t="s">
        <v>107</v>
      </c>
      <c r="E36" t="s">
        <v>66</v>
      </c>
      <c r="F36" t="s">
        <v>106</v>
      </c>
      <c r="G36">
        <f>BoardQty*1</f>
        <v>0</v>
      </c>
      <c r="H36" s="11">
        <f>MINA(INDIRECT(ADDRESS(ROW(),COLUMN(digikey_part_data)+2)),INDIRECT(ADDRESS(ROW(),COLUMN(mouser_part_data)+2)),INDIRECT(ADDRESS(ROW(),COLUMN(farnell_part_data)+2)))</f>
        <v>0</v>
      </c>
      <c r="I36" s="11">
        <f>iferror(G36*H36,"")</f>
        <v>0</v>
      </c>
      <c r="J36">
        <v>4218</v>
      </c>
      <c r="L36" s="11">
        <f>iferror(lookup(if(K36="",G36,K36),{0,1,25,100,3300},{0.0,0.56,0.5356,0.515,0.515}),"")</f>
        <v>0</v>
      </c>
      <c r="M36" s="11">
        <f>iferror(if(K36="",G36,K36)*L36,"")</f>
        <v>0</v>
      </c>
      <c r="N36" t="s">
        <v>138</v>
      </c>
      <c r="O36" s="12" t="s">
        <v>122</v>
      </c>
      <c r="V36">
        <v>1330</v>
      </c>
      <c r="X36" s="11">
        <f>iferror(lookup(if(W36="",G36,W36),{0,1,10,25,100},{0.0,0.65,0.54,0.519,0.507}),"")</f>
        <v>0</v>
      </c>
      <c r="Y36" s="11">
        <f>iferror(if(W36="",G36,W36)*X36,"")</f>
        <v>0</v>
      </c>
      <c r="Z36" t="s">
        <v>169</v>
      </c>
      <c r="AA36" s="12" t="s">
        <v>122</v>
      </c>
    </row>
    <row r="37" spans="1:27">
      <c r="A37" t="s">
        <v>108</v>
      </c>
      <c r="B37" t="s">
        <v>85</v>
      </c>
      <c r="D37" t="s">
        <v>18</v>
      </c>
      <c r="E37" t="s">
        <v>17</v>
      </c>
      <c r="F37" t="s">
        <v>109</v>
      </c>
      <c r="G37">
        <f>BoardQty*4</f>
        <v>0</v>
      </c>
      <c r="H37" s="11">
        <f>MINA(INDIRECT(ADDRESS(ROW(),COLUMN(digikey_part_data)+2)),INDIRECT(ADDRESS(ROW(),COLUMN(mouser_part_data)+2)),INDIRECT(ADDRESS(ROW(),COLUMN(farnell_part_data)+2)))</f>
        <v>0</v>
      </c>
      <c r="I37" s="11">
        <f>iferror(G37*H37,"")</f>
        <v>0</v>
      </c>
      <c r="J37">
        <v>9626996</v>
      </c>
      <c r="L37" s="11">
        <f>iferror(lookup(if(K37="",G37,K37),{0,1,10,25,50,100,250,500,1000,5000,10000,30000,50000,100000},{0.0,0.1,0.01,0.0068,0.0052,0.0038,0.00292,0.00234,0.00172,0.00124,0.00097,0.00086,0.00078,0.00077}),"")</f>
        <v>0</v>
      </c>
      <c r="M37" s="11">
        <f>iferror(if(K37="",G37,K37)*L37,"")</f>
        <v>0</v>
      </c>
      <c r="N37" t="s">
        <v>139</v>
      </c>
      <c r="O37" s="12" t="s">
        <v>122</v>
      </c>
      <c r="P37">
        <v>230685</v>
      </c>
      <c r="R37" s="11">
        <f>iferror(lookup(if(Q37="",G37,Q37),{0,1,10,500,1000,2500,5000},{0.0,0.00742755,0.00742755,0.00639912,0.00559923,0.00365664,0.00274248}),"")</f>
        <v>0</v>
      </c>
      <c r="S37" s="11">
        <f>iferror(if(Q37="",G37,Q37)*R37,"")</f>
        <v>0</v>
      </c>
      <c r="T37" t="s">
        <v>151</v>
      </c>
      <c r="U37" s="12" t="s">
        <v>122</v>
      </c>
      <c r="V37">
        <v>295427</v>
      </c>
      <c r="X37" s="11">
        <f>iferror(lookup(if(W37="",G37,W37),{0,1,10,100,1000,2500,10000},{0.0,0.1,0.008,0.003,0.002,0.001,0.001}),"")</f>
        <v>0</v>
      </c>
      <c r="Y37" s="11">
        <f>iferror(if(W37="",G37,W37)*X37,"")</f>
        <v>0</v>
      </c>
      <c r="Z37" t="s">
        <v>170</v>
      </c>
      <c r="AA37" s="12" t="s">
        <v>122</v>
      </c>
    </row>
    <row r="38" spans="1:27">
      <c r="A38" t="s">
        <v>110</v>
      </c>
      <c r="B38" t="s">
        <v>113</v>
      </c>
      <c r="D38" t="s">
        <v>46</v>
      </c>
      <c r="E38" t="s">
        <v>112</v>
      </c>
      <c r="F38" t="s">
        <v>111</v>
      </c>
      <c r="G38">
        <f>BoardQty*1</f>
        <v>0</v>
      </c>
      <c r="H38" s="11">
        <f>MINA(INDIRECT(ADDRESS(ROW(),COLUMN(digikey_part_data)+2)),INDIRECT(ADDRESS(ROW(),COLUMN(mouser_part_data)+2)),INDIRECT(ADDRESS(ROW(),COLUMN(farnell_part_data)+2)))</f>
        <v>0</v>
      </c>
      <c r="I38" s="11">
        <f>iferror(G38*H38,"")</f>
        <v>0</v>
      </c>
      <c r="J38">
        <v>1205784</v>
      </c>
      <c r="L38" s="11">
        <f>iferror(lookup(if(K38="",G38,K38),{0,1,10,25,50,100,250,500,1000,5000,10000,20000,30000,50000,100000},{0.0,0.1,0.013,0.0096,0.0074,0.006,0.005,0.00426,0.00335,0.0028,0.00229,0.00218,0.00207,0.00186,0.0015}),"")</f>
        <v>0</v>
      </c>
      <c r="M38" s="11">
        <f>iferror(if(K38="",G38,K38)*L38,"")</f>
        <v>0</v>
      </c>
      <c r="N38" t="s">
        <v>140</v>
      </c>
      <c r="O38" s="12" t="s">
        <v>122</v>
      </c>
      <c r="P38">
        <v>813</v>
      </c>
      <c r="R38" s="11">
        <f>iferror(lookup(if(Q38="",G38,Q38),{0,1,100,500,2500,5000,10000,50000,100000},{0.0,0.0091416,0.0091416,0.00605631,0.0045708,0.00365664,0.00308529,0.00205686,0.00171405}),"")</f>
        <v>0</v>
      </c>
      <c r="S38" s="11">
        <f>iferror(if(Q38="",G38,Q38)*R38,"")</f>
        <v>0</v>
      </c>
      <c r="T38" t="s">
        <v>152</v>
      </c>
      <c r="U38" s="12" t="s">
        <v>122</v>
      </c>
    </row>
    <row r="40" spans="1:27">
      <c r="K40">
        <f t="array" ref="K40">IFERROR(CONCATENATE(TEXT(INDEX($K$7:$K$38,SMALL(IF($N$7:$N$38&lt;&gt;"",IF($K$7:$K$38&lt;&gt;"",ROW($K$7:$K$38)-MIN(ROW($K$7:$K$38))+1,""),""),ROW()-ROW(A$40)+1)),"##0"),","),"")</f>
        <v>0</v>
      </c>
      <c r="L40">
        <f t="array" ref="L40">IFERROR(CONCATENATE((INDEX($N$7:$N$38,SMALL(IF($N$7:$N$38&lt;&gt;"",IF($K$7:$K$38&lt;&gt;"",ROW($K$7:$K$38)-MIN(ROW($K$7:$K$38))+1,""),""),ROW()-ROW(A$40)+1))),","),"")</f>
        <v>0</v>
      </c>
      <c r="M40">
        <f t="array" ref="M40">IFERROR(CONCATENATE((INDEX($A$7:$A$38,SMALL(IF($N$7:$N$38&lt;&gt;"",IF($K$7:$K$38&lt;&gt;"",ROW($K$7:$K$38)-MIN(ROW($K$7:$K$38))+1,""),""),ROW()-ROW(A$40)+1))),),"")</f>
        <v>0</v>
      </c>
      <c r="Q40">
        <f t="array" ref="Q40">IFERROR(CONCATENATE((INDEX($T$7:$T$38,SMALL(IF($T$7:$T$38&lt;&gt;"",IF($Q$7:$Q$38&lt;&gt;"",ROW($Q$7:$Q$38)-MIN(ROW($Q$7:$Q$38))+1,""),""),ROW()-ROW(A$40)+1)))," "),"")</f>
        <v>0</v>
      </c>
      <c r="R40">
        <f t="array" ref="R40">IFERROR(CONCATENATE(TEXT(INDEX($Q$7:$Q$38,SMALL(IF($T$7:$T$38&lt;&gt;"",IF($Q$7:$Q$38&lt;&gt;"",ROW($Q$7:$Q$38)-MIN(ROW($Q$7:$Q$38))+1,""),""),ROW()-ROW(A$40)+1)),"##0")," "),"")</f>
        <v>0</v>
      </c>
      <c r="S40">
        <f t="array" ref="S40">IFERROR(CONCATENATE((INDEX($A$7:$A$38,SMALL(IF($T$7:$T$38&lt;&gt;"",IF($Q$7:$Q$38&lt;&gt;"",ROW($Q$7:$Q$38)-MIN(ROW($Q$7:$Q$38))+1,""),""),ROW()-ROW(A$40)+1))),),"")</f>
        <v>0</v>
      </c>
      <c r="W40">
        <f t="array" ref="W40">IFERROR(CONCATENATE((INDEX($Z$7:$Z$38,SMALL(IF($Z$7:$Z$38&lt;&gt;"",IF($W$7:$W$38&lt;&gt;"",ROW($W$7:$W$38)-MIN(ROW($W$7:$W$38))+1,""),""),ROW()-ROW(A$40)+1)))," "),"")</f>
        <v>0</v>
      </c>
      <c r="X40">
        <f t="array" ref="X40">IFERROR(CONCATENATE(TEXT(INDEX($W$7:$W$38,SMALL(IF($Z$7:$Z$38&lt;&gt;"",IF($W$7:$W$38&lt;&gt;"",ROW($W$7:$W$38)-MIN(ROW($W$7:$W$38))+1,""),""),ROW()-ROW(A$40)+1)),"##0")," "),"")</f>
        <v>0</v>
      </c>
      <c r="Y40">
        <f t="array" ref="Y40">IFERROR(CONCATENATE((INDEX($A$7:$A$38,SMALL(IF($Z$7:$Z$38&lt;&gt;"",IF($W$7:$W$38&lt;&gt;"",ROW($W$7:$W$38)-MIN(ROW($W$7:$W$38))+1,""),""),ROW()-ROW(A$40)+1))),),"")</f>
        <v>0</v>
      </c>
    </row>
    <row r="41" spans="1:27">
      <c r="K41">
        <f t="array" ref="K41">IFERROR(CONCATENATE(TEXT(INDEX($K$7:$K$38,SMALL(IF($N$7:$N$38&lt;&gt;"",IF($K$7:$K$38&lt;&gt;"",ROW($K$7:$K$38)-MIN(ROW($K$7:$K$38))+1,""),""),ROW()-ROW(A$40)+1)),"##0"),","),"")</f>
        <v>0</v>
      </c>
      <c r="L41">
        <f t="array" ref="L41">IFERROR(CONCATENATE((INDEX($N$7:$N$38,SMALL(IF($N$7:$N$38&lt;&gt;"",IF($K$7:$K$38&lt;&gt;"",ROW($K$7:$K$38)-MIN(ROW($K$7:$K$38))+1,""),""),ROW()-ROW(A$40)+1))),","),"")</f>
        <v>0</v>
      </c>
      <c r="M41">
        <f t="array" ref="M41">IFERROR(CONCATENATE((INDEX($A$7:$A$38,SMALL(IF($N$7:$N$38&lt;&gt;"",IF($K$7:$K$38&lt;&gt;"",ROW($K$7:$K$38)-MIN(ROW($K$7:$K$38))+1,""),""),ROW()-ROW(A$40)+1))),),"")</f>
        <v>0</v>
      </c>
      <c r="Q41">
        <f t="array" ref="Q41">IFERROR(CONCATENATE((INDEX($T$7:$T$38,SMALL(IF($T$7:$T$38&lt;&gt;"",IF($Q$7:$Q$38&lt;&gt;"",ROW($Q$7:$Q$38)-MIN(ROW($Q$7:$Q$38))+1,""),""),ROW()-ROW(A$40)+1)))," "),"")</f>
        <v>0</v>
      </c>
      <c r="R41">
        <f t="array" ref="R41">IFERROR(CONCATENATE(TEXT(INDEX($Q$7:$Q$38,SMALL(IF($T$7:$T$38&lt;&gt;"",IF($Q$7:$Q$38&lt;&gt;"",ROW($Q$7:$Q$38)-MIN(ROW($Q$7:$Q$38))+1,""),""),ROW()-ROW(A$40)+1)),"##0")," "),"")</f>
        <v>0</v>
      </c>
      <c r="S41">
        <f t="array" ref="S41">IFERROR(CONCATENATE((INDEX($A$7:$A$38,SMALL(IF($T$7:$T$38&lt;&gt;"",IF($Q$7:$Q$38&lt;&gt;"",ROW($Q$7:$Q$38)-MIN(ROW($Q$7:$Q$38))+1,""),""),ROW()-ROW(A$40)+1))),),"")</f>
        <v>0</v>
      </c>
      <c r="W41">
        <f t="array" ref="W41">IFERROR(CONCATENATE((INDEX($Z$7:$Z$38,SMALL(IF($Z$7:$Z$38&lt;&gt;"",IF($W$7:$W$38&lt;&gt;"",ROW($W$7:$W$38)-MIN(ROW($W$7:$W$38))+1,""),""),ROW()-ROW(A$40)+1)))," "),"")</f>
        <v>0</v>
      </c>
      <c r="X41">
        <f t="array" ref="X41">IFERROR(CONCATENATE(TEXT(INDEX($W$7:$W$38,SMALL(IF($Z$7:$Z$38&lt;&gt;"",IF($W$7:$W$38&lt;&gt;"",ROW($W$7:$W$38)-MIN(ROW($W$7:$W$38))+1,""),""),ROW()-ROW(A$40)+1)),"##0")," "),"")</f>
        <v>0</v>
      </c>
      <c r="Y41">
        <f t="array" ref="Y41">IFERROR(CONCATENATE((INDEX($A$7:$A$38,SMALL(IF($Z$7:$Z$38&lt;&gt;"",IF($W$7:$W$38&lt;&gt;"",ROW($W$7:$W$38)-MIN(ROW($W$7:$W$38))+1,""),""),ROW()-ROW(A$40)+1))),),"")</f>
        <v>0</v>
      </c>
    </row>
    <row r="42" spans="1:27">
      <c r="K42">
        <f t="array" ref="K42">IFERROR(CONCATENATE(TEXT(INDEX($K$7:$K$38,SMALL(IF($N$7:$N$38&lt;&gt;"",IF($K$7:$K$38&lt;&gt;"",ROW($K$7:$K$38)-MIN(ROW($K$7:$K$38))+1,""),""),ROW()-ROW(A$40)+1)),"##0"),","),"")</f>
        <v>0</v>
      </c>
      <c r="L42">
        <f t="array" ref="L42">IFERROR(CONCATENATE((INDEX($N$7:$N$38,SMALL(IF($N$7:$N$38&lt;&gt;"",IF($K$7:$K$38&lt;&gt;"",ROW($K$7:$K$38)-MIN(ROW($K$7:$K$38))+1,""),""),ROW()-ROW(A$40)+1))),","),"")</f>
        <v>0</v>
      </c>
      <c r="M42">
        <f t="array" ref="M42">IFERROR(CONCATENATE((INDEX($A$7:$A$38,SMALL(IF($N$7:$N$38&lt;&gt;"",IF($K$7:$K$38&lt;&gt;"",ROW($K$7:$K$38)-MIN(ROW($K$7:$K$38))+1,""),""),ROW()-ROW(A$40)+1))),),"")</f>
        <v>0</v>
      </c>
      <c r="Q42">
        <f t="array" ref="Q42">IFERROR(CONCATENATE((INDEX($T$7:$T$38,SMALL(IF($T$7:$T$38&lt;&gt;"",IF($Q$7:$Q$38&lt;&gt;"",ROW($Q$7:$Q$38)-MIN(ROW($Q$7:$Q$38))+1,""),""),ROW()-ROW(A$40)+1)))," "),"")</f>
        <v>0</v>
      </c>
      <c r="R42">
        <f t="array" ref="R42">IFERROR(CONCATENATE(TEXT(INDEX($Q$7:$Q$38,SMALL(IF($T$7:$T$38&lt;&gt;"",IF($Q$7:$Q$38&lt;&gt;"",ROW($Q$7:$Q$38)-MIN(ROW($Q$7:$Q$38))+1,""),""),ROW()-ROW(A$40)+1)),"##0")," "),"")</f>
        <v>0</v>
      </c>
      <c r="S42">
        <f t="array" ref="S42">IFERROR(CONCATENATE((INDEX($A$7:$A$38,SMALL(IF($T$7:$T$38&lt;&gt;"",IF($Q$7:$Q$38&lt;&gt;"",ROW($Q$7:$Q$38)-MIN(ROW($Q$7:$Q$38))+1,""),""),ROW()-ROW(A$40)+1))),),"")</f>
        <v>0</v>
      </c>
      <c r="W42">
        <f t="array" ref="W42">IFERROR(CONCATENATE((INDEX($Z$7:$Z$38,SMALL(IF($Z$7:$Z$38&lt;&gt;"",IF($W$7:$W$38&lt;&gt;"",ROW($W$7:$W$38)-MIN(ROW($W$7:$W$38))+1,""),""),ROW()-ROW(A$40)+1)))," "),"")</f>
        <v>0</v>
      </c>
      <c r="X42">
        <f t="array" ref="X42">IFERROR(CONCATENATE(TEXT(INDEX($W$7:$W$38,SMALL(IF($Z$7:$Z$38&lt;&gt;"",IF($W$7:$W$38&lt;&gt;"",ROW($W$7:$W$38)-MIN(ROW($W$7:$W$38))+1,""),""),ROW()-ROW(A$40)+1)),"##0")," "),"")</f>
        <v>0</v>
      </c>
      <c r="Y42">
        <f t="array" ref="Y42">IFERROR(CONCATENATE((INDEX($A$7:$A$38,SMALL(IF($Z$7:$Z$38&lt;&gt;"",IF($W$7:$W$38&lt;&gt;"",ROW($W$7:$W$38)-MIN(ROW($W$7:$W$38))+1,""),""),ROW()-ROW(A$40)+1))),),"")</f>
        <v>0</v>
      </c>
    </row>
    <row r="43" spans="1:27">
      <c r="K43">
        <f t="array" ref="K43">IFERROR(CONCATENATE(TEXT(INDEX($K$7:$K$38,SMALL(IF($N$7:$N$38&lt;&gt;"",IF($K$7:$K$38&lt;&gt;"",ROW($K$7:$K$38)-MIN(ROW($K$7:$K$38))+1,""),""),ROW()-ROW(A$40)+1)),"##0"),","),"")</f>
        <v>0</v>
      </c>
      <c r="L43">
        <f t="array" ref="L43">IFERROR(CONCATENATE((INDEX($N$7:$N$38,SMALL(IF($N$7:$N$38&lt;&gt;"",IF($K$7:$K$38&lt;&gt;"",ROW($K$7:$K$38)-MIN(ROW($K$7:$K$38))+1,""),""),ROW()-ROW(A$40)+1))),","),"")</f>
        <v>0</v>
      </c>
      <c r="M43">
        <f t="array" ref="M43">IFERROR(CONCATENATE((INDEX($A$7:$A$38,SMALL(IF($N$7:$N$38&lt;&gt;"",IF($K$7:$K$38&lt;&gt;"",ROW($K$7:$K$38)-MIN(ROW($K$7:$K$38))+1,""),""),ROW()-ROW(A$40)+1))),),"")</f>
        <v>0</v>
      </c>
      <c r="Q43">
        <f t="array" ref="Q43">IFERROR(CONCATENATE((INDEX($T$7:$T$38,SMALL(IF($T$7:$T$38&lt;&gt;"",IF($Q$7:$Q$38&lt;&gt;"",ROW($Q$7:$Q$38)-MIN(ROW($Q$7:$Q$38))+1,""),""),ROW()-ROW(A$40)+1)))," "),"")</f>
        <v>0</v>
      </c>
      <c r="R43">
        <f t="array" ref="R43">IFERROR(CONCATENATE(TEXT(INDEX($Q$7:$Q$38,SMALL(IF($T$7:$T$38&lt;&gt;"",IF($Q$7:$Q$38&lt;&gt;"",ROW($Q$7:$Q$38)-MIN(ROW($Q$7:$Q$38))+1,""),""),ROW()-ROW(A$40)+1)),"##0")," "),"")</f>
        <v>0</v>
      </c>
      <c r="S43">
        <f t="array" ref="S43">IFERROR(CONCATENATE((INDEX($A$7:$A$38,SMALL(IF($T$7:$T$38&lt;&gt;"",IF($Q$7:$Q$38&lt;&gt;"",ROW($Q$7:$Q$38)-MIN(ROW($Q$7:$Q$38))+1,""),""),ROW()-ROW(A$40)+1))),),"")</f>
        <v>0</v>
      </c>
      <c r="W43">
        <f t="array" ref="W43">IFERROR(CONCATENATE((INDEX($Z$7:$Z$38,SMALL(IF($Z$7:$Z$38&lt;&gt;"",IF($W$7:$W$38&lt;&gt;"",ROW($W$7:$W$38)-MIN(ROW($W$7:$W$38))+1,""),""),ROW()-ROW(A$40)+1)))," "),"")</f>
        <v>0</v>
      </c>
      <c r="X43">
        <f t="array" ref="X43">IFERROR(CONCATENATE(TEXT(INDEX($W$7:$W$38,SMALL(IF($Z$7:$Z$38&lt;&gt;"",IF($W$7:$W$38&lt;&gt;"",ROW($W$7:$W$38)-MIN(ROW($W$7:$W$38))+1,""),""),ROW()-ROW(A$40)+1)),"##0")," "),"")</f>
        <v>0</v>
      </c>
      <c r="Y43">
        <f t="array" ref="Y43">IFERROR(CONCATENATE((INDEX($A$7:$A$38,SMALL(IF($Z$7:$Z$38&lt;&gt;"",IF($W$7:$W$38&lt;&gt;"",ROW($W$7:$W$38)-MIN(ROW($W$7:$W$38))+1,""),""),ROW()-ROW(A$40)+1))),),"")</f>
        <v>0</v>
      </c>
    </row>
    <row r="44" spans="1:27">
      <c r="K44">
        <f t="array" ref="K44">IFERROR(CONCATENATE(TEXT(INDEX($K$7:$K$38,SMALL(IF($N$7:$N$38&lt;&gt;"",IF($K$7:$K$38&lt;&gt;"",ROW($K$7:$K$38)-MIN(ROW($K$7:$K$38))+1,""),""),ROW()-ROW(A$40)+1)),"##0"),","),"")</f>
        <v>0</v>
      </c>
      <c r="L44">
        <f t="array" ref="L44">IFERROR(CONCATENATE((INDEX($N$7:$N$38,SMALL(IF($N$7:$N$38&lt;&gt;"",IF($K$7:$K$38&lt;&gt;"",ROW($K$7:$K$38)-MIN(ROW($K$7:$K$38))+1,""),""),ROW()-ROW(A$40)+1))),","),"")</f>
        <v>0</v>
      </c>
      <c r="M44">
        <f t="array" ref="M44">IFERROR(CONCATENATE((INDEX($A$7:$A$38,SMALL(IF($N$7:$N$38&lt;&gt;"",IF($K$7:$K$38&lt;&gt;"",ROW($K$7:$K$38)-MIN(ROW($K$7:$K$38))+1,""),""),ROW()-ROW(A$40)+1))),),"")</f>
        <v>0</v>
      </c>
      <c r="Q44">
        <f t="array" ref="Q44">IFERROR(CONCATENATE((INDEX($T$7:$T$38,SMALL(IF($T$7:$T$38&lt;&gt;"",IF($Q$7:$Q$38&lt;&gt;"",ROW($Q$7:$Q$38)-MIN(ROW($Q$7:$Q$38))+1,""),""),ROW()-ROW(A$40)+1)))," "),"")</f>
        <v>0</v>
      </c>
      <c r="R44">
        <f t="array" ref="R44">IFERROR(CONCATENATE(TEXT(INDEX($Q$7:$Q$38,SMALL(IF($T$7:$T$38&lt;&gt;"",IF($Q$7:$Q$38&lt;&gt;"",ROW($Q$7:$Q$38)-MIN(ROW($Q$7:$Q$38))+1,""),""),ROW()-ROW(A$40)+1)),"##0")," "),"")</f>
        <v>0</v>
      </c>
      <c r="S44">
        <f t="array" ref="S44">IFERROR(CONCATENATE((INDEX($A$7:$A$38,SMALL(IF($T$7:$T$38&lt;&gt;"",IF($Q$7:$Q$38&lt;&gt;"",ROW($Q$7:$Q$38)-MIN(ROW($Q$7:$Q$38))+1,""),""),ROW()-ROW(A$40)+1))),),"")</f>
        <v>0</v>
      </c>
      <c r="W44">
        <f t="array" ref="W44">IFERROR(CONCATENATE((INDEX($Z$7:$Z$38,SMALL(IF($Z$7:$Z$38&lt;&gt;"",IF($W$7:$W$38&lt;&gt;"",ROW($W$7:$W$38)-MIN(ROW($W$7:$W$38))+1,""),""),ROW()-ROW(A$40)+1)))," "),"")</f>
        <v>0</v>
      </c>
      <c r="X44">
        <f t="array" ref="X44">IFERROR(CONCATENATE(TEXT(INDEX($W$7:$W$38,SMALL(IF($Z$7:$Z$38&lt;&gt;"",IF($W$7:$W$38&lt;&gt;"",ROW($W$7:$W$38)-MIN(ROW($W$7:$W$38))+1,""),""),ROW()-ROW(A$40)+1)),"##0")," "),"")</f>
        <v>0</v>
      </c>
      <c r="Y44">
        <f t="array" ref="Y44">IFERROR(CONCATENATE((INDEX($A$7:$A$38,SMALL(IF($Z$7:$Z$38&lt;&gt;"",IF($W$7:$W$38&lt;&gt;"",ROW($W$7:$W$38)-MIN(ROW($W$7:$W$38))+1,""),""),ROW()-ROW(A$40)+1))),),"")</f>
        <v>0</v>
      </c>
    </row>
    <row r="45" spans="1:27">
      <c r="K45">
        <f t="array" ref="K45">IFERROR(CONCATENATE(TEXT(INDEX($K$7:$K$38,SMALL(IF($N$7:$N$38&lt;&gt;"",IF($K$7:$K$38&lt;&gt;"",ROW($K$7:$K$38)-MIN(ROW($K$7:$K$38))+1,""),""),ROW()-ROW(A$40)+1)),"##0"),","),"")</f>
        <v>0</v>
      </c>
      <c r="L45">
        <f t="array" ref="L45">IFERROR(CONCATENATE((INDEX($N$7:$N$38,SMALL(IF($N$7:$N$38&lt;&gt;"",IF($K$7:$K$38&lt;&gt;"",ROW($K$7:$K$38)-MIN(ROW($K$7:$K$38))+1,""),""),ROW()-ROW(A$40)+1))),","),"")</f>
        <v>0</v>
      </c>
      <c r="M45">
        <f t="array" ref="M45">IFERROR(CONCATENATE((INDEX($A$7:$A$38,SMALL(IF($N$7:$N$38&lt;&gt;"",IF($K$7:$K$38&lt;&gt;"",ROW($K$7:$K$38)-MIN(ROW($K$7:$K$38))+1,""),""),ROW()-ROW(A$40)+1))),),"")</f>
        <v>0</v>
      </c>
      <c r="Q45">
        <f t="array" ref="Q45">IFERROR(CONCATENATE((INDEX($T$7:$T$38,SMALL(IF($T$7:$T$38&lt;&gt;"",IF($Q$7:$Q$38&lt;&gt;"",ROW($Q$7:$Q$38)-MIN(ROW($Q$7:$Q$38))+1,""),""),ROW()-ROW(A$40)+1)))," "),"")</f>
        <v>0</v>
      </c>
      <c r="R45">
        <f t="array" ref="R45">IFERROR(CONCATENATE(TEXT(INDEX($Q$7:$Q$38,SMALL(IF($T$7:$T$38&lt;&gt;"",IF($Q$7:$Q$38&lt;&gt;"",ROW($Q$7:$Q$38)-MIN(ROW($Q$7:$Q$38))+1,""),""),ROW()-ROW(A$40)+1)),"##0")," "),"")</f>
        <v>0</v>
      </c>
      <c r="S45">
        <f t="array" ref="S45">IFERROR(CONCATENATE((INDEX($A$7:$A$38,SMALL(IF($T$7:$T$38&lt;&gt;"",IF($Q$7:$Q$38&lt;&gt;"",ROW($Q$7:$Q$38)-MIN(ROW($Q$7:$Q$38))+1,""),""),ROW()-ROW(A$40)+1))),),"")</f>
        <v>0</v>
      </c>
      <c r="W45">
        <f t="array" ref="W45">IFERROR(CONCATENATE((INDEX($Z$7:$Z$38,SMALL(IF($Z$7:$Z$38&lt;&gt;"",IF($W$7:$W$38&lt;&gt;"",ROW($W$7:$W$38)-MIN(ROW($W$7:$W$38))+1,""),""),ROW()-ROW(A$40)+1)))," "),"")</f>
        <v>0</v>
      </c>
      <c r="X45">
        <f t="array" ref="X45">IFERROR(CONCATENATE(TEXT(INDEX($W$7:$W$38,SMALL(IF($Z$7:$Z$38&lt;&gt;"",IF($W$7:$W$38&lt;&gt;"",ROW($W$7:$W$38)-MIN(ROW($W$7:$W$38))+1,""),""),ROW()-ROW(A$40)+1)),"##0")," "),"")</f>
        <v>0</v>
      </c>
      <c r="Y45">
        <f t="array" ref="Y45">IFERROR(CONCATENATE((INDEX($A$7:$A$38,SMALL(IF($Z$7:$Z$38&lt;&gt;"",IF($W$7:$W$38&lt;&gt;"",ROW($W$7:$W$38)-MIN(ROW($W$7:$W$38))+1,""),""),ROW()-ROW(A$40)+1))),),"")</f>
        <v>0</v>
      </c>
    </row>
    <row r="46" spans="1:27">
      <c r="K46">
        <f t="array" ref="K46">IFERROR(CONCATENATE(TEXT(INDEX($K$7:$K$38,SMALL(IF($N$7:$N$38&lt;&gt;"",IF($K$7:$K$38&lt;&gt;"",ROW($K$7:$K$38)-MIN(ROW($K$7:$K$38))+1,""),""),ROW()-ROW(A$40)+1)),"##0"),","),"")</f>
        <v>0</v>
      </c>
      <c r="L46">
        <f t="array" ref="L46">IFERROR(CONCATENATE((INDEX($N$7:$N$38,SMALL(IF($N$7:$N$38&lt;&gt;"",IF($K$7:$K$38&lt;&gt;"",ROW($K$7:$K$38)-MIN(ROW($K$7:$K$38))+1,""),""),ROW()-ROW(A$40)+1))),","),"")</f>
        <v>0</v>
      </c>
      <c r="M46">
        <f t="array" ref="M46">IFERROR(CONCATENATE((INDEX($A$7:$A$38,SMALL(IF($N$7:$N$38&lt;&gt;"",IF($K$7:$K$38&lt;&gt;"",ROW($K$7:$K$38)-MIN(ROW($K$7:$K$38))+1,""),""),ROW()-ROW(A$40)+1))),),"")</f>
        <v>0</v>
      </c>
      <c r="Q46">
        <f t="array" ref="Q46">IFERROR(CONCATENATE((INDEX($T$7:$T$38,SMALL(IF($T$7:$T$38&lt;&gt;"",IF($Q$7:$Q$38&lt;&gt;"",ROW($Q$7:$Q$38)-MIN(ROW($Q$7:$Q$38))+1,""),""),ROW()-ROW(A$40)+1)))," "),"")</f>
        <v>0</v>
      </c>
      <c r="R46">
        <f t="array" ref="R46">IFERROR(CONCATENATE(TEXT(INDEX($Q$7:$Q$38,SMALL(IF($T$7:$T$38&lt;&gt;"",IF($Q$7:$Q$38&lt;&gt;"",ROW($Q$7:$Q$38)-MIN(ROW($Q$7:$Q$38))+1,""),""),ROW()-ROW(A$40)+1)),"##0")," "),"")</f>
        <v>0</v>
      </c>
      <c r="S46">
        <f t="array" ref="S46">IFERROR(CONCATENATE((INDEX($A$7:$A$38,SMALL(IF($T$7:$T$38&lt;&gt;"",IF($Q$7:$Q$38&lt;&gt;"",ROW($Q$7:$Q$38)-MIN(ROW($Q$7:$Q$38))+1,""),""),ROW()-ROW(A$40)+1))),),"")</f>
        <v>0</v>
      </c>
      <c r="W46">
        <f t="array" ref="W46">IFERROR(CONCATENATE((INDEX($Z$7:$Z$38,SMALL(IF($Z$7:$Z$38&lt;&gt;"",IF($W$7:$W$38&lt;&gt;"",ROW($W$7:$W$38)-MIN(ROW($W$7:$W$38))+1,""),""),ROW()-ROW(A$40)+1)))," "),"")</f>
        <v>0</v>
      </c>
      <c r="X46">
        <f t="array" ref="X46">IFERROR(CONCATENATE(TEXT(INDEX($W$7:$W$38,SMALL(IF($Z$7:$Z$38&lt;&gt;"",IF($W$7:$W$38&lt;&gt;"",ROW($W$7:$W$38)-MIN(ROW($W$7:$W$38))+1,""),""),ROW()-ROW(A$40)+1)),"##0")," "),"")</f>
        <v>0</v>
      </c>
      <c r="Y46">
        <f t="array" ref="Y46">IFERROR(CONCATENATE((INDEX($A$7:$A$38,SMALL(IF($Z$7:$Z$38&lt;&gt;"",IF($W$7:$W$38&lt;&gt;"",ROW($W$7:$W$38)-MIN(ROW($W$7:$W$38))+1,""),""),ROW()-ROW(A$40)+1))),),"")</f>
        <v>0</v>
      </c>
    </row>
    <row r="47" spans="1:27">
      <c r="K47">
        <f t="array" ref="K47">IFERROR(CONCATENATE(TEXT(INDEX($K$7:$K$38,SMALL(IF($N$7:$N$38&lt;&gt;"",IF($K$7:$K$38&lt;&gt;"",ROW($K$7:$K$38)-MIN(ROW($K$7:$K$38))+1,""),""),ROW()-ROW(A$40)+1)),"##0"),","),"")</f>
        <v>0</v>
      </c>
      <c r="L47">
        <f t="array" ref="L47">IFERROR(CONCATENATE((INDEX($N$7:$N$38,SMALL(IF($N$7:$N$38&lt;&gt;"",IF($K$7:$K$38&lt;&gt;"",ROW($K$7:$K$38)-MIN(ROW($K$7:$K$38))+1,""),""),ROW()-ROW(A$40)+1))),","),"")</f>
        <v>0</v>
      </c>
      <c r="M47">
        <f t="array" ref="M47">IFERROR(CONCATENATE((INDEX($A$7:$A$38,SMALL(IF($N$7:$N$38&lt;&gt;"",IF($K$7:$K$38&lt;&gt;"",ROW($K$7:$K$38)-MIN(ROW($K$7:$K$38))+1,""),""),ROW()-ROW(A$40)+1))),),"")</f>
        <v>0</v>
      </c>
      <c r="Q47">
        <f t="array" ref="Q47">IFERROR(CONCATENATE((INDEX($T$7:$T$38,SMALL(IF($T$7:$T$38&lt;&gt;"",IF($Q$7:$Q$38&lt;&gt;"",ROW($Q$7:$Q$38)-MIN(ROW($Q$7:$Q$38))+1,""),""),ROW()-ROW(A$40)+1)))," "),"")</f>
        <v>0</v>
      </c>
      <c r="R47">
        <f t="array" ref="R47">IFERROR(CONCATENATE(TEXT(INDEX($Q$7:$Q$38,SMALL(IF($T$7:$T$38&lt;&gt;"",IF($Q$7:$Q$38&lt;&gt;"",ROW($Q$7:$Q$38)-MIN(ROW($Q$7:$Q$38))+1,""),""),ROW()-ROW(A$40)+1)),"##0")," "),"")</f>
        <v>0</v>
      </c>
      <c r="S47">
        <f t="array" ref="S47">IFERROR(CONCATENATE((INDEX($A$7:$A$38,SMALL(IF($T$7:$T$38&lt;&gt;"",IF($Q$7:$Q$38&lt;&gt;"",ROW($Q$7:$Q$38)-MIN(ROW($Q$7:$Q$38))+1,""),""),ROW()-ROW(A$40)+1))),),"")</f>
        <v>0</v>
      </c>
      <c r="W47">
        <f t="array" ref="W47">IFERROR(CONCATENATE((INDEX($Z$7:$Z$38,SMALL(IF($Z$7:$Z$38&lt;&gt;"",IF($W$7:$W$38&lt;&gt;"",ROW($W$7:$W$38)-MIN(ROW($W$7:$W$38))+1,""),""),ROW()-ROW(A$40)+1)))," "),"")</f>
        <v>0</v>
      </c>
      <c r="X47">
        <f t="array" ref="X47">IFERROR(CONCATENATE(TEXT(INDEX($W$7:$W$38,SMALL(IF($Z$7:$Z$38&lt;&gt;"",IF($W$7:$W$38&lt;&gt;"",ROW($W$7:$W$38)-MIN(ROW($W$7:$W$38))+1,""),""),ROW()-ROW(A$40)+1)),"##0")," "),"")</f>
        <v>0</v>
      </c>
      <c r="Y47">
        <f t="array" ref="Y47">IFERROR(CONCATENATE((INDEX($A$7:$A$38,SMALL(IF($Z$7:$Z$38&lt;&gt;"",IF($W$7:$W$38&lt;&gt;"",ROW($W$7:$W$38)-MIN(ROW($W$7:$W$38))+1,""),""),ROW()-ROW(A$40)+1))),),"")</f>
        <v>0</v>
      </c>
    </row>
    <row r="48" spans="1:27">
      <c r="K48">
        <f t="array" ref="K48">IFERROR(CONCATENATE(TEXT(INDEX($K$7:$K$38,SMALL(IF($N$7:$N$38&lt;&gt;"",IF($K$7:$K$38&lt;&gt;"",ROW($K$7:$K$38)-MIN(ROW($K$7:$K$38))+1,""),""),ROW()-ROW(A$40)+1)),"##0"),","),"")</f>
        <v>0</v>
      </c>
      <c r="L48">
        <f t="array" ref="L48">IFERROR(CONCATENATE((INDEX($N$7:$N$38,SMALL(IF($N$7:$N$38&lt;&gt;"",IF($K$7:$K$38&lt;&gt;"",ROW($K$7:$K$38)-MIN(ROW($K$7:$K$38))+1,""),""),ROW()-ROW(A$40)+1))),","),"")</f>
        <v>0</v>
      </c>
      <c r="M48">
        <f t="array" ref="M48">IFERROR(CONCATENATE((INDEX($A$7:$A$38,SMALL(IF($N$7:$N$38&lt;&gt;"",IF($K$7:$K$38&lt;&gt;"",ROW($K$7:$K$38)-MIN(ROW($K$7:$K$38))+1,""),""),ROW()-ROW(A$40)+1))),),"")</f>
        <v>0</v>
      </c>
      <c r="Q48">
        <f t="array" ref="Q48">IFERROR(CONCATENATE((INDEX($T$7:$T$38,SMALL(IF($T$7:$T$38&lt;&gt;"",IF($Q$7:$Q$38&lt;&gt;"",ROW($Q$7:$Q$38)-MIN(ROW($Q$7:$Q$38))+1,""),""),ROW()-ROW(A$40)+1)))," "),"")</f>
        <v>0</v>
      </c>
      <c r="R48">
        <f t="array" ref="R48">IFERROR(CONCATENATE(TEXT(INDEX($Q$7:$Q$38,SMALL(IF($T$7:$T$38&lt;&gt;"",IF($Q$7:$Q$38&lt;&gt;"",ROW($Q$7:$Q$38)-MIN(ROW($Q$7:$Q$38))+1,""),""),ROW()-ROW(A$40)+1)),"##0")," "),"")</f>
        <v>0</v>
      </c>
      <c r="S48">
        <f t="array" ref="S48">IFERROR(CONCATENATE((INDEX($A$7:$A$38,SMALL(IF($T$7:$T$38&lt;&gt;"",IF($Q$7:$Q$38&lt;&gt;"",ROW($Q$7:$Q$38)-MIN(ROW($Q$7:$Q$38))+1,""),""),ROW()-ROW(A$40)+1))),),"")</f>
        <v>0</v>
      </c>
      <c r="W48">
        <f t="array" ref="W48">IFERROR(CONCATENATE((INDEX($Z$7:$Z$38,SMALL(IF($Z$7:$Z$38&lt;&gt;"",IF($W$7:$W$38&lt;&gt;"",ROW($W$7:$W$38)-MIN(ROW($W$7:$W$38))+1,""),""),ROW()-ROW(A$40)+1)))," "),"")</f>
        <v>0</v>
      </c>
      <c r="X48">
        <f t="array" ref="X48">IFERROR(CONCATENATE(TEXT(INDEX($W$7:$W$38,SMALL(IF($Z$7:$Z$38&lt;&gt;"",IF($W$7:$W$38&lt;&gt;"",ROW($W$7:$W$38)-MIN(ROW($W$7:$W$38))+1,""),""),ROW()-ROW(A$40)+1)),"##0")," "),"")</f>
        <v>0</v>
      </c>
      <c r="Y48">
        <f t="array" ref="Y48">IFERROR(CONCATENATE((INDEX($A$7:$A$38,SMALL(IF($Z$7:$Z$38&lt;&gt;"",IF($W$7:$W$38&lt;&gt;"",ROW($W$7:$W$38)-MIN(ROW($W$7:$W$38))+1,""),""),ROW()-ROW(A$40)+1))),),"")</f>
        <v>0</v>
      </c>
    </row>
    <row r="49" spans="11:25">
      <c r="K49">
        <f t="array" ref="K49">IFERROR(CONCATENATE(TEXT(INDEX($K$7:$K$38,SMALL(IF($N$7:$N$38&lt;&gt;"",IF($K$7:$K$38&lt;&gt;"",ROW($K$7:$K$38)-MIN(ROW($K$7:$K$38))+1,""),""),ROW()-ROW(A$40)+1)),"##0"),","),"")</f>
        <v>0</v>
      </c>
      <c r="L49">
        <f t="array" ref="L49">IFERROR(CONCATENATE((INDEX($N$7:$N$38,SMALL(IF($N$7:$N$38&lt;&gt;"",IF($K$7:$K$38&lt;&gt;"",ROW($K$7:$K$38)-MIN(ROW($K$7:$K$38))+1,""),""),ROW()-ROW(A$40)+1))),","),"")</f>
        <v>0</v>
      </c>
      <c r="M49">
        <f t="array" ref="M49">IFERROR(CONCATENATE((INDEX($A$7:$A$38,SMALL(IF($N$7:$N$38&lt;&gt;"",IF($K$7:$K$38&lt;&gt;"",ROW($K$7:$K$38)-MIN(ROW($K$7:$K$38))+1,""),""),ROW()-ROW(A$40)+1))),),"")</f>
        <v>0</v>
      </c>
      <c r="Q49">
        <f t="array" ref="Q49">IFERROR(CONCATENATE((INDEX($T$7:$T$38,SMALL(IF($T$7:$T$38&lt;&gt;"",IF($Q$7:$Q$38&lt;&gt;"",ROW($Q$7:$Q$38)-MIN(ROW($Q$7:$Q$38))+1,""),""),ROW()-ROW(A$40)+1)))," "),"")</f>
        <v>0</v>
      </c>
      <c r="R49">
        <f t="array" ref="R49">IFERROR(CONCATENATE(TEXT(INDEX($Q$7:$Q$38,SMALL(IF($T$7:$T$38&lt;&gt;"",IF($Q$7:$Q$38&lt;&gt;"",ROW($Q$7:$Q$38)-MIN(ROW($Q$7:$Q$38))+1,""),""),ROW()-ROW(A$40)+1)),"##0")," "),"")</f>
        <v>0</v>
      </c>
      <c r="S49">
        <f t="array" ref="S49">IFERROR(CONCATENATE((INDEX($A$7:$A$38,SMALL(IF($T$7:$T$38&lt;&gt;"",IF($Q$7:$Q$38&lt;&gt;"",ROW($Q$7:$Q$38)-MIN(ROW($Q$7:$Q$38))+1,""),""),ROW()-ROW(A$40)+1))),),"")</f>
        <v>0</v>
      </c>
      <c r="W49">
        <f t="array" ref="W49">IFERROR(CONCATENATE((INDEX($Z$7:$Z$38,SMALL(IF($Z$7:$Z$38&lt;&gt;"",IF($W$7:$W$38&lt;&gt;"",ROW($W$7:$W$38)-MIN(ROW($W$7:$W$38))+1,""),""),ROW()-ROW(A$40)+1)))," "),"")</f>
        <v>0</v>
      </c>
      <c r="X49">
        <f t="array" ref="X49">IFERROR(CONCATENATE(TEXT(INDEX($W$7:$W$38,SMALL(IF($Z$7:$Z$38&lt;&gt;"",IF($W$7:$W$38&lt;&gt;"",ROW($W$7:$W$38)-MIN(ROW($W$7:$W$38))+1,""),""),ROW()-ROW(A$40)+1)),"##0")," "),"")</f>
        <v>0</v>
      </c>
      <c r="Y49">
        <f t="array" ref="Y49">IFERROR(CONCATENATE((INDEX($A$7:$A$38,SMALL(IF($Z$7:$Z$38&lt;&gt;"",IF($W$7:$W$38&lt;&gt;"",ROW($W$7:$W$38)-MIN(ROW($W$7:$W$38))+1,""),""),ROW()-ROW(A$40)+1))),),"")</f>
        <v>0</v>
      </c>
    </row>
    <row r="50" spans="11:25">
      <c r="K50">
        <f t="array" ref="K50">IFERROR(CONCATENATE(TEXT(INDEX($K$7:$K$38,SMALL(IF($N$7:$N$38&lt;&gt;"",IF($K$7:$K$38&lt;&gt;"",ROW($K$7:$K$38)-MIN(ROW($K$7:$K$38))+1,""),""),ROW()-ROW(A$40)+1)),"##0"),","),"")</f>
        <v>0</v>
      </c>
      <c r="L50">
        <f t="array" ref="L50">IFERROR(CONCATENATE((INDEX($N$7:$N$38,SMALL(IF($N$7:$N$38&lt;&gt;"",IF($K$7:$K$38&lt;&gt;"",ROW($K$7:$K$38)-MIN(ROW($K$7:$K$38))+1,""),""),ROW()-ROW(A$40)+1))),","),"")</f>
        <v>0</v>
      </c>
      <c r="M50">
        <f t="array" ref="M50">IFERROR(CONCATENATE((INDEX($A$7:$A$38,SMALL(IF($N$7:$N$38&lt;&gt;"",IF($K$7:$K$38&lt;&gt;"",ROW($K$7:$K$38)-MIN(ROW($K$7:$K$38))+1,""),""),ROW()-ROW(A$40)+1))),),"")</f>
        <v>0</v>
      </c>
      <c r="Q50">
        <f t="array" ref="Q50">IFERROR(CONCATENATE((INDEX($T$7:$T$38,SMALL(IF($T$7:$T$38&lt;&gt;"",IF($Q$7:$Q$38&lt;&gt;"",ROW($Q$7:$Q$38)-MIN(ROW($Q$7:$Q$38))+1,""),""),ROW()-ROW(A$40)+1)))," "),"")</f>
        <v>0</v>
      </c>
      <c r="R50">
        <f t="array" ref="R50">IFERROR(CONCATENATE(TEXT(INDEX($Q$7:$Q$38,SMALL(IF($T$7:$T$38&lt;&gt;"",IF($Q$7:$Q$38&lt;&gt;"",ROW($Q$7:$Q$38)-MIN(ROW($Q$7:$Q$38))+1,""),""),ROW()-ROW(A$40)+1)),"##0")," "),"")</f>
        <v>0</v>
      </c>
      <c r="S50">
        <f t="array" ref="S50">IFERROR(CONCATENATE((INDEX($A$7:$A$38,SMALL(IF($T$7:$T$38&lt;&gt;"",IF($Q$7:$Q$38&lt;&gt;"",ROW($Q$7:$Q$38)-MIN(ROW($Q$7:$Q$38))+1,""),""),ROW()-ROW(A$40)+1))),),"")</f>
        <v>0</v>
      </c>
      <c r="W50">
        <f t="array" ref="W50">IFERROR(CONCATENATE((INDEX($Z$7:$Z$38,SMALL(IF($Z$7:$Z$38&lt;&gt;"",IF($W$7:$W$38&lt;&gt;"",ROW($W$7:$W$38)-MIN(ROW($W$7:$W$38))+1,""),""),ROW()-ROW(A$40)+1)))," "),"")</f>
        <v>0</v>
      </c>
      <c r="X50">
        <f t="array" ref="X50">IFERROR(CONCATENATE(TEXT(INDEX($W$7:$W$38,SMALL(IF($Z$7:$Z$38&lt;&gt;"",IF($W$7:$W$38&lt;&gt;"",ROW($W$7:$W$38)-MIN(ROW($W$7:$W$38))+1,""),""),ROW()-ROW(A$40)+1)),"##0")," "),"")</f>
        <v>0</v>
      </c>
      <c r="Y50">
        <f t="array" ref="Y50">IFERROR(CONCATENATE((INDEX($A$7:$A$38,SMALL(IF($Z$7:$Z$38&lt;&gt;"",IF($W$7:$W$38&lt;&gt;"",ROW($W$7:$W$38)-MIN(ROW($W$7:$W$38))+1,""),""),ROW()-ROW(A$40)+1))),),"")</f>
        <v>0</v>
      </c>
    </row>
    <row r="51" spans="11:25">
      <c r="K51">
        <f t="array" ref="K51">IFERROR(CONCATENATE(TEXT(INDEX($K$7:$K$38,SMALL(IF($N$7:$N$38&lt;&gt;"",IF($K$7:$K$38&lt;&gt;"",ROW($K$7:$K$38)-MIN(ROW($K$7:$K$38))+1,""),""),ROW()-ROW(A$40)+1)),"##0"),","),"")</f>
        <v>0</v>
      </c>
      <c r="L51">
        <f t="array" ref="L51">IFERROR(CONCATENATE((INDEX($N$7:$N$38,SMALL(IF($N$7:$N$38&lt;&gt;"",IF($K$7:$K$38&lt;&gt;"",ROW($K$7:$K$38)-MIN(ROW($K$7:$K$38))+1,""),""),ROW()-ROW(A$40)+1))),","),"")</f>
        <v>0</v>
      </c>
      <c r="M51">
        <f t="array" ref="M51">IFERROR(CONCATENATE((INDEX($A$7:$A$38,SMALL(IF($N$7:$N$38&lt;&gt;"",IF($K$7:$K$38&lt;&gt;"",ROW($K$7:$K$38)-MIN(ROW($K$7:$K$38))+1,""),""),ROW()-ROW(A$40)+1))),),"")</f>
        <v>0</v>
      </c>
      <c r="Q51">
        <f t="array" ref="Q51">IFERROR(CONCATENATE((INDEX($T$7:$T$38,SMALL(IF($T$7:$T$38&lt;&gt;"",IF($Q$7:$Q$38&lt;&gt;"",ROW($Q$7:$Q$38)-MIN(ROW($Q$7:$Q$38))+1,""),""),ROW()-ROW(A$40)+1)))," "),"")</f>
        <v>0</v>
      </c>
      <c r="R51">
        <f t="array" ref="R51">IFERROR(CONCATENATE(TEXT(INDEX($Q$7:$Q$38,SMALL(IF($T$7:$T$38&lt;&gt;"",IF($Q$7:$Q$38&lt;&gt;"",ROW($Q$7:$Q$38)-MIN(ROW($Q$7:$Q$38))+1,""),""),ROW()-ROW(A$40)+1)),"##0")," "),"")</f>
        <v>0</v>
      </c>
      <c r="S51">
        <f t="array" ref="S51">IFERROR(CONCATENATE((INDEX($A$7:$A$38,SMALL(IF($T$7:$T$38&lt;&gt;"",IF($Q$7:$Q$38&lt;&gt;"",ROW($Q$7:$Q$38)-MIN(ROW($Q$7:$Q$38))+1,""),""),ROW()-ROW(A$40)+1))),),"")</f>
        <v>0</v>
      </c>
      <c r="W51">
        <f t="array" ref="W51">IFERROR(CONCATENATE((INDEX($Z$7:$Z$38,SMALL(IF($Z$7:$Z$38&lt;&gt;"",IF($W$7:$W$38&lt;&gt;"",ROW($W$7:$W$38)-MIN(ROW($W$7:$W$38))+1,""),""),ROW()-ROW(A$40)+1)))," "),"")</f>
        <v>0</v>
      </c>
      <c r="X51">
        <f t="array" ref="X51">IFERROR(CONCATENATE(TEXT(INDEX($W$7:$W$38,SMALL(IF($Z$7:$Z$38&lt;&gt;"",IF($W$7:$W$38&lt;&gt;"",ROW($W$7:$W$38)-MIN(ROW($W$7:$W$38))+1,""),""),ROW()-ROW(A$40)+1)),"##0")," "),"")</f>
        <v>0</v>
      </c>
      <c r="Y51">
        <f t="array" ref="Y51">IFERROR(CONCATENATE((INDEX($A$7:$A$38,SMALL(IF($Z$7:$Z$38&lt;&gt;"",IF($W$7:$W$38&lt;&gt;"",ROW($W$7:$W$38)-MIN(ROW($W$7:$W$38))+1,""),""),ROW()-ROW(A$40)+1))),),"")</f>
        <v>0</v>
      </c>
    </row>
    <row r="52" spans="11:25">
      <c r="K52">
        <f t="array" ref="K52">IFERROR(CONCATENATE(TEXT(INDEX($K$7:$K$38,SMALL(IF($N$7:$N$38&lt;&gt;"",IF($K$7:$K$38&lt;&gt;"",ROW($K$7:$K$38)-MIN(ROW($K$7:$K$38))+1,""),""),ROW()-ROW(A$40)+1)),"##0"),","),"")</f>
        <v>0</v>
      </c>
      <c r="L52">
        <f t="array" ref="L52">IFERROR(CONCATENATE((INDEX($N$7:$N$38,SMALL(IF($N$7:$N$38&lt;&gt;"",IF($K$7:$K$38&lt;&gt;"",ROW($K$7:$K$38)-MIN(ROW($K$7:$K$38))+1,""),""),ROW()-ROW(A$40)+1))),","),"")</f>
        <v>0</v>
      </c>
      <c r="M52">
        <f t="array" ref="M52">IFERROR(CONCATENATE((INDEX($A$7:$A$38,SMALL(IF($N$7:$N$38&lt;&gt;"",IF($K$7:$K$38&lt;&gt;"",ROW($K$7:$K$38)-MIN(ROW($K$7:$K$38))+1,""),""),ROW()-ROW(A$40)+1))),),"")</f>
        <v>0</v>
      </c>
      <c r="Q52">
        <f t="array" ref="Q52">IFERROR(CONCATENATE((INDEX($T$7:$T$38,SMALL(IF($T$7:$T$38&lt;&gt;"",IF($Q$7:$Q$38&lt;&gt;"",ROW($Q$7:$Q$38)-MIN(ROW($Q$7:$Q$38))+1,""),""),ROW()-ROW(A$40)+1)))," "),"")</f>
        <v>0</v>
      </c>
      <c r="R52">
        <f t="array" ref="R52">IFERROR(CONCATENATE(TEXT(INDEX($Q$7:$Q$38,SMALL(IF($T$7:$T$38&lt;&gt;"",IF($Q$7:$Q$38&lt;&gt;"",ROW($Q$7:$Q$38)-MIN(ROW($Q$7:$Q$38))+1,""),""),ROW()-ROW(A$40)+1)),"##0")," "),"")</f>
        <v>0</v>
      </c>
      <c r="S52">
        <f t="array" ref="S52">IFERROR(CONCATENATE((INDEX($A$7:$A$38,SMALL(IF($T$7:$T$38&lt;&gt;"",IF($Q$7:$Q$38&lt;&gt;"",ROW($Q$7:$Q$38)-MIN(ROW($Q$7:$Q$38))+1,""),""),ROW()-ROW(A$40)+1))),),"")</f>
        <v>0</v>
      </c>
      <c r="W52">
        <f t="array" ref="W52">IFERROR(CONCATENATE((INDEX($Z$7:$Z$38,SMALL(IF($Z$7:$Z$38&lt;&gt;"",IF($W$7:$W$38&lt;&gt;"",ROW($W$7:$W$38)-MIN(ROW($W$7:$W$38))+1,""),""),ROW()-ROW(A$40)+1)))," "),"")</f>
        <v>0</v>
      </c>
      <c r="X52">
        <f t="array" ref="X52">IFERROR(CONCATENATE(TEXT(INDEX($W$7:$W$38,SMALL(IF($Z$7:$Z$38&lt;&gt;"",IF($W$7:$W$38&lt;&gt;"",ROW($W$7:$W$38)-MIN(ROW($W$7:$W$38))+1,""),""),ROW()-ROW(A$40)+1)),"##0")," "),"")</f>
        <v>0</v>
      </c>
      <c r="Y52">
        <f t="array" ref="Y52">IFERROR(CONCATENATE((INDEX($A$7:$A$38,SMALL(IF($Z$7:$Z$38&lt;&gt;"",IF($W$7:$W$38&lt;&gt;"",ROW($W$7:$W$38)-MIN(ROW($W$7:$W$38))+1,""),""),ROW()-ROW(A$40)+1))),),"")</f>
        <v>0</v>
      </c>
    </row>
    <row r="53" spans="11:25">
      <c r="K53">
        <f t="array" ref="K53">IFERROR(CONCATENATE(TEXT(INDEX($K$7:$K$38,SMALL(IF($N$7:$N$38&lt;&gt;"",IF($K$7:$K$38&lt;&gt;"",ROW($K$7:$K$38)-MIN(ROW($K$7:$K$38))+1,""),""),ROW()-ROW(A$40)+1)),"##0"),","),"")</f>
        <v>0</v>
      </c>
      <c r="L53">
        <f t="array" ref="L53">IFERROR(CONCATENATE((INDEX($N$7:$N$38,SMALL(IF($N$7:$N$38&lt;&gt;"",IF($K$7:$K$38&lt;&gt;"",ROW($K$7:$K$38)-MIN(ROW($K$7:$K$38))+1,""),""),ROW()-ROW(A$40)+1))),","),"")</f>
        <v>0</v>
      </c>
      <c r="M53">
        <f t="array" ref="M53">IFERROR(CONCATENATE((INDEX($A$7:$A$38,SMALL(IF($N$7:$N$38&lt;&gt;"",IF($K$7:$K$38&lt;&gt;"",ROW($K$7:$K$38)-MIN(ROW($K$7:$K$38))+1,""),""),ROW()-ROW(A$40)+1))),),"")</f>
        <v>0</v>
      </c>
      <c r="Q53">
        <f t="array" ref="Q53">IFERROR(CONCATENATE((INDEX($T$7:$T$38,SMALL(IF($T$7:$T$38&lt;&gt;"",IF($Q$7:$Q$38&lt;&gt;"",ROW($Q$7:$Q$38)-MIN(ROW($Q$7:$Q$38))+1,""),""),ROW()-ROW(A$40)+1)))," "),"")</f>
        <v>0</v>
      </c>
      <c r="R53">
        <f t="array" ref="R53">IFERROR(CONCATENATE(TEXT(INDEX($Q$7:$Q$38,SMALL(IF($T$7:$T$38&lt;&gt;"",IF($Q$7:$Q$38&lt;&gt;"",ROW($Q$7:$Q$38)-MIN(ROW($Q$7:$Q$38))+1,""),""),ROW()-ROW(A$40)+1)),"##0")," "),"")</f>
        <v>0</v>
      </c>
      <c r="S53">
        <f t="array" ref="S53">IFERROR(CONCATENATE((INDEX($A$7:$A$38,SMALL(IF($T$7:$T$38&lt;&gt;"",IF($Q$7:$Q$38&lt;&gt;"",ROW($Q$7:$Q$38)-MIN(ROW($Q$7:$Q$38))+1,""),""),ROW()-ROW(A$40)+1))),),"")</f>
        <v>0</v>
      </c>
      <c r="W53">
        <f t="array" ref="W53">IFERROR(CONCATENATE((INDEX($Z$7:$Z$38,SMALL(IF($Z$7:$Z$38&lt;&gt;"",IF($W$7:$W$38&lt;&gt;"",ROW($W$7:$W$38)-MIN(ROW($W$7:$W$38))+1,""),""),ROW()-ROW(A$40)+1)))," "),"")</f>
        <v>0</v>
      </c>
      <c r="X53">
        <f t="array" ref="X53">IFERROR(CONCATENATE(TEXT(INDEX($W$7:$W$38,SMALL(IF($Z$7:$Z$38&lt;&gt;"",IF($W$7:$W$38&lt;&gt;"",ROW($W$7:$W$38)-MIN(ROW($W$7:$W$38))+1,""),""),ROW()-ROW(A$40)+1)),"##0")," "),"")</f>
        <v>0</v>
      </c>
      <c r="Y53">
        <f t="array" ref="Y53">IFERROR(CONCATENATE((INDEX($A$7:$A$38,SMALL(IF($Z$7:$Z$38&lt;&gt;"",IF($W$7:$W$38&lt;&gt;"",ROW($W$7:$W$38)-MIN(ROW($W$7:$W$38))+1,""),""),ROW()-ROW(A$40)+1))),),"")</f>
        <v>0</v>
      </c>
    </row>
    <row r="54" spans="11:25">
      <c r="K54">
        <f t="array" ref="K54">IFERROR(CONCATENATE(TEXT(INDEX($K$7:$K$38,SMALL(IF($N$7:$N$38&lt;&gt;"",IF($K$7:$K$38&lt;&gt;"",ROW($K$7:$K$38)-MIN(ROW($K$7:$K$38))+1,""),""),ROW()-ROW(A$40)+1)),"##0"),","),"")</f>
        <v>0</v>
      </c>
      <c r="L54">
        <f t="array" ref="L54">IFERROR(CONCATENATE((INDEX($N$7:$N$38,SMALL(IF($N$7:$N$38&lt;&gt;"",IF($K$7:$K$38&lt;&gt;"",ROW($K$7:$K$38)-MIN(ROW($K$7:$K$38))+1,""),""),ROW()-ROW(A$40)+1))),","),"")</f>
        <v>0</v>
      </c>
      <c r="M54">
        <f t="array" ref="M54">IFERROR(CONCATENATE((INDEX($A$7:$A$38,SMALL(IF($N$7:$N$38&lt;&gt;"",IF($K$7:$K$38&lt;&gt;"",ROW($K$7:$K$38)-MIN(ROW($K$7:$K$38))+1,""),""),ROW()-ROW(A$40)+1))),),"")</f>
        <v>0</v>
      </c>
      <c r="Q54">
        <f t="array" ref="Q54">IFERROR(CONCATENATE((INDEX($T$7:$T$38,SMALL(IF($T$7:$T$38&lt;&gt;"",IF($Q$7:$Q$38&lt;&gt;"",ROW($Q$7:$Q$38)-MIN(ROW($Q$7:$Q$38))+1,""),""),ROW()-ROW(A$40)+1)))," "),"")</f>
        <v>0</v>
      </c>
      <c r="R54">
        <f t="array" ref="R54">IFERROR(CONCATENATE(TEXT(INDEX($Q$7:$Q$38,SMALL(IF($T$7:$T$38&lt;&gt;"",IF($Q$7:$Q$38&lt;&gt;"",ROW($Q$7:$Q$38)-MIN(ROW($Q$7:$Q$38))+1,""),""),ROW()-ROW(A$40)+1)),"##0")," "),"")</f>
        <v>0</v>
      </c>
      <c r="S54">
        <f t="array" ref="S54">IFERROR(CONCATENATE((INDEX($A$7:$A$38,SMALL(IF($T$7:$T$38&lt;&gt;"",IF($Q$7:$Q$38&lt;&gt;"",ROW($Q$7:$Q$38)-MIN(ROW($Q$7:$Q$38))+1,""),""),ROW()-ROW(A$40)+1))),),"")</f>
        <v>0</v>
      </c>
      <c r="W54">
        <f t="array" ref="W54">IFERROR(CONCATENATE((INDEX($Z$7:$Z$38,SMALL(IF($Z$7:$Z$38&lt;&gt;"",IF($W$7:$W$38&lt;&gt;"",ROW($W$7:$W$38)-MIN(ROW($W$7:$W$38))+1,""),""),ROW()-ROW(A$40)+1)))," "),"")</f>
        <v>0</v>
      </c>
      <c r="X54">
        <f t="array" ref="X54">IFERROR(CONCATENATE(TEXT(INDEX($W$7:$W$38,SMALL(IF($Z$7:$Z$38&lt;&gt;"",IF($W$7:$W$38&lt;&gt;"",ROW($W$7:$W$38)-MIN(ROW($W$7:$W$38))+1,""),""),ROW()-ROW(A$40)+1)),"##0")," "),"")</f>
        <v>0</v>
      </c>
      <c r="Y54">
        <f t="array" ref="Y54">IFERROR(CONCATENATE((INDEX($A$7:$A$38,SMALL(IF($Z$7:$Z$38&lt;&gt;"",IF($W$7:$W$38&lt;&gt;"",ROW($W$7:$W$38)-MIN(ROW($W$7:$W$38))+1,""),""),ROW()-ROW(A$40)+1))),),"")</f>
        <v>0</v>
      </c>
    </row>
    <row r="55" spans="11:25">
      <c r="K55">
        <f t="array" ref="K55">IFERROR(CONCATENATE(TEXT(INDEX($K$7:$K$38,SMALL(IF($N$7:$N$38&lt;&gt;"",IF($K$7:$K$38&lt;&gt;"",ROW($K$7:$K$38)-MIN(ROW($K$7:$K$38))+1,""),""),ROW()-ROW(A$40)+1)),"##0"),","),"")</f>
        <v>0</v>
      </c>
      <c r="L55">
        <f t="array" ref="L55">IFERROR(CONCATENATE((INDEX($N$7:$N$38,SMALL(IF($N$7:$N$38&lt;&gt;"",IF($K$7:$K$38&lt;&gt;"",ROW($K$7:$K$38)-MIN(ROW($K$7:$K$38))+1,""),""),ROW()-ROW(A$40)+1))),","),"")</f>
        <v>0</v>
      </c>
      <c r="M55">
        <f t="array" ref="M55">IFERROR(CONCATENATE((INDEX($A$7:$A$38,SMALL(IF($N$7:$N$38&lt;&gt;"",IF($K$7:$K$38&lt;&gt;"",ROW($K$7:$K$38)-MIN(ROW($K$7:$K$38))+1,""),""),ROW()-ROW(A$40)+1))),),"")</f>
        <v>0</v>
      </c>
      <c r="Q55">
        <f t="array" ref="Q55">IFERROR(CONCATENATE((INDEX($T$7:$T$38,SMALL(IF($T$7:$T$38&lt;&gt;"",IF($Q$7:$Q$38&lt;&gt;"",ROW($Q$7:$Q$38)-MIN(ROW($Q$7:$Q$38))+1,""),""),ROW()-ROW(A$40)+1)))," "),"")</f>
        <v>0</v>
      </c>
      <c r="R55">
        <f t="array" ref="R55">IFERROR(CONCATENATE(TEXT(INDEX($Q$7:$Q$38,SMALL(IF($T$7:$T$38&lt;&gt;"",IF($Q$7:$Q$38&lt;&gt;"",ROW($Q$7:$Q$38)-MIN(ROW($Q$7:$Q$38))+1,""),""),ROW()-ROW(A$40)+1)),"##0")," "),"")</f>
        <v>0</v>
      </c>
      <c r="S55">
        <f t="array" ref="S55">IFERROR(CONCATENATE((INDEX($A$7:$A$38,SMALL(IF($T$7:$T$38&lt;&gt;"",IF($Q$7:$Q$38&lt;&gt;"",ROW($Q$7:$Q$38)-MIN(ROW($Q$7:$Q$38))+1,""),""),ROW()-ROW(A$40)+1))),),"")</f>
        <v>0</v>
      </c>
      <c r="W55">
        <f t="array" ref="W55">IFERROR(CONCATENATE((INDEX($Z$7:$Z$38,SMALL(IF($Z$7:$Z$38&lt;&gt;"",IF($W$7:$W$38&lt;&gt;"",ROW($W$7:$W$38)-MIN(ROW($W$7:$W$38))+1,""),""),ROW()-ROW(A$40)+1)))," "),"")</f>
        <v>0</v>
      </c>
      <c r="X55">
        <f t="array" ref="X55">IFERROR(CONCATENATE(TEXT(INDEX($W$7:$W$38,SMALL(IF($Z$7:$Z$38&lt;&gt;"",IF($W$7:$W$38&lt;&gt;"",ROW($W$7:$W$38)-MIN(ROW($W$7:$W$38))+1,""),""),ROW()-ROW(A$40)+1)),"##0")," "),"")</f>
        <v>0</v>
      </c>
      <c r="Y55">
        <f t="array" ref="Y55">IFERROR(CONCATENATE((INDEX($A$7:$A$38,SMALL(IF($Z$7:$Z$38&lt;&gt;"",IF($W$7:$W$38&lt;&gt;"",ROW($W$7:$W$38)-MIN(ROW($W$7:$W$38))+1,""),""),ROW()-ROW(A$40)+1))),),"")</f>
        <v>0</v>
      </c>
    </row>
    <row r="56" spans="11:25">
      <c r="K56">
        <f t="array" ref="K56">IFERROR(CONCATENATE(TEXT(INDEX($K$7:$K$38,SMALL(IF($N$7:$N$38&lt;&gt;"",IF($K$7:$K$38&lt;&gt;"",ROW($K$7:$K$38)-MIN(ROW($K$7:$K$38))+1,""),""),ROW()-ROW(A$40)+1)),"##0"),","),"")</f>
        <v>0</v>
      </c>
      <c r="L56">
        <f t="array" ref="L56">IFERROR(CONCATENATE((INDEX($N$7:$N$38,SMALL(IF($N$7:$N$38&lt;&gt;"",IF($K$7:$K$38&lt;&gt;"",ROW($K$7:$K$38)-MIN(ROW($K$7:$K$38))+1,""),""),ROW()-ROW(A$40)+1))),","),"")</f>
        <v>0</v>
      </c>
      <c r="M56">
        <f t="array" ref="M56">IFERROR(CONCATENATE((INDEX($A$7:$A$38,SMALL(IF($N$7:$N$38&lt;&gt;"",IF($K$7:$K$38&lt;&gt;"",ROW($K$7:$K$38)-MIN(ROW($K$7:$K$38))+1,""),""),ROW()-ROW(A$40)+1))),),"")</f>
        <v>0</v>
      </c>
      <c r="Q56">
        <f t="array" ref="Q56">IFERROR(CONCATENATE((INDEX($T$7:$T$38,SMALL(IF($T$7:$T$38&lt;&gt;"",IF($Q$7:$Q$38&lt;&gt;"",ROW($Q$7:$Q$38)-MIN(ROW($Q$7:$Q$38))+1,""),""),ROW()-ROW(A$40)+1)))," "),"")</f>
        <v>0</v>
      </c>
      <c r="R56">
        <f t="array" ref="R56">IFERROR(CONCATENATE(TEXT(INDEX($Q$7:$Q$38,SMALL(IF($T$7:$T$38&lt;&gt;"",IF($Q$7:$Q$38&lt;&gt;"",ROW($Q$7:$Q$38)-MIN(ROW($Q$7:$Q$38))+1,""),""),ROW()-ROW(A$40)+1)),"##0")," "),"")</f>
        <v>0</v>
      </c>
      <c r="S56">
        <f t="array" ref="S56">IFERROR(CONCATENATE((INDEX($A$7:$A$38,SMALL(IF($T$7:$T$38&lt;&gt;"",IF($Q$7:$Q$38&lt;&gt;"",ROW($Q$7:$Q$38)-MIN(ROW($Q$7:$Q$38))+1,""),""),ROW()-ROW(A$40)+1))),),"")</f>
        <v>0</v>
      </c>
      <c r="W56">
        <f t="array" ref="W56">IFERROR(CONCATENATE((INDEX($Z$7:$Z$38,SMALL(IF($Z$7:$Z$38&lt;&gt;"",IF($W$7:$W$38&lt;&gt;"",ROW($W$7:$W$38)-MIN(ROW($W$7:$W$38))+1,""),""),ROW()-ROW(A$40)+1)))," "),"")</f>
        <v>0</v>
      </c>
      <c r="X56">
        <f t="array" ref="X56">IFERROR(CONCATENATE(TEXT(INDEX($W$7:$W$38,SMALL(IF($Z$7:$Z$38&lt;&gt;"",IF($W$7:$W$38&lt;&gt;"",ROW($W$7:$W$38)-MIN(ROW($W$7:$W$38))+1,""),""),ROW()-ROW(A$40)+1)),"##0")," "),"")</f>
        <v>0</v>
      </c>
      <c r="Y56">
        <f t="array" ref="Y56">IFERROR(CONCATENATE((INDEX($A$7:$A$38,SMALL(IF($Z$7:$Z$38&lt;&gt;"",IF($W$7:$W$38&lt;&gt;"",ROW($W$7:$W$38)-MIN(ROW($W$7:$W$38))+1,""),""),ROW()-ROW(A$40)+1))),),"")</f>
        <v>0</v>
      </c>
    </row>
    <row r="57" spans="11:25">
      <c r="K57">
        <f t="array" ref="K57">IFERROR(CONCATENATE(TEXT(INDEX($K$7:$K$38,SMALL(IF($N$7:$N$38&lt;&gt;"",IF($K$7:$K$38&lt;&gt;"",ROW($K$7:$K$38)-MIN(ROW($K$7:$K$38))+1,""),""),ROW()-ROW(A$40)+1)),"##0"),","),"")</f>
        <v>0</v>
      </c>
      <c r="L57">
        <f t="array" ref="L57">IFERROR(CONCATENATE((INDEX($N$7:$N$38,SMALL(IF($N$7:$N$38&lt;&gt;"",IF($K$7:$K$38&lt;&gt;"",ROW($K$7:$K$38)-MIN(ROW($K$7:$K$38))+1,""),""),ROW()-ROW(A$40)+1))),","),"")</f>
        <v>0</v>
      </c>
      <c r="M57">
        <f t="array" ref="M57">IFERROR(CONCATENATE((INDEX($A$7:$A$38,SMALL(IF($N$7:$N$38&lt;&gt;"",IF($K$7:$K$38&lt;&gt;"",ROW($K$7:$K$38)-MIN(ROW($K$7:$K$38))+1,""),""),ROW()-ROW(A$40)+1))),),"")</f>
        <v>0</v>
      </c>
      <c r="Q57">
        <f t="array" ref="Q57">IFERROR(CONCATENATE((INDEX($T$7:$T$38,SMALL(IF($T$7:$T$38&lt;&gt;"",IF($Q$7:$Q$38&lt;&gt;"",ROW($Q$7:$Q$38)-MIN(ROW($Q$7:$Q$38))+1,""),""),ROW()-ROW(A$40)+1)))," "),"")</f>
        <v>0</v>
      </c>
      <c r="R57">
        <f t="array" ref="R57">IFERROR(CONCATENATE(TEXT(INDEX($Q$7:$Q$38,SMALL(IF($T$7:$T$38&lt;&gt;"",IF($Q$7:$Q$38&lt;&gt;"",ROW($Q$7:$Q$38)-MIN(ROW($Q$7:$Q$38))+1,""),""),ROW()-ROW(A$40)+1)),"##0")," "),"")</f>
        <v>0</v>
      </c>
      <c r="S57">
        <f t="array" ref="S57">IFERROR(CONCATENATE((INDEX($A$7:$A$38,SMALL(IF($T$7:$T$38&lt;&gt;"",IF($Q$7:$Q$38&lt;&gt;"",ROW($Q$7:$Q$38)-MIN(ROW($Q$7:$Q$38))+1,""),""),ROW()-ROW(A$40)+1))),),"")</f>
        <v>0</v>
      </c>
      <c r="W57">
        <f t="array" ref="W57">IFERROR(CONCATENATE((INDEX($Z$7:$Z$38,SMALL(IF($Z$7:$Z$38&lt;&gt;"",IF($W$7:$W$38&lt;&gt;"",ROW($W$7:$W$38)-MIN(ROW($W$7:$W$38))+1,""),""),ROW()-ROW(A$40)+1)))," "),"")</f>
        <v>0</v>
      </c>
      <c r="X57">
        <f t="array" ref="X57">IFERROR(CONCATENATE(TEXT(INDEX($W$7:$W$38,SMALL(IF($Z$7:$Z$38&lt;&gt;"",IF($W$7:$W$38&lt;&gt;"",ROW($W$7:$W$38)-MIN(ROW($W$7:$W$38))+1,""),""),ROW()-ROW(A$40)+1)),"##0")," "),"")</f>
        <v>0</v>
      </c>
      <c r="Y57">
        <f t="array" ref="Y57">IFERROR(CONCATENATE((INDEX($A$7:$A$38,SMALL(IF($Z$7:$Z$38&lt;&gt;"",IF($W$7:$W$38&lt;&gt;"",ROW($W$7:$W$38)-MIN(ROW($W$7:$W$38))+1,""),""),ROW()-ROW(A$40)+1))),),"")</f>
        <v>0</v>
      </c>
    </row>
    <row r="58" spans="11:25">
      <c r="K58">
        <f t="array" ref="K58">IFERROR(CONCATENATE(TEXT(INDEX($K$7:$K$38,SMALL(IF($N$7:$N$38&lt;&gt;"",IF($K$7:$K$38&lt;&gt;"",ROW($K$7:$K$38)-MIN(ROW($K$7:$K$38))+1,""),""),ROW()-ROW(A$40)+1)),"##0"),","),"")</f>
        <v>0</v>
      </c>
      <c r="L58">
        <f t="array" ref="L58">IFERROR(CONCATENATE((INDEX($N$7:$N$38,SMALL(IF($N$7:$N$38&lt;&gt;"",IF($K$7:$K$38&lt;&gt;"",ROW($K$7:$K$38)-MIN(ROW($K$7:$K$38))+1,""),""),ROW()-ROW(A$40)+1))),","),"")</f>
        <v>0</v>
      </c>
      <c r="M58">
        <f t="array" ref="M58">IFERROR(CONCATENATE((INDEX($A$7:$A$38,SMALL(IF($N$7:$N$38&lt;&gt;"",IF($K$7:$K$38&lt;&gt;"",ROW($K$7:$K$38)-MIN(ROW($K$7:$K$38))+1,""),""),ROW()-ROW(A$40)+1))),),"")</f>
        <v>0</v>
      </c>
      <c r="Q58">
        <f t="array" ref="Q58">IFERROR(CONCATENATE((INDEX($T$7:$T$38,SMALL(IF($T$7:$T$38&lt;&gt;"",IF($Q$7:$Q$38&lt;&gt;"",ROW($Q$7:$Q$38)-MIN(ROW($Q$7:$Q$38))+1,""),""),ROW()-ROW(A$40)+1)))," "),"")</f>
        <v>0</v>
      </c>
      <c r="R58">
        <f t="array" ref="R58">IFERROR(CONCATENATE(TEXT(INDEX($Q$7:$Q$38,SMALL(IF($T$7:$T$38&lt;&gt;"",IF($Q$7:$Q$38&lt;&gt;"",ROW($Q$7:$Q$38)-MIN(ROW($Q$7:$Q$38))+1,""),""),ROW()-ROW(A$40)+1)),"##0")," "),"")</f>
        <v>0</v>
      </c>
      <c r="S58">
        <f t="array" ref="S58">IFERROR(CONCATENATE((INDEX($A$7:$A$38,SMALL(IF($T$7:$T$38&lt;&gt;"",IF($Q$7:$Q$38&lt;&gt;"",ROW($Q$7:$Q$38)-MIN(ROW($Q$7:$Q$38))+1,""),""),ROW()-ROW(A$40)+1))),),"")</f>
        <v>0</v>
      </c>
      <c r="W58">
        <f t="array" ref="W58">IFERROR(CONCATENATE((INDEX($Z$7:$Z$38,SMALL(IF($Z$7:$Z$38&lt;&gt;"",IF($W$7:$W$38&lt;&gt;"",ROW($W$7:$W$38)-MIN(ROW($W$7:$W$38))+1,""),""),ROW()-ROW(A$40)+1)))," "),"")</f>
        <v>0</v>
      </c>
      <c r="X58">
        <f t="array" ref="X58">IFERROR(CONCATENATE(TEXT(INDEX($W$7:$W$38,SMALL(IF($Z$7:$Z$38&lt;&gt;"",IF($W$7:$W$38&lt;&gt;"",ROW($W$7:$W$38)-MIN(ROW($W$7:$W$38))+1,""),""),ROW()-ROW(A$40)+1)),"##0")," "),"")</f>
        <v>0</v>
      </c>
      <c r="Y58">
        <f t="array" ref="Y58">IFERROR(CONCATENATE((INDEX($A$7:$A$38,SMALL(IF($Z$7:$Z$38&lt;&gt;"",IF($W$7:$W$38&lt;&gt;"",ROW($W$7:$W$38)-MIN(ROW($W$7:$W$38))+1,""),""),ROW()-ROW(A$40)+1))),),"")</f>
        <v>0</v>
      </c>
    </row>
    <row r="59" spans="11:25">
      <c r="K59">
        <f t="array" ref="K59">IFERROR(CONCATENATE(TEXT(INDEX($K$7:$K$38,SMALL(IF($N$7:$N$38&lt;&gt;"",IF($K$7:$K$38&lt;&gt;"",ROW($K$7:$K$38)-MIN(ROW($K$7:$K$38))+1,""),""),ROW()-ROW(A$40)+1)),"##0"),","),"")</f>
        <v>0</v>
      </c>
      <c r="L59">
        <f t="array" ref="L59">IFERROR(CONCATENATE((INDEX($N$7:$N$38,SMALL(IF($N$7:$N$38&lt;&gt;"",IF($K$7:$K$38&lt;&gt;"",ROW($K$7:$K$38)-MIN(ROW($K$7:$K$38))+1,""),""),ROW()-ROW(A$40)+1))),","),"")</f>
        <v>0</v>
      </c>
      <c r="M59">
        <f t="array" ref="M59">IFERROR(CONCATENATE((INDEX($A$7:$A$38,SMALL(IF($N$7:$N$38&lt;&gt;"",IF($K$7:$K$38&lt;&gt;"",ROW($K$7:$K$38)-MIN(ROW($K$7:$K$38))+1,""),""),ROW()-ROW(A$40)+1))),),"")</f>
        <v>0</v>
      </c>
      <c r="Q59">
        <f t="array" ref="Q59">IFERROR(CONCATENATE((INDEX($T$7:$T$38,SMALL(IF($T$7:$T$38&lt;&gt;"",IF($Q$7:$Q$38&lt;&gt;"",ROW($Q$7:$Q$38)-MIN(ROW($Q$7:$Q$38))+1,""),""),ROW()-ROW(A$40)+1)))," "),"")</f>
        <v>0</v>
      </c>
      <c r="R59">
        <f t="array" ref="R59">IFERROR(CONCATENATE(TEXT(INDEX($Q$7:$Q$38,SMALL(IF($T$7:$T$38&lt;&gt;"",IF($Q$7:$Q$38&lt;&gt;"",ROW($Q$7:$Q$38)-MIN(ROW($Q$7:$Q$38))+1,""),""),ROW()-ROW(A$40)+1)),"##0")," "),"")</f>
        <v>0</v>
      </c>
      <c r="S59">
        <f t="array" ref="S59">IFERROR(CONCATENATE((INDEX($A$7:$A$38,SMALL(IF($T$7:$T$38&lt;&gt;"",IF($Q$7:$Q$38&lt;&gt;"",ROW($Q$7:$Q$38)-MIN(ROW($Q$7:$Q$38))+1,""),""),ROW()-ROW(A$40)+1))),),"")</f>
        <v>0</v>
      </c>
      <c r="W59">
        <f t="array" ref="W59">IFERROR(CONCATENATE((INDEX($Z$7:$Z$38,SMALL(IF($Z$7:$Z$38&lt;&gt;"",IF($W$7:$W$38&lt;&gt;"",ROW($W$7:$W$38)-MIN(ROW($W$7:$W$38))+1,""),""),ROW()-ROW(A$40)+1)))," "),"")</f>
        <v>0</v>
      </c>
      <c r="X59">
        <f t="array" ref="X59">IFERROR(CONCATENATE(TEXT(INDEX($W$7:$W$38,SMALL(IF($Z$7:$Z$38&lt;&gt;"",IF($W$7:$W$38&lt;&gt;"",ROW($W$7:$W$38)-MIN(ROW($W$7:$W$38))+1,""),""),ROW()-ROW(A$40)+1)),"##0")," "),"")</f>
        <v>0</v>
      </c>
      <c r="Y59">
        <f t="array" ref="Y59">IFERROR(CONCATENATE((INDEX($A$7:$A$38,SMALL(IF($Z$7:$Z$38&lt;&gt;"",IF($W$7:$W$38&lt;&gt;"",ROW($W$7:$W$38)-MIN(ROW($W$7:$W$38))+1,""),""),ROW()-ROW(A$40)+1))),),"")</f>
        <v>0</v>
      </c>
    </row>
    <row r="60" spans="11:25">
      <c r="K60">
        <f t="array" ref="K60">IFERROR(CONCATENATE(TEXT(INDEX($K$7:$K$38,SMALL(IF($N$7:$N$38&lt;&gt;"",IF($K$7:$K$38&lt;&gt;"",ROW($K$7:$K$38)-MIN(ROW($K$7:$K$38))+1,""),""),ROW()-ROW(A$40)+1)),"##0"),","),"")</f>
        <v>0</v>
      </c>
      <c r="L60">
        <f t="array" ref="L60">IFERROR(CONCATENATE((INDEX($N$7:$N$38,SMALL(IF($N$7:$N$38&lt;&gt;"",IF($K$7:$K$38&lt;&gt;"",ROW($K$7:$K$38)-MIN(ROW($K$7:$K$38))+1,""),""),ROW()-ROW(A$40)+1))),","),"")</f>
        <v>0</v>
      </c>
      <c r="M60">
        <f t="array" ref="M60">IFERROR(CONCATENATE((INDEX($A$7:$A$38,SMALL(IF($N$7:$N$38&lt;&gt;"",IF($K$7:$K$38&lt;&gt;"",ROW($K$7:$K$38)-MIN(ROW($K$7:$K$38))+1,""),""),ROW()-ROW(A$40)+1))),),"")</f>
        <v>0</v>
      </c>
      <c r="Q60">
        <f t="array" ref="Q60">IFERROR(CONCATENATE((INDEX($T$7:$T$38,SMALL(IF($T$7:$T$38&lt;&gt;"",IF($Q$7:$Q$38&lt;&gt;"",ROW($Q$7:$Q$38)-MIN(ROW($Q$7:$Q$38))+1,""),""),ROW()-ROW(A$40)+1)))," "),"")</f>
        <v>0</v>
      </c>
      <c r="R60">
        <f t="array" ref="R60">IFERROR(CONCATENATE(TEXT(INDEX($Q$7:$Q$38,SMALL(IF($T$7:$T$38&lt;&gt;"",IF($Q$7:$Q$38&lt;&gt;"",ROW($Q$7:$Q$38)-MIN(ROW($Q$7:$Q$38))+1,""),""),ROW()-ROW(A$40)+1)),"##0")," "),"")</f>
        <v>0</v>
      </c>
      <c r="S60">
        <f t="array" ref="S60">IFERROR(CONCATENATE((INDEX($A$7:$A$38,SMALL(IF($T$7:$T$38&lt;&gt;"",IF($Q$7:$Q$38&lt;&gt;"",ROW($Q$7:$Q$38)-MIN(ROW($Q$7:$Q$38))+1,""),""),ROW()-ROW(A$40)+1))),),"")</f>
        <v>0</v>
      </c>
      <c r="W60">
        <f t="array" ref="W60">IFERROR(CONCATENATE((INDEX($Z$7:$Z$38,SMALL(IF($Z$7:$Z$38&lt;&gt;"",IF($W$7:$W$38&lt;&gt;"",ROW($W$7:$W$38)-MIN(ROW($W$7:$W$38))+1,""),""),ROW()-ROW(A$40)+1)))," "),"")</f>
        <v>0</v>
      </c>
      <c r="X60">
        <f t="array" ref="X60">IFERROR(CONCATENATE(TEXT(INDEX($W$7:$W$38,SMALL(IF($Z$7:$Z$38&lt;&gt;"",IF($W$7:$W$38&lt;&gt;"",ROW($W$7:$W$38)-MIN(ROW($W$7:$W$38))+1,""),""),ROW()-ROW(A$40)+1)),"##0")," "),"")</f>
        <v>0</v>
      </c>
      <c r="Y60">
        <f t="array" ref="Y60">IFERROR(CONCATENATE((INDEX($A$7:$A$38,SMALL(IF($Z$7:$Z$38&lt;&gt;"",IF($W$7:$W$38&lt;&gt;"",ROW($W$7:$W$38)-MIN(ROW($W$7:$W$38))+1,""),""),ROW()-ROW(A$40)+1))),),"")</f>
        <v>0</v>
      </c>
    </row>
    <row r="61" spans="11:25">
      <c r="K61">
        <f t="array" ref="K61">IFERROR(CONCATENATE(TEXT(INDEX($K$7:$K$38,SMALL(IF($N$7:$N$38&lt;&gt;"",IF($K$7:$K$38&lt;&gt;"",ROW($K$7:$K$38)-MIN(ROW($K$7:$K$38))+1,""),""),ROW()-ROW(A$40)+1)),"##0"),","),"")</f>
        <v>0</v>
      </c>
      <c r="L61">
        <f t="array" ref="L61">IFERROR(CONCATENATE((INDEX($N$7:$N$38,SMALL(IF($N$7:$N$38&lt;&gt;"",IF($K$7:$K$38&lt;&gt;"",ROW($K$7:$K$38)-MIN(ROW($K$7:$K$38))+1,""),""),ROW()-ROW(A$40)+1))),","),"")</f>
        <v>0</v>
      </c>
      <c r="M61">
        <f t="array" ref="M61">IFERROR(CONCATENATE((INDEX($A$7:$A$38,SMALL(IF($N$7:$N$38&lt;&gt;"",IF($K$7:$K$38&lt;&gt;"",ROW($K$7:$K$38)-MIN(ROW($K$7:$K$38))+1,""),""),ROW()-ROW(A$40)+1))),),"")</f>
        <v>0</v>
      </c>
      <c r="Q61">
        <f t="array" ref="Q61">IFERROR(CONCATENATE((INDEX($T$7:$T$38,SMALL(IF($T$7:$T$38&lt;&gt;"",IF($Q$7:$Q$38&lt;&gt;"",ROW($Q$7:$Q$38)-MIN(ROW($Q$7:$Q$38))+1,""),""),ROW()-ROW(A$40)+1)))," "),"")</f>
        <v>0</v>
      </c>
      <c r="R61">
        <f t="array" ref="R61">IFERROR(CONCATENATE(TEXT(INDEX($Q$7:$Q$38,SMALL(IF($T$7:$T$38&lt;&gt;"",IF($Q$7:$Q$38&lt;&gt;"",ROW($Q$7:$Q$38)-MIN(ROW($Q$7:$Q$38))+1,""),""),ROW()-ROW(A$40)+1)),"##0")," "),"")</f>
        <v>0</v>
      </c>
      <c r="S61">
        <f t="array" ref="S61">IFERROR(CONCATENATE((INDEX($A$7:$A$38,SMALL(IF($T$7:$T$38&lt;&gt;"",IF($Q$7:$Q$38&lt;&gt;"",ROW($Q$7:$Q$38)-MIN(ROW($Q$7:$Q$38))+1,""),""),ROW()-ROW(A$40)+1))),),"")</f>
        <v>0</v>
      </c>
      <c r="W61">
        <f t="array" ref="W61">IFERROR(CONCATENATE((INDEX($Z$7:$Z$38,SMALL(IF($Z$7:$Z$38&lt;&gt;"",IF($W$7:$W$38&lt;&gt;"",ROW($W$7:$W$38)-MIN(ROW($W$7:$W$38))+1,""),""),ROW()-ROW(A$40)+1)))," "),"")</f>
        <v>0</v>
      </c>
      <c r="X61">
        <f t="array" ref="X61">IFERROR(CONCATENATE(TEXT(INDEX($W$7:$W$38,SMALL(IF($Z$7:$Z$38&lt;&gt;"",IF($W$7:$W$38&lt;&gt;"",ROW($W$7:$W$38)-MIN(ROW($W$7:$W$38))+1,""),""),ROW()-ROW(A$40)+1)),"##0")," "),"")</f>
        <v>0</v>
      </c>
      <c r="Y61">
        <f t="array" ref="Y61">IFERROR(CONCATENATE((INDEX($A$7:$A$38,SMALL(IF($Z$7:$Z$38&lt;&gt;"",IF($W$7:$W$38&lt;&gt;"",ROW($W$7:$W$38)-MIN(ROW($W$7:$W$38))+1,""),""),ROW()-ROW(A$40)+1))),),"")</f>
        <v>0</v>
      </c>
    </row>
    <row r="62" spans="11:25">
      <c r="K62">
        <f t="array" ref="K62">IFERROR(CONCATENATE(TEXT(INDEX($K$7:$K$38,SMALL(IF($N$7:$N$38&lt;&gt;"",IF($K$7:$K$38&lt;&gt;"",ROW($K$7:$K$38)-MIN(ROW($K$7:$K$38))+1,""),""),ROW()-ROW(A$40)+1)),"##0"),","),"")</f>
        <v>0</v>
      </c>
      <c r="L62">
        <f t="array" ref="L62">IFERROR(CONCATENATE((INDEX($N$7:$N$38,SMALL(IF($N$7:$N$38&lt;&gt;"",IF($K$7:$K$38&lt;&gt;"",ROW($K$7:$K$38)-MIN(ROW($K$7:$K$38))+1,""),""),ROW()-ROW(A$40)+1))),","),"")</f>
        <v>0</v>
      </c>
      <c r="M62">
        <f t="array" ref="M62">IFERROR(CONCATENATE((INDEX($A$7:$A$38,SMALL(IF($N$7:$N$38&lt;&gt;"",IF($K$7:$K$38&lt;&gt;"",ROW($K$7:$K$38)-MIN(ROW($K$7:$K$38))+1,""),""),ROW()-ROW(A$40)+1))),),"")</f>
        <v>0</v>
      </c>
      <c r="Q62">
        <f t="array" ref="Q62">IFERROR(CONCATENATE((INDEX($T$7:$T$38,SMALL(IF($T$7:$T$38&lt;&gt;"",IF($Q$7:$Q$38&lt;&gt;"",ROW($Q$7:$Q$38)-MIN(ROW($Q$7:$Q$38))+1,""),""),ROW()-ROW(A$40)+1)))," "),"")</f>
        <v>0</v>
      </c>
      <c r="R62">
        <f t="array" ref="R62">IFERROR(CONCATENATE(TEXT(INDEX($Q$7:$Q$38,SMALL(IF($T$7:$T$38&lt;&gt;"",IF($Q$7:$Q$38&lt;&gt;"",ROW($Q$7:$Q$38)-MIN(ROW($Q$7:$Q$38))+1,""),""),ROW()-ROW(A$40)+1)),"##0")," "),"")</f>
        <v>0</v>
      </c>
      <c r="S62">
        <f t="array" ref="S62">IFERROR(CONCATENATE((INDEX($A$7:$A$38,SMALL(IF($T$7:$T$38&lt;&gt;"",IF($Q$7:$Q$38&lt;&gt;"",ROW($Q$7:$Q$38)-MIN(ROW($Q$7:$Q$38))+1,""),""),ROW()-ROW(A$40)+1))),),"")</f>
        <v>0</v>
      </c>
      <c r="W62">
        <f t="array" ref="W62">IFERROR(CONCATENATE((INDEX($Z$7:$Z$38,SMALL(IF($Z$7:$Z$38&lt;&gt;"",IF($W$7:$W$38&lt;&gt;"",ROW($W$7:$W$38)-MIN(ROW($W$7:$W$38))+1,""),""),ROW()-ROW(A$40)+1)))," "),"")</f>
        <v>0</v>
      </c>
      <c r="X62">
        <f t="array" ref="X62">IFERROR(CONCATENATE(TEXT(INDEX($W$7:$W$38,SMALL(IF($Z$7:$Z$38&lt;&gt;"",IF($W$7:$W$38&lt;&gt;"",ROW($W$7:$W$38)-MIN(ROW($W$7:$W$38))+1,""),""),ROW()-ROW(A$40)+1)),"##0")," "),"")</f>
        <v>0</v>
      </c>
      <c r="Y62">
        <f t="array" ref="Y62">IFERROR(CONCATENATE((INDEX($A$7:$A$38,SMALL(IF($Z$7:$Z$38&lt;&gt;"",IF($W$7:$W$38&lt;&gt;"",ROW($W$7:$W$38)-MIN(ROW($W$7:$W$38))+1,""),""),ROW()-ROW(A$40)+1))),),"")</f>
        <v>0</v>
      </c>
    </row>
    <row r="63" spans="11:25">
      <c r="K63">
        <f t="array" ref="K63">IFERROR(CONCATENATE(TEXT(INDEX($K$7:$K$38,SMALL(IF($N$7:$N$38&lt;&gt;"",IF($K$7:$K$38&lt;&gt;"",ROW($K$7:$K$38)-MIN(ROW($K$7:$K$38))+1,""),""),ROW()-ROW(A$40)+1)),"##0"),","),"")</f>
        <v>0</v>
      </c>
      <c r="L63">
        <f t="array" ref="L63">IFERROR(CONCATENATE((INDEX($N$7:$N$38,SMALL(IF($N$7:$N$38&lt;&gt;"",IF($K$7:$K$38&lt;&gt;"",ROW($K$7:$K$38)-MIN(ROW($K$7:$K$38))+1,""),""),ROW()-ROW(A$40)+1))),","),"")</f>
        <v>0</v>
      </c>
      <c r="M63">
        <f t="array" ref="M63">IFERROR(CONCATENATE((INDEX($A$7:$A$38,SMALL(IF($N$7:$N$38&lt;&gt;"",IF($K$7:$K$38&lt;&gt;"",ROW($K$7:$K$38)-MIN(ROW($K$7:$K$38))+1,""),""),ROW()-ROW(A$40)+1))),),"")</f>
        <v>0</v>
      </c>
      <c r="Q63">
        <f t="array" ref="Q63">IFERROR(CONCATENATE((INDEX($T$7:$T$38,SMALL(IF($T$7:$T$38&lt;&gt;"",IF($Q$7:$Q$38&lt;&gt;"",ROW($Q$7:$Q$38)-MIN(ROW($Q$7:$Q$38))+1,""),""),ROW()-ROW(A$40)+1)))," "),"")</f>
        <v>0</v>
      </c>
      <c r="R63">
        <f t="array" ref="R63">IFERROR(CONCATENATE(TEXT(INDEX($Q$7:$Q$38,SMALL(IF($T$7:$T$38&lt;&gt;"",IF($Q$7:$Q$38&lt;&gt;"",ROW($Q$7:$Q$38)-MIN(ROW($Q$7:$Q$38))+1,""),""),ROW()-ROW(A$40)+1)),"##0")," "),"")</f>
        <v>0</v>
      </c>
      <c r="S63">
        <f t="array" ref="S63">IFERROR(CONCATENATE((INDEX($A$7:$A$38,SMALL(IF($T$7:$T$38&lt;&gt;"",IF($Q$7:$Q$38&lt;&gt;"",ROW($Q$7:$Q$38)-MIN(ROW($Q$7:$Q$38))+1,""),""),ROW()-ROW(A$40)+1))),),"")</f>
        <v>0</v>
      </c>
      <c r="W63">
        <f t="array" ref="W63">IFERROR(CONCATENATE((INDEX($Z$7:$Z$38,SMALL(IF($Z$7:$Z$38&lt;&gt;"",IF($W$7:$W$38&lt;&gt;"",ROW($W$7:$W$38)-MIN(ROW($W$7:$W$38))+1,""),""),ROW()-ROW(A$40)+1)))," "),"")</f>
        <v>0</v>
      </c>
      <c r="X63">
        <f t="array" ref="X63">IFERROR(CONCATENATE(TEXT(INDEX($W$7:$W$38,SMALL(IF($Z$7:$Z$38&lt;&gt;"",IF($W$7:$W$38&lt;&gt;"",ROW($W$7:$W$38)-MIN(ROW($W$7:$W$38))+1,""),""),ROW()-ROW(A$40)+1)),"##0")," "),"")</f>
        <v>0</v>
      </c>
      <c r="Y63">
        <f t="array" ref="Y63">IFERROR(CONCATENATE((INDEX($A$7:$A$38,SMALL(IF($Z$7:$Z$38&lt;&gt;"",IF($W$7:$W$38&lt;&gt;"",ROW($W$7:$W$38)-MIN(ROW($W$7:$W$38))+1,""),""),ROW()-ROW(A$40)+1))),),"")</f>
        <v>0</v>
      </c>
    </row>
    <row r="64" spans="11:25">
      <c r="K64">
        <f t="array" ref="K64">IFERROR(CONCATENATE(TEXT(INDEX($K$7:$K$38,SMALL(IF($N$7:$N$38&lt;&gt;"",IF($K$7:$K$38&lt;&gt;"",ROW($K$7:$K$38)-MIN(ROW($K$7:$K$38))+1,""),""),ROW()-ROW(A$40)+1)),"##0"),","),"")</f>
        <v>0</v>
      </c>
      <c r="L64">
        <f t="array" ref="L64">IFERROR(CONCATENATE((INDEX($N$7:$N$38,SMALL(IF($N$7:$N$38&lt;&gt;"",IF($K$7:$K$38&lt;&gt;"",ROW($K$7:$K$38)-MIN(ROW($K$7:$K$38))+1,""),""),ROW()-ROW(A$40)+1))),","),"")</f>
        <v>0</v>
      </c>
      <c r="M64">
        <f t="array" ref="M64">IFERROR(CONCATENATE((INDEX($A$7:$A$38,SMALL(IF($N$7:$N$38&lt;&gt;"",IF($K$7:$K$38&lt;&gt;"",ROW($K$7:$K$38)-MIN(ROW($K$7:$K$38))+1,""),""),ROW()-ROW(A$40)+1))),),"")</f>
        <v>0</v>
      </c>
      <c r="Q64">
        <f t="array" ref="Q64">IFERROR(CONCATENATE((INDEX($T$7:$T$38,SMALL(IF($T$7:$T$38&lt;&gt;"",IF($Q$7:$Q$38&lt;&gt;"",ROW($Q$7:$Q$38)-MIN(ROW($Q$7:$Q$38))+1,""),""),ROW()-ROW(A$40)+1)))," "),"")</f>
        <v>0</v>
      </c>
      <c r="R64">
        <f t="array" ref="R64">IFERROR(CONCATENATE(TEXT(INDEX($Q$7:$Q$38,SMALL(IF($T$7:$T$38&lt;&gt;"",IF($Q$7:$Q$38&lt;&gt;"",ROW($Q$7:$Q$38)-MIN(ROW($Q$7:$Q$38))+1,""),""),ROW()-ROW(A$40)+1)),"##0")," "),"")</f>
        <v>0</v>
      </c>
      <c r="S64">
        <f t="array" ref="S64">IFERROR(CONCATENATE((INDEX($A$7:$A$38,SMALL(IF($T$7:$T$38&lt;&gt;"",IF($Q$7:$Q$38&lt;&gt;"",ROW($Q$7:$Q$38)-MIN(ROW($Q$7:$Q$38))+1,""),""),ROW()-ROW(A$40)+1))),),"")</f>
        <v>0</v>
      </c>
      <c r="W64">
        <f t="array" ref="W64">IFERROR(CONCATENATE((INDEX($Z$7:$Z$38,SMALL(IF($Z$7:$Z$38&lt;&gt;"",IF($W$7:$W$38&lt;&gt;"",ROW($W$7:$W$38)-MIN(ROW($W$7:$W$38))+1,""),""),ROW()-ROW(A$40)+1)))," "),"")</f>
        <v>0</v>
      </c>
      <c r="X64">
        <f t="array" ref="X64">IFERROR(CONCATENATE(TEXT(INDEX($W$7:$W$38,SMALL(IF($Z$7:$Z$38&lt;&gt;"",IF($W$7:$W$38&lt;&gt;"",ROW($W$7:$W$38)-MIN(ROW($W$7:$W$38))+1,""),""),ROW()-ROW(A$40)+1)),"##0")," "),"")</f>
        <v>0</v>
      </c>
      <c r="Y64">
        <f t="array" ref="Y64">IFERROR(CONCATENATE((INDEX($A$7:$A$38,SMALL(IF($Z$7:$Z$38&lt;&gt;"",IF($W$7:$W$38&lt;&gt;"",ROW($W$7:$W$38)-MIN(ROW($W$7:$W$38))+1,""),""),ROW()-ROW(A$40)+1))),),"")</f>
        <v>0</v>
      </c>
    </row>
    <row r="65" spans="11:25">
      <c r="K65">
        <f t="array" ref="K65">IFERROR(CONCATENATE(TEXT(INDEX($K$7:$K$38,SMALL(IF($N$7:$N$38&lt;&gt;"",IF($K$7:$K$38&lt;&gt;"",ROW($K$7:$K$38)-MIN(ROW($K$7:$K$38))+1,""),""),ROW()-ROW(A$40)+1)),"##0"),","),"")</f>
        <v>0</v>
      </c>
      <c r="L65">
        <f t="array" ref="L65">IFERROR(CONCATENATE((INDEX($N$7:$N$38,SMALL(IF($N$7:$N$38&lt;&gt;"",IF($K$7:$K$38&lt;&gt;"",ROW($K$7:$K$38)-MIN(ROW($K$7:$K$38))+1,""),""),ROW()-ROW(A$40)+1))),","),"")</f>
        <v>0</v>
      </c>
      <c r="M65">
        <f t="array" ref="M65">IFERROR(CONCATENATE((INDEX($A$7:$A$38,SMALL(IF($N$7:$N$38&lt;&gt;"",IF($K$7:$K$38&lt;&gt;"",ROW($K$7:$K$38)-MIN(ROW($K$7:$K$38))+1,""),""),ROW()-ROW(A$40)+1))),),"")</f>
        <v>0</v>
      </c>
      <c r="Q65">
        <f t="array" ref="Q65">IFERROR(CONCATENATE((INDEX($T$7:$T$38,SMALL(IF($T$7:$T$38&lt;&gt;"",IF($Q$7:$Q$38&lt;&gt;"",ROW($Q$7:$Q$38)-MIN(ROW($Q$7:$Q$38))+1,""),""),ROW()-ROW(A$40)+1)))," "),"")</f>
        <v>0</v>
      </c>
      <c r="R65">
        <f t="array" ref="R65">IFERROR(CONCATENATE(TEXT(INDEX($Q$7:$Q$38,SMALL(IF($T$7:$T$38&lt;&gt;"",IF($Q$7:$Q$38&lt;&gt;"",ROW($Q$7:$Q$38)-MIN(ROW($Q$7:$Q$38))+1,""),""),ROW()-ROW(A$40)+1)),"##0")," "),"")</f>
        <v>0</v>
      </c>
      <c r="S65">
        <f t="array" ref="S65">IFERROR(CONCATENATE((INDEX($A$7:$A$38,SMALL(IF($T$7:$T$38&lt;&gt;"",IF($Q$7:$Q$38&lt;&gt;"",ROW($Q$7:$Q$38)-MIN(ROW($Q$7:$Q$38))+1,""),""),ROW()-ROW(A$40)+1))),),"")</f>
        <v>0</v>
      </c>
      <c r="W65">
        <f t="array" ref="W65">IFERROR(CONCATENATE((INDEX($Z$7:$Z$38,SMALL(IF($Z$7:$Z$38&lt;&gt;"",IF($W$7:$W$38&lt;&gt;"",ROW($W$7:$W$38)-MIN(ROW($W$7:$W$38))+1,""),""),ROW()-ROW(A$40)+1)))," "),"")</f>
        <v>0</v>
      </c>
      <c r="X65">
        <f t="array" ref="X65">IFERROR(CONCATENATE(TEXT(INDEX($W$7:$W$38,SMALL(IF($Z$7:$Z$38&lt;&gt;"",IF($W$7:$W$38&lt;&gt;"",ROW($W$7:$W$38)-MIN(ROW($W$7:$W$38))+1,""),""),ROW()-ROW(A$40)+1)),"##0")," "),"")</f>
        <v>0</v>
      </c>
      <c r="Y65">
        <f t="array" ref="Y65">IFERROR(CONCATENATE((INDEX($A$7:$A$38,SMALL(IF($Z$7:$Z$38&lt;&gt;"",IF($W$7:$W$38&lt;&gt;"",ROW($W$7:$W$38)-MIN(ROW($W$7:$W$38))+1,""),""),ROW()-ROW(A$40)+1))),),"")</f>
        <v>0</v>
      </c>
    </row>
    <row r="66" spans="11:25">
      <c r="K66">
        <f t="array" ref="K66">IFERROR(CONCATENATE(TEXT(INDEX($K$7:$K$38,SMALL(IF($N$7:$N$38&lt;&gt;"",IF($K$7:$K$38&lt;&gt;"",ROW($K$7:$K$38)-MIN(ROW($K$7:$K$38))+1,""),""),ROW()-ROW(A$40)+1)),"##0"),","),"")</f>
        <v>0</v>
      </c>
      <c r="L66">
        <f t="array" ref="L66">IFERROR(CONCATENATE((INDEX($N$7:$N$38,SMALL(IF($N$7:$N$38&lt;&gt;"",IF($K$7:$K$38&lt;&gt;"",ROW($K$7:$K$38)-MIN(ROW($K$7:$K$38))+1,""),""),ROW()-ROW(A$40)+1))),","),"")</f>
        <v>0</v>
      </c>
      <c r="M66">
        <f t="array" ref="M66">IFERROR(CONCATENATE((INDEX($A$7:$A$38,SMALL(IF($N$7:$N$38&lt;&gt;"",IF($K$7:$K$38&lt;&gt;"",ROW($K$7:$K$38)-MIN(ROW($K$7:$K$38))+1,""),""),ROW()-ROW(A$40)+1))),),"")</f>
        <v>0</v>
      </c>
      <c r="Q66">
        <f t="array" ref="Q66">IFERROR(CONCATENATE((INDEX($T$7:$T$38,SMALL(IF($T$7:$T$38&lt;&gt;"",IF($Q$7:$Q$38&lt;&gt;"",ROW($Q$7:$Q$38)-MIN(ROW($Q$7:$Q$38))+1,""),""),ROW()-ROW(A$40)+1)))," "),"")</f>
        <v>0</v>
      </c>
      <c r="R66">
        <f t="array" ref="R66">IFERROR(CONCATENATE(TEXT(INDEX($Q$7:$Q$38,SMALL(IF($T$7:$T$38&lt;&gt;"",IF($Q$7:$Q$38&lt;&gt;"",ROW($Q$7:$Q$38)-MIN(ROW($Q$7:$Q$38))+1,""),""),ROW()-ROW(A$40)+1)),"##0")," "),"")</f>
        <v>0</v>
      </c>
      <c r="S66">
        <f t="array" ref="S66">IFERROR(CONCATENATE((INDEX($A$7:$A$38,SMALL(IF($T$7:$T$38&lt;&gt;"",IF($Q$7:$Q$38&lt;&gt;"",ROW($Q$7:$Q$38)-MIN(ROW($Q$7:$Q$38))+1,""),""),ROW()-ROW(A$40)+1))),),"")</f>
        <v>0</v>
      </c>
      <c r="W66">
        <f t="array" ref="W66">IFERROR(CONCATENATE((INDEX($Z$7:$Z$38,SMALL(IF($Z$7:$Z$38&lt;&gt;"",IF($W$7:$W$38&lt;&gt;"",ROW($W$7:$W$38)-MIN(ROW($W$7:$W$38))+1,""),""),ROW()-ROW(A$40)+1)))," "),"")</f>
        <v>0</v>
      </c>
      <c r="X66">
        <f t="array" ref="X66">IFERROR(CONCATENATE(TEXT(INDEX($W$7:$W$38,SMALL(IF($Z$7:$Z$38&lt;&gt;"",IF($W$7:$W$38&lt;&gt;"",ROW($W$7:$W$38)-MIN(ROW($W$7:$W$38))+1,""),""),ROW()-ROW(A$40)+1)),"##0")," "),"")</f>
        <v>0</v>
      </c>
      <c r="Y66">
        <f t="array" ref="Y66">IFERROR(CONCATENATE((INDEX($A$7:$A$38,SMALL(IF($Z$7:$Z$38&lt;&gt;"",IF($W$7:$W$38&lt;&gt;"",ROW($W$7:$W$38)-MIN(ROW($W$7:$W$38))+1,""),""),ROW()-ROW(A$40)+1))),),"")</f>
        <v>0</v>
      </c>
    </row>
    <row r="67" spans="11:25">
      <c r="K67">
        <f t="array" ref="K67">IFERROR(CONCATENATE(TEXT(INDEX($K$7:$K$38,SMALL(IF($N$7:$N$38&lt;&gt;"",IF($K$7:$K$38&lt;&gt;"",ROW($K$7:$K$38)-MIN(ROW($K$7:$K$38))+1,""),""),ROW()-ROW(A$40)+1)),"##0"),","),"")</f>
        <v>0</v>
      </c>
      <c r="L67">
        <f t="array" ref="L67">IFERROR(CONCATENATE((INDEX($N$7:$N$38,SMALL(IF($N$7:$N$38&lt;&gt;"",IF($K$7:$K$38&lt;&gt;"",ROW($K$7:$K$38)-MIN(ROW($K$7:$K$38))+1,""),""),ROW()-ROW(A$40)+1))),","),"")</f>
        <v>0</v>
      </c>
      <c r="M67">
        <f t="array" ref="M67">IFERROR(CONCATENATE((INDEX($A$7:$A$38,SMALL(IF($N$7:$N$38&lt;&gt;"",IF($K$7:$K$38&lt;&gt;"",ROW($K$7:$K$38)-MIN(ROW($K$7:$K$38))+1,""),""),ROW()-ROW(A$40)+1))),),"")</f>
        <v>0</v>
      </c>
      <c r="Q67">
        <f t="array" ref="Q67">IFERROR(CONCATENATE((INDEX($T$7:$T$38,SMALL(IF($T$7:$T$38&lt;&gt;"",IF($Q$7:$Q$38&lt;&gt;"",ROW($Q$7:$Q$38)-MIN(ROW($Q$7:$Q$38))+1,""),""),ROW()-ROW(A$40)+1)))," "),"")</f>
        <v>0</v>
      </c>
      <c r="R67">
        <f t="array" ref="R67">IFERROR(CONCATENATE(TEXT(INDEX($Q$7:$Q$38,SMALL(IF($T$7:$T$38&lt;&gt;"",IF($Q$7:$Q$38&lt;&gt;"",ROW($Q$7:$Q$38)-MIN(ROW($Q$7:$Q$38))+1,""),""),ROW()-ROW(A$40)+1)),"##0")," "),"")</f>
        <v>0</v>
      </c>
      <c r="S67">
        <f t="array" ref="S67">IFERROR(CONCATENATE((INDEX($A$7:$A$38,SMALL(IF($T$7:$T$38&lt;&gt;"",IF($Q$7:$Q$38&lt;&gt;"",ROW($Q$7:$Q$38)-MIN(ROW($Q$7:$Q$38))+1,""),""),ROW()-ROW(A$40)+1))),),"")</f>
        <v>0</v>
      </c>
      <c r="W67">
        <f t="array" ref="W67">IFERROR(CONCATENATE((INDEX($Z$7:$Z$38,SMALL(IF($Z$7:$Z$38&lt;&gt;"",IF($W$7:$W$38&lt;&gt;"",ROW($W$7:$W$38)-MIN(ROW($W$7:$W$38))+1,""),""),ROW()-ROW(A$40)+1)))," "),"")</f>
        <v>0</v>
      </c>
      <c r="X67">
        <f t="array" ref="X67">IFERROR(CONCATENATE(TEXT(INDEX($W$7:$W$38,SMALL(IF($Z$7:$Z$38&lt;&gt;"",IF($W$7:$W$38&lt;&gt;"",ROW($W$7:$W$38)-MIN(ROW($W$7:$W$38))+1,""),""),ROW()-ROW(A$40)+1)),"##0")," "),"")</f>
        <v>0</v>
      </c>
      <c r="Y67">
        <f t="array" ref="Y67">IFERROR(CONCATENATE((INDEX($A$7:$A$38,SMALL(IF($Z$7:$Z$38&lt;&gt;"",IF($W$7:$W$38&lt;&gt;"",ROW($W$7:$W$38)-MIN(ROW($W$7:$W$38))+1,""),""),ROW()-ROW(A$40)+1))),),"")</f>
        <v>0</v>
      </c>
    </row>
    <row r="68" spans="11:25">
      <c r="K68">
        <f t="array" ref="K68">IFERROR(CONCATENATE(TEXT(INDEX($K$7:$K$38,SMALL(IF($N$7:$N$38&lt;&gt;"",IF($K$7:$K$38&lt;&gt;"",ROW($K$7:$K$38)-MIN(ROW($K$7:$K$38))+1,""),""),ROW()-ROW(A$40)+1)),"##0"),","),"")</f>
        <v>0</v>
      </c>
      <c r="L68">
        <f t="array" ref="L68">IFERROR(CONCATENATE((INDEX($N$7:$N$38,SMALL(IF($N$7:$N$38&lt;&gt;"",IF($K$7:$K$38&lt;&gt;"",ROW($K$7:$K$38)-MIN(ROW($K$7:$K$38))+1,""),""),ROW()-ROW(A$40)+1))),","),"")</f>
        <v>0</v>
      </c>
      <c r="M68">
        <f t="array" ref="M68">IFERROR(CONCATENATE((INDEX($A$7:$A$38,SMALL(IF($N$7:$N$38&lt;&gt;"",IF($K$7:$K$38&lt;&gt;"",ROW($K$7:$K$38)-MIN(ROW($K$7:$K$38))+1,""),""),ROW()-ROW(A$40)+1))),),"")</f>
        <v>0</v>
      </c>
      <c r="Q68">
        <f t="array" ref="Q68">IFERROR(CONCATENATE((INDEX($T$7:$T$38,SMALL(IF($T$7:$T$38&lt;&gt;"",IF($Q$7:$Q$38&lt;&gt;"",ROW($Q$7:$Q$38)-MIN(ROW($Q$7:$Q$38))+1,""),""),ROW()-ROW(A$40)+1)))," "),"")</f>
        <v>0</v>
      </c>
      <c r="R68">
        <f t="array" ref="R68">IFERROR(CONCATENATE(TEXT(INDEX($Q$7:$Q$38,SMALL(IF($T$7:$T$38&lt;&gt;"",IF($Q$7:$Q$38&lt;&gt;"",ROW($Q$7:$Q$38)-MIN(ROW($Q$7:$Q$38))+1,""),""),ROW()-ROW(A$40)+1)),"##0")," "),"")</f>
        <v>0</v>
      </c>
      <c r="S68">
        <f t="array" ref="S68">IFERROR(CONCATENATE((INDEX($A$7:$A$38,SMALL(IF($T$7:$T$38&lt;&gt;"",IF($Q$7:$Q$38&lt;&gt;"",ROW($Q$7:$Q$38)-MIN(ROW($Q$7:$Q$38))+1,""),""),ROW()-ROW(A$40)+1))),),"")</f>
        <v>0</v>
      </c>
      <c r="W68">
        <f t="array" ref="W68">IFERROR(CONCATENATE((INDEX($Z$7:$Z$38,SMALL(IF($Z$7:$Z$38&lt;&gt;"",IF($W$7:$W$38&lt;&gt;"",ROW($W$7:$W$38)-MIN(ROW($W$7:$W$38))+1,""),""),ROW()-ROW(A$40)+1)))," "),"")</f>
        <v>0</v>
      </c>
      <c r="X68">
        <f t="array" ref="X68">IFERROR(CONCATENATE(TEXT(INDEX($W$7:$W$38,SMALL(IF($Z$7:$Z$38&lt;&gt;"",IF($W$7:$W$38&lt;&gt;"",ROW($W$7:$W$38)-MIN(ROW($W$7:$W$38))+1,""),""),ROW()-ROW(A$40)+1)),"##0")," "),"")</f>
        <v>0</v>
      </c>
      <c r="Y68">
        <f t="array" ref="Y68">IFERROR(CONCATENATE((INDEX($A$7:$A$38,SMALL(IF($Z$7:$Z$38&lt;&gt;"",IF($W$7:$W$38&lt;&gt;"",ROW($W$7:$W$38)-MIN(ROW($W$7:$W$38))+1,""),""),ROW()-ROW(A$40)+1))),),"")</f>
        <v>0</v>
      </c>
    </row>
    <row r="69" spans="11:25">
      <c r="K69">
        <f t="array" ref="K69">IFERROR(CONCATENATE(TEXT(INDEX($K$7:$K$38,SMALL(IF($N$7:$N$38&lt;&gt;"",IF($K$7:$K$38&lt;&gt;"",ROW($K$7:$K$38)-MIN(ROW($K$7:$K$38))+1,""),""),ROW()-ROW(A$40)+1)),"##0"),","),"")</f>
        <v>0</v>
      </c>
      <c r="L69">
        <f t="array" ref="L69">IFERROR(CONCATENATE((INDEX($N$7:$N$38,SMALL(IF($N$7:$N$38&lt;&gt;"",IF($K$7:$K$38&lt;&gt;"",ROW($K$7:$K$38)-MIN(ROW($K$7:$K$38))+1,""),""),ROW()-ROW(A$40)+1))),","),"")</f>
        <v>0</v>
      </c>
      <c r="M69">
        <f t="array" ref="M69">IFERROR(CONCATENATE((INDEX($A$7:$A$38,SMALL(IF($N$7:$N$38&lt;&gt;"",IF($K$7:$K$38&lt;&gt;"",ROW($K$7:$K$38)-MIN(ROW($K$7:$K$38))+1,""),""),ROW()-ROW(A$40)+1))),),"")</f>
        <v>0</v>
      </c>
      <c r="Q69">
        <f t="array" ref="Q69">IFERROR(CONCATENATE((INDEX($T$7:$T$38,SMALL(IF($T$7:$T$38&lt;&gt;"",IF($Q$7:$Q$38&lt;&gt;"",ROW($Q$7:$Q$38)-MIN(ROW($Q$7:$Q$38))+1,""),""),ROW()-ROW(A$40)+1)))," "),"")</f>
        <v>0</v>
      </c>
      <c r="R69">
        <f t="array" ref="R69">IFERROR(CONCATENATE(TEXT(INDEX($Q$7:$Q$38,SMALL(IF($T$7:$T$38&lt;&gt;"",IF($Q$7:$Q$38&lt;&gt;"",ROW($Q$7:$Q$38)-MIN(ROW($Q$7:$Q$38))+1,""),""),ROW()-ROW(A$40)+1)),"##0")," "),"")</f>
        <v>0</v>
      </c>
      <c r="S69">
        <f t="array" ref="S69">IFERROR(CONCATENATE((INDEX($A$7:$A$38,SMALL(IF($T$7:$T$38&lt;&gt;"",IF($Q$7:$Q$38&lt;&gt;"",ROW($Q$7:$Q$38)-MIN(ROW($Q$7:$Q$38))+1,""),""),ROW()-ROW(A$40)+1))),),"")</f>
        <v>0</v>
      </c>
      <c r="W69">
        <f t="array" ref="W69">IFERROR(CONCATENATE((INDEX($Z$7:$Z$38,SMALL(IF($Z$7:$Z$38&lt;&gt;"",IF($W$7:$W$38&lt;&gt;"",ROW($W$7:$W$38)-MIN(ROW($W$7:$W$38))+1,""),""),ROW()-ROW(A$40)+1)))," "),"")</f>
        <v>0</v>
      </c>
      <c r="X69">
        <f t="array" ref="X69">IFERROR(CONCATENATE(TEXT(INDEX($W$7:$W$38,SMALL(IF($Z$7:$Z$38&lt;&gt;"",IF($W$7:$W$38&lt;&gt;"",ROW($W$7:$W$38)-MIN(ROW($W$7:$W$38))+1,""),""),ROW()-ROW(A$40)+1)),"##0")," "),"")</f>
        <v>0</v>
      </c>
      <c r="Y69">
        <f t="array" ref="Y69">IFERROR(CONCATENATE((INDEX($A$7:$A$38,SMALL(IF($Z$7:$Z$38&lt;&gt;"",IF($W$7:$W$38&lt;&gt;"",ROW($W$7:$W$38)-MIN(ROW($W$7:$W$38))+1,""),""),ROW()-ROW(A$40)+1))),),"")</f>
        <v>0</v>
      </c>
    </row>
    <row r="70" spans="11:25">
      <c r="K70">
        <f t="array" ref="K70">IFERROR(CONCATENATE(TEXT(INDEX($K$7:$K$38,SMALL(IF($N$7:$N$38&lt;&gt;"",IF($K$7:$K$38&lt;&gt;"",ROW($K$7:$K$38)-MIN(ROW($K$7:$K$38))+1,""),""),ROW()-ROW(A$40)+1)),"##0"),","),"")</f>
        <v>0</v>
      </c>
      <c r="L70">
        <f t="array" ref="L70">IFERROR(CONCATENATE((INDEX($N$7:$N$38,SMALL(IF($N$7:$N$38&lt;&gt;"",IF($K$7:$K$38&lt;&gt;"",ROW($K$7:$K$38)-MIN(ROW($K$7:$K$38))+1,""),""),ROW()-ROW(A$40)+1))),","),"")</f>
        <v>0</v>
      </c>
      <c r="M70">
        <f t="array" ref="M70">IFERROR(CONCATENATE((INDEX($A$7:$A$38,SMALL(IF($N$7:$N$38&lt;&gt;"",IF($K$7:$K$38&lt;&gt;"",ROW($K$7:$K$38)-MIN(ROW($K$7:$K$38))+1,""),""),ROW()-ROW(A$40)+1))),),"")</f>
        <v>0</v>
      </c>
      <c r="Q70">
        <f t="array" ref="Q70">IFERROR(CONCATENATE((INDEX($T$7:$T$38,SMALL(IF($T$7:$T$38&lt;&gt;"",IF($Q$7:$Q$38&lt;&gt;"",ROW($Q$7:$Q$38)-MIN(ROW($Q$7:$Q$38))+1,""),""),ROW()-ROW(A$40)+1)))," "),"")</f>
        <v>0</v>
      </c>
      <c r="R70">
        <f t="array" ref="R70">IFERROR(CONCATENATE(TEXT(INDEX($Q$7:$Q$38,SMALL(IF($T$7:$T$38&lt;&gt;"",IF($Q$7:$Q$38&lt;&gt;"",ROW($Q$7:$Q$38)-MIN(ROW($Q$7:$Q$38))+1,""),""),ROW()-ROW(A$40)+1)),"##0")," "),"")</f>
        <v>0</v>
      </c>
      <c r="S70">
        <f t="array" ref="S70">IFERROR(CONCATENATE((INDEX($A$7:$A$38,SMALL(IF($T$7:$T$38&lt;&gt;"",IF($Q$7:$Q$38&lt;&gt;"",ROW($Q$7:$Q$38)-MIN(ROW($Q$7:$Q$38))+1,""),""),ROW()-ROW(A$40)+1))),),"")</f>
        <v>0</v>
      </c>
      <c r="W70">
        <f t="array" ref="W70">IFERROR(CONCATENATE((INDEX($Z$7:$Z$38,SMALL(IF($Z$7:$Z$38&lt;&gt;"",IF($W$7:$W$38&lt;&gt;"",ROW($W$7:$W$38)-MIN(ROW($W$7:$W$38))+1,""),""),ROW()-ROW(A$40)+1)))," "),"")</f>
        <v>0</v>
      </c>
      <c r="X70">
        <f t="array" ref="X70">IFERROR(CONCATENATE(TEXT(INDEX($W$7:$W$38,SMALL(IF($Z$7:$Z$38&lt;&gt;"",IF($W$7:$W$38&lt;&gt;"",ROW($W$7:$W$38)-MIN(ROW($W$7:$W$38))+1,""),""),ROW()-ROW(A$40)+1)),"##0")," "),"")</f>
        <v>0</v>
      </c>
      <c r="Y70">
        <f t="array" ref="Y70">IFERROR(CONCATENATE((INDEX($A$7:$A$38,SMALL(IF($Z$7:$Z$38&lt;&gt;"",IF($W$7:$W$38&lt;&gt;"",ROW($W$7:$W$38)-MIN(ROW($W$7:$W$38))+1,""),""),ROW()-ROW(A$40)+1))),),"")</f>
        <v>0</v>
      </c>
    </row>
    <row r="71" spans="11:25">
      <c r="K71">
        <f t="array" ref="K71">IFERROR(CONCATENATE(TEXT(INDEX($K$7:$K$38,SMALL(IF($N$7:$N$38&lt;&gt;"",IF($K$7:$K$38&lt;&gt;"",ROW($K$7:$K$38)-MIN(ROW($K$7:$K$38))+1,""),""),ROW()-ROW(A$40)+1)),"##0"),","),"")</f>
        <v>0</v>
      </c>
      <c r="L71">
        <f t="array" ref="L71">IFERROR(CONCATENATE((INDEX($N$7:$N$38,SMALL(IF($N$7:$N$38&lt;&gt;"",IF($K$7:$K$38&lt;&gt;"",ROW($K$7:$K$38)-MIN(ROW($K$7:$K$38))+1,""),""),ROW()-ROW(A$40)+1))),","),"")</f>
        <v>0</v>
      </c>
      <c r="M71">
        <f t="array" ref="M71">IFERROR(CONCATENATE((INDEX($A$7:$A$38,SMALL(IF($N$7:$N$38&lt;&gt;"",IF($K$7:$K$38&lt;&gt;"",ROW($K$7:$K$38)-MIN(ROW($K$7:$K$38))+1,""),""),ROW()-ROW(A$40)+1))),),"")</f>
        <v>0</v>
      </c>
      <c r="Q71">
        <f t="array" ref="Q71">IFERROR(CONCATENATE((INDEX($T$7:$T$38,SMALL(IF($T$7:$T$38&lt;&gt;"",IF($Q$7:$Q$38&lt;&gt;"",ROW($Q$7:$Q$38)-MIN(ROW($Q$7:$Q$38))+1,""),""),ROW()-ROW(A$40)+1)))," "),"")</f>
        <v>0</v>
      </c>
      <c r="R71">
        <f t="array" ref="R71">IFERROR(CONCATENATE(TEXT(INDEX($Q$7:$Q$38,SMALL(IF($T$7:$T$38&lt;&gt;"",IF($Q$7:$Q$38&lt;&gt;"",ROW($Q$7:$Q$38)-MIN(ROW($Q$7:$Q$38))+1,""),""),ROW()-ROW(A$40)+1)),"##0")," "),"")</f>
        <v>0</v>
      </c>
      <c r="S71">
        <f t="array" ref="S71">IFERROR(CONCATENATE((INDEX($A$7:$A$38,SMALL(IF($T$7:$T$38&lt;&gt;"",IF($Q$7:$Q$38&lt;&gt;"",ROW($Q$7:$Q$38)-MIN(ROW($Q$7:$Q$38))+1,""),""),ROW()-ROW(A$40)+1))),),"")</f>
        <v>0</v>
      </c>
      <c r="W71">
        <f t="array" ref="W71">IFERROR(CONCATENATE((INDEX($Z$7:$Z$38,SMALL(IF($Z$7:$Z$38&lt;&gt;"",IF($W$7:$W$38&lt;&gt;"",ROW($W$7:$W$38)-MIN(ROW($W$7:$W$38))+1,""),""),ROW()-ROW(A$40)+1)))," "),"")</f>
        <v>0</v>
      </c>
      <c r="X71">
        <f t="array" ref="X71">IFERROR(CONCATENATE(TEXT(INDEX($W$7:$W$38,SMALL(IF($Z$7:$Z$38&lt;&gt;"",IF($W$7:$W$38&lt;&gt;"",ROW($W$7:$W$38)-MIN(ROW($W$7:$W$38))+1,""),""),ROW()-ROW(A$40)+1)),"##0")," "),"")</f>
        <v>0</v>
      </c>
      <c r="Y71">
        <f t="array" ref="Y71">IFERROR(CONCATENATE((INDEX($A$7:$A$38,SMALL(IF($Z$7:$Z$38&lt;&gt;"",IF($W$7:$W$38&lt;&gt;"",ROW($W$7:$W$38)-MIN(ROW($W$7:$W$38))+1,""),""),ROW()-ROW(A$40)+1))),),"")</f>
        <v>0</v>
      </c>
    </row>
  </sheetData>
  <mergeCells count="4">
    <mergeCell ref="A5:I5"/>
    <mergeCell ref="J5:O5"/>
    <mergeCell ref="P5:U5"/>
    <mergeCell ref="V5:AA5"/>
  </mergeCells>
  <conditionalFormatting sqref="L10">
    <cfRule type="cellIs" dxfId="0" priority="7" operator="lessThanOrEqual">
      <formula>H10</formula>
    </cfRule>
  </conditionalFormatting>
  <conditionalFormatting sqref="L14">
    <cfRule type="cellIs" dxfId="0" priority="9" operator="lessThanOrEqual">
      <formula>H14</formula>
    </cfRule>
  </conditionalFormatting>
  <conditionalFormatting sqref="L17">
    <cfRule type="cellIs" dxfId="0" priority="11" operator="lessThanOrEqual">
      <formula>H17</formula>
    </cfRule>
  </conditionalFormatting>
  <conditionalFormatting sqref="L19">
    <cfRule type="cellIs" dxfId="0" priority="13" operator="lessThanOrEqual">
      <formula>H19</formula>
    </cfRule>
  </conditionalFormatting>
  <conditionalFormatting sqref="L20">
    <cfRule type="cellIs" dxfId="0" priority="15" operator="lessThanOrEqual">
      <formula>H20</formula>
    </cfRule>
  </conditionalFormatting>
  <conditionalFormatting sqref="L22">
    <cfRule type="cellIs" dxfId="0" priority="17" operator="lessThanOrEqual">
      <formula>H22</formula>
    </cfRule>
  </conditionalFormatting>
  <conditionalFormatting sqref="L23">
    <cfRule type="cellIs" dxfId="0" priority="19" operator="lessThanOrEqual">
      <formula>H23</formula>
    </cfRule>
  </conditionalFormatting>
  <conditionalFormatting sqref="L24">
    <cfRule type="cellIs" dxfId="0" priority="21" operator="lessThanOrEqual">
      <formula>H24</formula>
    </cfRule>
  </conditionalFormatting>
  <conditionalFormatting sqref="L28">
    <cfRule type="cellIs" dxfId="0" priority="23" operator="lessThanOrEqual">
      <formula>H28</formula>
    </cfRule>
  </conditionalFormatting>
  <conditionalFormatting sqref="L29">
    <cfRule type="cellIs" dxfId="0" priority="25" operator="lessThanOrEqual">
      <formula>H29</formula>
    </cfRule>
  </conditionalFormatting>
  <conditionalFormatting sqref="L34">
    <cfRule type="cellIs" dxfId="0" priority="27" operator="lessThanOrEqual">
      <formula>H34</formula>
    </cfRule>
  </conditionalFormatting>
  <conditionalFormatting sqref="L35">
    <cfRule type="cellIs" dxfId="0" priority="29" operator="lessThanOrEqual">
      <formula>H35</formula>
    </cfRule>
  </conditionalFormatting>
  <conditionalFormatting sqref="L36">
    <cfRule type="cellIs" dxfId="0" priority="31" operator="lessThanOrEqual">
      <formula>H36</formula>
    </cfRule>
  </conditionalFormatting>
  <conditionalFormatting sqref="L37">
    <cfRule type="cellIs" dxfId="0" priority="33" operator="lessThanOrEqual">
      <formula>H37</formula>
    </cfRule>
  </conditionalFormatting>
  <conditionalFormatting sqref="L38">
    <cfRule type="cellIs" dxfId="0" priority="35" operator="lessThanOrEqual">
      <formula>H38</formula>
    </cfRule>
  </conditionalFormatting>
  <conditionalFormatting sqref="L7">
    <cfRule type="cellIs" dxfId="0" priority="1" operator="lessThanOrEqual">
      <formula>H7</formula>
    </cfRule>
  </conditionalFormatting>
  <conditionalFormatting sqref="L8">
    <cfRule type="cellIs" dxfId="0" priority="3" operator="lessThanOrEqual">
      <formula>H8</formula>
    </cfRule>
  </conditionalFormatting>
  <conditionalFormatting sqref="L9">
    <cfRule type="cellIs" dxfId="0" priority="5" operator="lessThanOrEqual">
      <formula>H9</formula>
    </cfRule>
  </conditionalFormatting>
  <conditionalFormatting sqref="M10">
    <cfRule type="cellIs" dxfId="0" priority="8" operator="lessThanOrEqual">
      <formula>I10</formula>
    </cfRule>
  </conditionalFormatting>
  <conditionalFormatting sqref="M14">
    <cfRule type="cellIs" dxfId="0" priority="10" operator="lessThanOrEqual">
      <formula>I14</formula>
    </cfRule>
  </conditionalFormatting>
  <conditionalFormatting sqref="M17">
    <cfRule type="cellIs" dxfId="0" priority="12" operator="lessThanOrEqual">
      <formula>I17</formula>
    </cfRule>
  </conditionalFormatting>
  <conditionalFormatting sqref="M19">
    <cfRule type="cellIs" dxfId="0" priority="14" operator="lessThanOrEqual">
      <formula>I19</formula>
    </cfRule>
  </conditionalFormatting>
  <conditionalFormatting sqref="M20">
    <cfRule type="cellIs" dxfId="0" priority="16" operator="lessThanOrEqual">
      <formula>I20</formula>
    </cfRule>
  </conditionalFormatting>
  <conditionalFormatting sqref="M22">
    <cfRule type="cellIs" dxfId="0" priority="18" operator="lessThanOrEqual">
      <formula>I22</formula>
    </cfRule>
  </conditionalFormatting>
  <conditionalFormatting sqref="M23">
    <cfRule type="cellIs" dxfId="0" priority="20" operator="lessThanOrEqual">
      <formula>I23</formula>
    </cfRule>
  </conditionalFormatting>
  <conditionalFormatting sqref="M24">
    <cfRule type="cellIs" dxfId="0" priority="22" operator="lessThanOrEqual">
      <formula>I24</formula>
    </cfRule>
  </conditionalFormatting>
  <conditionalFormatting sqref="M28">
    <cfRule type="cellIs" dxfId="0" priority="24" operator="lessThanOrEqual">
      <formula>I28</formula>
    </cfRule>
  </conditionalFormatting>
  <conditionalFormatting sqref="M29">
    <cfRule type="cellIs" dxfId="0" priority="26" operator="lessThanOrEqual">
      <formula>I29</formula>
    </cfRule>
  </conditionalFormatting>
  <conditionalFormatting sqref="M34">
    <cfRule type="cellIs" dxfId="0" priority="28" operator="lessThanOrEqual">
      <formula>I34</formula>
    </cfRule>
  </conditionalFormatting>
  <conditionalFormatting sqref="M35">
    <cfRule type="cellIs" dxfId="0" priority="30" operator="lessThanOrEqual">
      <formula>I35</formula>
    </cfRule>
  </conditionalFormatting>
  <conditionalFormatting sqref="M36">
    <cfRule type="cellIs" dxfId="0" priority="32" operator="lessThanOrEqual">
      <formula>I36</formula>
    </cfRule>
  </conditionalFormatting>
  <conditionalFormatting sqref="M37">
    <cfRule type="cellIs" dxfId="0" priority="34" operator="lessThanOrEqual">
      <formula>I37</formula>
    </cfRule>
  </conditionalFormatting>
  <conditionalFormatting sqref="M38">
    <cfRule type="cellIs" dxfId="0" priority="36" operator="lessThanOrEqual">
      <formula>I38</formula>
    </cfRule>
  </conditionalFormatting>
  <conditionalFormatting sqref="M7">
    <cfRule type="cellIs" dxfId="0" priority="2" operator="lessThanOrEqual">
      <formula>I7</formula>
    </cfRule>
  </conditionalFormatting>
  <conditionalFormatting sqref="M8">
    <cfRule type="cellIs" dxfId="0" priority="4" operator="lessThanOrEqual">
      <formula>I8</formula>
    </cfRule>
  </conditionalFormatting>
  <conditionalFormatting sqref="M9">
    <cfRule type="cellIs" dxfId="0" priority="6" operator="lessThanOrEqual">
      <formula>I9</formula>
    </cfRule>
  </conditionalFormatting>
  <conditionalFormatting sqref="R10">
    <cfRule type="cellIs" dxfId="0" priority="41" operator="lessThanOrEqual">
      <formula>H10</formula>
    </cfRule>
  </conditionalFormatting>
  <conditionalFormatting sqref="R17">
    <cfRule type="cellIs" dxfId="0" priority="43" operator="lessThanOrEqual">
      <formula>H17</formula>
    </cfRule>
  </conditionalFormatting>
  <conditionalFormatting sqref="R19">
    <cfRule type="cellIs" dxfId="0" priority="45" operator="lessThanOrEqual">
      <formula>H19</formula>
    </cfRule>
  </conditionalFormatting>
  <conditionalFormatting sqref="R24">
    <cfRule type="cellIs" dxfId="0" priority="47" operator="lessThanOrEqual">
      <formula>H24</formula>
    </cfRule>
  </conditionalFormatting>
  <conditionalFormatting sqref="R28">
    <cfRule type="cellIs" dxfId="0" priority="49" operator="lessThanOrEqual">
      <formula>H28</formula>
    </cfRule>
  </conditionalFormatting>
  <conditionalFormatting sqref="R29">
    <cfRule type="cellIs" dxfId="0" priority="51" operator="lessThanOrEqual">
      <formula>H29</formula>
    </cfRule>
  </conditionalFormatting>
  <conditionalFormatting sqref="R34">
    <cfRule type="cellIs" dxfId="0" priority="53" operator="lessThanOrEqual">
      <formula>H34</formula>
    </cfRule>
  </conditionalFormatting>
  <conditionalFormatting sqref="R37">
    <cfRule type="cellIs" dxfId="0" priority="55" operator="lessThanOrEqual">
      <formula>H37</formula>
    </cfRule>
  </conditionalFormatting>
  <conditionalFormatting sqref="R38">
    <cfRule type="cellIs" dxfId="0" priority="57" operator="lessThanOrEqual">
      <formula>H38</formula>
    </cfRule>
  </conditionalFormatting>
  <conditionalFormatting sqref="R8">
    <cfRule type="cellIs" dxfId="0" priority="37" operator="lessThanOrEqual">
      <formula>H8</formula>
    </cfRule>
  </conditionalFormatting>
  <conditionalFormatting sqref="R9">
    <cfRule type="cellIs" dxfId="0" priority="39" operator="lessThanOrEqual">
      <formula>H9</formula>
    </cfRule>
  </conditionalFormatting>
  <conditionalFormatting sqref="S10">
    <cfRule type="cellIs" dxfId="0" priority="42" operator="lessThanOrEqual">
      <formula>I10</formula>
    </cfRule>
  </conditionalFormatting>
  <conditionalFormatting sqref="S17">
    <cfRule type="cellIs" dxfId="0" priority="44" operator="lessThanOrEqual">
      <formula>I17</formula>
    </cfRule>
  </conditionalFormatting>
  <conditionalFormatting sqref="S19">
    <cfRule type="cellIs" dxfId="0" priority="46" operator="lessThanOrEqual">
      <formula>I19</formula>
    </cfRule>
  </conditionalFormatting>
  <conditionalFormatting sqref="S24">
    <cfRule type="cellIs" dxfId="0" priority="48" operator="lessThanOrEqual">
      <formula>I24</formula>
    </cfRule>
  </conditionalFormatting>
  <conditionalFormatting sqref="S28">
    <cfRule type="cellIs" dxfId="0" priority="50" operator="lessThanOrEqual">
      <formula>I28</formula>
    </cfRule>
  </conditionalFormatting>
  <conditionalFormatting sqref="S29">
    <cfRule type="cellIs" dxfId="0" priority="52" operator="lessThanOrEqual">
      <formula>I29</formula>
    </cfRule>
  </conditionalFormatting>
  <conditionalFormatting sqref="S34">
    <cfRule type="cellIs" dxfId="0" priority="54" operator="lessThanOrEqual">
      <formula>I34</formula>
    </cfRule>
  </conditionalFormatting>
  <conditionalFormatting sqref="S37">
    <cfRule type="cellIs" dxfId="0" priority="56" operator="lessThanOrEqual">
      <formula>I37</formula>
    </cfRule>
  </conditionalFormatting>
  <conditionalFormatting sqref="S38">
    <cfRule type="cellIs" dxfId="0" priority="58" operator="lessThanOrEqual">
      <formula>I38</formula>
    </cfRule>
  </conditionalFormatting>
  <conditionalFormatting sqref="S8">
    <cfRule type="cellIs" dxfId="0" priority="38" operator="lessThanOrEqual">
      <formula>I8</formula>
    </cfRule>
  </conditionalFormatting>
  <conditionalFormatting sqref="S9">
    <cfRule type="cellIs" dxfId="0" priority="40" operator="lessThanOrEqual">
      <formula>I9</formula>
    </cfRule>
  </conditionalFormatting>
  <conditionalFormatting sqref="X10">
    <cfRule type="cellIs" dxfId="0" priority="65" operator="lessThanOrEqual">
      <formula>H10</formula>
    </cfRule>
  </conditionalFormatting>
  <conditionalFormatting sqref="X14">
    <cfRule type="cellIs" dxfId="0" priority="67" operator="lessThanOrEqual">
      <formula>H14</formula>
    </cfRule>
  </conditionalFormatting>
  <conditionalFormatting sqref="X17">
    <cfRule type="cellIs" dxfId="0" priority="69" operator="lessThanOrEqual">
      <formula>H17</formula>
    </cfRule>
  </conditionalFormatting>
  <conditionalFormatting sqref="X19">
    <cfRule type="cellIs" dxfId="0" priority="71" operator="lessThanOrEqual">
      <formula>H19</formula>
    </cfRule>
  </conditionalFormatting>
  <conditionalFormatting sqref="X20">
    <cfRule type="cellIs" dxfId="0" priority="73" operator="lessThanOrEqual">
      <formula>H20</formula>
    </cfRule>
  </conditionalFormatting>
  <conditionalFormatting sqref="X22">
    <cfRule type="cellIs" dxfId="0" priority="75" operator="lessThanOrEqual">
      <formula>H22</formula>
    </cfRule>
  </conditionalFormatting>
  <conditionalFormatting sqref="X23">
    <cfRule type="cellIs" dxfId="0" priority="77" operator="lessThanOrEqual">
      <formula>H23</formula>
    </cfRule>
  </conditionalFormatting>
  <conditionalFormatting sqref="X24">
    <cfRule type="cellIs" dxfId="0" priority="79" operator="lessThanOrEqual">
      <formula>H24</formula>
    </cfRule>
  </conditionalFormatting>
  <conditionalFormatting sqref="X28">
    <cfRule type="cellIs" dxfId="0" priority="81" operator="lessThanOrEqual">
      <formula>H28</formula>
    </cfRule>
  </conditionalFormatting>
  <conditionalFormatting sqref="X29">
    <cfRule type="cellIs" dxfId="0" priority="83" operator="lessThanOrEqual">
      <formula>H29</formula>
    </cfRule>
  </conditionalFormatting>
  <conditionalFormatting sqref="X34">
    <cfRule type="cellIs" dxfId="0" priority="85" operator="lessThanOrEqual">
      <formula>H34</formula>
    </cfRule>
  </conditionalFormatting>
  <conditionalFormatting sqref="X35">
    <cfRule type="cellIs" dxfId="0" priority="87" operator="lessThanOrEqual">
      <formula>H35</formula>
    </cfRule>
  </conditionalFormatting>
  <conditionalFormatting sqref="X36">
    <cfRule type="cellIs" dxfId="0" priority="89" operator="lessThanOrEqual">
      <formula>H36</formula>
    </cfRule>
  </conditionalFormatting>
  <conditionalFormatting sqref="X37">
    <cfRule type="cellIs" dxfId="0" priority="91" operator="lessThanOrEqual">
      <formula>H37</formula>
    </cfRule>
  </conditionalFormatting>
  <conditionalFormatting sqref="X7">
    <cfRule type="cellIs" dxfId="0" priority="59" operator="lessThanOrEqual">
      <formula>H7</formula>
    </cfRule>
  </conditionalFormatting>
  <conditionalFormatting sqref="X8">
    <cfRule type="cellIs" dxfId="0" priority="61" operator="lessThanOrEqual">
      <formula>H8</formula>
    </cfRule>
  </conditionalFormatting>
  <conditionalFormatting sqref="X9">
    <cfRule type="cellIs" dxfId="0" priority="63" operator="lessThanOrEqual">
      <formula>H9</formula>
    </cfRule>
  </conditionalFormatting>
  <conditionalFormatting sqref="Y10">
    <cfRule type="cellIs" dxfId="0" priority="66" operator="lessThanOrEqual">
      <formula>I10</formula>
    </cfRule>
  </conditionalFormatting>
  <conditionalFormatting sqref="Y14">
    <cfRule type="cellIs" dxfId="0" priority="68" operator="lessThanOrEqual">
      <formula>I14</formula>
    </cfRule>
  </conditionalFormatting>
  <conditionalFormatting sqref="Y17">
    <cfRule type="cellIs" dxfId="0" priority="70" operator="lessThanOrEqual">
      <formula>I17</formula>
    </cfRule>
  </conditionalFormatting>
  <conditionalFormatting sqref="Y19">
    <cfRule type="cellIs" dxfId="0" priority="72" operator="lessThanOrEqual">
      <formula>I19</formula>
    </cfRule>
  </conditionalFormatting>
  <conditionalFormatting sqref="Y20">
    <cfRule type="cellIs" dxfId="0" priority="74" operator="lessThanOrEqual">
      <formula>I20</formula>
    </cfRule>
  </conditionalFormatting>
  <conditionalFormatting sqref="Y22">
    <cfRule type="cellIs" dxfId="0" priority="76" operator="lessThanOrEqual">
      <formula>I22</formula>
    </cfRule>
  </conditionalFormatting>
  <conditionalFormatting sqref="Y23">
    <cfRule type="cellIs" dxfId="0" priority="78" operator="lessThanOrEqual">
      <formula>I23</formula>
    </cfRule>
  </conditionalFormatting>
  <conditionalFormatting sqref="Y24">
    <cfRule type="cellIs" dxfId="0" priority="80" operator="lessThanOrEqual">
      <formula>I24</formula>
    </cfRule>
  </conditionalFormatting>
  <conditionalFormatting sqref="Y28">
    <cfRule type="cellIs" dxfId="0" priority="82" operator="lessThanOrEqual">
      <formula>I28</formula>
    </cfRule>
  </conditionalFormatting>
  <conditionalFormatting sqref="Y29">
    <cfRule type="cellIs" dxfId="0" priority="84" operator="lessThanOrEqual">
      <formula>I29</formula>
    </cfRule>
  </conditionalFormatting>
  <conditionalFormatting sqref="Y34">
    <cfRule type="cellIs" dxfId="0" priority="86" operator="lessThanOrEqual">
      <formula>I34</formula>
    </cfRule>
  </conditionalFormatting>
  <conditionalFormatting sqref="Y35">
    <cfRule type="cellIs" dxfId="0" priority="88" operator="lessThanOrEqual">
      <formula>I35</formula>
    </cfRule>
  </conditionalFormatting>
  <conditionalFormatting sqref="Y36">
    <cfRule type="cellIs" dxfId="0" priority="90" operator="lessThanOrEqual">
      <formula>I36</formula>
    </cfRule>
  </conditionalFormatting>
  <conditionalFormatting sqref="Y37">
    <cfRule type="cellIs" dxfId="0" priority="92" operator="lessThanOrEqual">
      <formula>I37</formula>
    </cfRule>
  </conditionalFormatting>
  <conditionalFormatting sqref="Y7">
    <cfRule type="cellIs" dxfId="0" priority="60" operator="lessThanOrEqual">
      <formula>I7</formula>
    </cfRule>
  </conditionalFormatting>
  <conditionalFormatting sqref="Y8">
    <cfRule type="cellIs" dxfId="0" priority="62" operator="lessThanOrEqual">
      <formula>I8</formula>
    </cfRule>
  </conditionalFormatting>
  <conditionalFormatting sqref="Y9">
    <cfRule type="cellIs" dxfId="0" priority="64" operator="lessThanOrEqual">
      <formula>I9</formula>
    </cfRule>
  </conditionalFormatting>
  <hyperlinks>
    <hyperlink ref="O7" r:id="rId1"/>
    <hyperlink ref="U7" r:id="rId2"/>
    <hyperlink ref="AA7" r:id="rId3"/>
    <hyperlink ref="O8" r:id="rId4"/>
    <hyperlink ref="U8" r:id="rId5"/>
    <hyperlink ref="AA8" r:id="rId6"/>
    <hyperlink ref="O9" r:id="rId7"/>
    <hyperlink ref="U9" r:id="rId8"/>
    <hyperlink ref="AA9" r:id="rId9"/>
    <hyperlink ref="O10" r:id="rId10"/>
    <hyperlink ref="U10" r:id="rId11"/>
    <hyperlink ref="AA10" r:id="rId12"/>
    <hyperlink ref="O14" r:id="rId13"/>
    <hyperlink ref="AA14" r:id="rId14"/>
    <hyperlink ref="O17" r:id="rId15"/>
    <hyperlink ref="U17" r:id="rId16"/>
    <hyperlink ref="AA17" r:id="rId17"/>
    <hyperlink ref="O19" r:id="rId18"/>
    <hyperlink ref="U19" r:id="rId19"/>
    <hyperlink ref="AA19" r:id="rId20"/>
    <hyperlink ref="O20" r:id="rId21"/>
    <hyperlink ref="AA20" r:id="rId22"/>
    <hyperlink ref="O22" r:id="rId23"/>
    <hyperlink ref="AA22" r:id="rId24"/>
    <hyperlink ref="O23" r:id="rId25"/>
    <hyperlink ref="U23" r:id="rId26"/>
    <hyperlink ref="AA23" r:id="rId27"/>
    <hyperlink ref="O24" r:id="rId28"/>
    <hyperlink ref="U24" r:id="rId29"/>
    <hyperlink ref="AA24" r:id="rId30"/>
    <hyperlink ref="O28" r:id="rId31"/>
    <hyperlink ref="U28" r:id="rId32"/>
    <hyperlink ref="AA28" r:id="rId33"/>
    <hyperlink ref="O29" r:id="rId34"/>
    <hyperlink ref="U29" r:id="rId35"/>
    <hyperlink ref="AA29" r:id="rId36"/>
    <hyperlink ref="O32" r:id="rId37"/>
    <hyperlink ref="O34" r:id="rId38"/>
    <hyperlink ref="U34" r:id="rId39"/>
    <hyperlink ref="AA34" r:id="rId40"/>
    <hyperlink ref="O35" r:id="rId41"/>
    <hyperlink ref="AA35" r:id="rId42"/>
    <hyperlink ref="O36" r:id="rId43"/>
    <hyperlink ref="AA36" r:id="rId44"/>
    <hyperlink ref="O37" r:id="rId45"/>
    <hyperlink ref="U37" r:id="rId46"/>
    <hyperlink ref="AA37" r:id="rId47"/>
    <hyperlink ref="O38" r:id="rId48"/>
    <hyperlink ref="U38" r:id="rId49"/>
  </hyperlinks>
  <pageMargins left="0.7" right="0.7" top="0.75" bottom="0.75" header="0.3" footer="0.3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test3</vt:lpstr>
      <vt:lpstr>BoardQty</vt:lpstr>
      <vt:lpstr>digikey_part_data</vt:lpstr>
      <vt:lpstr>farnell_part_data</vt:lpstr>
      <vt:lpstr>global_part_data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2017-02-12T10:33:43Z</dcterms:created>
  <dcterms:modified xsi:type="dcterms:W3CDTF">2017-02-12T10:33:43Z</dcterms:modified>
</cp:coreProperties>
</file>