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X16" i="1" l="1"/>
  <c r="W16" i="1"/>
  <c r="V17" i="1"/>
  <c r="V18" i="1"/>
  <c r="V19" i="1"/>
  <c r="V20" i="1"/>
  <c r="V21" i="1"/>
  <c r="V22" i="1"/>
  <c r="V23" i="1"/>
  <c r="V24" i="1"/>
  <c r="V25" i="1"/>
  <c r="V26" i="1"/>
  <c r="V16" i="1"/>
  <c r="U16" i="1"/>
  <c r="T16" i="1"/>
  <c r="S17" i="1"/>
  <c r="S18" i="1"/>
  <c r="S19" i="1"/>
  <c r="S20" i="1"/>
  <c r="S21" i="1"/>
  <c r="S22" i="1"/>
  <c r="S23" i="1"/>
  <c r="S24" i="1"/>
  <c r="S25" i="1"/>
  <c r="S26" i="1"/>
  <c r="S16" i="1"/>
  <c r="R16" i="1"/>
  <c r="Q17" i="1"/>
  <c r="Q18" i="1"/>
  <c r="Q19" i="1"/>
  <c r="Q20" i="1"/>
  <c r="Q21" i="1"/>
  <c r="Q22" i="1"/>
  <c r="Q23" i="1"/>
  <c r="Q24" i="1"/>
  <c r="Q25" i="1"/>
  <c r="Q26" i="1"/>
  <c r="Q16" i="1"/>
  <c r="P26" i="1"/>
  <c r="P25" i="1"/>
  <c r="P24" i="1"/>
  <c r="P23" i="1"/>
  <c r="P22" i="1"/>
  <c r="P21" i="1"/>
  <c r="P20" i="1"/>
  <c r="P19" i="1"/>
  <c r="P16" i="1"/>
  <c r="P17" i="1"/>
  <c r="P18" i="1"/>
  <c r="O26" i="1"/>
  <c r="O25" i="1"/>
  <c r="O24" i="1"/>
  <c r="O23" i="1"/>
  <c r="O22" i="1"/>
  <c r="O21" i="1"/>
  <c r="O20" i="1"/>
  <c r="O19" i="1"/>
  <c r="O18" i="1"/>
  <c r="O17" i="1"/>
  <c r="O16" i="1"/>
  <c r="M16" i="1" l="1"/>
  <c r="L16" i="1"/>
  <c r="K16" i="1"/>
  <c r="J16" i="1"/>
  <c r="I17" i="1"/>
  <c r="I18" i="1"/>
  <c r="I19" i="1"/>
  <c r="I20" i="1"/>
  <c r="I21" i="1"/>
  <c r="I22" i="1"/>
  <c r="I23" i="1"/>
  <c r="I24" i="1"/>
  <c r="I16" i="1"/>
  <c r="H16" i="1"/>
  <c r="G16" i="1"/>
  <c r="F17" i="1"/>
  <c r="F18" i="1"/>
  <c r="F19" i="1"/>
  <c r="F20" i="1"/>
  <c r="F21" i="1"/>
  <c r="F22" i="1"/>
  <c r="F23" i="1"/>
  <c r="F24" i="1"/>
  <c r="F16" i="1"/>
  <c r="E16" i="1"/>
  <c r="D17" i="1"/>
  <c r="D18" i="1"/>
  <c r="D19" i="1"/>
  <c r="D20" i="1"/>
  <c r="D21" i="1"/>
  <c r="D22" i="1"/>
  <c r="D23" i="1"/>
  <c r="D24" i="1"/>
  <c r="D16" i="1"/>
  <c r="C17" i="1"/>
  <c r="C18" i="1"/>
  <c r="C19" i="1"/>
  <c r="C20" i="1"/>
  <c r="C21" i="1"/>
  <c r="C22" i="1"/>
  <c r="C23" i="1"/>
  <c r="C24" i="1"/>
  <c r="C16" i="1"/>
  <c r="B17" i="1"/>
  <c r="B18" i="1"/>
  <c r="B19" i="1"/>
  <c r="B20" i="1"/>
  <c r="B21" i="1"/>
  <c r="B22" i="1"/>
  <c r="B23" i="1"/>
  <c r="B24" i="1"/>
  <c r="B16" i="1"/>
  <c r="A17" i="1"/>
  <c r="A18" i="1"/>
  <c r="A19" i="1"/>
  <c r="A20" i="1"/>
  <c r="A21" i="1"/>
  <c r="A22" i="1"/>
  <c r="A23" i="1"/>
  <c r="A24" i="1"/>
  <c r="A16" i="1"/>
  <c r="A3" i="1" l="1"/>
  <c r="G4" i="1"/>
  <c r="G5" i="1"/>
  <c r="G6" i="1"/>
  <c r="G7" i="1"/>
  <c r="G8" i="1"/>
  <c r="G9" i="1"/>
  <c r="G10" i="1"/>
  <c r="G11" i="1"/>
  <c r="G12" i="1"/>
  <c r="G13" i="1"/>
  <c r="G3" i="1"/>
  <c r="T4" i="1"/>
  <c r="T5" i="1"/>
  <c r="T6" i="1"/>
  <c r="T3" i="1"/>
  <c r="S6" i="1"/>
  <c r="S5" i="1"/>
  <c r="S4" i="1"/>
  <c r="S3" i="1"/>
  <c r="R6" i="1"/>
  <c r="R5" i="1"/>
  <c r="R4" i="1"/>
  <c r="R3" i="1"/>
  <c r="Q6" i="1"/>
  <c r="Q5" i="1"/>
  <c r="Q4" i="1"/>
  <c r="Q3" i="1"/>
  <c r="P6" i="1"/>
  <c r="P5" i="1"/>
  <c r="P4" i="1"/>
  <c r="P3" i="1"/>
  <c r="N4" i="1"/>
  <c r="N5" i="1"/>
  <c r="N6" i="1"/>
  <c r="N7" i="1"/>
  <c r="N8" i="1"/>
  <c r="N9" i="1"/>
  <c r="N10" i="1"/>
  <c r="N11" i="1"/>
  <c r="N3" i="1"/>
  <c r="M4" i="1"/>
  <c r="M5" i="1"/>
  <c r="M6" i="1"/>
  <c r="M7" i="1"/>
  <c r="M8" i="1"/>
  <c r="M9" i="1"/>
  <c r="M10" i="1"/>
  <c r="M11" i="1"/>
  <c r="M3" i="1"/>
  <c r="L11" i="1"/>
  <c r="L4" i="1"/>
  <c r="L5" i="1"/>
  <c r="L6" i="1"/>
  <c r="L7" i="1"/>
  <c r="L8" i="1"/>
  <c r="L9" i="1"/>
  <c r="L10" i="1"/>
  <c r="L3" i="1"/>
  <c r="K11" i="1"/>
  <c r="K10" i="1"/>
  <c r="K9" i="1"/>
  <c r="K8" i="1"/>
  <c r="K7" i="1"/>
  <c r="K6" i="1"/>
  <c r="K5" i="1"/>
  <c r="K4" i="1"/>
  <c r="K3" i="1"/>
  <c r="J11" i="1"/>
  <c r="J10" i="1"/>
  <c r="J9" i="1"/>
  <c r="J8" i="1"/>
  <c r="J7" i="1"/>
  <c r="J6" i="1"/>
  <c r="J5" i="1"/>
  <c r="J4" i="1"/>
  <c r="J3" i="1"/>
  <c r="I11" i="1"/>
  <c r="I10" i="1"/>
  <c r="I9" i="1"/>
  <c r="I8" i="1"/>
  <c r="I7" i="1"/>
  <c r="I6" i="1"/>
  <c r="I5" i="1"/>
  <c r="I4" i="1"/>
  <c r="I3" i="1"/>
  <c r="H7" i="1"/>
  <c r="H8" i="1" s="1"/>
  <c r="H9" i="1" s="1"/>
  <c r="H10" i="1" s="1"/>
  <c r="H11" i="1" s="1"/>
  <c r="H6" i="1"/>
  <c r="H5" i="1"/>
  <c r="H4" i="1"/>
  <c r="H3" i="1"/>
  <c r="F4" i="1" l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D4" i="1"/>
  <c r="D5" i="1"/>
  <c r="D6" i="1"/>
  <c r="D7" i="1"/>
  <c r="D8" i="1"/>
  <c r="D9" i="1"/>
  <c r="D10" i="1"/>
  <c r="D11" i="1"/>
  <c r="D12" i="1"/>
  <c r="D13" i="1"/>
  <c r="D3" i="1"/>
  <c r="A13" i="1"/>
  <c r="A5" i="1"/>
  <c r="A6" i="1"/>
  <c r="A7" i="1" s="1"/>
  <c r="A8" i="1" s="1"/>
  <c r="A9" i="1" s="1"/>
  <c r="A10" i="1" s="1"/>
  <c r="A11" i="1" s="1"/>
  <c r="A12" i="1" s="1"/>
  <c r="A4" i="1"/>
  <c r="C13" i="1"/>
  <c r="C12" i="1"/>
  <c r="C11" i="1"/>
  <c r="C10" i="1"/>
  <c r="C9" i="1"/>
  <c r="C8" i="1"/>
  <c r="C7" i="1"/>
  <c r="C6" i="1"/>
  <c r="C5" i="1"/>
  <c r="C4" i="1"/>
  <c r="C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<sst xmlns="http://schemas.openxmlformats.org/spreadsheetml/2006/main" count="44" uniqueCount="28">
  <si>
    <t>C, мкФ</t>
  </si>
  <si>
    <t>x, мс</t>
  </si>
  <si>
    <t>n</t>
  </si>
  <si>
    <t>T</t>
  </si>
  <si>
    <t>sigma</t>
  </si>
  <si>
    <t>epsilon</t>
  </si>
  <si>
    <t>R, кОм</t>
  </si>
  <si>
    <t>U0, дел</t>
  </si>
  <si>
    <t>Un, дел</t>
  </si>
  <si>
    <t>theta</t>
  </si>
  <si>
    <t>r0, дел</t>
  </si>
  <si>
    <t>rn, дел</t>
  </si>
  <si>
    <t>Tтеор</t>
  </si>
  <si>
    <t>Rконт</t>
  </si>
  <si>
    <t>1/R^2</t>
  </si>
  <si>
    <t>1/theta^2</t>
  </si>
  <si>
    <t>XY</t>
  </si>
  <si>
    <t>&lt;XY&gt;</t>
  </si>
  <si>
    <t>X^2</t>
  </si>
  <si>
    <t>&lt;X^2&gt;</t>
  </si>
  <si>
    <t>k</t>
  </si>
  <si>
    <t>y^2</t>
  </si>
  <si>
    <t>&lt;y^2&gt;</t>
  </si>
  <si>
    <t>Rкр</t>
  </si>
  <si>
    <t>sigma Rкр</t>
  </si>
  <si>
    <t>Tэксп</t>
  </si>
  <si>
    <t>Y^2</t>
  </si>
  <si>
    <t>&lt;Y^2&gt;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</si>
</sst>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6"/>
  <sheetViews>
    <sheetView tabSelected="1" topLeftCell="F5" workbookViewId="0">
      <selection activeCell="X16" sqref="X16"/>
    </sheetView>
  </sheetViews>
  <sheetFormatPr defaultRowHeight="15" x14ac:dyDescent="0.25"/>
  <cols>
    <col min="2" max="2" width="12" bestFit="1" customWidth="1"/>
    <col min="4" max="4" width="12" bestFit="1" customWidth="1"/>
    <col min="5" max="6" width="11" bestFit="1" customWidth="1"/>
    <col min="7" max="7" width="12" bestFit="1" customWidth="1"/>
  </cols>
  <sheetData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6</v>
      </c>
      <c r="I2" t="s">
        <v>7</v>
      </c>
      <c r="J2" t="s">
        <v>8</v>
      </c>
      <c r="K2" t="s">
        <v>2</v>
      </c>
      <c r="L2" t="s">
        <v>9</v>
      </c>
      <c r="M2" t="s">
        <v>4</v>
      </c>
      <c r="N2" t="s">
        <v>5</v>
      </c>
      <c r="P2" t="s">
        <v>6</v>
      </c>
      <c r="Q2" t="s">
        <v>10</v>
      </c>
      <c r="R2" t="s">
        <v>11</v>
      </c>
      <c r="S2" t="s">
        <v>2</v>
      </c>
      <c r="T2" t="s">
        <v>9</v>
      </c>
      <c r="U2" t="s">
        <v>4</v>
      </c>
      <c r="V2" t="s">
        <v>5</v>
      </c>
    </row>
    <row r="3" spans="1:24" x14ac:dyDescent="0.25">
      <c r="A3">
        <f>0.02</f>
        <v>0.02</v>
      </c>
      <c r="B3">
        <f>4.7</f>
        <v>4.7</v>
      </c>
      <c r="C3">
        <f>14</f>
        <v>14</v>
      </c>
      <c r="D3">
        <f>0.01*B3/(C3*10.4)*1000</f>
        <v>0.32280219780219782</v>
      </c>
      <c r="E3">
        <f>D3*SQRT((0.1/B3)*(0.1/B3)+(0.1/5.2)*(0.1/5.2))</f>
        <v>9.2578185275121825E-3</v>
      </c>
      <c r="F3">
        <f>E3/D3*100</f>
        <v>2.8679539949059016</v>
      </c>
      <c r="G3">
        <f>2*3.14*SQRT(145/1000*A3)</f>
        <v>0.33818834988804686</v>
      </c>
      <c r="H3">
        <f>1</f>
        <v>1</v>
      </c>
      <c r="I3">
        <f>6.8</f>
        <v>6.8</v>
      </c>
      <c r="J3">
        <f>0.4</f>
        <v>0.4</v>
      </c>
      <c r="K3">
        <f>4</f>
        <v>4</v>
      </c>
      <c r="L3">
        <f>1/K3*LN(I3/J3)</f>
        <v>0.70830333601405404</v>
      </c>
      <c r="M3">
        <f>L3*SQRT((0.1/I3)*(0.1/I3)+(0.1/J3)*(0.1/J3))</f>
        <v>0.17738192901849881</v>
      </c>
      <c r="N3">
        <f>M3/L3*100</f>
        <v>25.043215244009414</v>
      </c>
      <c r="P3">
        <f>1</f>
        <v>1</v>
      </c>
      <c r="Q3">
        <f>4.6</f>
        <v>4.5999999999999996</v>
      </c>
      <c r="R3">
        <f>1.2</f>
        <v>1.2</v>
      </c>
      <c r="S3">
        <f>2</f>
        <v>2</v>
      </c>
      <c r="T3">
        <f>1/S3*LN(Q3/R3)</f>
        <v>0.67186737335054736</v>
      </c>
    </row>
    <row r="4" spans="1:24" x14ac:dyDescent="0.25">
      <c r="A4">
        <f>A3+0.09</f>
        <v>0.11</v>
      </c>
      <c r="B4">
        <f>8.6</f>
        <v>8.6</v>
      </c>
      <c r="C4">
        <f>11</f>
        <v>11</v>
      </c>
      <c r="D4">
        <f t="shared" ref="D4:D13" si="0">0.01*B4/(C4*10.4)*1000</f>
        <v>0.75174825174825166</v>
      </c>
      <c r="E4">
        <f t="shared" ref="E4:E13" si="1">D4*SQRT((0.1/B4)*(0.1/B4)+(0.1/5.2)*(0.1/5.2))</f>
        <v>1.6893954446478097E-2</v>
      </c>
      <c r="F4">
        <f t="shared" ref="F4:F13" si="2">E4/D4*100</f>
        <v>2.247288824043133</v>
      </c>
      <c r="G4">
        <f t="shared" ref="G4:G13" si="3">2*3.14*SQRT(145/1000*A4)</f>
        <v>0.7931219830517876</v>
      </c>
      <c r="H4">
        <f>1.25</f>
        <v>1.25</v>
      </c>
      <c r="I4">
        <f>5.8</f>
        <v>5.8</v>
      </c>
      <c r="J4">
        <f>0.4</f>
        <v>0.4</v>
      </c>
      <c r="K4">
        <f>3</f>
        <v>3</v>
      </c>
      <c r="L4">
        <f t="shared" ref="L4:L11" si="4">1/K4*LN(I4/J4)</f>
        <v>0.89138288314217617</v>
      </c>
      <c r="M4">
        <f t="shared" ref="M4:M11" si="5">L4*SQRT((0.1/I4)*(0.1/I4)+(0.1/J4)*(0.1/J4))</f>
        <v>0.22337504628373742</v>
      </c>
      <c r="N4">
        <f t="shared" ref="N4:N11" si="6">M4/L4*100</f>
        <v>25.059382506463159</v>
      </c>
      <c r="P4">
        <f>1.25</f>
        <v>1.25</v>
      </c>
      <c r="Q4">
        <f>5.6</f>
        <v>5.6</v>
      </c>
      <c r="R4">
        <f>1.1</f>
        <v>1.1000000000000001</v>
      </c>
      <c r="S4">
        <f>2</f>
        <v>2</v>
      </c>
      <c r="T4">
        <f t="shared" ref="T4:T6" si="7">1/S4*LN(Q4/R4)</f>
        <v>0.81372820896838927</v>
      </c>
    </row>
    <row r="5" spans="1:24" x14ac:dyDescent="0.25">
      <c r="A5">
        <f t="shared" ref="A5:A12" si="8">A4+0.09</f>
        <v>0.2</v>
      </c>
      <c r="B5">
        <f>9.4</f>
        <v>9.4</v>
      </c>
      <c r="C5">
        <f>9</f>
        <v>9</v>
      </c>
      <c r="D5">
        <f t="shared" si="0"/>
        <v>1.0042735042735043</v>
      </c>
      <c r="E5">
        <f t="shared" si="1"/>
        <v>2.2071086459559144E-2</v>
      </c>
      <c r="F5">
        <f t="shared" si="2"/>
        <v>2.197716694270996</v>
      </c>
      <c r="G5">
        <f t="shared" si="3"/>
        <v>1.069445463780178</v>
      </c>
      <c r="H5">
        <f>1.5</f>
        <v>1.5</v>
      </c>
      <c r="I5">
        <f>5</f>
        <v>5</v>
      </c>
      <c r="J5">
        <f>0.2</f>
        <v>0.2</v>
      </c>
      <c r="K5">
        <f>3</f>
        <v>3</v>
      </c>
      <c r="L5">
        <f t="shared" si="4"/>
        <v>1.0729586082894</v>
      </c>
      <c r="M5">
        <f t="shared" si="5"/>
        <v>0.53690831605183997</v>
      </c>
      <c r="N5">
        <f t="shared" si="6"/>
        <v>50.039984012787222</v>
      </c>
      <c r="P5">
        <f>2.75</f>
        <v>2.75</v>
      </c>
      <c r="Q5">
        <f>4.2</f>
        <v>4.2</v>
      </c>
      <c r="R5">
        <f>0.6</f>
        <v>0.6</v>
      </c>
      <c r="S5">
        <f>1</f>
        <v>1</v>
      </c>
      <c r="T5">
        <f t="shared" si="7"/>
        <v>1.9459101490553135</v>
      </c>
    </row>
    <row r="6" spans="1:24" x14ac:dyDescent="0.25">
      <c r="A6">
        <f t="shared" si="8"/>
        <v>0.29000000000000004</v>
      </c>
      <c r="B6">
        <f>8.8</f>
        <v>8.8000000000000007</v>
      </c>
      <c r="C6">
        <f>7</f>
        <v>7</v>
      </c>
      <c r="D6">
        <f t="shared" si="0"/>
        <v>1.2087912087912089</v>
      </c>
      <c r="E6">
        <f t="shared" si="1"/>
        <v>2.7001124977135759E-2</v>
      </c>
      <c r="F6">
        <f t="shared" si="2"/>
        <v>2.2337294299266852</v>
      </c>
      <c r="G6">
        <f t="shared" si="3"/>
        <v>1.2877828698969405</v>
      </c>
      <c r="H6">
        <f>H5+0.25</f>
        <v>1.75</v>
      </c>
      <c r="I6">
        <f>4.2</f>
        <v>4.2</v>
      </c>
      <c r="J6">
        <f>0.4</f>
        <v>0.4</v>
      </c>
      <c r="K6">
        <f>2</f>
        <v>2</v>
      </c>
      <c r="L6">
        <f t="shared" si="4"/>
        <v>1.1756876285817388</v>
      </c>
      <c r="M6">
        <f t="shared" si="5"/>
        <v>0.29525187731850294</v>
      </c>
      <c r="N6">
        <f t="shared" si="6"/>
        <v>25.113122749677363</v>
      </c>
      <c r="P6">
        <f>3</f>
        <v>3</v>
      </c>
      <c r="Q6">
        <f>4.6</f>
        <v>4.5999999999999996</v>
      </c>
      <c r="R6">
        <f>0.6</f>
        <v>0.6</v>
      </c>
      <c r="S6">
        <f>1</f>
        <v>1</v>
      </c>
      <c r="T6">
        <f t="shared" si="7"/>
        <v>2.0368819272610401</v>
      </c>
    </row>
    <row r="7" spans="1:24" x14ac:dyDescent="0.25">
      <c r="A7">
        <f t="shared" si="8"/>
        <v>0.38</v>
      </c>
      <c r="B7">
        <f>8.6</f>
        <v>8.6</v>
      </c>
      <c r="C7">
        <f>6</f>
        <v>6</v>
      </c>
      <c r="D7">
        <f t="shared" si="0"/>
        <v>1.378205128205128</v>
      </c>
      <c r="E7">
        <f t="shared" si="1"/>
        <v>3.0972249818543175E-2</v>
      </c>
      <c r="F7">
        <f t="shared" si="2"/>
        <v>2.247288824043133</v>
      </c>
      <c r="G7">
        <f t="shared" si="3"/>
        <v>1.474128841044771</v>
      </c>
      <c r="H7">
        <f t="shared" ref="H7:H11" si="9">H6+0.25</f>
        <v>2</v>
      </c>
      <c r="I7">
        <f>3.2</f>
        <v>3.2</v>
      </c>
      <c r="J7">
        <f>0.2</f>
        <v>0.2</v>
      </c>
      <c r="K7">
        <f>2</f>
        <v>2</v>
      </c>
      <c r="L7">
        <f t="shared" si="4"/>
        <v>1.3862943611198906</v>
      </c>
      <c r="M7">
        <f t="shared" si="5"/>
        <v>0.69449966414953679</v>
      </c>
      <c r="N7">
        <f t="shared" si="6"/>
        <v>50.09756106837937</v>
      </c>
    </row>
    <row r="8" spans="1:24" x14ac:dyDescent="0.25">
      <c r="A8">
        <f t="shared" si="8"/>
        <v>0.47</v>
      </c>
      <c r="B8">
        <f>8</f>
        <v>8</v>
      </c>
      <c r="C8">
        <f>5</f>
        <v>5</v>
      </c>
      <c r="D8">
        <f t="shared" si="0"/>
        <v>1.5384615384615385</v>
      </c>
      <c r="E8">
        <f t="shared" si="1"/>
        <v>3.5286569354664392E-2</v>
      </c>
      <c r="F8">
        <f t="shared" si="2"/>
        <v>2.2936270080531855</v>
      </c>
      <c r="G8">
        <f t="shared" si="3"/>
        <v>1.6394288517651505</v>
      </c>
      <c r="H8">
        <f t="shared" si="9"/>
        <v>2.25</v>
      </c>
      <c r="I8">
        <f>7.4</f>
        <v>7.4</v>
      </c>
      <c r="J8">
        <f>0.4</f>
        <v>0.4</v>
      </c>
      <c r="K8">
        <f>2</f>
        <v>2</v>
      </c>
      <c r="L8">
        <f t="shared" si="4"/>
        <v>1.4588853660421395</v>
      </c>
      <c r="M8">
        <f t="shared" si="5"/>
        <v>0.3652537817086226</v>
      </c>
      <c r="N8">
        <f t="shared" si="6"/>
        <v>25.036496369795813</v>
      </c>
    </row>
    <row r="9" spans="1:24" x14ac:dyDescent="0.25">
      <c r="A9">
        <f t="shared" si="8"/>
        <v>0.55999999999999994</v>
      </c>
      <c r="B9">
        <f>8.8</f>
        <v>8.8000000000000007</v>
      </c>
      <c r="C9">
        <f>5</f>
        <v>5</v>
      </c>
      <c r="D9">
        <f t="shared" si="0"/>
        <v>1.6923076923076923</v>
      </c>
      <c r="E9">
        <f t="shared" si="1"/>
        <v>3.7801574967990054E-2</v>
      </c>
      <c r="F9">
        <f t="shared" si="2"/>
        <v>2.2337294299266852</v>
      </c>
      <c r="G9">
        <f t="shared" si="3"/>
        <v>1.7895245402061406</v>
      </c>
      <c r="H9">
        <f t="shared" si="9"/>
        <v>2.5</v>
      </c>
      <c r="I9">
        <f>6.2</f>
        <v>6.2</v>
      </c>
      <c r="J9">
        <f>0.2</f>
        <v>0.2</v>
      </c>
      <c r="K9">
        <f>2</f>
        <v>2</v>
      </c>
      <c r="L9">
        <f t="shared" si="4"/>
        <v>1.7169936022425731</v>
      </c>
      <c r="M9">
        <f t="shared" si="5"/>
        <v>0.8589433534537575</v>
      </c>
      <c r="N9">
        <f t="shared" si="6"/>
        <v>50.026007804099429</v>
      </c>
    </row>
    <row r="10" spans="1:24" x14ac:dyDescent="0.25">
      <c r="A10">
        <f t="shared" si="8"/>
        <v>0.64999999999999991</v>
      </c>
      <c r="B10">
        <f>7.6</f>
        <v>7.6</v>
      </c>
      <c r="C10">
        <f>4</f>
        <v>4</v>
      </c>
      <c r="D10">
        <f t="shared" si="0"/>
        <v>1.8269230769230769</v>
      </c>
      <c r="E10">
        <f t="shared" si="1"/>
        <v>4.2569764915759388E-2</v>
      </c>
      <c r="F10">
        <f t="shared" si="2"/>
        <v>2.3301345006520928</v>
      </c>
      <c r="G10">
        <f t="shared" si="3"/>
        <v>1.927970227985899</v>
      </c>
      <c r="H10">
        <f t="shared" si="9"/>
        <v>2.75</v>
      </c>
      <c r="I10">
        <f>5.2</f>
        <v>5.2</v>
      </c>
      <c r="J10">
        <f>0.8</f>
        <v>0.8</v>
      </c>
      <c r="K10">
        <f>1</f>
        <v>1</v>
      </c>
      <c r="L10">
        <f t="shared" si="4"/>
        <v>1.8718021769015913</v>
      </c>
      <c r="M10">
        <f t="shared" si="5"/>
        <v>0.23672801706975588</v>
      </c>
      <c r="N10">
        <f t="shared" si="6"/>
        <v>12.647063882659523</v>
      </c>
    </row>
    <row r="11" spans="1:24" x14ac:dyDescent="0.25">
      <c r="A11">
        <f t="shared" si="8"/>
        <v>0.73999999999999988</v>
      </c>
      <c r="B11">
        <f>8</f>
        <v>8</v>
      </c>
      <c r="C11">
        <f>4</f>
        <v>4</v>
      </c>
      <c r="D11">
        <f t="shared" si="0"/>
        <v>1.9230769230769229</v>
      </c>
      <c r="E11">
        <f t="shared" si="1"/>
        <v>4.4108211693330485E-2</v>
      </c>
      <c r="F11">
        <f t="shared" si="2"/>
        <v>2.2936270080531855</v>
      </c>
      <c r="G11">
        <f t="shared" si="3"/>
        <v>2.0571194228823955</v>
      </c>
      <c r="H11">
        <f t="shared" si="9"/>
        <v>3</v>
      </c>
      <c r="I11">
        <f>4.4</f>
        <v>4.4000000000000004</v>
      </c>
      <c r="J11">
        <f>0.5</f>
        <v>0.5</v>
      </c>
      <c r="K11">
        <f>1</f>
        <v>1</v>
      </c>
      <c r="L11">
        <f t="shared" si="4"/>
        <v>2.174751721484161</v>
      </c>
      <c r="M11">
        <f t="shared" si="5"/>
        <v>0.4377496417215333</v>
      </c>
      <c r="N11">
        <f t="shared" si="6"/>
        <v>20.128718023167753</v>
      </c>
    </row>
    <row r="12" spans="1:24" x14ac:dyDescent="0.25">
      <c r="A12">
        <f t="shared" si="8"/>
        <v>0.82999999999999985</v>
      </c>
      <c r="B12">
        <f>8.6</f>
        <v>8.6</v>
      </c>
      <c r="C12">
        <f>4</f>
        <v>4</v>
      </c>
      <c r="D12">
        <f t="shared" si="0"/>
        <v>2.0673076923076921</v>
      </c>
      <c r="E12">
        <f t="shared" si="1"/>
        <v>4.6458374727814764E-2</v>
      </c>
      <c r="F12">
        <f t="shared" si="2"/>
        <v>2.247288824043133</v>
      </c>
      <c r="G12">
        <f t="shared" si="3"/>
        <v>2.1786260440929279</v>
      </c>
    </row>
    <row r="13" spans="1:24" x14ac:dyDescent="0.25">
      <c r="A13">
        <f>0.9</f>
        <v>0.9</v>
      </c>
      <c r="B13">
        <f>9</f>
        <v>9</v>
      </c>
      <c r="C13">
        <f>4</f>
        <v>4</v>
      </c>
      <c r="D13">
        <f t="shared" si="0"/>
        <v>2.1634615384615383</v>
      </c>
      <c r="E13">
        <f t="shared" si="1"/>
        <v>4.8050245784712578E-2</v>
      </c>
      <c r="F13">
        <f t="shared" si="2"/>
        <v>2.2209891384933815</v>
      </c>
      <c r="G13">
        <f t="shared" si="3"/>
        <v>2.2686364186444687</v>
      </c>
    </row>
    <row r="15" spans="1:24" x14ac:dyDescent="0.25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4</v>
      </c>
      <c r="L15" t="s">
        <v>23</v>
      </c>
      <c r="M15" t="s">
        <v>24</v>
      </c>
      <c r="O15" t="s">
        <v>12</v>
      </c>
      <c r="P15" t="s">
        <v>25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26</v>
      </c>
      <c r="W15" t="s">
        <v>27</v>
      </c>
      <c r="X15" t="s">
        <v>4</v>
      </c>
    </row>
    <row r="16" spans="1:24" x14ac:dyDescent="0.25">
      <c r="A16">
        <f>H3*1000+10</f>
        <v>1010</v>
      </c>
      <c r="B16">
        <f>(1/A16)/A16</f>
        <v>9.802960494069209E-7</v>
      </c>
      <c r="C16">
        <f>1/L3/L3</f>
        <v>1.9932484059781859</v>
      </c>
      <c r="D16">
        <f>B16*C16</f>
        <v>1.953973537867058E-6</v>
      </c>
      <c r="E16">
        <f>SUM(D16:D24)/9</f>
        <v>4.1074002638074366E-7</v>
      </c>
      <c r="F16">
        <f>B16*B16</f>
        <v>9.609803444828164E-13</v>
      </c>
      <c r="G16">
        <f>SUM(F16:F24)/9</f>
        <v>2.0094540451487983E-13</v>
      </c>
      <c r="H16">
        <f>E16/G16</f>
        <v>2044037.9185199467</v>
      </c>
      <c r="I16">
        <f>C16*C16</f>
        <v>3.9730392079345789</v>
      </c>
      <c r="J16">
        <f>SUM(I16:I24)/9</f>
        <v>0.84085000432531432</v>
      </c>
      <c r="K16">
        <f>1/3*SQRT(J16/G16-H16*H16)</f>
        <v>26622.725091101533</v>
      </c>
      <c r="L16">
        <f>6.28*SQRT(H16)</f>
        <v>8978.5068383198923</v>
      </c>
      <c r="M16">
        <f>L16*SQRT(1/4*(K16/H16)*(K16/H16))</f>
        <v>58.47061767284751</v>
      </c>
      <c r="O16">
        <f>0.34</f>
        <v>0.34</v>
      </c>
      <c r="P16">
        <f>0.32</f>
        <v>0.32</v>
      </c>
      <c r="Q16">
        <f>O16*P16</f>
        <v>0.10880000000000001</v>
      </c>
      <c r="R16">
        <f>SUM(Q16:Q26)/11</f>
        <v>2.5285818181818183</v>
      </c>
      <c r="S16">
        <f>O16*O16</f>
        <v>0.11560000000000002</v>
      </c>
      <c r="T16">
        <f>SUM(S16:S26)/11</f>
        <v>2.6797363636363638</v>
      </c>
      <c r="U16">
        <f>R16/T16</f>
        <v>0.94359350139599885</v>
      </c>
      <c r="V16">
        <f>P16*P16</f>
        <v>0.1024</v>
      </c>
      <c r="W16">
        <f>SUM(V16:V26)/11</f>
        <v>2.3860818181818182</v>
      </c>
      <c r="X16">
        <f>1/11*SQRT(W16/T16-U16*U16)</f>
        <v>6.2939446621232496E-4</v>
      </c>
    </row>
    <row r="17" spans="1:22" x14ac:dyDescent="0.25">
      <c r="A17">
        <f t="shared" ref="A17:A24" si="10">H4*1000+10</f>
        <v>1260</v>
      </c>
      <c r="B17">
        <f t="shared" ref="B17:B24" si="11">(1/A17)/A17</f>
        <v>6.2988158226253468E-7</v>
      </c>
      <c r="C17">
        <f t="shared" ref="C17:C24" si="12">1/L4/L4</f>
        <v>1.2585527399978869</v>
      </c>
      <c r="D17">
        <f t="shared" ref="D17:D24" si="13">B17*C17</f>
        <v>7.927391912307174E-7</v>
      </c>
      <c r="F17">
        <f t="shared" ref="F17:F24" si="14">B17*B17</f>
        <v>3.9675080767355422E-13</v>
      </c>
      <c r="I17">
        <f t="shared" ref="I17:I24" si="15">C17*C17</f>
        <v>1.5839549993561886</v>
      </c>
      <c r="O17">
        <f>0.79</f>
        <v>0.79</v>
      </c>
      <c r="P17">
        <f>0.75</f>
        <v>0.75</v>
      </c>
      <c r="Q17">
        <f t="shared" ref="Q17:Q26" si="16">O17*P17</f>
        <v>0.59250000000000003</v>
      </c>
      <c r="S17">
        <f t="shared" ref="S17:S26" si="17">O17*O17</f>
        <v>0.6241000000000001</v>
      </c>
      <c r="V17">
        <f t="shared" ref="V17:V26" si="18">P17*P17</f>
        <v>0.5625</v>
      </c>
    </row>
    <row r="18" spans="1:22" x14ac:dyDescent="0.25">
      <c r="A18">
        <f t="shared" si="10"/>
        <v>1510</v>
      </c>
      <c r="B18">
        <f t="shared" si="11"/>
        <v>4.3857725538353583E-7</v>
      </c>
      <c r="C18">
        <f t="shared" si="12"/>
        <v>0.86862847703444379</v>
      </c>
      <c r="D18">
        <f t="shared" si="13"/>
        <v>3.8096069340574706E-7</v>
      </c>
      <c r="F18">
        <f t="shared" si="14"/>
        <v>1.9235000893975521E-13</v>
      </c>
      <c r="I18">
        <f t="shared" si="15"/>
        <v>0.75451543111517727</v>
      </c>
      <c r="O18">
        <f>1.07</f>
        <v>1.07</v>
      </c>
      <c r="P18">
        <f>1</f>
        <v>1</v>
      </c>
      <c r="Q18">
        <f t="shared" si="16"/>
        <v>1.07</v>
      </c>
      <c r="S18">
        <f t="shared" si="17"/>
        <v>1.1449</v>
      </c>
      <c r="V18">
        <f t="shared" si="18"/>
        <v>1</v>
      </c>
    </row>
    <row r="19" spans="1:22" x14ac:dyDescent="0.25">
      <c r="A19">
        <f t="shared" si="10"/>
        <v>1760</v>
      </c>
      <c r="B19">
        <f t="shared" si="11"/>
        <v>3.2283057851239667E-7</v>
      </c>
      <c r="C19">
        <f t="shared" si="12"/>
        <v>0.72346263105698438</v>
      </c>
      <c r="D19">
        <f t="shared" si="13"/>
        <v>2.3355585971622686E-7</v>
      </c>
      <c r="F19">
        <f t="shared" si="14"/>
        <v>1.0421958242264871E-13</v>
      </c>
      <c r="I19">
        <f t="shared" si="15"/>
        <v>0.52339817853589432</v>
      </c>
      <c r="O19">
        <f>1.29</f>
        <v>1.29</v>
      </c>
      <c r="P19">
        <f>1.21</f>
        <v>1.21</v>
      </c>
      <c r="Q19">
        <f t="shared" si="16"/>
        <v>1.5609</v>
      </c>
      <c r="S19">
        <f t="shared" si="17"/>
        <v>1.6641000000000001</v>
      </c>
      <c r="V19">
        <f t="shared" si="18"/>
        <v>1.4641</v>
      </c>
    </row>
    <row r="20" spans="1:22" x14ac:dyDescent="0.25">
      <c r="A20">
        <f t="shared" si="10"/>
        <v>2010</v>
      </c>
      <c r="B20">
        <f t="shared" si="11"/>
        <v>2.4751862577658969E-7</v>
      </c>
      <c r="C20">
        <f t="shared" si="12"/>
        <v>0.52034224525140194</v>
      </c>
      <c r="D20">
        <f t="shared" si="13"/>
        <v>1.287943974781322E-7</v>
      </c>
      <c r="F20">
        <f t="shared" si="14"/>
        <v>6.1265470106331453E-14</v>
      </c>
      <c r="I20">
        <f t="shared" si="15"/>
        <v>0.27075605219327015</v>
      </c>
      <c r="O20">
        <f>1.47</f>
        <v>1.47</v>
      </c>
      <c r="P20">
        <f>1.38</f>
        <v>1.38</v>
      </c>
      <c r="Q20">
        <f t="shared" si="16"/>
        <v>2.0286</v>
      </c>
      <c r="S20">
        <f t="shared" si="17"/>
        <v>2.1608999999999998</v>
      </c>
      <c r="V20">
        <f t="shared" si="18"/>
        <v>1.9043999999999996</v>
      </c>
    </row>
    <row r="21" spans="1:22" x14ac:dyDescent="0.25">
      <c r="A21">
        <f t="shared" si="10"/>
        <v>2260</v>
      </c>
      <c r="B21">
        <f t="shared" si="11"/>
        <v>1.9578667084344896E-7</v>
      </c>
      <c r="C21">
        <f t="shared" si="12"/>
        <v>0.46984830464086108</v>
      </c>
      <c r="D21">
        <f t="shared" si="13"/>
        <v>9.1990035367072805E-8</v>
      </c>
      <c r="F21">
        <f t="shared" si="14"/>
        <v>3.8332420479961029E-14</v>
      </c>
      <c r="I21">
        <f t="shared" si="15"/>
        <v>0.2207574293738914</v>
      </c>
      <c r="O21">
        <f>1.64</f>
        <v>1.64</v>
      </c>
      <c r="P21">
        <f>1.54</f>
        <v>1.54</v>
      </c>
      <c r="Q21">
        <f t="shared" si="16"/>
        <v>2.5255999999999998</v>
      </c>
      <c r="S21">
        <f t="shared" si="17"/>
        <v>2.6895999999999995</v>
      </c>
      <c r="V21">
        <f t="shared" si="18"/>
        <v>2.3715999999999999</v>
      </c>
    </row>
    <row r="22" spans="1:22" x14ac:dyDescent="0.25">
      <c r="A22">
        <f t="shared" si="10"/>
        <v>2510</v>
      </c>
      <c r="B22">
        <f t="shared" si="11"/>
        <v>1.5872763924382154E-7</v>
      </c>
      <c r="C22">
        <f t="shared" si="12"/>
        <v>0.33920531310031216</v>
      </c>
      <c r="D22">
        <f t="shared" si="13"/>
        <v>5.3841258567373878E-8</v>
      </c>
      <c r="F22">
        <f t="shared" si="14"/>
        <v>2.5194463459916755E-14</v>
      </c>
      <c r="I22">
        <f t="shared" si="15"/>
        <v>0.1150602444354808</v>
      </c>
      <c r="O22">
        <f>1.79</f>
        <v>1.79</v>
      </c>
      <c r="P22">
        <f>1.69</f>
        <v>1.69</v>
      </c>
      <c r="Q22">
        <f t="shared" si="16"/>
        <v>3.0251000000000001</v>
      </c>
      <c r="S22">
        <f t="shared" si="17"/>
        <v>3.2040999999999999</v>
      </c>
      <c r="V22">
        <f t="shared" si="18"/>
        <v>2.8560999999999996</v>
      </c>
    </row>
    <row r="23" spans="1:22" x14ac:dyDescent="0.25">
      <c r="A23">
        <f t="shared" si="10"/>
        <v>2760</v>
      </c>
      <c r="B23">
        <f t="shared" si="11"/>
        <v>1.3127494223902541E-7</v>
      </c>
      <c r="C23">
        <f t="shared" si="12"/>
        <v>0.28541717544945983</v>
      </c>
      <c r="D23">
        <f t="shared" si="13"/>
        <v>3.7468123221153617E-8</v>
      </c>
      <c r="F23">
        <f t="shared" si="14"/>
        <v>1.7233110459859458E-14</v>
      </c>
      <c r="I23">
        <f t="shared" si="15"/>
        <v>8.1462964041547736E-2</v>
      </c>
      <c r="O23">
        <f>1.93</f>
        <v>1.93</v>
      </c>
      <c r="P23">
        <f>1.83</f>
        <v>1.83</v>
      </c>
      <c r="Q23">
        <f t="shared" si="16"/>
        <v>3.5318999999999998</v>
      </c>
      <c r="S23">
        <f t="shared" si="17"/>
        <v>3.7248999999999999</v>
      </c>
      <c r="V23">
        <f t="shared" si="18"/>
        <v>3.3489000000000004</v>
      </c>
    </row>
    <row r="24" spans="1:22" x14ac:dyDescent="0.25">
      <c r="A24">
        <f t="shared" si="10"/>
        <v>3010</v>
      </c>
      <c r="B24">
        <f t="shared" si="11"/>
        <v>1.1037405768148256E-7</v>
      </c>
      <c r="C24">
        <f t="shared" si="12"/>
        <v>0.21143682730735616</v>
      </c>
      <c r="D24">
        <f t="shared" si="13"/>
        <v>2.3337140573211797E-8</v>
      </c>
      <c r="F24">
        <f t="shared" si="14"/>
        <v>1.2182432609075238E-14</v>
      </c>
      <c r="I24">
        <f t="shared" si="15"/>
        <v>4.4705531941800755E-2</v>
      </c>
      <c r="O24">
        <f>2.06</f>
        <v>2.06</v>
      </c>
      <c r="P24">
        <f>1.92</f>
        <v>1.92</v>
      </c>
      <c r="Q24">
        <f t="shared" si="16"/>
        <v>3.9552</v>
      </c>
      <c r="S24">
        <f t="shared" si="17"/>
        <v>4.2435999999999998</v>
      </c>
      <c r="V24">
        <f t="shared" si="18"/>
        <v>3.6863999999999999</v>
      </c>
    </row>
    <row r="25" spans="1:22" x14ac:dyDescent="0.25">
      <c r="O25">
        <f>2.18</f>
        <v>2.1800000000000002</v>
      </c>
      <c r="P25">
        <f>2.07</f>
        <v>2.0699999999999998</v>
      </c>
      <c r="Q25">
        <f t="shared" si="16"/>
        <v>4.5125999999999999</v>
      </c>
      <c r="S25">
        <f t="shared" si="17"/>
        <v>4.7524000000000006</v>
      </c>
      <c r="V25">
        <f t="shared" si="18"/>
        <v>4.2848999999999995</v>
      </c>
    </row>
    <row r="26" spans="1:22" x14ac:dyDescent="0.25">
      <c r="O26">
        <f>2.27</f>
        <v>2.27</v>
      </c>
      <c r="P26">
        <f>2.16</f>
        <v>2.16</v>
      </c>
      <c r="Q26">
        <f t="shared" si="16"/>
        <v>4.9032</v>
      </c>
      <c r="S26">
        <f t="shared" si="17"/>
        <v>5.1528999999999998</v>
      </c>
      <c r="V26">
        <f t="shared" si="18"/>
        <v>4.6656000000000004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2017-09-22T14:38:26Z</dcterms:modified>
</cp:coreProperties>
</file>