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6" i="1" l="1"/>
  <c r="C34" i="1" l="1"/>
  <c r="D34" i="1"/>
  <c r="E34" i="1"/>
  <c r="F34" i="1"/>
  <c r="B34" i="1"/>
  <c r="F32" i="1"/>
  <c r="E32" i="1"/>
  <c r="D32" i="1"/>
  <c r="C32" i="1"/>
  <c r="B32" i="1"/>
  <c r="F33" i="1"/>
  <c r="E33" i="1"/>
  <c r="D33" i="1"/>
  <c r="C33" i="1"/>
  <c r="B33" i="1"/>
  <c r="C29" i="1" l="1"/>
  <c r="D29" i="1"/>
  <c r="E29" i="1"/>
  <c r="F29" i="1"/>
  <c r="B29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19" i="1"/>
  <c r="B18" i="1"/>
  <c r="C28" i="1"/>
  <c r="D28" i="1"/>
  <c r="E28" i="1"/>
  <c r="F28" i="1"/>
  <c r="B28" i="1"/>
  <c r="M23" i="1"/>
  <c r="N23" i="1"/>
  <c r="O23" i="1"/>
  <c r="P23" i="1"/>
  <c r="L23" i="1"/>
  <c r="H23" i="1"/>
  <c r="I23" i="1"/>
  <c r="J23" i="1"/>
  <c r="K23" i="1"/>
  <c r="G23" i="1"/>
  <c r="C23" i="1"/>
  <c r="D23" i="1"/>
  <c r="E23" i="1"/>
  <c r="F23" i="1"/>
  <c r="B23" i="1"/>
  <c r="M18" i="1"/>
  <c r="N18" i="1"/>
  <c r="O18" i="1"/>
  <c r="P18" i="1"/>
  <c r="L18" i="1"/>
  <c r="H18" i="1"/>
  <c r="I18" i="1"/>
  <c r="J18" i="1"/>
  <c r="K18" i="1"/>
  <c r="G18" i="1"/>
  <c r="C18" i="1"/>
  <c r="D18" i="1"/>
  <c r="E18" i="1"/>
  <c r="F18" i="1"/>
  <c r="B15" i="1" l="1"/>
  <c r="L10" i="1"/>
  <c r="G10" i="1"/>
  <c r="B10" i="1"/>
  <c r="L5" i="1"/>
  <c r="G5" i="1"/>
  <c r="B5" i="1"/>
  <c r="C14" i="1" l="1"/>
  <c r="D14" i="1"/>
  <c r="E14" i="1"/>
  <c r="F14" i="1"/>
  <c r="B14" i="1"/>
  <c r="F13" i="1"/>
  <c r="F12" i="1"/>
  <c r="E13" i="1"/>
  <c r="E12" i="1"/>
  <c r="D13" i="1"/>
  <c r="D12" i="1"/>
  <c r="C13" i="1"/>
  <c r="C12" i="1"/>
  <c r="B13" i="1"/>
  <c r="B12" i="1"/>
  <c r="B11" i="1"/>
  <c r="P9" i="1"/>
  <c r="O9" i="1"/>
  <c r="N9" i="1"/>
  <c r="M9" i="1"/>
  <c r="L9" i="1"/>
  <c r="K9" i="1"/>
  <c r="J9" i="1"/>
  <c r="I9" i="1"/>
  <c r="H9" i="1"/>
  <c r="G9" i="1"/>
  <c r="C9" i="1"/>
  <c r="D9" i="1"/>
  <c r="E9" i="1"/>
  <c r="F9" i="1"/>
  <c r="B9" i="1"/>
  <c r="P8" i="1"/>
  <c r="O8" i="1"/>
  <c r="N8" i="1"/>
  <c r="M8" i="1"/>
  <c r="P7" i="1"/>
  <c r="O7" i="1"/>
  <c r="N7" i="1"/>
  <c r="M7" i="1"/>
  <c r="L8" i="1"/>
  <c r="L7" i="1"/>
  <c r="G7" i="1"/>
  <c r="G6" i="1"/>
  <c r="L6" i="1"/>
  <c r="K8" i="1"/>
  <c r="K7" i="1"/>
  <c r="J8" i="1"/>
  <c r="J7" i="1"/>
  <c r="I8" i="1"/>
  <c r="I7" i="1"/>
  <c r="H8" i="1"/>
  <c r="H7" i="1"/>
  <c r="G8" i="1"/>
  <c r="F8" i="1"/>
  <c r="F7" i="1"/>
  <c r="E8" i="1"/>
  <c r="E7" i="1"/>
  <c r="D8" i="1"/>
  <c r="D7" i="1"/>
  <c r="C8" i="1"/>
  <c r="C7" i="1"/>
  <c r="B8" i="1"/>
  <c r="B7" i="1"/>
  <c r="B6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P2" i="1"/>
  <c r="O3" i="1"/>
  <c r="O2" i="1"/>
  <c r="N3" i="1"/>
  <c r="N2" i="1"/>
  <c r="M3" i="1"/>
  <c r="M2" i="1"/>
  <c r="L3" i="1"/>
  <c r="L2" i="1"/>
  <c r="L1" i="1"/>
  <c r="K3" i="1"/>
  <c r="K2" i="1"/>
  <c r="J3" i="1"/>
  <c r="J2" i="1"/>
  <c r="I3" i="1"/>
  <c r="I2" i="1"/>
  <c r="H3" i="1"/>
  <c r="H2" i="1"/>
  <c r="G3" i="1"/>
  <c r="G2" i="1"/>
  <c r="G1" i="1"/>
  <c r="F3" i="1"/>
  <c r="F2" i="1"/>
  <c r="E3" i="1"/>
  <c r="E2" i="1"/>
  <c r="D3" i="1"/>
  <c r="D2" i="1"/>
  <c r="C3" i="1"/>
  <c r="C2" i="1"/>
  <c r="B3" i="1"/>
  <c r="B2" i="1"/>
  <c r="B1" i="1"/>
</calcChain>
</file>

<file path=xl/sharedStrings.xml><?xml version="1.0" encoding="utf-8"?>
<sst xmlns="http://schemas.openxmlformats.org/spreadsheetml/2006/main" count="15" uniqueCount="6">
  <si>
    <t>V</t>
  </si>
  <si>
    <t>t0</t>
  </si>
  <si>
    <t>q</t>
  </si>
  <si>
    <t>t</t>
  </si>
  <si>
    <t>sigma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</si>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</sst>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28" workbookViewId="0">
      <selection activeCell="B37" sqref="B37"/>
    </sheetView>
  </sheetViews>
  <sheetFormatPr defaultRowHeight="15" x14ac:dyDescent="0.25"/>
  <cols>
    <col min="2" max="4" width="12" bestFit="1" customWidth="1"/>
    <col min="7" max="8" width="12" bestFit="1" customWidth="1"/>
    <col min="9" max="9" width="11" bestFit="1" customWidth="1"/>
    <col min="11" max="16" width="12" bestFit="1" customWidth="1"/>
  </cols>
  <sheetData>
    <row r="1" spans="1:16" x14ac:dyDescent="0.25">
      <c r="A1" t="s">
        <v>0</v>
      </c>
      <c r="B1" s="2">
        <f>1000</f>
        <v>1000</v>
      </c>
      <c r="C1" s="2"/>
      <c r="D1" s="2"/>
      <c r="E1" s="2"/>
      <c r="F1" s="2"/>
      <c r="G1" s="2">
        <f>970</f>
        <v>970</v>
      </c>
      <c r="H1" s="2"/>
      <c r="I1" s="2"/>
      <c r="J1" s="2"/>
      <c r="K1" s="2"/>
      <c r="L1" s="2">
        <f>800</f>
        <v>800</v>
      </c>
      <c r="M1" s="2"/>
      <c r="N1" s="2"/>
      <c r="O1" s="2"/>
      <c r="P1" s="2"/>
    </row>
    <row r="2" spans="1:16" x14ac:dyDescent="0.25">
      <c r="A2" t="s">
        <v>1</v>
      </c>
      <c r="B2">
        <f>21.9</f>
        <v>21.9</v>
      </c>
      <c r="C2">
        <f>22.3</f>
        <v>22.3</v>
      </c>
      <c r="D2">
        <f>23.7</f>
        <v>23.7</v>
      </c>
      <c r="E2">
        <f>21.7</f>
        <v>21.7</v>
      </c>
      <c r="F2">
        <f>22.4</f>
        <v>22.4</v>
      </c>
      <c r="G2">
        <f>21.3</f>
        <v>21.3</v>
      </c>
      <c r="H2">
        <f>21.5</f>
        <v>21.5</v>
      </c>
      <c r="I2">
        <f>21.3</f>
        <v>21.3</v>
      </c>
      <c r="J2">
        <f>21.2</f>
        <v>21.2</v>
      </c>
      <c r="K2">
        <f>20.5</f>
        <v>20.5</v>
      </c>
      <c r="L2">
        <f>21.8</f>
        <v>21.8</v>
      </c>
      <c r="M2">
        <f>20.5</f>
        <v>20.5</v>
      </c>
      <c r="N2">
        <f>20.4</f>
        <v>20.399999999999999</v>
      </c>
      <c r="O2">
        <f>20.9</f>
        <v>20.9</v>
      </c>
      <c r="P2">
        <f>20.7</f>
        <v>20.7</v>
      </c>
    </row>
    <row r="3" spans="1:16" x14ac:dyDescent="0.25">
      <c r="A3" t="s">
        <v>3</v>
      </c>
      <c r="B3">
        <f>34.7</f>
        <v>34.700000000000003</v>
      </c>
      <c r="C3">
        <f>33.7</f>
        <v>33.700000000000003</v>
      </c>
      <c r="D3">
        <f>38.7</f>
        <v>38.700000000000003</v>
      </c>
      <c r="E3">
        <f>35.7</f>
        <v>35.700000000000003</v>
      </c>
      <c r="F3">
        <f>35.1</f>
        <v>35.1</v>
      </c>
      <c r="G3">
        <f>42.2</f>
        <v>42.2</v>
      </c>
      <c r="H3">
        <f>41.4</f>
        <v>41.4</v>
      </c>
      <c r="I3">
        <f>40.3</f>
        <v>40.299999999999997</v>
      </c>
      <c r="J3">
        <f>40.7</f>
        <v>40.700000000000003</v>
      </c>
      <c r="K3">
        <f>40.7</f>
        <v>40.700000000000003</v>
      </c>
      <c r="L3">
        <f>74.2</f>
        <v>74.2</v>
      </c>
      <c r="M3">
        <f>72.3</f>
        <v>72.3</v>
      </c>
      <c r="N3">
        <f>77.1</f>
        <v>77.099999999999994</v>
      </c>
      <c r="O3">
        <f>74.4</f>
        <v>74.400000000000006</v>
      </c>
      <c r="P3">
        <f>75.2</f>
        <v>75.2</v>
      </c>
    </row>
    <row r="4" spans="1:16" x14ac:dyDescent="0.25">
      <c r="A4" t="s">
        <v>2</v>
      </c>
      <c r="B4">
        <f>9*3.14*SQRT(2*(1.83*10^(-5))^3*(10^(-3))^3/9.8/898)*7.25*10^(-3)*(B2+B3)/1000/B2^(1.5)/B3</f>
        <v>1.2169461875245779E-19</v>
      </c>
      <c r="C4">
        <f>9*3.14*SQRT(2*(1.83*10^(-5))^3*(10^(-3))^3/9.8/898)*7.25*10^(-3)*(C2+C3)/1000/C2^(1.5)/C3</f>
        <v>1.2065669412307114E-19</v>
      </c>
      <c r="D4">
        <f>9*3.14*SQRT(2*(1.83*10^(-5))^3*(10^(-3))^3/9.8/898)*7.25*10^(-3)*(D2+D3)/1000/D2^(1.5)/D3</f>
        <v>1.0685668474921781E-19</v>
      </c>
      <c r="E4">
        <f>9*3.14*SQRT(2*(1.83*10^(-5))^3*(10^(-3))^3/9.8/898)*7.25*10^(-3)*(E2+E3)/1000/E2^(1.5)/E3</f>
        <v>1.216199066815022E-19</v>
      </c>
      <c r="F4">
        <f>9*3.14*SQRT(2*(1.83*10^(-5))^3*(10^(-3))^3/9.8/898)*7.25*10^(-3)*(F2+F3)/1000/F2^(1.5)/F3</f>
        <v>1.1815151399358093E-19</v>
      </c>
      <c r="G4">
        <f>9*3.14*SQRT(2*(1.83*10^(-5))^3*(10^(-3))^3/9.8/898)*7.25*10^(-3)*(G2+G3)/970/G2^(1.5)/G3</f>
        <v>1.2066205714159975E-19</v>
      </c>
      <c r="H4">
        <f>9*3.14*SQRT(2*(1.83*10^(-5))^3*(10^(-3))^3/9.8/898)*7.25*10^(-3)*(H2+H3)/970/H2^(1.5)/H3</f>
        <v>1.2013553050427981E-19</v>
      </c>
      <c r="I4">
        <f>9*3.14*SQRT(2*(1.83*10^(-5))^3*(10^(-3))^3/9.8/898)*7.25*10^(-3)*(I2+I3)/970/I2^(1.5)/I3</f>
        <v>1.2257026270714969E-19</v>
      </c>
      <c r="J4">
        <f>9*3.14*SQRT(2*(1.83*10^(-5))^3*(10^(-3))^3/9.8/898)*7.25*10^(-3)*(J2+J3)/970/J2^(1.5)/J3</f>
        <v>1.2282062539909318E-19</v>
      </c>
      <c r="K4">
        <f>9*3.14*SQRT(2*(1.83*10^(-5))^3*(10^(-3))^3/9.8/898)*7.25*10^(-3)*(K2+K3)/970/K2^(1.5)/K3</f>
        <v>1.2770416959759156E-19</v>
      </c>
      <c r="L4">
        <f>9*3.14*SQRT(2*(1.83*10^(-5))^3*(10^(-3))^3/9.8/898)*7.25*10^(-3)*(L2+L3)/800/L2^(1.5)/L3</f>
        <v>1.2149074373067118E-19</v>
      </c>
      <c r="M4">
        <f>9*3.14*SQRT(2*(1.83*10^(-5))^3*(10^(-3))^3/9.8/898)*7.25*10^(-3)*(M2+M3)/800/M2^(1.5)/M3</f>
        <v>1.3217200881833703E-19</v>
      </c>
      <c r="N4">
        <f>9*3.14*SQRT(2*(1.83*10^(-5))^3*(10^(-3))^3/9.8/898)*7.25*10^(-3)*(N2+N3)/800/N2^(1.5)/N3</f>
        <v>1.3117938480444359E-19</v>
      </c>
      <c r="O4">
        <f>9*3.14*SQRT(2*(1.83*10^(-5))^3*(10^(-3))^3/9.8/898)*7.25*10^(-3)*(O2+O3)/800/O2^(1.5)/O3</f>
        <v>1.2813304271788998E-19</v>
      </c>
      <c r="P4">
        <f>9*3.14*SQRT(2*(1.83*10^(-5))^3*(10^(-3))^3/9.8/898)*7.25*10^(-3)*(P2+P3)/800/P2^(1.5)/P3</f>
        <v>1.2942132797086149E-19</v>
      </c>
    </row>
    <row r="5" spans="1:16" x14ac:dyDescent="0.25">
      <c r="B5" s="2">
        <f>SUM(B4:F4)/5</f>
        <v>1.1779588365996598E-19</v>
      </c>
      <c r="C5" s="2"/>
      <c r="D5" s="2"/>
      <c r="E5" s="2"/>
      <c r="F5" s="2"/>
      <c r="G5" s="2">
        <f>SUM(G4:K4)/5</f>
        <v>1.227785290699428E-19</v>
      </c>
      <c r="H5" s="2"/>
      <c r="I5" s="2"/>
      <c r="J5" s="2"/>
      <c r="K5" s="2"/>
      <c r="L5" s="2">
        <f>SUM(L4:P4)/5</f>
        <v>1.2847930160844065E-19</v>
      </c>
      <c r="M5" s="2"/>
      <c r="N5" s="2"/>
      <c r="O5" s="2"/>
      <c r="P5" s="2"/>
    </row>
    <row r="6" spans="1:16" x14ac:dyDescent="0.25">
      <c r="A6" t="s">
        <v>0</v>
      </c>
      <c r="B6" s="2">
        <f>980</f>
        <v>980</v>
      </c>
      <c r="C6" s="2"/>
      <c r="D6" s="2"/>
      <c r="E6" s="2"/>
      <c r="F6" s="2"/>
      <c r="G6" s="2">
        <f>1000</f>
        <v>1000</v>
      </c>
      <c r="H6" s="2"/>
      <c r="I6" s="2"/>
      <c r="J6" s="2"/>
      <c r="K6" s="2"/>
      <c r="L6" s="2">
        <f>860</f>
        <v>860</v>
      </c>
      <c r="M6" s="2"/>
      <c r="N6" s="2"/>
      <c r="O6" s="2"/>
      <c r="P6" s="2"/>
    </row>
    <row r="7" spans="1:16" x14ac:dyDescent="0.25">
      <c r="A7" t="s">
        <v>1</v>
      </c>
      <c r="B7">
        <f>18.4</f>
        <v>18.399999999999999</v>
      </c>
      <c r="C7">
        <f>18.5</f>
        <v>18.5</v>
      </c>
      <c r="D7">
        <f>17.8</f>
        <v>17.8</v>
      </c>
      <c r="E7">
        <f>18.4</f>
        <v>18.399999999999999</v>
      </c>
      <c r="F7">
        <f>18.3</f>
        <v>18.3</v>
      </c>
      <c r="G7">
        <f>16.5</f>
        <v>16.5</v>
      </c>
      <c r="H7">
        <f>16.1</f>
        <v>16.100000000000001</v>
      </c>
      <c r="I7">
        <f>15.8</f>
        <v>15.8</v>
      </c>
      <c r="J7">
        <f>15.4</f>
        <v>15.4</v>
      </c>
      <c r="K7">
        <f>16.3</f>
        <v>16.3</v>
      </c>
      <c r="L7">
        <f>9.2</f>
        <v>9.1999999999999993</v>
      </c>
      <c r="M7">
        <f>9.2</f>
        <v>9.1999999999999993</v>
      </c>
      <c r="N7">
        <f>9</f>
        <v>9</v>
      </c>
      <c r="O7">
        <f>9.4</f>
        <v>9.4</v>
      </c>
      <c r="P7">
        <f>9.3</f>
        <v>9.3000000000000007</v>
      </c>
    </row>
    <row r="8" spans="1:16" x14ac:dyDescent="0.25">
      <c r="A8" t="s">
        <v>3</v>
      </c>
      <c r="B8">
        <f>68.3</f>
        <v>68.3</v>
      </c>
      <c r="C8">
        <f>66.1</f>
        <v>66.099999999999994</v>
      </c>
      <c r="D8">
        <f>69.8</f>
        <v>69.8</v>
      </c>
      <c r="E8">
        <f>68.2</f>
        <v>68.2</v>
      </c>
      <c r="F8">
        <f>71.7</f>
        <v>71.7</v>
      </c>
      <c r="G8">
        <f>14.4</f>
        <v>14.4</v>
      </c>
      <c r="H8">
        <f>15</f>
        <v>15</v>
      </c>
      <c r="I8">
        <f>15.4</f>
        <v>15.4</v>
      </c>
      <c r="J8">
        <f>14.9</f>
        <v>14.9</v>
      </c>
      <c r="K8">
        <f>15.6</f>
        <v>15.6</v>
      </c>
      <c r="L8">
        <f>66.2</f>
        <v>66.2</v>
      </c>
      <c r="M8">
        <f>71.4</f>
        <v>71.400000000000006</v>
      </c>
      <c r="N8">
        <f>72.4</f>
        <v>72.400000000000006</v>
      </c>
      <c r="O8">
        <f>75.6</f>
        <v>75.599999999999994</v>
      </c>
      <c r="P8">
        <f>76.2</f>
        <v>76.2</v>
      </c>
    </row>
    <row r="9" spans="1:16" x14ac:dyDescent="0.25">
      <c r="A9" t="s">
        <v>2</v>
      </c>
      <c r="B9">
        <f>9*3.14*SQRT(2*(1.83*10^(-5))^3*(10^(-3))^3/9.8/898)*7.25*10^(-3)*(B7+B8)/980/B7^(1.5)/B8</f>
        <v>1.2548625946970027E-19</v>
      </c>
      <c r="C9">
        <f t="shared" ref="C9:F9" si="0">9*3.14*SQRT(2*(1.83*10^(-5))^3*(10^(-3))^3/9.8/898)*7.25*10^(-3)*(C7+C8)/980/C7^(1.5)/C8</f>
        <v>1.254977170564774E-19</v>
      </c>
      <c r="D9">
        <f t="shared" si="0"/>
        <v>1.3038967256306173E-19</v>
      </c>
      <c r="E9">
        <f t="shared" si="0"/>
        <v>1.2552530852438782E-19</v>
      </c>
      <c r="F9">
        <f t="shared" si="0"/>
        <v>1.2510401095469391E-19</v>
      </c>
      <c r="G9">
        <f>9*3.14*SQRT(2*(1.83*10^(-5))^3*(10^(-3))^3/9.8/898)*7.25*10^(-3)*(G7+G8)/1000/G7^(1.5)/G8</f>
        <v>2.4480521282657278E-19</v>
      </c>
      <c r="H9">
        <f>9*3.14*SQRT(2*(1.83*10^(-5))^3*(10^(-3))^3/9.8/898)*7.25*10^(-3)*(H7+H8)/1000/H7^(1.5)/H8</f>
        <v>2.4540358691439323E-19</v>
      </c>
      <c r="I9">
        <f>9*3.14*SQRT(2*(1.83*10^(-5))^3*(10^(-3))^3/9.8/898)*7.25*10^(-3)*(I7+I8)/1000/I7^(1.5)/I8</f>
        <v>2.4666006015651756E-19</v>
      </c>
      <c r="J9">
        <f>9*3.14*SQRT(2*(1.83*10^(-5))^3*(10^(-3))^3/9.8/898)*7.25*10^(-3)*(J7+J8)/1000/J7^(1.5)/J8</f>
        <v>2.5729175490794863E-19</v>
      </c>
      <c r="K9">
        <f>9*3.14*SQRT(2*(1.83*10^(-5))^3*(10^(-3))^3/9.8/898)*7.25*10^(-3)*(K7+K8)/1000/K7^(1.5)/K8</f>
        <v>2.3759389019537632E-19</v>
      </c>
      <c r="L9">
        <f>9*3.14*SQRT(2*(1.83*10^(-5))^3*(10^(-3))^3/9.8/898)*7.25*10^(-3)*(L7+L8)/860/L7^(1.5)/L8</f>
        <v>3.6289731461515639E-19</v>
      </c>
      <c r="M9">
        <f>9*3.14*SQRT(2*(1.83*10^(-5))^3*(10^(-3))^3/9.8/898)*7.25*10^(-3)*(M7+M8)/860/M7^(1.5)/M8</f>
        <v>3.5967249543766248E-19</v>
      </c>
      <c r="N9">
        <f>9*3.14*SQRT(2*(1.83*10^(-5))^3*(10^(-3))^3/9.8/898)*7.25*10^(-3)*(N7+N8)/860/N7^(1.5)/N8</f>
        <v>3.7023222208624846E-19</v>
      </c>
      <c r="O9">
        <f>9*3.14*SQRT(2*(1.83*10^(-5))^3*(10^(-3))^3/9.8/898)*7.25*10^(-3)*(O7+O8)/860/O7^(1.5)/O8</f>
        <v>3.4686261099110323E-19</v>
      </c>
      <c r="P9">
        <f>9*3.14*SQRT(2*(1.83*10^(-5))^3*(10^(-3))^3/9.8/898)*7.25*10^(-3)*(P7+P8)/860/P7^(1.5)/P8</f>
        <v>3.5175385007504897E-19</v>
      </c>
    </row>
    <row r="10" spans="1:16" x14ac:dyDescent="0.25">
      <c r="B10" s="2">
        <f>SUM(B9:F9)/5</f>
        <v>1.2640059371366423E-19</v>
      </c>
      <c r="C10" s="2"/>
      <c r="D10" s="2"/>
      <c r="E10" s="2"/>
      <c r="F10" s="2"/>
      <c r="G10" s="2">
        <f>SUM(G9:K9)/5</f>
        <v>2.4635090100016167E-19</v>
      </c>
      <c r="H10" s="2"/>
      <c r="I10" s="2"/>
      <c r="J10" s="2"/>
      <c r="K10" s="2"/>
      <c r="L10" s="2">
        <f>SUM(L9:P9)/5</f>
        <v>3.5828369864104392E-19</v>
      </c>
      <c r="M10" s="2"/>
      <c r="N10" s="2"/>
      <c r="O10" s="2"/>
      <c r="P10" s="2"/>
    </row>
    <row r="11" spans="1:16" x14ac:dyDescent="0.25">
      <c r="A11" t="s">
        <v>0</v>
      </c>
      <c r="B11" s="2">
        <f>1000</f>
        <v>1000</v>
      </c>
      <c r="C11" s="2"/>
      <c r="D11" s="2"/>
      <c r="E11" s="2"/>
      <c r="F11" s="2"/>
    </row>
    <row r="12" spans="1:16" x14ac:dyDescent="0.25">
      <c r="A12" t="s">
        <v>1</v>
      </c>
      <c r="B12">
        <f>10.3</f>
        <v>10.3</v>
      </c>
      <c r="C12">
        <f>10.3</f>
        <v>10.3</v>
      </c>
      <c r="D12">
        <f>10.1</f>
        <v>10.1</v>
      </c>
      <c r="E12">
        <f>10.2</f>
        <v>10.199999999999999</v>
      </c>
      <c r="F12">
        <f>10.2</f>
        <v>10.199999999999999</v>
      </c>
    </row>
    <row r="13" spans="1:16" x14ac:dyDescent="0.25">
      <c r="A13" t="s">
        <v>3</v>
      </c>
      <c r="B13">
        <f>20.4</f>
        <v>20.399999999999999</v>
      </c>
      <c r="C13">
        <f>20.4</f>
        <v>20.399999999999999</v>
      </c>
      <c r="D13">
        <f>20.1</f>
        <v>20.100000000000001</v>
      </c>
      <c r="E13">
        <f>20.9</f>
        <v>20.9</v>
      </c>
      <c r="F13">
        <f>20.5</f>
        <v>20.5</v>
      </c>
    </row>
    <row r="14" spans="1:16" x14ac:dyDescent="0.25">
      <c r="A14" t="s">
        <v>2</v>
      </c>
      <c r="B14">
        <f>9*3.14*SQRT(2*(1.83*10^(-5))^3*(10^(-3))^3/9.8/898)*7.25*10^(-3)*(B12+B13)/1000/B12^(1.5)/B13</f>
        <v>3.4809914880878753E-19</v>
      </c>
      <c r="C14">
        <f t="shared" ref="C14:F14" si="1">9*3.14*SQRT(2*(1.83*10^(-5))^3*(10^(-3))^3/9.8/898)*7.25*10^(-3)*(C12+C13)/1000/C12^(1.5)/C13</f>
        <v>3.4809914880878753E-19</v>
      </c>
      <c r="D14">
        <f t="shared" si="1"/>
        <v>3.5791460063099967E-19</v>
      </c>
      <c r="E14">
        <f t="shared" si="1"/>
        <v>3.4927253444792065E-19</v>
      </c>
      <c r="F14">
        <f t="shared" si="1"/>
        <v>3.515077033610215E-19</v>
      </c>
    </row>
    <row r="15" spans="1:16" x14ac:dyDescent="0.25">
      <c r="B15" s="2">
        <f>SUM(B14:F14)/5</f>
        <v>3.5097862721150336E-19</v>
      </c>
      <c r="C15" s="2"/>
      <c r="D15" s="2"/>
      <c r="E15" s="2"/>
      <c r="F15" s="2"/>
    </row>
    <row r="18" spans="1:16" x14ac:dyDescent="0.25">
      <c r="A18" t="s">
        <v>4</v>
      </c>
      <c r="B18">
        <f>B4*SQRT((10/1000)^2+(0.2^2*B2^2)/(B3^2*(B2+B3)^2)+(0.2^2)/(4*B2^2)*((3*B3+B2)/(B2+B3))^2)</f>
        <v>1.756378024921403E-21</v>
      </c>
      <c r="C18">
        <f t="shared" ref="C18:F18" si="2">C4*SQRT((10/1000)^2+(0.2^2*C2^2)/(C3^2*(C2+C3)^2)+(0.2^2)/(4*C2^2)*((3*C3+C2)/(C2+C3))^2)</f>
        <v>1.7200622442722475E-21</v>
      </c>
      <c r="D18">
        <f t="shared" si="2"/>
        <v>1.4853225097998785E-21</v>
      </c>
      <c r="E18">
        <f t="shared" si="2"/>
        <v>1.7683586929671946E-21</v>
      </c>
      <c r="F18">
        <f t="shared" si="2"/>
        <v>1.6843387701022899E-21</v>
      </c>
      <c r="G18">
        <f>G4*SQRT((10/970)^2+(0.2^2*G2^2)/(G3^2*(G2+G3)^2)+(0.2^2)/(4*G2^2)*((3*G3+G2)/(G2+G3))^2)</f>
        <v>1.8234768353658881E-21</v>
      </c>
      <c r="H18">
        <f t="shared" ref="H18:K18" si="3">H4*SQRT((10/970)^2+(0.2^2*H2^2)/(H3^2*(H2+H3)^2)+(0.2^2)/(4*H2^2)*((3*H3+H2)/(H2+H3))^2)</f>
        <v>1.8023672759206056E-21</v>
      </c>
      <c r="I18">
        <f t="shared" si="3"/>
        <v>1.8454168021881138E-21</v>
      </c>
      <c r="J18">
        <f t="shared" si="3"/>
        <v>1.8560079821276378E-21</v>
      </c>
      <c r="K18">
        <f t="shared" si="3"/>
        <v>1.970870970360165E-21</v>
      </c>
      <c r="L18">
        <f>L4*SQRT((10/800)^2+(0.2^2*L2^2)/(L3^2*(L2+L3)^2)+(0.2^2)/(4*L2^2)*((3*L3+L2)/(L2+L3))^2)</f>
        <v>2.079598883378928E-21</v>
      </c>
      <c r="M18">
        <f t="shared" ref="M18:P18" si="4">M4*SQRT((10/800)^2+(0.2^2*M2^2)/(M3^2*(M2+M3)^2)+(0.2^2)/(4*M2^2)*((3*M3+M2)/(M2+M3))^2)</f>
        <v>2.3359255673127114E-21</v>
      </c>
      <c r="N18">
        <f t="shared" si="4"/>
        <v>2.3344162612744578E-21</v>
      </c>
      <c r="O18">
        <f t="shared" si="4"/>
        <v>2.2443157876248788E-21</v>
      </c>
      <c r="P18">
        <f t="shared" si="4"/>
        <v>2.2806056161808354E-21</v>
      </c>
    </row>
    <row r="19" spans="1:16" x14ac:dyDescent="0.25">
      <c r="B19" s="1">
        <f>B18*10^(19)</f>
        <v>1.7563780249214029E-2</v>
      </c>
      <c r="C19" s="1">
        <f t="shared" ref="C19:P19" si="5">C18*10^(19)</f>
        <v>1.7200622442722475E-2</v>
      </c>
      <c r="D19" s="1">
        <f t="shared" si="5"/>
        <v>1.4853225097998784E-2</v>
      </c>
      <c r="E19" s="1">
        <f t="shared" si="5"/>
        <v>1.7683586929671945E-2</v>
      </c>
      <c r="F19" s="1">
        <f t="shared" si="5"/>
        <v>1.6843387701022901E-2</v>
      </c>
      <c r="G19" s="1">
        <f t="shared" si="5"/>
        <v>1.8234768353658882E-2</v>
      </c>
      <c r="H19" s="1">
        <f t="shared" si="5"/>
        <v>1.8023672759206057E-2</v>
      </c>
      <c r="I19" s="1">
        <f t="shared" si="5"/>
        <v>1.8454168021881139E-2</v>
      </c>
      <c r="J19" s="1">
        <f t="shared" si="5"/>
        <v>1.8560079821276377E-2</v>
      </c>
      <c r="K19" s="1">
        <f t="shared" si="5"/>
        <v>1.9708709703601651E-2</v>
      </c>
      <c r="L19" s="1">
        <f t="shared" si="5"/>
        <v>2.0795988833789279E-2</v>
      </c>
      <c r="M19" s="1">
        <f t="shared" si="5"/>
        <v>2.3359255673127115E-2</v>
      </c>
      <c r="N19" s="1">
        <f t="shared" si="5"/>
        <v>2.3344162612744579E-2</v>
      </c>
      <c r="O19" s="1">
        <f t="shared" si="5"/>
        <v>2.2443157876248787E-2</v>
      </c>
      <c r="P19" s="1">
        <f t="shared" si="5"/>
        <v>2.2806056161808353E-2</v>
      </c>
    </row>
    <row r="23" spans="1:16" x14ac:dyDescent="0.25">
      <c r="B23">
        <f>B9*SQRT((10/980)^2+(0.2^2*B7^2)/(B8^2*(B7+B8)^2)+(0.2^2)/(4*B7^2)*((3*B8+B7)/(B7+B8))^2)</f>
        <v>2.1750815679257278E-21</v>
      </c>
      <c r="C23">
        <f t="shared" ref="C23:F23" si="6">C9*SQRT((10/980)^2+(0.2^2*C7^2)/(C8^2*(C7+C8)^2)+(0.2^2)/(4*C7^2)*((3*C8+C7)/(C7+C8))^2)</f>
        <v>2.160759931437982E-21</v>
      </c>
      <c r="D23">
        <f t="shared" si="6"/>
        <v>2.320684473484381E-21</v>
      </c>
      <c r="E23">
        <f t="shared" si="6"/>
        <v>2.175495748222946E-21</v>
      </c>
      <c r="F23">
        <f t="shared" si="6"/>
        <v>2.1858089611704073E-21</v>
      </c>
      <c r="G23">
        <f>G9*SQRT((10/1000)^2+(0.2^2*G7^2)/(G8^2*(G7+G8)^2)+(0.2^2)/(4*G7^2)*((3*G8+G7)/(G7+G8))^2)</f>
        <v>4.184030240214637E-21</v>
      </c>
      <c r="H23">
        <f t="shared" ref="H23:K23" si="7">H9*SQRT((10/1000)^2+(0.2^2*H7^2)/(H8^2*(H7+H8)^2)+(0.2^2)/(4*H7^2)*((3*H8+H7)/(H7+H8))^2)</f>
        <v>4.225998219859116E-21</v>
      </c>
      <c r="I23">
        <f t="shared" si="7"/>
        <v>4.2824960475054912E-21</v>
      </c>
      <c r="J23">
        <f t="shared" si="7"/>
        <v>4.5478283042247018E-21</v>
      </c>
      <c r="K23">
        <f t="shared" si="7"/>
        <v>4.0473367047500043E-21</v>
      </c>
      <c r="L23">
        <f>L9*SQRT((10/860)^2+(0.2^2*L7^2)/(L8^2*(L7+L8)^2)+(0.2^2)/(4*L7^2)*((3*L8+L7)/(L7+L8))^2)</f>
        <v>1.1662034661960011E-20</v>
      </c>
      <c r="M23">
        <f t="shared" ref="M23:P23" si="8">M9*SQRT((10/860)^2+(0.2^2*M7^2)/(M8^2*(M7+M8)^2)+(0.2^2)/(4*M7^2)*((3*M8+M7)/(M7+M8))^2)</f>
        <v>1.1615612073913589E-20</v>
      </c>
      <c r="N23">
        <f t="shared" si="8"/>
        <v>1.2215695978573521E-20</v>
      </c>
      <c r="O23">
        <f t="shared" si="8"/>
        <v>1.1019115162512174E-20</v>
      </c>
      <c r="P23">
        <f t="shared" si="8"/>
        <v>1.1291404328200583E-20</v>
      </c>
    </row>
    <row r="24" spans="1:16" x14ac:dyDescent="0.25">
      <c r="B24" s="1">
        <f>B23*10^(19)</f>
        <v>2.1750815679257279E-2</v>
      </c>
      <c r="C24" s="1">
        <f t="shared" ref="C24:P24" si="9">C23*10^(19)</f>
        <v>2.1607599314379819E-2</v>
      </c>
      <c r="D24" s="1">
        <f t="shared" si="9"/>
        <v>2.3206844734843812E-2</v>
      </c>
      <c r="E24" s="1">
        <f t="shared" si="9"/>
        <v>2.175495748222946E-2</v>
      </c>
      <c r="F24" s="1">
        <f t="shared" si="9"/>
        <v>2.1858089611704073E-2</v>
      </c>
      <c r="G24" s="1">
        <f t="shared" si="9"/>
        <v>4.1840302402146368E-2</v>
      </c>
      <c r="H24" s="1">
        <f t="shared" si="9"/>
        <v>4.2259982198591159E-2</v>
      </c>
      <c r="I24" s="1">
        <f t="shared" si="9"/>
        <v>4.2824960475054914E-2</v>
      </c>
      <c r="J24" s="1">
        <f t="shared" si="9"/>
        <v>4.547828304224702E-2</v>
      </c>
      <c r="K24" s="1">
        <f t="shared" si="9"/>
        <v>4.0473367047500042E-2</v>
      </c>
      <c r="L24" s="1">
        <f t="shared" si="9"/>
        <v>0.11662034661960011</v>
      </c>
      <c r="M24" s="1">
        <f t="shared" si="9"/>
        <v>0.11615612073913589</v>
      </c>
      <c r="N24" s="1">
        <f t="shared" si="9"/>
        <v>0.12215695978573521</v>
      </c>
      <c r="O24" s="1">
        <f t="shared" si="9"/>
        <v>0.11019115162512173</v>
      </c>
      <c r="P24" s="1">
        <f t="shared" si="9"/>
        <v>0.11291404328200584</v>
      </c>
    </row>
    <row r="28" spans="1:16" x14ac:dyDescent="0.25">
      <c r="B28">
        <f>B14*SQRT((10/1000)^2+(0.2^2*B12^2)/(B13^2*(B12+B13)^2)+(0.2^2)/(4*B12^2)*((3*B13+B12)/(B12+B13))^2)</f>
        <v>8.6822773728142979E-21</v>
      </c>
      <c r="C28">
        <f t="shared" ref="C28:F28" si="10">C14*SQRT((10/1000)^2+(0.2^2*C12^2)/(C13^2*(C12+C13)^2)+(0.2^2)/(4*C12^2)*((3*C13+C12)/(C12+C13))^2)</f>
        <v>8.6822773728142979E-21</v>
      </c>
      <c r="D28">
        <f t="shared" si="10"/>
        <v>9.0813108603896948E-21</v>
      </c>
      <c r="E28">
        <f t="shared" si="10"/>
        <v>8.8219622203833495E-21</v>
      </c>
      <c r="F28">
        <f t="shared" si="10"/>
        <v>8.8562114870703645E-21</v>
      </c>
    </row>
    <row r="29" spans="1:16" x14ac:dyDescent="0.25">
      <c r="B29" s="1">
        <f>B28*10^(19)</f>
        <v>8.6822773728142982E-2</v>
      </c>
      <c r="C29" s="1">
        <f t="shared" ref="C29:F29" si="11">C28*10^(19)</f>
        <v>8.6822773728142982E-2</v>
      </c>
      <c r="D29" s="1">
        <f t="shared" si="11"/>
        <v>9.081310860389695E-2</v>
      </c>
      <c r="E29" s="1">
        <f t="shared" si="11"/>
        <v>8.8219622203833489E-2</v>
      </c>
      <c r="F29" s="1">
        <f t="shared" si="11"/>
        <v>8.8562114870703645E-2</v>
      </c>
    </row>
    <row r="32" spans="1:16" x14ac:dyDescent="0.25">
      <c r="A32" t="s">
        <v>1</v>
      </c>
      <c r="B32">
        <f>7.6</f>
        <v>7.6</v>
      </c>
      <c r="C32">
        <f>7.6</f>
        <v>7.6</v>
      </c>
      <c r="D32">
        <f>7.4</f>
        <v>7.4</v>
      </c>
      <c r="E32">
        <f>7.3</f>
        <v>7.3</v>
      </c>
      <c r="F32">
        <f>7.6</f>
        <v>7.6</v>
      </c>
    </row>
    <row r="33" spans="1:6" x14ac:dyDescent="0.25">
      <c r="A33" t="s">
        <v>5</v>
      </c>
      <c r="B33">
        <f>680</f>
        <v>680</v>
      </c>
      <c r="C33">
        <f>680</f>
        <v>680</v>
      </c>
      <c r="D33">
        <f>680</f>
        <v>680</v>
      </c>
      <c r="E33">
        <f>680</f>
        <v>680</v>
      </c>
      <c r="F33">
        <f>680</f>
        <v>680</v>
      </c>
    </row>
    <row r="34" spans="1:6" x14ac:dyDescent="0.25">
      <c r="B34">
        <f>9*3.14*SQRT(2*(1.83*10^(-5))^3*(0.75*10^(-3))^3/9.8/898)*7.25*10^(-3)/B32^(1.5)/B33</f>
        <v>3.4858860333178276E-19</v>
      </c>
      <c r="C34">
        <f t="shared" ref="C34:F34" si="12">9*3.14*SQRT(2*(1.83*10^(-5))^3*(0.75*10^(-3))^3/9.8/898)*7.25*10^(-3)/C32^(1.5)/C33</f>
        <v>3.4858860333178276E-19</v>
      </c>
      <c r="D34">
        <f t="shared" si="12"/>
        <v>3.6281563420655145E-19</v>
      </c>
      <c r="E34">
        <f t="shared" si="12"/>
        <v>3.702962232032638E-19</v>
      </c>
      <c r="F34">
        <f t="shared" si="12"/>
        <v>3.4858860333178276E-19</v>
      </c>
    </row>
    <row r="36" spans="1:6" x14ac:dyDescent="0.25">
      <c r="B36">
        <f>(ABS(B34*10^19-3.56)+ABS(C34*10^19-3.56)+ABS(D34*10^19-3.56)+ABS(E34*10^19-3.56)+ABS(F34*10^19-3.56))/5</f>
        <v>8.6692094828933988E-2</v>
      </c>
    </row>
  </sheetData>
  <mergeCells count="14">
    <mergeCell ref="B15:F15"/>
    <mergeCell ref="B11:F11"/>
    <mergeCell ref="B1:F1"/>
    <mergeCell ref="G1:K1"/>
    <mergeCell ref="L1:P1"/>
    <mergeCell ref="B6:F6"/>
    <mergeCell ref="G6:K6"/>
    <mergeCell ref="L6:P6"/>
    <mergeCell ref="B5:F5"/>
    <mergeCell ref="G5:K5"/>
    <mergeCell ref="L5:P5"/>
    <mergeCell ref="B10:F10"/>
    <mergeCell ref="G10:K10"/>
    <mergeCell ref="L10:P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2017-10-27T19:12:22Z</dcterms:modified>
</cp:coreProperties>
</file>