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I48" i="1" l="1"/>
  <c r="I49" i="1" l="1"/>
  <c r="H46" i="1" l="1"/>
  <c r="I46" i="1"/>
  <c r="N39" i="1"/>
  <c r="O39" i="1"/>
  <c r="P39" i="1"/>
  <c r="M39" i="1"/>
  <c r="D35" i="1"/>
  <c r="N38" i="1"/>
  <c r="O38" i="1"/>
  <c r="P38" i="1"/>
  <c r="M38" i="1"/>
  <c r="P37" i="1"/>
  <c r="O37" i="1"/>
  <c r="N37" i="1"/>
  <c r="M37" i="1"/>
  <c r="M40" i="1"/>
  <c r="N40" i="1"/>
  <c r="O40" i="1"/>
  <c r="P40" i="1"/>
  <c r="B40" i="1"/>
  <c r="C39" i="1"/>
  <c r="D39" i="1"/>
  <c r="E39" i="1"/>
  <c r="F39" i="1"/>
  <c r="G39" i="1"/>
  <c r="H39" i="1"/>
  <c r="I39" i="1"/>
  <c r="J39" i="1"/>
  <c r="K39" i="1"/>
  <c r="L39" i="1"/>
  <c r="B39" i="1"/>
  <c r="C38" i="1"/>
  <c r="D38" i="1"/>
  <c r="E38" i="1"/>
  <c r="F38" i="1"/>
  <c r="G38" i="1"/>
  <c r="H38" i="1"/>
  <c r="I38" i="1"/>
  <c r="J38" i="1"/>
  <c r="K38" i="1"/>
  <c r="L38" i="1"/>
  <c r="B38" i="1"/>
  <c r="E40" i="1"/>
  <c r="D40" i="1"/>
  <c r="C40" i="1"/>
  <c r="L37" i="1"/>
  <c r="K37" i="1"/>
  <c r="J37" i="1"/>
  <c r="I37" i="1"/>
  <c r="H37" i="1"/>
  <c r="G37" i="1"/>
  <c r="F37" i="1"/>
  <c r="E37" i="1"/>
  <c r="D37" i="1"/>
  <c r="C37" i="1"/>
  <c r="B37" i="1"/>
  <c r="D34" i="1"/>
  <c r="B35" i="1"/>
  <c r="B32" i="1"/>
  <c r="B30" i="1"/>
  <c r="B27" i="1"/>
  <c r="B26" i="1"/>
  <c r="D25" i="1"/>
  <c r="C25" i="1"/>
  <c r="B25" i="1"/>
  <c r="C31" i="1"/>
  <c r="D31" i="1"/>
  <c r="B31" i="1"/>
  <c r="C29" i="1"/>
  <c r="D29" i="1"/>
  <c r="B29" i="1"/>
  <c r="B28" i="1"/>
  <c r="K22" i="1"/>
  <c r="L22" i="1"/>
  <c r="M22" i="1"/>
  <c r="N22" i="1"/>
  <c r="O22" i="1"/>
  <c r="P22" i="1"/>
  <c r="J22" i="1"/>
  <c r="C23" i="1"/>
  <c r="D23" i="1"/>
  <c r="E23" i="1"/>
  <c r="F23" i="1"/>
  <c r="G23" i="1"/>
  <c r="H23" i="1"/>
  <c r="B23" i="1"/>
  <c r="C22" i="1"/>
  <c r="D22" i="1"/>
  <c r="E22" i="1"/>
  <c r="F22" i="1"/>
  <c r="G22" i="1"/>
  <c r="H22" i="1"/>
  <c r="B22" i="1"/>
  <c r="C21" i="1"/>
  <c r="D21" i="1"/>
  <c r="E21" i="1"/>
  <c r="F21" i="1"/>
  <c r="G21" i="1"/>
  <c r="H21" i="1"/>
  <c r="B21" i="1"/>
  <c r="C20" i="1"/>
  <c r="D20" i="1"/>
  <c r="E20" i="1"/>
  <c r="F20" i="1"/>
  <c r="G20" i="1"/>
  <c r="H20" i="1"/>
  <c r="B20" i="1"/>
  <c r="H19" i="1"/>
  <c r="G19" i="1"/>
  <c r="F19" i="1"/>
  <c r="E19" i="1"/>
  <c r="D19" i="1"/>
  <c r="C19" i="1"/>
  <c r="B19" i="1"/>
  <c r="H18" i="1"/>
  <c r="G18" i="1"/>
  <c r="F18" i="1"/>
  <c r="E18" i="1"/>
  <c r="D18" i="1"/>
  <c r="C18" i="1"/>
  <c r="B18" i="1"/>
  <c r="H17" i="1"/>
  <c r="G17" i="1"/>
  <c r="F17" i="1"/>
  <c r="E17" i="1"/>
  <c r="D17" i="1"/>
  <c r="C17" i="1"/>
  <c r="B17" i="1"/>
  <c r="B34" i="1" l="1"/>
  <c r="J9" i="1"/>
  <c r="C9" i="1"/>
  <c r="B10" i="1"/>
  <c r="D9" i="1"/>
  <c r="E9" i="1"/>
  <c r="F9" i="1"/>
  <c r="G9" i="1"/>
  <c r="H9" i="1"/>
  <c r="I9" i="1"/>
  <c r="K9" i="1"/>
  <c r="B9" i="1"/>
  <c r="C7" i="1"/>
  <c r="D7" i="1"/>
  <c r="B8" i="1" s="1"/>
  <c r="E7" i="1"/>
  <c r="F7" i="1"/>
  <c r="G7" i="1"/>
  <c r="H7" i="1"/>
  <c r="I7" i="1"/>
  <c r="J7" i="1"/>
  <c r="K7" i="1"/>
  <c r="B7" i="1"/>
  <c r="B12" i="1"/>
  <c r="C11" i="1"/>
  <c r="D11" i="1"/>
  <c r="E11" i="1"/>
  <c r="F11" i="1"/>
  <c r="G11" i="1"/>
  <c r="H11" i="1"/>
  <c r="I11" i="1"/>
  <c r="J11" i="1"/>
  <c r="K11" i="1"/>
  <c r="B11" i="1"/>
  <c r="C5" i="1"/>
  <c r="D5" i="1"/>
  <c r="E5" i="1"/>
  <c r="F5" i="1"/>
  <c r="G5" i="1"/>
  <c r="H5" i="1"/>
  <c r="I5" i="1"/>
  <c r="J5" i="1"/>
  <c r="K5" i="1"/>
  <c r="B5" i="1"/>
  <c r="C4" i="1"/>
  <c r="D4" i="1"/>
  <c r="E4" i="1"/>
  <c r="F4" i="1"/>
  <c r="G4" i="1"/>
  <c r="H4" i="1"/>
  <c r="I4" i="1"/>
  <c r="J4" i="1"/>
  <c r="K4" i="1"/>
  <c r="B4" i="1"/>
  <c r="C3" i="1"/>
  <c r="D3" i="1"/>
  <c r="E3" i="1"/>
  <c r="F3" i="1"/>
  <c r="G3" i="1"/>
  <c r="H3" i="1"/>
  <c r="I3" i="1"/>
  <c r="J3" i="1"/>
  <c r="K3" i="1"/>
  <c r="B3" i="1"/>
  <c r="K2" i="1"/>
  <c r="J2" i="1"/>
  <c r="I2" i="1"/>
  <c r="H2" i="1"/>
  <c r="G2" i="1"/>
  <c r="F2" i="1"/>
  <c r="E2" i="1"/>
  <c r="D2" i="1"/>
  <c r="C2" i="1"/>
  <c r="B2" i="1"/>
  <c r="K1" i="1"/>
  <c r="J1" i="1"/>
  <c r="I1" i="1"/>
  <c r="H1" i="1"/>
  <c r="G1" i="1"/>
  <c r="F1" i="1"/>
  <c r="E1" i="1"/>
  <c r="D1" i="1"/>
  <c r="C1" i="1"/>
  <c r="B1" i="1"/>
  <c r="B13" i="1" l="1"/>
  <c r="B14" i="1" s="1"/>
  <c r="B15" i="1" l="1"/>
</calcChain>
</file>

<file path=xl/sharedStrings.xml><?xml version="1.0" encoding="utf-8"?>
<sst xmlns="http://schemas.openxmlformats.org/spreadsheetml/2006/main" count="39" uniqueCount="32">
  <si>
    <t>x</t>
  </si>
  <si>
    <t>R</t>
  </si>
  <si>
    <t>I</t>
  </si>
  <si>
    <t>sigmax</t>
  </si>
  <si>
    <t>sigmaI</t>
  </si>
  <si>
    <t>xI</t>
  </si>
  <si>
    <t>&lt;xl&gt;</t>
  </si>
  <si>
    <t>x^2</t>
  </si>
  <si>
    <t>&lt;x^2&gt;</t>
  </si>
  <si>
    <t>y^2</t>
  </si>
  <si>
    <t>&lt;y^2&gt;</t>
  </si>
  <si>
    <t>k</t>
  </si>
  <si>
    <t>sigma k</t>
  </si>
  <si>
    <t>cI</t>
  </si>
  <si>
    <t>xn</t>
  </si>
  <si>
    <t>x_n+1</t>
  </si>
  <si>
    <t>theta</t>
  </si>
  <si>
    <t>R+R0</t>
  </si>
  <si>
    <t>(R+R0)^2</t>
  </si>
  <si>
    <t>1/theta^2</t>
  </si>
  <si>
    <t>xy</t>
  </si>
  <si>
    <t>&lt;xy&gt;</t>
  </si>
  <si>
    <t>&lt;x&gt;</t>
  </si>
  <si>
    <t>&lt;y&gt;</t>
  </si>
  <si>
    <t>Rкр</t>
  </si>
  <si>
    <t>sigmak</t>
  </si>
  <si>
    <t>sigmaR</t>
  </si>
  <si>
    <t>lmax</t>
  </si>
  <si>
    <t>R+R_0</t>
  </si>
  <si>
    <t>1/R+R_0</t>
  </si>
  <si>
    <t>C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</si>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</sst>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topLeftCell="A28" workbookViewId="0">
      <selection activeCell="I49" sqref="I49"/>
    </sheetView>
  </sheetViews>
  <sheetFormatPr defaultRowHeight="15" x14ac:dyDescent="0.25"/>
  <cols>
    <col min="2" max="2" width="12.7109375" bestFit="1" customWidth="1"/>
    <col min="4" max="4" width="12" bestFit="1" customWidth="1"/>
    <col min="9" max="9" width="12" bestFit="1" customWidth="1"/>
  </cols>
  <sheetData>
    <row r="1" spans="1:11" x14ac:dyDescent="0.25">
      <c r="A1" t="s">
        <v>1</v>
      </c>
      <c r="B1">
        <f>4300</f>
        <v>4300</v>
      </c>
      <c r="C1">
        <f>5300</f>
        <v>5300</v>
      </c>
      <c r="D1">
        <f>6300</f>
        <v>6300</v>
      </c>
      <c r="E1">
        <f>7300</f>
        <v>7300</v>
      </c>
      <c r="F1">
        <f>8300</f>
        <v>8300</v>
      </c>
      <c r="G1">
        <f>9300</f>
        <v>9300</v>
      </c>
      <c r="H1">
        <f>10300</f>
        <v>10300</v>
      </c>
      <c r="I1">
        <f>11300</f>
        <v>11300</v>
      </c>
      <c r="J1">
        <f>12300</f>
        <v>12300</v>
      </c>
      <c r="K1">
        <f>13300</f>
        <v>13300</v>
      </c>
    </row>
    <row r="2" spans="1:11" x14ac:dyDescent="0.25">
      <c r="A2" t="s">
        <v>0</v>
      </c>
      <c r="B2">
        <f>23.3</f>
        <v>23.3</v>
      </c>
      <c r="C2">
        <f>19</f>
        <v>19</v>
      </c>
      <c r="D2">
        <f>16</f>
        <v>16</v>
      </c>
      <c r="E2">
        <f>13.8</f>
        <v>13.8</v>
      </c>
      <c r="F2">
        <f>12.1</f>
        <v>12.1</v>
      </c>
      <c r="G2">
        <f>10.8</f>
        <v>10.8</v>
      </c>
      <c r="H2">
        <f>9.8</f>
        <v>9.8000000000000007</v>
      </c>
      <c r="I2">
        <f>9</f>
        <v>9</v>
      </c>
      <c r="J2">
        <f>8.3</f>
        <v>8.3000000000000007</v>
      </c>
      <c r="K2">
        <f>7.6</f>
        <v>7.6</v>
      </c>
    </row>
    <row r="3" spans="1:11" x14ac:dyDescent="0.25">
      <c r="A3" t="s">
        <v>2</v>
      </c>
      <c r="B3">
        <f>1.38/2000/(280+B1)</f>
        <v>1.5065502183406113E-7</v>
      </c>
      <c r="C3">
        <f t="shared" ref="C3:K3" si="0">1.38/2000/(280+C1)</f>
        <v>1.2365591397849461E-7</v>
      </c>
      <c r="D3">
        <f t="shared" si="0"/>
        <v>1.0486322188449847E-7</v>
      </c>
      <c r="E3">
        <f t="shared" si="0"/>
        <v>9.1029023746701846E-8</v>
      </c>
      <c r="F3">
        <f t="shared" si="0"/>
        <v>8.0419580419580417E-8</v>
      </c>
      <c r="G3">
        <f t="shared" si="0"/>
        <v>7.20250521920668E-8</v>
      </c>
      <c r="H3">
        <f t="shared" si="0"/>
        <v>6.5217391304347828E-8</v>
      </c>
      <c r="I3">
        <f t="shared" si="0"/>
        <v>5.9585492227979274E-8</v>
      </c>
      <c r="J3">
        <f t="shared" si="0"/>
        <v>5.4848966613672491E-8</v>
      </c>
      <c r="K3">
        <f t="shared" si="0"/>
        <v>5.0810014727540501E-8</v>
      </c>
    </row>
    <row r="4" spans="1:11" x14ac:dyDescent="0.25">
      <c r="A4" t="s">
        <v>3</v>
      </c>
      <c r="B4">
        <f>0.1</f>
        <v>0.1</v>
      </c>
      <c r="C4">
        <f t="shared" ref="C4:K4" si="1">0.1</f>
        <v>0.1</v>
      </c>
      <c r="D4">
        <f t="shared" si="1"/>
        <v>0.1</v>
      </c>
      <c r="E4">
        <f t="shared" si="1"/>
        <v>0.1</v>
      </c>
      <c r="F4">
        <f t="shared" si="1"/>
        <v>0.1</v>
      </c>
      <c r="G4">
        <f t="shared" si="1"/>
        <v>0.1</v>
      </c>
      <c r="H4">
        <f t="shared" si="1"/>
        <v>0.1</v>
      </c>
      <c r="I4">
        <f t="shared" si="1"/>
        <v>0.1</v>
      </c>
      <c r="J4">
        <f t="shared" si="1"/>
        <v>0.1</v>
      </c>
      <c r="K4">
        <f t="shared" si="1"/>
        <v>0.1</v>
      </c>
    </row>
    <row r="5" spans="1:11" x14ac:dyDescent="0.25">
      <c r="A5" t="s">
        <v>4</v>
      </c>
      <c r="B5">
        <f>B3*3/150</f>
        <v>3.0131004366812225E-9</v>
      </c>
      <c r="C5">
        <f t="shared" ref="C5:K5" si="2">C3*3/150</f>
        <v>2.4731182795698922E-9</v>
      </c>
      <c r="D5">
        <f t="shared" si="2"/>
        <v>2.0972644376899693E-9</v>
      </c>
      <c r="E5">
        <f t="shared" si="2"/>
        <v>1.820580474934037E-9</v>
      </c>
      <c r="F5">
        <f t="shared" si="2"/>
        <v>1.6083916083916085E-9</v>
      </c>
      <c r="G5">
        <f t="shared" si="2"/>
        <v>1.440501043841336E-9</v>
      </c>
      <c r="H5">
        <f t="shared" si="2"/>
        <v>1.3043478260869566E-9</v>
      </c>
      <c r="I5">
        <f t="shared" si="2"/>
        <v>1.1917098445595855E-9</v>
      </c>
      <c r="J5">
        <f t="shared" si="2"/>
        <v>1.0969793322734499E-9</v>
      </c>
      <c r="K5">
        <f t="shared" si="2"/>
        <v>1.0162002945508102E-9</v>
      </c>
    </row>
    <row r="7" spans="1:11" x14ac:dyDescent="0.25">
      <c r="A7" t="s">
        <v>5</v>
      </c>
      <c r="B7">
        <f>B2*B3/100</f>
        <v>3.5102620087336242E-8</v>
      </c>
      <c r="C7">
        <f t="shared" ref="C7:K7" si="3">C2*C3/100</f>
        <v>2.3494623655913974E-8</v>
      </c>
      <c r="D7">
        <f t="shared" si="3"/>
        <v>1.6778115501519754E-8</v>
      </c>
      <c r="E7">
        <f t="shared" si="3"/>
        <v>1.2562005277044857E-8</v>
      </c>
      <c r="F7">
        <f t="shared" si="3"/>
        <v>9.73076923076923E-9</v>
      </c>
      <c r="G7">
        <f t="shared" si="3"/>
        <v>7.7787056367432157E-9</v>
      </c>
      <c r="H7">
        <f t="shared" si="3"/>
        <v>6.3913043478260877E-9</v>
      </c>
      <c r="I7">
        <f t="shared" si="3"/>
        <v>5.3626943005181343E-9</v>
      </c>
      <c r="J7">
        <f t="shared" si="3"/>
        <v>4.5524642289348174E-9</v>
      </c>
      <c r="K7">
        <f t="shared" si="3"/>
        <v>3.8615611192930779E-9</v>
      </c>
    </row>
    <row r="8" spans="1:11" x14ac:dyDescent="0.25">
      <c r="A8" t="s">
        <v>6</v>
      </c>
      <c r="B8">
        <f>SUM(B7:K7)/10</f>
        <v>1.2561486338589941E-8</v>
      </c>
    </row>
    <row r="9" spans="1:11" x14ac:dyDescent="0.25">
      <c r="A9" t="s">
        <v>7</v>
      </c>
      <c r="B9">
        <f>B2*B2/10000</f>
        <v>5.4288999999999997E-2</v>
      </c>
      <c r="C9">
        <f>C2*C2/10000</f>
        <v>3.61E-2</v>
      </c>
      <c r="D9">
        <f t="shared" ref="D9:K9" si="4">D2*D2/10000</f>
        <v>2.5600000000000001E-2</v>
      </c>
      <c r="E9">
        <f t="shared" si="4"/>
        <v>1.9044000000000002E-2</v>
      </c>
      <c r="F9">
        <f t="shared" si="4"/>
        <v>1.4641E-2</v>
      </c>
      <c r="G9">
        <f t="shared" si="4"/>
        <v>1.1664000000000001E-2</v>
      </c>
      <c r="H9">
        <f t="shared" si="4"/>
        <v>9.6040000000000014E-3</v>
      </c>
      <c r="I9">
        <f t="shared" si="4"/>
        <v>8.0999999999999996E-3</v>
      </c>
      <c r="J9">
        <f>J2*J2/10000</f>
        <v>6.8890000000000019E-3</v>
      </c>
      <c r="K9">
        <f t="shared" si="4"/>
        <v>5.7759999999999999E-3</v>
      </c>
    </row>
    <row r="10" spans="1:11" x14ac:dyDescent="0.25">
      <c r="A10" t="s">
        <v>8</v>
      </c>
      <c r="B10">
        <f>SUM(B9:K9)/10</f>
        <v>1.9170699999999999E-2</v>
      </c>
    </row>
    <row r="11" spans="1:11" x14ac:dyDescent="0.25">
      <c r="A11" t="s">
        <v>9</v>
      </c>
      <c r="B11">
        <f>B3*B3</f>
        <v>2.2696935603821438E-14</v>
      </c>
      <c r="C11">
        <f t="shared" ref="C11:K11" si="5">C3*C3</f>
        <v>1.529078506185686E-14</v>
      </c>
      <c r="D11">
        <f t="shared" si="5"/>
        <v>1.0996295303997559E-14</v>
      </c>
      <c r="E11">
        <f t="shared" si="5"/>
        <v>8.2862831642776082E-15</v>
      </c>
      <c r="F11">
        <f t="shared" si="5"/>
        <v>6.4673089148613624E-15</v>
      </c>
      <c r="G11">
        <f t="shared" si="5"/>
        <v>5.1876081432699462E-15</v>
      </c>
      <c r="H11">
        <f t="shared" si="5"/>
        <v>4.2533081285444239E-15</v>
      </c>
      <c r="I11">
        <f t="shared" si="5"/>
        <v>3.5504308840505785E-15</v>
      </c>
      <c r="J11">
        <f t="shared" si="5"/>
        <v>3.0084091385877596E-15</v>
      </c>
      <c r="K11">
        <f t="shared" si="5"/>
        <v>2.5816575966128828E-15</v>
      </c>
    </row>
    <row r="12" spans="1:11" x14ac:dyDescent="0.25">
      <c r="A12" t="s">
        <v>10</v>
      </c>
      <c r="B12">
        <f>SUM(B11:K11)/10</f>
        <v>8.231902193988042E-15</v>
      </c>
    </row>
    <row r="13" spans="1:11" x14ac:dyDescent="0.25">
      <c r="A13" t="s">
        <v>11</v>
      </c>
      <c r="B13">
        <f>B8/B10</f>
        <v>6.5524400979567477E-7</v>
      </c>
    </row>
    <row r="14" spans="1:11" x14ac:dyDescent="0.25">
      <c r="A14" t="s">
        <v>12</v>
      </c>
      <c r="B14">
        <f>1/SQRT(10)*SQRT(B12/B10-B13*B13)</f>
        <v>2.355337409230043E-9</v>
      </c>
    </row>
    <row r="15" spans="1:11" x14ac:dyDescent="0.25">
      <c r="A15" t="s">
        <v>13</v>
      </c>
      <c r="B15">
        <f>2.2*B13/1000</f>
        <v>1.4415368215504846E-9</v>
      </c>
    </row>
    <row r="17" spans="1:16" x14ac:dyDescent="0.25">
      <c r="A17" t="s">
        <v>1</v>
      </c>
      <c r="B17">
        <f>6800</f>
        <v>6800</v>
      </c>
      <c r="C17">
        <f>8500</f>
        <v>8500</v>
      </c>
      <c r="D17">
        <f>10200</f>
        <v>10200</v>
      </c>
      <c r="E17">
        <f>11900</f>
        <v>11900</v>
      </c>
      <c r="F17">
        <f>13600</f>
        <v>13600</v>
      </c>
      <c r="G17">
        <f>15300</f>
        <v>15300</v>
      </c>
      <c r="H17">
        <f>17000</f>
        <v>17000</v>
      </c>
    </row>
    <row r="18" spans="1:16" x14ac:dyDescent="0.25">
      <c r="A18" t="s">
        <v>14</v>
      </c>
      <c r="B18">
        <f>5.7</f>
        <v>5.7</v>
      </c>
      <c r="C18">
        <f>10.5</f>
        <v>10.5</v>
      </c>
      <c r="D18">
        <f>9.8</f>
        <v>9.8000000000000007</v>
      </c>
      <c r="E18">
        <f>17.7</f>
        <v>17.7</v>
      </c>
      <c r="F18">
        <f>16.4</f>
        <v>16.399999999999999</v>
      </c>
      <c r="G18">
        <f>15.4</f>
        <v>15.4</v>
      </c>
      <c r="H18">
        <f>14.5</f>
        <v>14.5</v>
      </c>
    </row>
    <row r="19" spans="1:16" x14ac:dyDescent="0.25">
      <c r="A19" t="s">
        <v>15</v>
      </c>
      <c r="B19">
        <f>1</f>
        <v>1</v>
      </c>
      <c r="C19">
        <f>2.7</f>
        <v>2.7</v>
      </c>
      <c r="D19">
        <f>3.2</f>
        <v>3.2</v>
      </c>
      <c r="E19">
        <f>6.4</f>
        <v>6.4</v>
      </c>
      <c r="F19">
        <f>6.6</f>
        <v>6.6</v>
      </c>
      <c r="G19">
        <f>6.7</f>
        <v>6.7</v>
      </c>
      <c r="H19">
        <f>6.8</f>
        <v>6.8</v>
      </c>
    </row>
    <row r="20" spans="1:16" x14ac:dyDescent="0.25">
      <c r="A20" t="s">
        <v>16</v>
      </c>
      <c r="B20">
        <f>LN(B18/B19)</f>
        <v>1.7404661748405046</v>
      </c>
      <c r="C20">
        <f t="shared" ref="C20:H20" si="6">LN(C18/C19)</f>
        <v>1.3581234841531944</v>
      </c>
      <c r="D20">
        <f t="shared" si="6"/>
        <v>1.1192315758708453</v>
      </c>
      <c r="E20">
        <f t="shared" si="6"/>
        <v>1.0172666492141571</v>
      </c>
      <c r="F20">
        <f t="shared" si="6"/>
        <v>0.9102116857977729</v>
      </c>
      <c r="G20">
        <f t="shared" si="6"/>
        <v>0.83225998302266313</v>
      </c>
      <c r="H20">
        <f t="shared" si="6"/>
        <v>0.75722603724446769</v>
      </c>
    </row>
    <row r="21" spans="1:16" x14ac:dyDescent="0.25">
      <c r="A21" t="s">
        <v>17</v>
      </c>
      <c r="B21">
        <f>B17+280</f>
        <v>7080</v>
      </c>
      <c r="C21">
        <f t="shared" ref="C21:H21" si="7">C17+280</f>
        <v>8780</v>
      </c>
      <c r="D21">
        <f t="shared" si="7"/>
        <v>10480</v>
      </c>
      <c r="E21">
        <f t="shared" si="7"/>
        <v>12180</v>
      </c>
      <c r="F21">
        <f t="shared" si="7"/>
        <v>13880</v>
      </c>
      <c r="G21">
        <f t="shared" si="7"/>
        <v>15580</v>
      </c>
      <c r="H21">
        <f t="shared" si="7"/>
        <v>17280</v>
      </c>
    </row>
    <row r="22" spans="1:16" x14ac:dyDescent="0.25">
      <c r="A22" t="s">
        <v>18</v>
      </c>
      <c r="B22">
        <f>B21*B21</f>
        <v>50126400</v>
      </c>
      <c r="C22">
        <f t="shared" ref="C22:H22" si="8">C21*C21</f>
        <v>77088400</v>
      </c>
      <c r="D22">
        <f t="shared" si="8"/>
        <v>109830400</v>
      </c>
      <c r="E22">
        <f t="shared" si="8"/>
        <v>148352400</v>
      </c>
      <c r="F22">
        <f t="shared" si="8"/>
        <v>192654400</v>
      </c>
      <c r="G22">
        <f t="shared" si="8"/>
        <v>242736400</v>
      </c>
      <c r="H22">
        <f t="shared" si="8"/>
        <v>298598400</v>
      </c>
      <c r="J22">
        <f>B22/100000000</f>
        <v>0.50126400000000004</v>
      </c>
      <c r="K22">
        <f t="shared" ref="K22:P22" si="9">C22/100000000</f>
        <v>0.77088400000000001</v>
      </c>
      <c r="L22">
        <f t="shared" si="9"/>
        <v>1.0983039999999999</v>
      </c>
      <c r="M22">
        <f t="shared" si="9"/>
        <v>1.4835240000000001</v>
      </c>
      <c r="N22">
        <f t="shared" si="9"/>
        <v>1.926544</v>
      </c>
      <c r="O22">
        <f t="shared" si="9"/>
        <v>2.4273639999999999</v>
      </c>
      <c r="P22">
        <f t="shared" si="9"/>
        <v>2.9859840000000002</v>
      </c>
    </row>
    <row r="23" spans="1:16" x14ac:dyDescent="0.25">
      <c r="A23" t="s">
        <v>19</v>
      </c>
      <c r="B23">
        <f>1/B20/B20</f>
        <v>0.33011771109491689</v>
      </c>
      <c r="C23">
        <f t="shared" ref="C23:H23" si="10">1/C20/C20</f>
        <v>0.54215252169304795</v>
      </c>
      <c r="D23">
        <f t="shared" si="10"/>
        <v>0.79828890258973928</v>
      </c>
      <c r="E23">
        <f t="shared" si="10"/>
        <v>0.96634095717908963</v>
      </c>
      <c r="F23">
        <f t="shared" si="10"/>
        <v>1.2070220006964356</v>
      </c>
      <c r="G23">
        <f t="shared" si="10"/>
        <v>1.4437166778664108</v>
      </c>
      <c r="H23">
        <f t="shared" si="10"/>
        <v>1.7440098057600202</v>
      </c>
    </row>
    <row r="25" spans="1:16" x14ac:dyDescent="0.25">
      <c r="A25" t="s">
        <v>20</v>
      </c>
      <c r="B25">
        <f>B22*B23</f>
        <v>16547612.433428243</v>
      </c>
      <c r="C25">
        <f>C22*C23</f>
        <v>41793670.453282356</v>
      </c>
      <c r="D25">
        <f>D22*D23</f>
        <v>87676389.486992106</v>
      </c>
    </row>
    <row r="26" spans="1:16" x14ac:dyDescent="0.25">
      <c r="A26" t="s">
        <v>21</v>
      </c>
      <c r="B26">
        <f>SUM(B25:D25)/3</f>
        <v>48672557.457900904</v>
      </c>
    </row>
    <row r="27" spans="1:16" x14ac:dyDescent="0.25">
      <c r="A27" t="s">
        <v>22</v>
      </c>
      <c r="B27">
        <f>SUM(B22:D22)/3</f>
        <v>79015066.666666672</v>
      </c>
    </row>
    <row r="28" spans="1:16" x14ac:dyDescent="0.25">
      <c r="A28" t="s">
        <v>23</v>
      </c>
      <c r="B28">
        <f>SUM(B23:D23)/3</f>
        <v>0.55685304512590139</v>
      </c>
    </row>
    <row r="29" spans="1:16" x14ac:dyDescent="0.25">
      <c r="A29" t="s">
        <v>7</v>
      </c>
      <c r="B29">
        <f>B22*B22</f>
        <v>2512655976960000</v>
      </c>
      <c r="C29">
        <f t="shared" ref="C29:D29" si="11">C22*C22</f>
        <v>5942621414560000</v>
      </c>
      <c r="D29">
        <f t="shared" si="11"/>
        <v>1.206271676416E+16</v>
      </c>
    </row>
    <row r="30" spans="1:16" x14ac:dyDescent="0.25">
      <c r="A30" t="s">
        <v>8</v>
      </c>
      <c r="B30">
        <f>SUM(B29:D29)/3</f>
        <v>6839331385226667</v>
      </c>
    </row>
    <row r="31" spans="1:16" x14ac:dyDescent="0.25">
      <c r="A31" t="s">
        <v>9</v>
      </c>
      <c r="B31">
        <f>B23*B23</f>
        <v>0.10897770317854701</v>
      </c>
      <c r="C31">
        <f t="shared" ref="C31:D31" si="12">C23*C23</f>
        <v>0.29392935677813081</v>
      </c>
      <c r="D31">
        <f t="shared" si="12"/>
        <v>0.6372651719979302</v>
      </c>
    </row>
    <row r="32" spans="1:16" x14ac:dyDescent="0.25">
      <c r="A32" t="s">
        <v>10</v>
      </c>
      <c r="B32">
        <f>SUM(B31:D31)/3</f>
        <v>0.34672407731820271</v>
      </c>
    </row>
    <row r="34" spans="1:16" x14ac:dyDescent="0.25">
      <c r="A34" t="s">
        <v>11</v>
      </c>
      <c r="B34">
        <f>(B26-B27*B28)/(B30-B27*B27)</f>
        <v>7.8408793926723049E-9</v>
      </c>
      <c r="C34" t="s">
        <v>25</v>
      </c>
      <c r="D34">
        <f>1/SQRT(3)*SQRT((B32-B28*B28)/(B30-B27*B27)-B34*B34)</f>
        <v>6.804192851403986E-12</v>
      </c>
    </row>
    <row r="35" spans="1:16" x14ac:dyDescent="0.25">
      <c r="A35" t="s">
        <v>24</v>
      </c>
      <c r="B35">
        <f>1/6.28*SQRT(1/B34)-280</f>
        <v>1518.2827131503341</v>
      </c>
      <c r="C35" t="s">
        <v>26</v>
      </c>
      <c r="D35">
        <f>B35*SQRT(1/4*(D34/B34)^2)</f>
        <v>0.65877102974459079</v>
      </c>
    </row>
    <row r="37" spans="1:16" x14ac:dyDescent="0.25">
      <c r="A37" t="s">
        <v>1</v>
      </c>
      <c r="B37">
        <f>90</f>
        <v>90</v>
      </c>
      <c r="C37">
        <f>900</f>
        <v>900</v>
      </c>
      <c r="D37">
        <f>1000</f>
        <v>1000</v>
      </c>
      <c r="E37">
        <f>2000</f>
        <v>2000</v>
      </c>
      <c r="F37">
        <f>5000</f>
        <v>5000</v>
      </c>
      <c r="G37">
        <f>8000</f>
        <v>8000</v>
      </c>
      <c r="H37">
        <f>10000</f>
        <v>10000</v>
      </c>
      <c r="I37">
        <f>20000</f>
        <v>20000</v>
      </c>
      <c r="J37">
        <f>30000</f>
        <v>30000</v>
      </c>
      <c r="K37">
        <f>40000</f>
        <v>40000</v>
      </c>
      <c r="L37">
        <f>50000</f>
        <v>50000</v>
      </c>
      <c r="M37">
        <f>500</f>
        <v>500</v>
      </c>
      <c r="N37">
        <f>600</f>
        <v>600</v>
      </c>
      <c r="O37">
        <f>700</f>
        <v>700</v>
      </c>
      <c r="P37">
        <f>800</f>
        <v>800</v>
      </c>
    </row>
    <row r="38" spans="1:16" x14ac:dyDescent="0.25">
      <c r="A38" t="s">
        <v>28</v>
      </c>
      <c r="B38">
        <f>B37+280</f>
        <v>370</v>
      </c>
      <c r="C38">
        <f t="shared" ref="C38:L38" si="13">C37+280</f>
        <v>1180</v>
      </c>
      <c r="D38">
        <f t="shared" si="13"/>
        <v>1280</v>
      </c>
      <c r="E38">
        <f t="shared" si="13"/>
        <v>2280</v>
      </c>
      <c r="F38">
        <f t="shared" si="13"/>
        <v>5280</v>
      </c>
      <c r="G38">
        <f t="shared" si="13"/>
        <v>8280</v>
      </c>
      <c r="H38">
        <f t="shared" si="13"/>
        <v>10280</v>
      </c>
      <c r="I38">
        <f t="shared" si="13"/>
        <v>20280</v>
      </c>
      <c r="J38">
        <f t="shared" si="13"/>
        <v>30280</v>
      </c>
      <c r="K38">
        <f t="shared" si="13"/>
        <v>40280</v>
      </c>
      <c r="L38">
        <f t="shared" si="13"/>
        <v>50280</v>
      </c>
      <c r="M38">
        <f>M37+280</f>
        <v>780</v>
      </c>
      <c r="N38">
        <f t="shared" ref="N38:P38" si="14">N37+280</f>
        <v>880</v>
      </c>
      <c r="O38">
        <f t="shared" si="14"/>
        <v>980</v>
      </c>
      <c r="P38">
        <f t="shared" si="14"/>
        <v>1080</v>
      </c>
    </row>
    <row r="39" spans="1:16" x14ac:dyDescent="0.25">
      <c r="A39" t="s">
        <v>29</v>
      </c>
      <c r="B39">
        <f>1/B38</f>
        <v>2.7027027027027029E-3</v>
      </c>
      <c r="C39">
        <f t="shared" ref="C39:L39" si="15">1/C38</f>
        <v>8.4745762711864404E-4</v>
      </c>
      <c r="D39">
        <f t="shared" si="15"/>
        <v>7.8125000000000004E-4</v>
      </c>
      <c r="E39">
        <f t="shared" si="15"/>
        <v>4.3859649122807018E-4</v>
      </c>
      <c r="F39">
        <f t="shared" si="15"/>
        <v>1.8939393939393939E-4</v>
      </c>
      <c r="G39">
        <f t="shared" si="15"/>
        <v>1.2077294685990338E-4</v>
      </c>
      <c r="H39">
        <f t="shared" si="15"/>
        <v>9.7276264591439695E-5</v>
      </c>
      <c r="I39">
        <f t="shared" si="15"/>
        <v>4.9309664694280077E-5</v>
      </c>
      <c r="J39">
        <f t="shared" si="15"/>
        <v>3.3025099075297225E-5</v>
      </c>
      <c r="K39">
        <f t="shared" si="15"/>
        <v>2.4826216484607746E-5</v>
      </c>
      <c r="L39">
        <f t="shared" si="15"/>
        <v>1.9888623707239461E-5</v>
      </c>
      <c r="M39">
        <f>1/M38</f>
        <v>1.2820512820512821E-3</v>
      </c>
      <c r="N39">
        <f t="shared" ref="N39:P39" si="16">1/N38</f>
        <v>1.1363636363636363E-3</v>
      </c>
      <c r="O39">
        <f t="shared" si="16"/>
        <v>1.0204081632653062E-3</v>
      </c>
      <c r="P39">
        <f t="shared" si="16"/>
        <v>9.2592592592592596E-4</v>
      </c>
    </row>
    <row r="40" spans="1:16" x14ac:dyDescent="0.25">
      <c r="A40" t="s">
        <v>27</v>
      </c>
      <c r="B40">
        <f>0.023</f>
        <v>2.3E-2</v>
      </c>
      <c r="C40">
        <f>0.057</f>
        <v>5.7000000000000002E-2</v>
      </c>
      <c r="D40">
        <f>0.062</f>
        <v>6.2E-2</v>
      </c>
      <c r="E40">
        <f>0.085</f>
        <v>8.5000000000000006E-2</v>
      </c>
      <c r="F40">
        <v>0.122</v>
      </c>
      <c r="G40">
        <v>0.14199999999999999</v>
      </c>
      <c r="H40">
        <v>0.14699999999999999</v>
      </c>
      <c r="I40">
        <v>0.16600000000000001</v>
      </c>
      <c r="J40">
        <v>0.17199999999999999</v>
      </c>
      <c r="K40">
        <v>0.17499999999999999</v>
      </c>
      <c r="L40">
        <v>0.17799999999999999</v>
      </c>
      <c r="M40">
        <f>0.045</f>
        <v>4.4999999999999998E-2</v>
      </c>
      <c r="N40">
        <f>0.047</f>
        <v>4.7E-2</v>
      </c>
      <c r="O40">
        <f>0.051</f>
        <v>5.0999999999999997E-2</v>
      </c>
      <c r="P40">
        <f>0.054</f>
        <v>5.3999999999999999E-2</v>
      </c>
    </row>
    <row r="44" spans="1:16" x14ac:dyDescent="0.25">
      <c r="D44">
        <v>2.3E-2</v>
      </c>
    </row>
    <row r="45" spans="1:16" x14ac:dyDescent="0.25">
      <c r="C45">
        <v>8.4745762711864404E-4</v>
      </c>
      <c r="D45">
        <v>5.7000000000000002E-2</v>
      </c>
    </row>
    <row r="46" spans="1:16" x14ac:dyDescent="0.25">
      <c r="C46">
        <v>7.8125000000000004E-4</v>
      </c>
      <c r="D46">
        <v>6.2E-2</v>
      </c>
      <c r="H46">
        <f>(7.14876-11.44)/(-6712)</f>
        <v>6.3933849821215722E-4</v>
      </c>
      <c r="I46">
        <f>1/H46-280</f>
        <v>1284.1166655791801</v>
      </c>
    </row>
    <row r="47" spans="1:16" x14ac:dyDescent="0.25">
      <c r="C47">
        <v>4.3859649122807018E-4</v>
      </c>
      <c r="D47">
        <v>8.5000000000000006E-2</v>
      </c>
    </row>
    <row r="48" spans="1:16" x14ac:dyDescent="0.25">
      <c r="C48">
        <v>1.8939393939393939E-4</v>
      </c>
      <c r="D48">
        <v>0.122</v>
      </c>
      <c r="H48" t="s">
        <v>30</v>
      </c>
      <c r="I48">
        <f>2.2/15*(1.38*2*10^(-6))/194.3</f>
        <v>2.0833762223365925E-9</v>
      </c>
    </row>
    <row r="49" spans="3:9" x14ac:dyDescent="0.25">
      <c r="C49">
        <v>1.2077294685990338E-4</v>
      </c>
      <c r="D49">
        <v>0.14199999999999999</v>
      </c>
      <c r="H49" t="s">
        <v>31</v>
      </c>
      <c r="I49">
        <f>I48*SQRT((0.02/1.38)^2+(0.1/19)^2)</f>
        <v>3.2123252175817599E-11</v>
      </c>
    </row>
    <row r="50" spans="3:9" x14ac:dyDescent="0.25">
      <c r="C50">
        <v>9.7276264591439695E-5</v>
      </c>
      <c r="D50">
        <v>0.14699999999999999</v>
      </c>
    </row>
    <row r="51" spans="3:9" x14ac:dyDescent="0.25">
      <c r="C51">
        <v>4.9309664694280077E-5</v>
      </c>
      <c r="D51">
        <v>0.16600000000000001</v>
      </c>
    </row>
    <row r="52" spans="3:9" x14ac:dyDescent="0.25">
      <c r="C52">
        <v>3.3025099075297225E-5</v>
      </c>
      <c r="D52">
        <v>0.17199999999999999</v>
      </c>
    </row>
    <row r="53" spans="3:9" x14ac:dyDescent="0.25">
      <c r="C53">
        <v>2.4826216484607746E-5</v>
      </c>
      <c r="D53">
        <v>0.17499999999999999</v>
      </c>
    </row>
    <row r="54" spans="3:9" x14ac:dyDescent="0.25">
      <c r="C54">
        <v>1.9888623707239461E-5</v>
      </c>
      <c r="D54">
        <v>0.17799999999999999</v>
      </c>
    </row>
    <row r="55" spans="3:9" x14ac:dyDescent="0.25">
      <c r="C55">
        <v>1.2820512820512821E-3</v>
      </c>
      <c r="D55">
        <v>4.4999999999999998E-2</v>
      </c>
    </row>
    <row r="56" spans="3:9" x14ac:dyDescent="0.25">
      <c r="C56">
        <v>1.1363636363636363E-3</v>
      </c>
      <c r="D56">
        <v>4.7E-2</v>
      </c>
    </row>
    <row r="57" spans="3:9" x14ac:dyDescent="0.25">
      <c r="C57">
        <v>1.0204081632653062E-3</v>
      </c>
      <c r="D57">
        <v>5.0999999999999997E-2</v>
      </c>
    </row>
    <row r="58" spans="3:9" x14ac:dyDescent="0.25">
      <c r="C58">
        <v>9.2592592592592596E-4</v>
      </c>
      <c r="D58">
        <v>5.3999999999999999E-2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</dc:creator>
  <cp:lastModifiedBy>Глеб</cp:lastModifiedBy>
  <dcterms:created xsi:type="dcterms:W3CDTF">2017-11-15T10:48:53Z</dcterms:created>
  <dcterms:modified xsi:type="dcterms:W3CDTF">2017-11-16T20:35:41Z</dcterms:modified>
</cp:coreProperties>
</file>