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62" i="1" l="1"/>
  <c r="P61" i="1"/>
  <c r="P60" i="1"/>
  <c r="C7" i="1"/>
  <c r="D7" i="1"/>
  <c r="E7" i="1"/>
  <c r="F7" i="1"/>
  <c r="G7" i="1"/>
  <c r="H7" i="1"/>
  <c r="I7" i="1"/>
  <c r="B7" i="1"/>
  <c r="Q48" i="1"/>
  <c r="I5" i="1"/>
  <c r="L1" i="1"/>
  <c r="O11" i="1"/>
  <c r="O10" i="1"/>
  <c r="M57" i="1"/>
  <c r="M58" i="1"/>
  <c r="M59" i="1"/>
  <c r="M60" i="1"/>
  <c r="M61" i="1"/>
  <c r="M62" i="1"/>
  <c r="M63" i="1"/>
  <c r="M56" i="1"/>
  <c r="N54" i="1"/>
  <c r="L57" i="1"/>
  <c r="L58" i="1"/>
  <c r="L59" i="1"/>
  <c r="L60" i="1"/>
  <c r="L61" i="1"/>
  <c r="L62" i="1"/>
  <c r="L63" i="1"/>
  <c r="L56" i="1"/>
  <c r="K57" i="1"/>
  <c r="K58" i="1"/>
  <c r="K59" i="1"/>
  <c r="K60" i="1"/>
  <c r="K61" i="1"/>
  <c r="K62" i="1"/>
  <c r="K63" i="1"/>
  <c r="K56" i="1"/>
  <c r="N53" i="1" s="1"/>
  <c r="L54" i="1"/>
  <c r="L53" i="1"/>
  <c r="P53" i="1" l="1"/>
  <c r="P54" i="1" s="1"/>
  <c r="P56" i="1" s="1"/>
  <c r="P58" i="1" s="1"/>
  <c r="O46" i="1"/>
  <c r="O41" i="1"/>
  <c r="O36" i="1"/>
  <c r="AB44" i="1"/>
  <c r="AA44" i="1"/>
  <c r="Z44" i="1"/>
  <c r="Y44" i="1"/>
  <c r="X44" i="1"/>
  <c r="W44" i="1"/>
  <c r="V44" i="1"/>
  <c r="AB39" i="1"/>
  <c r="AA39" i="1"/>
  <c r="Z39" i="1"/>
  <c r="Y39" i="1"/>
  <c r="X39" i="1"/>
  <c r="W39" i="1"/>
  <c r="V39" i="1"/>
  <c r="AB34" i="1"/>
  <c r="AA34" i="1"/>
  <c r="Z34" i="1"/>
  <c r="Y34" i="1"/>
  <c r="X34" i="1"/>
  <c r="W34" i="1"/>
  <c r="V34" i="1"/>
  <c r="O31" i="1"/>
  <c r="AB29" i="1"/>
  <c r="AA29" i="1"/>
  <c r="Z29" i="1"/>
  <c r="Y29" i="1"/>
  <c r="X29" i="1"/>
  <c r="W29" i="1"/>
  <c r="V29" i="1"/>
  <c r="O26" i="1"/>
  <c r="AB24" i="1"/>
  <c r="AA24" i="1"/>
  <c r="Z24" i="1"/>
  <c r="Y24" i="1"/>
  <c r="X24" i="1"/>
  <c r="W24" i="1"/>
  <c r="V24" i="1"/>
  <c r="O21" i="1"/>
  <c r="W19" i="1"/>
  <c r="X19" i="1"/>
  <c r="Y19" i="1"/>
  <c r="Z19" i="1"/>
  <c r="AA19" i="1"/>
  <c r="AB19" i="1"/>
  <c r="AC19" i="1"/>
  <c r="V19" i="1"/>
  <c r="F50" i="1"/>
  <c r="H49" i="1"/>
  <c r="H50" i="1" s="1"/>
  <c r="G49" i="1"/>
  <c r="G50" i="1" s="1"/>
  <c r="F49" i="1"/>
  <c r="E49" i="1"/>
  <c r="E50" i="1" s="1"/>
  <c r="D49" i="1"/>
  <c r="D50" i="1" s="1"/>
  <c r="C49" i="1"/>
  <c r="C50" i="1" s="1"/>
  <c r="B49" i="1"/>
  <c r="B50" i="1" s="1"/>
  <c r="O45" i="1"/>
  <c r="O40" i="1"/>
  <c r="O35" i="1"/>
  <c r="O30" i="1"/>
  <c r="O25" i="1"/>
  <c r="O20" i="1"/>
  <c r="P55" i="1" l="1"/>
  <c r="P57" i="1" s="1"/>
  <c r="P59" i="1" s="1"/>
  <c r="P63" i="1" s="1"/>
  <c r="I16" i="1"/>
  <c r="AC14" i="1" s="1"/>
  <c r="H15" i="1"/>
  <c r="H16" i="1" s="1"/>
  <c r="AB14" i="1" s="1"/>
  <c r="G15" i="1"/>
  <c r="G16" i="1" s="1"/>
  <c r="AA14" i="1" s="1"/>
  <c r="F15" i="1"/>
  <c r="F16" i="1" s="1"/>
  <c r="Z14" i="1" s="1"/>
  <c r="E15" i="1"/>
  <c r="E16" i="1" s="1"/>
  <c r="Y14" i="1" s="1"/>
  <c r="D15" i="1"/>
  <c r="D16" i="1" s="1"/>
  <c r="X14" i="1" s="1"/>
  <c r="C15" i="1"/>
  <c r="C16" i="1" s="1"/>
  <c r="W14" i="1" s="1"/>
  <c r="B15" i="1"/>
  <c r="B16" i="1" s="1"/>
  <c r="B14" i="1"/>
  <c r="D12" i="1"/>
  <c r="X9" i="1" s="1"/>
  <c r="I11" i="1"/>
  <c r="H11" i="1"/>
  <c r="G11" i="1"/>
  <c r="F11" i="1"/>
  <c r="E11" i="1"/>
  <c r="D11" i="1"/>
  <c r="C11" i="1"/>
  <c r="B11" i="1"/>
  <c r="I10" i="1"/>
  <c r="I12" i="1" s="1"/>
  <c r="AC9" i="1" s="1"/>
  <c r="H10" i="1"/>
  <c r="H12" i="1" s="1"/>
  <c r="AB9" i="1" s="1"/>
  <c r="G10" i="1"/>
  <c r="G12" i="1" s="1"/>
  <c r="AA9" i="1" s="1"/>
  <c r="F10" i="1"/>
  <c r="F12" i="1" s="1"/>
  <c r="Z9" i="1" s="1"/>
  <c r="E10" i="1"/>
  <c r="E12" i="1" s="1"/>
  <c r="Y9" i="1" s="1"/>
  <c r="C10" i="1"/>
  <c r="C12" i="1" s="1"/>
  <c r="W9" i="1" s="1"/>
  <c r="B10" i="1"/>
  <c r="B12" i="1" s="1"/>
  <c r="B9" i="1"/>
  <c r="I3" i="1"/>
  <c r="H3" i="1"/>
  <c r="G3" i="1"/>
  <c r="F3" i="1"/>
  <c r="E3" i="1"/>
  <c r="D3" i="1"/>
  <c r="C3" i="1"/>
  <c r="B3" i="1"/>
  <c r="I2" i="1"/>
  <c r="I4" i="1" s="1"/>
  <c r="H2" i="1"/>
  <c r="H4" i="1" s="1"/>
  <c r="H5" i="1" s="1"/>
  <c r="G2" i="1"/>
  <c r="G4" i="1" s="1"/>
  <c r="F2" i="1"/>
  <c r="F4" i="1" s="1"/>
  <c r="F5" i="1" s="1"/>
  <c r="E2" i="1"/>
  <c r="E4" i="1" s="1"/>
  <c r="D2" i="1"/>
  <c r="D4" i="1" s="1"/>
  <c r="D5" i="1" s="1"/>
  <c r="C2" i="1"/>
  <c r="C4" i="1" s="1"/>
  <c r="C5" i="1" s="1"/>
  <c r="N9" i="1" s="1"/>
  <c r="B2" i="1"/>
  <c r="B4" i="1" s="1"/>
  <c r="B5" i="1" s="1"/>
  <c r="I1" i="1"/>
  <c r="H1" i="1"/>
  <c r="G1" i="1"/>
  <c r="F1" i="1"/>
  <c r="E1" i="1"/>
  <c r="D1" i="1"/>
  <c r="C1" i="1"/>
  <c r="B1" i="1"/>
  <c r="M14" i="1" l="1"/>
  <c r="M9" i="1"/>
  <c r="T14" i="1"/>
  <c r="T12" i="1"/>
  <c r="T22" i="1"/>
  <c r="T17" i="1"/>
  <c r="T9" i="1"/>
  <c r="T19" i="1"/>
  <c r="M34" i="1"/>
  <c r="M29" i="1"/>
  <c r="M19" i="1"/>
  <c r="M47" i="1"/>
  <c r="M42" i="1"/>
  <c r="M24" i="1"/>
  <c r="M22" i="1"/>
  <c r="M44" i="1"/>
  <c r="M39" i="1"/>
  <c r="M37" i="1"/>
  <c r="M32" i="1"/>
  <c r="M27" i="1"/>
  <c r="Q34" i="1"/>
  <c r="Q29" i="1"/>
  <c r="Q19" i="1"/>
  <c r="Q17" i="1"/>
  <c r="Q9" i="1"/>
  <c r="Q47" i="1"/>
  <c r="Q42" i="1"/>
  <c r="Q24" i="1"/>
  <c r="Q22" i="1"/>
  <c r="Q44" i="1"/>
  <c r="Q39" i="1"/>
  <c r="Q37" i="1"/>
  <c r="Q32" i="1"/>
  <c r="Q27" i="1"/>
  <c r="Q14" i="1"/>
  <c r="Q12" i="1"/>
  <c r="V9" i="1"/>
  <c r="N14" i="1"/>
  <c r="N12" i="1"/>
  <c r="N44" i="1"/>
  <c r="N39" i="1"/>
  <c r="N37" i="1"/>
  <c r="N32" i="1"/>
  <c r="N27" i="1"/>
  <c r="N34" i="1"/>
  <c r="N29" i="1"/>
  <c r="N19" i="1"/>
  <c r="N42" i="1"/>
  <c r="N17" i="1"/>
  <c r="N24" i="1"/>
  <c r="N47" i="1"/>
  <c r="N22" i="1"/>
  <c r="V14" i="1"/>
  <c r="O16" i="1" s="1"/>
  <c r="O15" i="1"/>
  <c r="O47" i="1"/>
  <c r="O42" i="1"/>
  <c r="O24" i="1"/>
  <c r="O22" i="1"/>
  <c r="O34" i="1"/>
  <c r="O29" i="1"/>
  <c r="O19" i="1"/>
  <c r="O17" i="1"/>
  <c r="O9" i="1"/>
  <c r="O12" i="1"/>
  <c r="O37" i="1"/>
  <c r="O32" i="1"/>
  <c r="O44" i="1"/>
  <c r="O14" i="1"/>
  <c r="O39" i="1"/>
  <c r="O27" i="1"/>
  <c r="S47" i="1"/>
  <c r="S42" i="1"/>
  <c r="S24" i="1"/>
  <c r="S22" i="1"/>
  <c r="S34" i="1"/>
  <c r="S29" i="1"/>
  <c r="S19" i="1"/>
  <c r="S17" i="1"/>
  <c r="S9" i="1"/>
  <c r="S37" i="1"/>
  <c r="S32" i="1"/>
  <c r="S44" i="1"/>
  <c r="S12" i="1"/>
  <c r="S14" i="1"/>
  <c r="S39" i="1"/>
  <c r="S27" i="1"/>
  <c r="G5" i="1"/>
  <c r="E5" i="1"/>
  <c r="M11" i="1" s="1"/>
  <c r="M12" i="1"/>
  <c r="M17" i="1"/>
  <c r="P44" i="1" l="1"/>
  <c r="P39" i="1"/>
  <c r="P37" i="1"/>
  <c r="P32" i="1"/>
  <c r="P27" i="1"/>
  <c r="P14" i="1"/>
  <c r="M15" i="1" s="1"/>
  <c r="P12" i="1"/>
  <c r="M13" i="1" s="1"/>
  <c r="P47" i="1"/>
  <c r="P42" i="1"/>
  <c r="P24" i="1"/>
  <c r="M25" i="1" s="1"/>
  <c r="P22" i="1"/>
  <c r="P17" i="1"/>
  <c r="P9" i="1"/>
  <c r="P19" i="1"/>
  <c r="M20" i="1" s="1"/>
  <c r="P34" i="1"/>
  <c r="P29" i="1"/>
  <c r="M21" i="1"/>
  <c r="M48" i="1"/>
  <c r="R14" i="1"/>
  <c r="R12" i="1"/>
  <c r="R44" i="1"/>
  <c r="R39" i="1"/>
  <c r="R37" i="1"/>
  <c r="R32" i="1"/>
  <c r="R27" i="1"/>
  <c r="M28" i="1" s="1"/>
  <c r="R34" i="1"/>
  <c r="M35" i="1" s="1"/>
  <c r="O38" i="1" s="1"/>
  <c r="Q38" i="1" s="1"/>
  <c r="R29" i="1"/>
  <c r="R19" i="1"/>
  <c r="R24" i="1"/>
  <c r="R17" i="1"/>
  <c r="R47" i="1"/>
  <c r="R22" i="1"/>
  <c r="R42" i="1"/>
  <c r="R9" i="1"/>
  <c r="M41" i="1"/>
  <c r="M36" i="1"/>
  <c r="M33" i="1"/>
  <c r="M26" i="1"/>
  <c r="M30" i="1"/>
  <c r="M16" i="1"/>
  <c r="M38" i="1"/>
  <c r="M46" i="1"/>
  <c r="M31" i="1"/>
  <c r="O23" i="1" l="1"/>
  <c r="Q23" i="1" s="1"/>
  <c r="M10" i="1"/>
  <c r="M45" i="1"/>
  <c r="O48" i="1" s="1"/>
  <c r="T38" i="1"/>
  <c r="T48" i="1"/>
  <c r="M40" i="1"/>
  <c r="M23" i="1"/>
  <c r="M43" i="1"/>
  <c r="M18" i="1"/>
  <c r="O28" i="1"/>
  <c r="Q28" i="1" s="1"/>
  <c r="O33" i="1"/>
  <c r="Q33" i="1" s="1"/>
  <c r="O18" i="1" l="1"/>
  <c r="Q18" i="1" s="1"/>
  <c r="T43" i="1"/>
  <c r="T23" i="1"/>
  <c r="T28" i="1"/>
  <c r="O43" i="1"/>
  <c r="Q43" i="1" s="1"/>
  <c r="O13" i="1"/>
  <c r="T13" i="1" s="1"/>
  <c r="T33" i="1"/>
  <c r="Q13" i="1" l="1"/>
  <c r="T18" i="1"/>
</calcChain>
</file>

<file path=xl/sharedStrings.xml><?xml version="1.0" encoding="utf-8"?>
<sst xmlns="http://schemas.openxmlformats.org/spreadsheetml/2006/main" count="141" uniqueCount="36">
  <si>
    <t>J,А</t>
  </si>
  <si>
    <t>x0</t>
  </si>
  <si>
    <t>x</t>
  </si>
  <si>
    <t>SN</t>
  </si>
  <si>
    <t>Ф, мВб</t>
  </si>
  <si>
    <t>sigmaB</t>
  </si>
  <si>
    <t>J</t>
  </si>
  <si>
    <t>U34</t>
  </si>
  <si>
    <t>JM</t>
  </si>
  <si>
    <t>E</t>
  </si>
  <si>
    <t>xy</t>
  </si>
  <si>
    <t>&lt;xy&gt;</t>
  </si>
  <si>
    <t>&lt;x&gt;</t>
  </si>
  <si>
    <t>&lt;y&gt;</t>
  </si>
  <si>
    <t>x^2</t>
  </si>
  <si>
    <t>&lt;x^2&gt;</t>
  </si>
  <si>
    <t>k</t>
  </si>
  <si>
    <t>b</t>
  </si>
  <si>
    <t>y^2</t>
  </si>
  <si>
    <t>&lt;y^2&gt;</t>
  </si>
  <si>
    <t>sigmak</t>
  </si>
  <si>
    <t>&lt;K&gt;</t>
  </si>
  <si>
    <t>&lt;I&gt;</t>
  </si>
  <si>
    <t>K^2</t>
  </si>
  <si>
    <t>I^2</t>
  </si>
  <si>
    <t>&lt;K^2&gt;</t>
  </si>
  <si>
    <t>&lt;I^2&gt;</t>
  </si>
  <si>
    <t>KI</t>
  </si>
  <si>
    <t>&lt;KI&gt;</t>
  </si>
  <si>
    <t>n</t>
  </si>
  <si>
    <t>Rx</t>
  </si>
  <si>
    <t>sigmaRx</t>
  </si>
  <si>
    <t>sigman</t>
  </si>
  <si>
    <t>sigma</t>
  </si>
  <si>
    <t>sigmab</t>
  </si>
  <si>
    <t>B,мТл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</si>
</sst>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topLeftCell="D43" workbookViewId="0">
      <selection activeCell="P62" sqref="P62"/>
    </sheetView>
  </sheetViews>
  <sheetFormatPr defaultRowHeight="15" x14ac:dyDescent="0.25"/>
  <cols>
    <col min="12" max="12" width="11" bestFit="1" customWidth="1"/>
    <col min="13" max="13" width="10" bestFit="1" customWidth="1"/>
    <col min="14" max="14" width="12" bestFit="1" customWidth="1"/>
    <col min="16" max="16" width="12" bestFit="1" customWidth="1"/>
  </cols>
  <sheetData>
    <row r="1" spans="1:29" x14ac:dyDescent="0.25">
      <c r="A1" t="s">
        <v>0</v>
      </c>
      <c r="B1">
        <f>0</f>
        <v>0</v>
      </c>
      <c r="C1">
        <f>0.3</f>
        <v>0.3</v>
      </c>
      <c r="D1">
        <f>0.6</f>
        <v>0.6</v>
      </c>
      <c r="E1">
        <f>0.9</f>
        <v>0.9</v>
      </c>
      <c r="F1">
        <f>1.2</f>
        <v>1.2</v>
      </c>
      <c r="G1">
        <f>1.5</f>
        <v>1.5</v>
      </c>
      <c r="H1">
        <f>1.8</f>
        <v>1.8</v>
      </c>
      <c r="I1">
        <f>2.1</f>
        <v>2.1</v>
      </c>
      <c r="K1" t="s">
        <v>3</v>
      </c>
      <c r="L1">
        <f>72/10000</f>
        <v>7.1999999999999998E-3</v>
      </c>
    </row>
    <row r="2" spans="1:29" x14ac:dyDescent="0.25">
      <c r="A2" t="s">
        <v>1</v>
      </c>
      <c r="B2">
        <f>1.5</f>
        <v>1.5</v>
      </c>
      <c r="C2">
        <f>3.1</f>
        <v>3.1</v>
      </c>
      <c r="D2">
        <f>4.8</f>
        <v>4.8</v>
      </c>
      <c r="E2">
        <f>6.4</f>
        <v>6.4</v>
      </c>
      <c r="F2">
        <f>7.8</f>
        <v>7.8</v>
      </c>
      <c r="G2">
        <f>8.8</f>
        <v>8.8000000000000007</v>
      </c>
      <c r="H2">
        <f>9.5</f>
        <v>9.5</v>
      </c>
      <c r="I2">
        <f>8.7</f>
        <v>8.6999999999999993</v>
      </c>
    </row>
    <row r="3" spans="1:29" x14ac:dyDescent="0.25">
      <c r="A3" t="s">
        <v>2</v>
      </c>
      <c r="B3">
        <f>1.3</f>
        <v>1.3</v>
      </c>
      <c r="C3">
        <f>1.5</f>
        <v>1.5</v>
      </c>
      <c r="D3">
        <f>1.5</f>
        <v>1.5</v>
      </c>
      <c r="E3">
        <f>1.6</f>
        <v>1.6</v>
      </c>
      <c r="F3">
        <f>1.6</f>
        <v>1.6</v>
      </c>
      <c r="G3">
        <f>1.7</f>
        <v>1.7</v>
      </c>
      <c r="H3">
        <f>1.7</f>
        <v>1.7</v>
      </c>
      <c r="I3">
        <f>0.4</f>
        <v>0.4</v>
      </c>
    </row>
    <row r="4" spans="1:29" x14ac:dyDescent="0.25">
      <c r="A4" t="s">
        <v>4</v>
      </c>
      <c r="B4">
        <f>B2-B3</f>
        <v>0.19999999999999996</v>
      </c>
      <c r="C4">
        <f t="shared" ref="C4:I4" si="0">C2-C3</f>
        <v>1.6</v>
      </c>
      <c r="D4">
        <f t="shared" si="0"/>
        <v>3.3</v>
      </c>
      <c r="E4">
        <f t="shared" si="0"/>
        <v>4.8000000000000007</v>
      </c>
      <c r="F4">
        <f t="shared" si="0"/>
        <v>6.1999999999999993</v>
      </c>
      <c r="G4">
        <f t="shared" si="0"/>
        <v>7.1000000000000005</v>
      </c>
      <c r="H4">
        <f t="shared" si="0"/>
        <v>7.8</v>
      </c>
      <c r="I4">
        <f t="shared" si="0"/>
        <v>8.2999999999999989</v>
      </c>
    </row>
    <row r="5" spans="1:29" x14ac:dyDescent="0.25">
      <c r="A5" t="s">
        <v>35</v>
      </c>
      <c r="B5">
        <f>B4/$L$1</f>
        <v>27.777777777777771</v>
      </c>
      <c r="C5">
        <f t="shared" ref="C5:I5" si="1">C4/$L$1</f>
        <v>222.22222222222223</v>
      </c>
      <c r="D5">
        <f t="shared" si="1"/>
        <v>458.33333333333331</v>
      </c>
      <c r="E5">
        <f t="shared" si="1"/>
        <v>666.66666666666674</v>
      </c>
      <c r="F5">
        <f t="shared" si="1"/>
        <v>861.11111111111109</v>
      </c>
      <c r="G5">
        <f t="shared" si="1"/>
        <v>986.1111111111112</v>
      </c>
      <c r="H5">
        <f t="shared" si="1"/>
        <v>1083.3333333333333</v>
      </c>
      <c r="I5">
        <f>I4/$L$1</f>
        <v>1152.7777777777776</v>
      </c>
    </row>
    <row r="7" spans="1:29" x14ac:dyDescent="0.25">
      <c r="A7" t="s">
        <v>5</v>
      </c>
      <c r="B7">
        <f>0.1/0.0072</f>
        <v>13.888888888888889</v>
      </c>
      <c r="C7">
        <f t="shared" ref="C7:I7" si="2">0.1/0.0072</f>
        <v>13.888888888888889</v>
      </c>
      <c r="D7">
        <f t="shared" si="2"/>
        <v>13.888888888888889</v>
      </c>
      <c r="E7">
        <f t="shared" si="2"/>
        <v>13.888888888888889</v>
      </c>
      <c r="F7">
        <f t="shared" si="2"/>
        <v>13.888888888888889</v>
      </c>
      <c r="G7">
        <f t="shared" si="2"/>
        <v>13.888888888888889</v>
      </c>
      <c r="H7">
        <f t="shared" si="2"/>
        <v>13.888888888888889</v>
      </c>
      <c r="I7">
        <f t="shared" si="2"/>
        <v>13.888888888888889</v>
      </c>
    </row>
    <row r="9" spans="1:29" x14ac:dyDescent="0.25">
      <c r="A9" t="s">
        <v>6</v>
      </c>
      <c r="B9">
        <f>0.3</f>
        <v>0.3</v>
      </c>
      <c r="L9" t="s">
        <v>10</v>
      </c>
      <c r="M9">
        <f>B$5*B12</f>
        <v>0</v>
      </c>
      <c r="N9">
        <f>C$5*C12</f>
        <v>6.4444444444444438</v>
      </c>
      <c r="O9">
        <f t="shared" ref="N9:T9" si="3">D$5*D12</f>
        <v>25.666666666666664</v>
      </c>
      <c r="P9">
        <f t="shared" si="3"/>
        <v>52.666666666666664</v>
      </c>
      <c r="Q9">
        <f t="shared" si="3"/>
        <v>84.388888888888886</v>
      </c>
      <c r="R9">
        <f t="shared" si="3"/>
        <v>110.44444444444444</v>
      </c>
      <c r="S9">
        <f t="shared" si="3"/>
        <v>128.91666666666666</v>
      </c>
      <c r="T9">
        <f t="shared" si="3"/>
        <v>145.24999999999997</v>
      </c>
      <c r="U9" t="s">
        <v>18</v>
      </c>
      <c r="V9">
        <f>B12^2</f>
        <v>0</v>
      </c>
      <c r="W9">
        <f t="shared" ref="W9:AC9" si="4">C12^2</f>
        <v>8.4099999999999984E-4</v>
      </c>
      <c r="X9">
        <f t="shared" si="4"/>
        <v>3.1359999999999995E-3</v>
      </c>
      <c r="Y9">
        <f t="shared" si="4"/>
        <v>6.2409999999999983E-3</v>
      </c>
      <c r="Z9">
        <f t="shared" si="4"/>
        <v>9.6040000000000014E-3</v>
      </c>
      <c r="AA9">
        <f t="shared" si="4"/>
        <v>1.2543999999999998E-2</v>
      </c>
      <c r="AB9">
        <f t="shared" si="4"/>
        <v>1.4160999999999998E-2</v>
      </c>
      <c r="AC9">
        <f t="shared" si="4"/>
        <v>1.5876000000000001E-2</v>
      </c>
    </row>
    <row r="10" spans="1:29" x14ac:dyDescent="0.25">
      <c r="A10" t="s">
        <v>7</v>
      </c>
      <c r="B10">
        <f>0.066</f>
        <v>6.6000000000000003E-2</v>
      </c>
      <c r="C10">
        <f>0.095</f>
        <v>9.5000000000000001E-2</v>
      </c>
      <c r="D10">
        <v>0.122</v>
      </c>
      <c r="E10">
        <f>0.145</f>
        <v>0.14499999999999999</v>
      </c>
      <c r="F10">
        <f>0.164</f>
        <v>0.16400000000000001</v>
      </c>
      <c r="G10">
        <f>0.178</f>
        <v>0.17799999999999999</v>
      </c>
      <c r="H10">
        <f>0.185</f>
        <v>0.185</v>
      </c>
      <c r="I10">
        <f>0.192</f>
        <v>0.192</v>
      </c>
      <c r="L10" t="s">
        <v>11</v>
      </c>
      <c r="M10">
        <f>SUM(M9:T9)/8</f>
        <v>69.222222222222214</v>
      </c>
      <c r="N10" t="s">
        <v>13</v>
      </c>
      <c r="O10">
        <f>SUM(B12:I12)/8</f>
        <v>7.7374999999999999E-2</v>
      </c>
    </row>
    <row r="11" spans="1:29" x14ac:dyDescent="0.25">
      <c r="A11" t="s">
        <v>8</v>
      </c>
      <c r="B11">
        <f>0</f>
        <v>0</v>
      </c>
      <c r="C11">
        <f>0.3</f>
        <v>0.3</v>
      </c>
      <c r="D11">
        <f>0.6</f>
        <v>0.6</v>
      </c>
      <c r="E11">
        <f>0.9</f>
        <v>0.9</v>
      </c>
      <c r="F11">
        <f>1.2</f>
        <v>1.2</v>
      </c>
      <c r="G11">
        <f>1.5</f>
        <v>1.5</v>
      </c>
      <c r="H11">
        <f>1.8</f>
        <v>1.8</v>
      </c>
      <c r="I11">
        <f>2.1</f>
        <v>2.1</v>
      </c>
      <c r="L11" t="s">
        <v>12</v>
      </c>
      <c r="M11">
        <f>SUM(B$5:I$5)/8</f>
        <v>682.29166666666663</v>
      </c>
      <c r="N11" t="s">
        <v>19</v>
      </c>
      <c r="O11">
        <f>SUM(V9:AC9)/8</f>
        <v>7.800375E-3</v>
      </c>
    </row>
    <row r="12" spans="1:29" x14ac:dyDescent="0.25">
      <c r="A12" t="s">
        <v>9</v>
      </c>
      <c r="B12">
        <f>B10-0.066</f>
        <v>0</v>
      </c>
      <c r="C12">
        <f t="shared" ref="C12:I12" si="5">C10-0.066</f>
        <v>2.8999999999999998E-2</v>
      </c>
      <c r="D12">
        <f t="shared" si="5"/>
        <v>5.5999999999999994E-2</v>
      </c>
      <c r="E12">
        <f t="shared" si="5"/>
        <v>7.8999999999999987E-2</v>
      </c>
      <c r="F12">
        <f t="shared" si="5"/>
        <v>9.8000000000000004E-2</v>
      </c>
      <c r="G12">
        <f t="shared" si="5"/>
        <v>0.11199999999999999</v>
      </c>
      <c r="H12">
        <f t="shared" si="5"/>
        <v>0.11899999999999999</v>
      </c>
      <c r="I12">
        <f t="shared" si="5"/>
        <v>0.126</v>
      </c>
      <c r="L12" t="s">
        <v>14</v>
      </c>
      <c r="M12">
        <f>B$5^2</f>
        <v>771.60493827160462</v>
      </c>
      <c r="N12">
        <f t="shared" ref="N12:T12" si="6">C$5^2</f>
        <v>49382.716049382718</v>
      </c>
      <c r="O12">
        <f t="shared" si="6"/>
        <v>210069.44444444444</v>
      </c>
      <c r="P12">
        <f t="shared" si="6"/>
        <v>444444.44444444455</v>
      </c>
      <c r="Q12">
        <f t="shared" si="6"/>
        <v>741512.34567901236</v>
      </c>
      <c r="R12">
        <f t="shared" si="6"/>
        <v>972415.12345679034</v>
      </c>
      <c r="S12">
        <f t="shared" si="6"/>
        <v>1173611.111111111</v>
      </c>
      <c r="T12">
        <f t="shared" si="6"/>
        <v>1328896.6049382712</v>
      </c>
    </row>
    <row r="13" spans="1:29" x14ac:dyDescent="0.25">
      <c r="L13" t="s">
        <v>15</v>
      </c>
      <c r="M13">
        <f>SUM(M12:T12)/8</f>
        <v>615137.92438271607</v>
      </c>
      <c r="N13" t="s">
        <v>16</v>
      </c>
      <c r="O13">
        <f>(M10-M11*O10)/(M13-M11^2)</f>
        <v>1.0981381574971287E-4</v>
      </c>
      <c r="P13" t="s">
        <v>17</v>
      </c>
      <c r="Q13">
        <f>O10-O13*M11</f>
        <v>2.4499486291021666E-3</v>
      </c>
      <c r="S13" t="s">
        <v>20</v>
      </c>
      <c r="T13">
        <f>1/SQRT(8)*SQRT((O11-O10^2)/(M13-M11^2)-O13^2)</f>
        <v>2.7805302640729194E-6</v>
      </c>
    </row>
    <row r="14" spans="1:29" x14ac:dyDescent="0.25">
      <c r="A14" t="s">
        <v>6</v>
      </c>
      <c r="B14">
        <f>0.4</f>
        <v>0.4</v>
      </c>
      <c r="L14" t="s">
        <v>10</v>
      </c>
      <c r="M14">
        <f>B$5*B16</f>
        <v>8.3333333333333384E-2</v>
      </c>
      <c r="N14">
        <f t="shared" ref="N14:T14" si="7">C$5*C16</f>
        <v>8.6666666666666679</v>
      </c>
      <c r="O14">
        <f t="shared" si="7"/>
        <v>34.375000000000007</v>
      </c>
      <c r="P14">
        <f t="shared" si="7"/>
        <v>71.333333333333343</v>
      </c>
      <c r="Q14">
        <f t="shared" si="7"/>
        <v>112.80555555555556</v>
      </c>
      <c r="R14">
        <f t="shared" si="7"/>
        <v>146.93055555555557</v>
      </c>
      <c r="S14">
        <f t="shared" si="7"/>
        <v>173.33333333333331</v>
      </c>
      <c r="T14">
        <f t="shared" si="7"/>
        <v>193.66666666666666</v>
      </c>
      <c r="U14" t="s">
        <v>18</v>
      </c>
      <c r="V14">
        <f>B16^2</f>
        <v>9.0000000000000155E-6</v>
      </c>
      <c r="W14">
        <f t="shared" ref="W14:AC14" si="8">C16^2</f>
        <v>1.5210000000000004E-3</v>
      </c>
      <c r="X14">
        <f t="shared" si="8"/>
        <v>5.6250000000000015E-3</v>
      </c>
      <c r="Y14">
        <f t="shared" si="8"/>
        <v>1.1449000000000003E-2</v>
      </c>
      <c r="Z14">
        <f t="shared" si="8"/>
        <v>1.7161000000000003E-2</v>
      </c>
      <c r="AA14">
        <f t="shared" si="8"/>
        <v>2.2200999999999999E-2</v>
      </c>
      <c r="AB14">
        <f t="shared" si="8"/>
        <v>2.5600000000000001E-2</v>
      </c>
      <c r="AC14">
        <f t="shared" si="8"/>
        <v>2.8224000000000003E-2</v>
      </c>
    </row>
    <row r="15" spans="1:29" x14ac:dyDescent="0.25">
      <c r="A15" t="s">
        <v>7</v>
      </c>
      <c r="B15">
        <f>0.09</f>
        <v>0.09</v>
      </c>
      <c r="C15">
        <f>0.126</f>
        <v>0.126</v>
      </c>
      <c r="D15">
        <f>0.162</f>
        <v>0.16200000000000001</v>
      </c>
      <c r="E15">
        <f>0.194</f>
        <v>0.19400000000000001</v>
      </c>
      <c r="F15">
        <f>0.218</f>
        <v>0.218</v>
      </c>
      <c r="G15">
        <f>0.236</f>
        <v>0.23599999999999999</v>
      </c>
      <c r="H15">
        <f>0.247</f>
        <v>0.247</v>
      </c>
      <c r="I15">
        <v>0.255</v>
      </c>
      <c r="L15" t="s">
        <v>11</v>
      </c>
      <c r="M15">
        <f>SUM(M14:T14)/8</f>
        <v>92.649305555555557</v>
      </c>
      <c r="N15" t="s">
        <v>13</v>
      </c>
      <c r="O15">
        <f>SUM(B16:I16)/8</f>
        <v>0.10400000000000001</v>
      </c>
    </row>
    <row r="16" spans="1:29" x14ac:dyDescent="0.25">
      <c r="A16" t="s">
        <v>9</v>
      </c>
      <c r="B16">
        <f>B15-0.087</f>
        <v>3.0000000000000027E-3</v>
      </c>
      <c r="C16">
        <f t="shared" ref="C16:I16" si="9">C15-0.087</f>
        <v>3.9000000000000007E-2</v>
      </c>
      <c r="D16">
        <f t="shared" si="9"/>
        <v>7.5000000000000011E-2</v>
      </c>
      <c r="E16">
        <f t="shared" si="9"/>
        <v>0.10700000000000001</v>
      </c>
      <c r="F16">
        <f t="shared" si="9"/>
        <v>0.13100000000000001</v>
      </c>
      <c r="G16">
        <f t="shared" si="9"/>
        <v>0.14899999999999999</v>
      </c>
      <c r="H16">
        <f t="shared" si="9"/>
        <v>0.16</v>
      </c>
      <c r="I16">
        <f t="shared" si="9"/>
        <v>0.16800000000000001</v>
      </c>
      <c r="L16" t="s">
        <v>12</v>
      </c>
      <c r="M16">
        <f>SUM(B$5:I$5)/8</f>
        <v>682.29166666666663</v>
      </c>
      <c r="N16" t="s">
        <v>19</v>
      </c>
      <c r="O16">
        <f>SUM(V14:AC14)/8</f>
        <v>1.397375E-2</v>
      </c>
    </row>
    <row r="17" spans="1:29" x14ac:dyDescent="0.25">
      <c r="L17" t="s">
        <v>14</v>
      </c>
      <c r="M17">
        <f>B$5^2</f>
        <v>771.60493827160462</v>
      </c>
      <c r="N17">
        <f t="shared" ref="N17:T17" si="10">C$5^2</f>
        <v>49382.716049382718</v>
      </c>
      <c r="O17">
        <f t="shared" si="10"/>
        <v>210069.44444444444</v>
      </c>
      <c r="P17">
        <f t="shared" si="10"/>
        <v>444444.44444444455</v>
      </c>
      <c r="Q17">
        <f t="shared" si="10"/>
        <v>741512.34567901236</v>
      </c>
      <c r="R17">
        <f t="shared" si="10"/>
        <v>972415.12345679034</v>
      </c>
      <c r="S17">
        <f t="shared" si="10"/>
        <v>1173611.111111111</v>
      </c>
      <c r="T17">
        <f t="shared" si="10"/>
        <v>1328896.6049382712</v>
      </c>
    </row>
    <row r="18" spans="1:29" x14ac:dyDescent="0.25">
      <c r="L18" t="s">
        <v>15</v>
      </c>
      <c r="M18">
        <f>SUM(M17:T17)/8</f>
        <v>615137.92438271607</v>
      </c>
      <c r="N18" t="s">
        <v>16</v>
      </c>
      <c r="O18">
        <f>(M15-M16*O15)/(M18-M16^2)</f>
        <v>1.4497761840488325E-4</v>
      </c>
      <c r="P18" t="s">
        <v>17</v>
      </c>
      <c r="Q18">
        <f>O15-O18*M16</f>
        <v>5.0829791091682036E-3</v>
      </c>
      <c r="S18" t="s">
        <v>20</v>
      </c>
      <c r="T18">
        <f>1/SQRT(8)*SQRT((O16-O15^2)/(M18-M16^2)-O18^2)</f>
        <v>3.3012605492877659E-6</v>
      </c>
    </row>
    <row r="19" spans="1:29" x14ac:dyDescent="0.25">
      <c r="A19" t="s">
        <v>6</v>
      </c>
      <c r="B19">
        <v>0.5</v>
      </c>
      <c r="L19" t="s">
        <v>10</v>
      </c>
      <c r="M19">
        <f>B$5*B21</f>
        <v>0.13888888888888898</v>
      </c>
      <c r="N19">
        <f t="shared" ref="N19" si="11">C$5*C21</f>
        <v>11.333333333333334</v>
      </c>
      <c r="O19">
        <f t="shared" ref="O19" si="12">D$5*D21</f>
        <v>43.083333333333336</v>
      </c>
      <c r="P19">
        <f t="shared" ref="P19" si="13">E$5*E21</f>
        <v>90.000000000000014</v>
      </c>
      <c r="Q19">
        <f t="shared" ref="Q19" si="14">F$5*F21</f>
        <v>142.94444444444449</v>
      </c>
      <c r="R19">
        <f t="shared" ref="R19" si="15">G$5*G21</f>
        <v>184.4027777777778</v>
      </c>
      <c r="S19">
        <f t="shared" ref="S19" si="16">H$5*H21</f>
        <v>216.66666666666666</v>
      </c>
      <c r="T19">
        <f t="shared" ref="T19" si="17">I$5*I21</f>
        <v>242.08333333333331</v>
      </c>
      <c r="U19" t="s">
        <v>18</v>
      </c>
      <c r="V19">
        <f>B21^2</f>
        <v>2.5000000000000045E-5</v>
      </c>
      <c r="W19">
        <f t="shared" ref="W19:AC19" si="18">C21^2</f>
        <v>2.6010000000000004E-3</v>
      </c>
      <c r="X19">
        <f t="shared" si="18"/>
        <v>8.8360000000000018E-3</v>
      </c>
      <c r="Y19">
        <f t="shared" si="18"/>
        <v>1.8225000000000002E-2</v>
      </c>
      <c r="Z19">
        <f t="shared" si="18"/>
        <v>2.7556000000000011E-2</v>
      </c>
      <c r="AA19">
        <f t="shared" si="18"/>
        <v>3.4969E-2</v>
      </c>
      <c r="AB19">
        <f t="shared" si="18"/>
        <v>4.0000000000000008E-2</v>
      </c>
      <c r="AC19">
        <f t="shared" si="18"/>
        <v>4.4100000000000007E-2</v>
      </c>
    </row>
    <row r="20" spans="1:29" x14ac:dyDescent="0.25">
      <c r="A20" t="s">
        <v>7</v>
      </c>
      <c r="B20">
        <v>0.113</v>
      </c>
      <c r="C20">
        <v>0.159</v>
      </c>
      <c r="D20">
        <v>0.20200000000000001</v>
      </c>
      <c r="E20">
        <v>0.24299999999999999</v>
      </c>
      <c r="F20">
        <v>0.27400000000000002</v>
      </c>
      <c r="G20">
        <v>0.29499999999999998</v>
      </c>
      <c r="H20">
        <v>0.308</v>
      </c>
      <c r="I20">
        <v>0.318</v>
      </c>
      <c r="L20" t="s">
        <v>11</v>
      </c>
      <c r="M20">
        <f>SUM(M19:T19)/8</f>
        <v>116.33159722222223</v>
      </c>
      <c r="N20" t="s">
        <v>13</v>
      </c>
      <c r="O20">
        <f>SUM(B21:I21)/8</f>
        <v>0.13100000000000001</v>
      </c>
    </row>
    <row r="21" spans="1:29" x14ac:dyDescent="0.25">
      <c r="A21" t="s">
        <v>9</v>
      </c>
      <c r="B21">
        <v>5.0000000000000044E-3</v>
      </c>
      <c r="C21">
        <v>5.1000000000000004E-2</v>
      </c>
      <c r="D21">
        <v>9.4000000000000014E-2</v>
      </c>
      <c r="E21">
        <v>0.13500000000000001</v>
      </c>
      <c r="F21">
        <v>0.16600000000000004</v>
      </c>
      <c r="G21">
        <v>0.187</v>
      </c>
      <c r="H21">
        <v>0.2</v>
      </c>
      <c r="I21">
        <v>0.21000000000000002</v>
      </c>
      <c r="L21" t="s">
        <v>12</v>
      </c>
      <c r="M21">
        <f>SUM(B$5:I$5)/8</f>
        <v>682.29166666666663</v>
      </c>
      <c r="N21" t="s">
        <v>19</v>
      </c>
      <c r="O21">
        <f>SUM(V19:AC19)/8</f>
        <v>2.2039000000000003E-2</v>
      </c>
    </row>
    <row r="22" spans="1:29" x14ac:dyDescent="0.25">
      <c r="L22" t="s">
        <v>14</v>
      </c>
      <c r="M22">
        <f>B$5^2</f>
        <v>771.60493827160462</v>
      </c>
      <c r="N22">
        <f t="shared" ref="N22" si="19">C$5^2</f>
        <v>49382.716049382718</v>
      </c>
      <c r="O22">
        <f t="shared" ref="O22" si="20">D$5^2</f>
        <v>210069.44444444444</v>
      </c>
      <c r="P22">
        <f t="shared" ref="P22" si="21">E$5^2</f>
        <v>444444.44444444455</v>
      </c>
      <c r="Q22">
        <f t="shared" ref="Q22" si="22">F$5^2</f>
        <v>741512.34567901236</v>
      </c>
      <c r="R22">
        <f t="shared" ref="R22" si="23">G$5^2</f>
        <v>972415.12345679034</v>
      </c>
      <c r="S22">
        <f t="shared" ref="S22" si="24">H$5^2</f>
        <v>1173611.111111111</v>
      </c>
      <c r="T22">
        <f t="shared" ref="T22" si="25">I$5^2</f>
        <v>1328896.6049382712</v>
      </c>
    </row>
    <row r="23" spans="1:29" x14ac:dyDescent="0.25">
      <c r="L23" t="s">
        <v>15</v>
      </c>
      <c r="M23">
        <f>SUM(M22:T22)/8</f>
        <v>615137.92438271607</v>
      </c>
      <c r="N23" t="s">
        <v>16</v>
      </c>
      <c r="O23">
        <f>(M20-M21*O20)/(M23-M21^2)</f>
        <v>1.8013706964282119E-4</v>
      </c>
      <c r="P23" t="s">
        <v>17</v>
      </c>
      <c r="Q23">
        <f>O20-O23*M21</f>
        <v>8.0939785249501406E-3</v>
      </c>
      <c r="S23" t="s">
        <v>20</v>
      </c>
      <c r="T23">
        <f>1/SQRT(8)*SQRT((O21-O20^2)/(M23-M21^2)-O23^2)</f>
        <v>4.3889023036915118E-6</v>
      </c>
    </row>
    <row r="24" spans="1:29" x14ac:dyDescent="0.25">
      <c r="A24" t="s">
        <v>6</v>
      </c>
      <c r="B24">
        <v>0.6</v>
      </c>
      <c r="L24" t="s">
        <v>10</v>
      </c>
      <c r="M24">
        <f>B$5*B26</f>
        <v>0.13888888888888898</v>
      </c>
      <c r="N24">
        <f t="shared" ref="N24" si="26">C$5*C26</f>
        <v>12.888888888888888</v>
      </c>
      <c r="O24">
        <f t="shared" ref="O24" si="27">D$5*D26</f>
        <v>52.708333333333329</v>
      </c>
      <c r="P24">
        <f t="shared" ref="P24" si="28">E$5*E26</f>
        <v>106</v>
      </c>
      <c r="Q24">
        <f t="shared" ref="Q24" si="29">F$5*F26</f>
        <v>170.5</v>
      </c>
      <c r="R24">
        <f t="shared" ref="R24" si="30">G$5*G26</f>
        <v>221.875</v>
      </c>
      <c r="S24">
        <f t="shared" ref="S24" si="31">H$5*H26</f>
        <v>261.08333333333331</v>
      </c>
      <c r="U24" t="s">
        <v>18</v>
      </c>
      <c r="V24">
        <f>B26^2</f>
        <v>2.5000000000000045E-5</v>
      </c>
      <c r="W24">
        <f t="shared" ref="W24" si="32">C26^2</f>
        <v>3.3639999999999994E-3</v>
      </c>
      <c r="X24">
        <f t="shared" ref="X24" si="33">D26^2</f>
        <v>1.3224999999999997E-2</v>
      </c>
      <c r="Y24">
        <f t="shared" ref="Y24" si="34">E26^2</f>
        <v>2.5280999999999991E-2</v>
      </c>
      <c r="Z24">
        <f t="shared" ref="Z24" si="35">F26^2</f>
        <v>3.9204000000000003E-2</v>
      </c>
      <c r="AA24">
        <f t="shared" ref="AA24" si="36">G26^2</f>
        <v>5.0624999999999989E-2</v>
      </c>
      <c r="AB24">
        <f t="shared" ref="AB24" si="37">H26^2</f>
        <v>5.8080999999999994E-2</v>
      </c>
    </row>
    <row r="25" spans="1:29" x14ac:dyDescent="0.25">
      <c r="A25" t="s">
        <v>7</v>
      </c>
      <c r="B25">
        <v>0.13500000000000001</v>
      </c>
      <c r="C25">
        <v>0.188</v>
      </c>
      <c r="D25">
        <v>0.245</v>
      </c>
      <c r="E25">
        <v>0.28899999999999998</v>
      </c>
      <c r="F25">
        <v>0.32800000000000001</v>
      </c>
      <c r="G25">
        <v>0.35499999999999998</v>
      </c>
      <c r="H25">
        <v>0.371</v>
      </c>
      <c r="I25">
        <v>0.38200000000000001</v>
      </c>
      <c r="L25" t="s">
        <v>11</v>
      </c>
      <c r="M25">
        <f>SUM(M24:S24)/7</f>
        <v>117.88492063492062</v>
      </c>
      <c r="N25" t="s">
        <v>13</v>
      </c>
      <c r="O25">
        <f>SUM(B26:H26)/7</f>
        <v>0.14299999999999999</v>
      </c>
    </row>
    <row r="26" spans="1:29" x14ac:dyDescent="0.25">
      <c r="A26" t="s">
        <v>9</v>
      </c>
      <c r="B26">
        <v>5.0000000000000044E-3</v>
      </c>
      <c r="C26">
        <v>5.7999999999999996E-2</v>
      </c>
      <c r="D26">
        <v>0.11499999999999999</v>
      </c>
      <c r="E26">
        <v>0.15899999999999997</v>
      </c>
      <c r="F26">
        <v>0.19800000000000001</v>
      </c>
      <c r="G26">
        <v>0.22499999999999998</v>
      </c>
      <c r="H26">
        <v>0.24099999999999999</v>
      </c>
      <c r="I26">
        <v>0.252</v>
      </c>
      <c r="L26" t="s">
        <v>12</v>
      </c>
      <c r="M26">
        <f>SUM(B$5:H$5)/7</f>
        <v>615.07936507936506</v>
      </c>
      <c r="N26" t="s">
        <v>19</v>
      </c>
      <c r="O26">
        <f>SUM(V24:AB24)/7</f>
        <v>2.7114999999999997E-2</v>
      </c>
    </row>
    <row r="27" spans="1:29" x14ac:dyDescent="0.25">
      <c r="L27" t="s">
        <v>14</v>
      </c>
      <c r="M27">
        <f>B$5^2</f>
        <v>771.60493827160462</v>
      </c>
      <c r="N27">
        <f t="shared" ref="N27" si="38">C$5^2</f>
        <v>49382.716049382718</v>
      </c>
      <c r="O27">
        <f t="shared" ref="O27" si="39">D$5^2</f>
        <v>210069.44444444444</v>
      </c>
      <c r="P27">
        <f t="shared" ref="P27" si="40">E$5^2</f>
        <v>444444.44444444455</v>
      </c>
      <c r="Q27">
        <f t="shared" ref="Q27" si="41">F$5^2</f>
        <v>741512.34567901236</v>
      </c>
      <c r="R27">
        <f t="shared" ref="R27" si="42">G$5^2</f>
        <v>972415.12345679034</v>
      </c>
      <c r="S27">
        <f t="shared" ref="S27" si="43">H$5^2</f>
        <v>1173611.111111111</v>
      </c>
    </row>
    <row r="28" spans="1:29" x14ac:dyDescent="0.25">
      <c r="L28" t="s">
        <v>15</v>
      </c>
      <c r="M28">
        <f>SUM(M27:S27)/7</f>
        <v>513172.3985890653</v>
      </c>
      <c r="N28" t="s">
        <v>16</v>
      </c>
      <c r="O28">
        <f>(M25-M26*O25)/(M28-M26^2)</f>
        <v>2.219400945874932E-4</v>
      </c>
      <c r="P28" t="s">
        <v>17</v>
      </c>
      <c r="Q28">
        <f>O25-O28*M26</f>
        <v>6.4892275354704321E-3</v>
      </c>
      <c r="S28" t="s">
        <v>20</v>
      </c>
      <c r="T28">
        <f>1/SQRT(7)*SQRT((O26-O25^2)/(M28-M26^2)-O28^2)</f>
        <v>5.0054333573226223E-6</v>
      </c>
    </row>
    <row r="29" spans="1:29" x14ac:dyDescent="0.25">
      <c r="A29" t="s">
        <v>6</v>
      </c>
      <c r="B29">
        <v>0.7</v>
      </c>
      <c r="L29" t="s">
        <v>10</v>
      </c>
      <c r="M29">
        <f>B$5*B31</f>
        <v>0.16666666666666677</v>
      </c>
      <c r="N29">
        <f t="shared" ref="N29" si="44">C$5*C31</f>
        <v>15.111111111111112</v>
      </c>
      <c r="O29">
        <f t="shared" ref="O29" si="45">D$5*D31</f>
        <v>60.499999999999986</v>
      </c>
      <c r="P29">
        <f t="shared" ref="P29" si="46">E$5*E31</f>
        <v>124.6666666666667</v>
      </c>
      <c r="Q29">
        <f t="shared" ref="Q29" si="47">F$5*F31</f>
        <v>199.77777777777777</v>
      </c>
      <c r="R29">
        <f t="shared" ref="R29" si="48">G$5*G31</f>
        <v>258.36111111111114</v>
      </c>
      <c r="S29">
        <f t="shared" ref="S29" si="49">H$5*H31</f>
        <v>304.41666666666669</v>
      </c>
      <c r="U29" t="s">
        <v>18</v>
      </c>
      <c r="V29">
        <f>B31^2</f>
        <v>3.6000000000000062E-5</v>
      </c>
      <c r="W29">
        <f t="shared" ref="W29" si="50">C31^2</f>
        <v>4.6240000000000005E-3</v>
      </c>
      <c r="X29">
        <f t="shared" ref="X29" si="51">D31^2</f>
        <v>1.7423999999999995E-2</v>
      </c>
      <c r="Y29">
        <f t="shared" ref="Y29" si="52">E31^2</f>
        <v>3.4969000000000007E-2</v>
      </c>
      <c r="Z29">
        <f t="shared" ref="Z29" si="53">F31^2</f>
        <v>5.3824000000000004E-2</v>
      </c>
      <c r="AA29">
        <f t="shared" ref="AA29" si="54">G31^2</f>
        <v>6.8644000000000011E-2</v>
      </c>
      <c r="AB29">
        <f t="shared" ref="AB29" si="55">H31^2</f>
        <v>7.8961000000000017E-2</v>
      </c>
    </row>
    <row r="30" spans="1:29" x14ac:dyDescent="0.25">
      <c r="A30" t="s">
        <v>7</v>
      </c>
      <c r="B30">
        <v>0.159</v>
      </c>
      <c r="C30">
        <v>0.221</v>
      </c>
      <c r="D30">
        <v>0.28499999999999998</v>
      </c>
      <c r="E30">
        <v>0.34</v>
      </c>
      <c r="F30">
        <v>0.38500000000000001</v>
      </c>
      <c r="G30">
        <v>0.41499999999999998</v>
      </c>
      <c r="H30">
        <v>0.434</v>
      </c>
      <c r="I30">
        <v>0.44700000000000001</v>
      </c>
      <c r="L30" t="s">
        <v>11</v>
      </c>
      <c r="M30">
        <f>SUM(M29:S29)/7</f>
        <v>137.57142857142858</v>
      </c>
      <c r="N30" t="s">
        <v>13</v>
      </c>
      <c r="O30">
        <f>SUM(B31:H31)/7</f>
        <v>0.16685714285714287</v>
      </c>
    </row>
    <row r="31" spans="1:29" x14ac:dyDescent="0.25">
      <c r="A31" t="s">
        <v>9</v>
      </c>
      <c r="B31">
        <v>6.0000000000000053E-3</v>
      </c>
      <c r="C31">
        <v>6.8000000000000005E-2</v>
      </c>
      <c r="D31">
        <v>0.13199999999999998</v>
      </c>
      <c r="E31">
        <v>0.18700000000000003</v>
      </c>
      <c r="F31">
        <v>0.23200000000000001</v>
      </c>
      <c r="G31">
        <v>0.26200000000000001</v>
      </c>
      <c r="H31">
        <v>0.28100000000000003</v>
      </c>
      <c r="I31">
        <v>0.29400000000000004</v>
      </c>
      <c r="L31" t="s">
        <v>12</v>
      </c>
      <c r="M31">
        <f>SUM(B$5:H$5)/7</f>
        <v>615.07936507936506</v>
      </c>
      <c r="N31" t="s">
        <v>19</v>
      </c>
      <c r="O31">
        <f>SUM(V29:AB29)/7</f>
        <v>3.6926000000000007E-2</v>
      </c>
    </row>
    <row r="32" spans="1:29" x14ac:dyDescent="0.25">
      <c r="L32" t="s">
        <v>14</v>
      </c>
      <c r="M32">
        <f>B$5^2</f>
        <v>771.60493827160462</v>
      </c>
      <c r="N32">
        <f t="shared" ref="N32" si="56">C$5^2</f>
        <v>49382.716049382718</v>
      </c>
      <c r="O32">
        <f t="shared" ref="O32" si="57">D$5^2</f>
        <v>210069.44444444444</v>
      </c>
      <c r="P32">
        <f t="shared" ref="P32" si="58">E$5^2</f>
        <v>444444.44444444455</v>
      </c>
      <c r="Q32">
        <f t="shared" ref="Q32" si="59">F$5^2</f>
        <v>741512.34567901236</v>
      </c>
      <c r="R32">
        <f t="shared" ref="R32" si="60">G$5^2</f>
        <v>972415.12345679034</v>
      </c>
      <c r="S32">
        <f t="shared" ref="S32" si="61">H$5^2</f>
        <v>1173611.111111111</v>
      </c>
    </row>
    <row r="33" spans="1:28" x14ac:dyDescent="0.25">
      <c r="L33" t="s">
        <v>15</v>
      </c>
      <c r="M33">
        <f>SUM(M32:S32)/7</f>
        <v>513172.3985890653</v>
      </c>
      <c r="N33" t="s">
        <v>16</v>
      </c>
      <c r="O33">
        <f>(M30-M31*O30)/(M33-M31^2)</f>
        <v>2.5911087756174452E-4</v>
      </c>
      <c r="P33" t="s">
        <v>17</v>
      </c>
      <c r="Q33">
        <f>O30-O33*M31</f>
        <v>7.4833888013079441E-3</v>
      </c>
      <c r="S33" t="s">
        <v>20</v>
      </c>
      <c r="T33">
        <f>1/SQRT(8)*SQRT((O31-O30^2)/(M33-M31^2)-O33^2)</f>
        <v>5.3683033956280991E-6</v>
      </c>
    </row>
    <row r="34" spans="1:28" x14ac:dyDescent="0.25">
      <c r="A34" t="s">
        <v>6</v>
      </c>
      <c r="B34">
        <v>0.8</v>
      </c>
      <c r="L34" t="s">
        <v>10</v>
      </c>
      <c r="M34">
        <f>B$5*B36</f>
        <v>0.16666666666666677</v>
      </c>
      <c r="N34">
        <f t="shared" ref="N34" si="62">C$5*C36</f>
        <v>17.555555555555561</v>
      </c>
      <c r="O34">
        <f t="shared" ref="O34" si="63">D$5*D36</f>
        <v>69.208333333333343</v>
      </c>
      <c r="P34">
        <f t="shared" ref="P34" si="64">E$5*E36</f>
        <v>147.33333333333337</v>
      </c>
      <c r="Q34">
        <f t="shared" ref="Q34" si="65">F$5*F36</f>
        <v>231.63888888888889</v>
      </c>
      <c r="R34">
        <f t="shared" ref="R34" si="66">G$5*G36</f>
        <v>294.84722222222223</v>
      </c>
      <c r="S34">
        <f t="shared" ref="S34" si="67">H$5*H36</f>
        <v>346.66666666666663</v>
      </c>
      <c r="U34" t="s">
        <v>18</v>
      </c>
      <c r="V34">
        <f>B36^2</f>
        <v>3.6000000000000062E-5</v>
      </c>
      <c r="W34">
        <f t="shared" ref="W34" si="68">C36^2</f>
        <v>6.2410000000000026E-3</v>
      </c>
      <c r="X34">
        <f t="shared" ref="X34" si="69">D36^2</f>
        <v>2.2801000000000005E-2</v>
      </c>
      <c r="Y34">
        <f t="shared" ref="Y34" si="70">E36^2</f>
        <v>4.8841000000000016E-2</v>
      </c>
      <c r="Z34">
        <f t="shared" ref="Z34" si="71">F36^2</f>
        <v>7.2361000000000009E-2</v>
      </c>
      <c r="AA34">
        <f t="shared" ref="AA34" si="72">G36^2</f>
        <v>8.9400999999999994E-2</v>
      </c>
      <c r="AB34">
        <f t="shared" ref="AB34" si="73">H36^2</f>
        <v>0.1024</v>
      </c>
    </row>
    <row r="35" spans="1:28" x14ac:dyDescent="0.25">
      <c r="A35" t="s">
        <v>7</v>
      </c>
      <c r="B35">
        <v>0.18</v>
      </c>
      <c r="C35">
        <v>0.253</v>
      </c>
      <c r="D35">
        <v>0.32500000000000001</v>
      </c>
      <c r="E35">
        <v>0.39500000000000002</v>
      </c>
      <c r="F35">
        <v>0.443</v>
      </c>
      <c r="G35">
        <v>0.47299999999999998</v>
      </c>
      <c r="H35">
        <v>0.49399999999999999</v>
      </c>
      <c r="I35">
        <v>0.50800000000000001</v>
      </c>
      <c r="L35" t="s">
        <v>11</v>
      </c>
      <c r="M35">
        <f>SUM(M34:S34)/7</f>
        <v>158.20238095238093</v>
      </c>
      <c r="N35" t="s">
        <v>13</v>
      </c>
      <c r="O35">
        <f>SUM(B36:H36)/7</f>
        <v>0.19214285714285717</v>
      </c>
    </row>
    <row r="36" spans="1:28" x14ac:dyDescent="0.25">
      <c r="A36" t="s">
        <v>9</v>
      </c>
      <c r="B36">
        <v>6.0000000000000053E-3</v>
      </c>
      <c r="C36">
        <v>7.9000000000000015E-2</v>
      </c>
      <c r="D36">
        <v>0.15100000000000002</v>
      </c>
      <c r="E36">
        <v>0.22100000000000003</v>
      </c>
      <c r="F36">
        <v>0.26900000000000002</v>
      </c>
      <c r="G36">
        <v>0.29899999999999999</v>
      </c>
      <c r="H36">
        <v>0.32</v>
      </c>
      <c r="I36">
        <v>0.33400000000000002</v>
      </c>
      <c r="L36" t="s">
        <v>12</v>
      </c>
      <c r="M36">
        <f>SUM(B$5:H$5)/7</f>
        <v>615.07936507936506</v>
      </c>
      <c r="N36" t="s">
        <v>19</v>
      </c>
      <c r="O36">
        <f>SUM(V34:AB34)/7</f>
        <v>4.8868714285714286E-2</v>
      </c>
    </row>
    <row r="37" spans="1:28" x14ac:dyDescent="0.25">
      <c r="L37" t="s">
        <v>14</v>
      </c>
      <c r="M37">
        <f>B$5^2</f>
        <v>771.60493827160462</v>
      </c>
      <c r="N37">
        <f t="shared" ref="N37" si="74">C$5^2</f>
        <v>49382.716049382718</v>
      </c>
      <c r="O37">
        <f t="shared" ref="O37" si="75">D$5^2</f>
        <v>210069.44444444444</v>
      </c>
      <c r="P37">
        <f t="shared" ref="P37" si="76">E$5^2</f>
        <v>444444.44444444455</v>
      </c>
      <c r="Q37">
        <f t="shared" ref="Q37" si="77">F$5^2</f>
        <v>741512.34567901236</v>
      </c>
      <c r="R37">
        <f t="shared" ref="R37" si="78">G$5^2</f>
        <v>972415.12345679034</v>
      </c>
      <c r="S37">
        <f t="shared" ref="S37" si="79">H$5^2</f>
        <v>1173611.111111111</v>
      </c>
    </row>
    <row r="38" spans="1:28" x14ac:dyDescent="0.25">
      <c r="L38" t="s">
        <v>15</v>
      </c>
      <c r="M38">
        <f>SUM(M37:S37)/7</f>
        <v>513172.3985890653</v>
      </c>
      <c r="N38" t="s">
        <v>16</v>
      </c>
      <c r="O38">
        <f>(M35-M36*O35)/(M38-M36^2)</f>
        <v>2.9676931161324183E-4</v>
      </c>
      <c r="P38" t="s">
        <v>17</v>
      </c>
      <c r="Q38">
        <f>O35-O38*M36</f>
        <v>9.606177380744152E-3</v>
      </c>
      <c r="S38" t="s">
        <v>20</v>
      </c>
      <c r="T38">
        <f>1/SQRT(7)*SQRT((O36-O35^2)/(M38-M36^2)-O38^2)</f>
        <v>8.8147264013863334E-6</v>
      </c>
    </row>
    <row r="39" spans="1:28" x14ac:dyDescent="0.25">
      <c r="A39" t="s">
        <v>6</v>
      </c>
      <c r="B39">
        <v>0.9</v>
      </c>
      <c r="L39" t="s">
        <v>10</v>
      </c>
      <c r="M39">
        <f>B$5*B41</f>
        <v>0.2222222222222216</v>
      </c>
      <c r="N39">
        <f t="shared" ref="N39" si="80">C$5*C41</f>
        <v>20.444444444444439</v>
      </c>
      <c r="O39">
        <f t="shared" ref="O39" si="81">D$5*D41</f>
        <v>86.625</v>
      </c>
      <c r="P39">
        <f t="shared" ref="P39" si="82">E$5*E41</f>
        <v>159.33333333333334</v>
      </c>
      <c r="Q39">
        <f t="shared" ref="Q39" si="83">F$5*F41</f>
        <v>256.61111111111109</v>
      </c>
      <c r="R39">
        <f t="shared" ref="R39" si="84">G$5*G41</f>
        <v>331.33333333333337</v>
      </c>
      <c r="S39">
        <f t="shared" ref="S39" si="85">H$5*H41</f>
        <v>390</v>
      </c>
      <c r="U39" t="s">
        <v>18</v>
      </c>
      <c r="V39">
        <f>B41^2</f>
        <v>6.3999999999999672E-5</v>
      </c>
      <c r="W39">
        <f t="shared" ref="W39" si="86">C41^2</f>
        <v>8.4639999999999941E-3</v>
      </c>
      <c r="X39">
        <f t="shared" ref="X39" si="87">D41^2</f>
        <v>3.5721000000000003E-2</v>
      </c>
      <c r="Y39">
        <f t="shared" ref="Y39" si="88">E41^2</f>
        <v>5.7120999999999998E-2</v>
      </c>
      <c r="Z39">
        <f t="shared" ref="Z39" si="89">F41^2</f>
        <v>8.8803999999999994E-2</v>
      </c>
      <c r="AA39">
        <f t="shared" ref="AA39" si="90">G41^2</f>
        <v>0.11289600000000001</v>
      </c>
      <c r="AB39">
        <f t="shared" ref="AB39" si="91">H41^2</f>
        <v>0.12960000000000002</v>
      </c>
    </row>
    <row r="40" spans="1:28" x14ac:dyDescent="0.25">
      <c r="A40" t="s">
        <v>7</v>
      </c>
      <c r="B40">
        <v>0.20399999999999999</v>
      </c>
      <c r="C40">
        <v>0.28799999999999998</v>
      </c>
      <c r="D40">
        <v>0.38500000000000001</v>
      </c>
      <c r="E40">
        <v>0.435</v>
      </c>
      <c r="F40">
        <v>0.49399999999999999</v>
      </c>
      <c r="G40">
        <v>0.53200000000000003</v>
      </c>
      <c r="H40">
        <v>0.55600000000000005</v>
      </c>
      <c r="I40">
        <v>0.57199999999999995</v>
      </c>
      <c r="L40" t="s">
        <v>11</v>
      </c>
      <c r="M40">
        <f>SUM(M39:S39)/7</f>
        <v>177.79563492063491</v>
      </c>
      <c r="N40" t="s">
        <v>13</v>
      </c>
      <c r="O40">
        <f>SUM(B41:H41)/7</f>
        <v>0.21742857142857144</v>
      </c>
    </row>
    <row r="41" spans="1:28" x14ac:dyDescent="0.25">
      <c r="A41" t="s">
        <v>9</v>
      </c>
      <c r="B41">
        <v>7.9999999999999793E-3</v>
      </c>
      <c r="C41">
        <v>9.1999999999999971E-2</v>
      </c>
      <c r="D41">
        <v>0.189</v>
      </c>
      <c r="E41">
        <v>0.23899999999999999</v>
      </c>
      <c r="F41">
        <v>0.29799999999999999</v>
      </c>
      <c r="G41">
        <v>0.33600000000000002</v>
      </c>
      <c r="H41">
        <v>0.36000000000000004</v>
      </c>
      <c r="I41">
        <v>0.37599999999999995</v>
      </c>
      <c r="L41" t="s">
        <v>12</v>
      </c>
      <c r="M41">
        <f>SUM(B$5:H$5)/7</f>
        <v>615.07936507936506</v>
      </c>
      <c r="N41" t="s">
        <v>19</v>
      </c>
      <c r="O41">
        <f>SUM(V39:AB39)/7</f>
        <v>6.1809999999999997E-2</v>
      </c>
    </row>
    <row r="42" spans="1:28" x14ac:dyDescent="0.25">
      <c r="L42" t="s">
        <v>14</v>
      </c>
      <c r="M42">
        <f>B$5^2</f>
        <v>771.60493827160462</v>
      </c>
      <c r="N42">
        <f t="shared" ref="N42" si="92">C$5^2</f>
        <v>49382.716049382718</v>
      </c>
      <c r="O42">
        <f t="shared" ref="O42" si="93">D$5^2</f>
        <v>210069.44444444444</v>
      </c>
      <c r="P42">
        <f t="shared" ref="P42" si="94">E$5^2</f>
        <v>444444.44444444455</v>
      </c>
      <c r="Q42">
        <f t="shared" ref="Q42" si="95">F$5^2</f>
        <v>741512.34567901236</v>
      </c>
      <c r="R42">
        <f t="shared" ref="R42" si="96">G$5^2</f>
        <v>972415.12345679034</v>
      </c>
      <c r="S42">
        <f t="shared" ref="S42" si="97">H$5^2</f>
        <v>1173611.111111111</v>
      </c>
    </row>
    <row r="43" spans="1:28" x14ac:dyDescent="0.25">
      <c r="L43" t="s">
        <v>15</v>
      </c>
      <c r="M43">
        <f>SUM(M42:S42)/7</f>
        <v>513172.3985890653</v>
      </c>
      <c r="N43" t="s">
        <v>16</v>
      </c>
      <c r="O43">
        <f>(M40-M41*O40)/(M43-M41^2)</f>
        <v>3.2673252758801862E-4</v>
      </c>
      <c r="P43" t="s">
        <v>17</v>
      </c>
      <c r="Q43">
        <f>O40-O43*M41</f>
        <v>1.6462135808956835E-2</v>
      </c>
      <c r="S43" t="s">
        <v>20</v>
      </c>
      <c r="T43">
        <f>1/SQRT(7)*SQRT((O41-O40^2)/(M43-M41^2)-O43^2)</f>
        <v>1.213674450853277E-5</v>
      </c>
    </row>
    <row r="44" spans="1:28" x14ac:dyDescent="0.25">
      <c r="A44" t="s">
        <v>6</v>
      </c>
      <c r="B44">
        <v>1</v>
      </c>
      <c r="L44" t="s">
        <v>10</v>
      </c>
      <c r="M44">
        <f>B$5*B46</f>
        <v>0.25000000000000017</v>
      </c>
      <c r="N44">
        <f t="shared" ref="N44" si="98">C$5*C46</f>
        <v>22.222222222222225</v>
      </c>
      <c r="O44">
        <f t="shared" ref="O44" si="99">D$5*D46</f>
        <v>87.083333333333314</v>
      </c>
      <c r="P44">
        <f t="shared" ref="P44" si="100">E$5*E46</f>
        <v>178.00000000000003</v>
      </c>
      <c r="Q44">
        <f t="shared" ref="Q44" si="101">F$5*F46</f>
        <v>285.02777777777783</v>
      </c>
      <c r="R44">
        <f t="shared" ref="R44" si="102">G$5*G46</f>
        <v>368.8055555555556</v>
      </c>
      <c r="S44">
        <f t="shared" ref="S44" si="103">H$5*H46</f>
        <v>434.41666666666669</v>
      </c>
      <c r="U44" t="s">
        <v>18</v>
      </c>
      <c r="V44">
        <f>B46^2</f>
        <v>8.1000000000000139E-5</v>
      </c>
      <c r="W44">
        <f t="shared" ref="W44" si="104">C46^2</f>
        <v>1.0000000000000002E-2</v>
      </c>
      <c r="X44">
        <f t="shared" ref="X44" si="105">D46^2</f>
        <v>3.6099999999999993E-2</v>
      </c>
      <c r="Y44">
        <f t="shared" ref="Y44" si="106">E46^2</f>
        <v>7.1289000000000005E-2</v>
      </c>
      <c r="Z44">
        <f t="shared" ref="Z44" si="107">F46^2</f>
        <v>0.10956100000000005</v>
      </c>
      <c r="AA44">
        <f t="shared" ref="AA44" si="108">G46^2</f>
        <v>0.139876</v>
      </c>
      <c r="AB44">
        <f t="shared" ref="AB44" si="109">H46^2</f>
        <v>0.16080100000000003</v>
      </c>
    </row>
    <row r="45" spans="1:28" x14ac:dyDescent="0.25">
      <c r="A45" t="s">
        <v>7</v>
      </c>
      <c r="B45">
        <v>0.22700000000000001</v>
      </c>
      <c r="C45">
        <v>0.318</v>
      </c>
      <c r="D45">
        <v>0.40799999999999997</v>
      </c>
      <c r="E45">
        <v>0.48499999999999999</v>
      </c>
      <c r="F45">
        <v>0.54900000000000004</v>
      </c>
      <c r="G45">
        <v>0.59199999999999997</v>
      </c>
      <c r="H45">
        <v>0.61899999999999999</v>
      </c>
      <c r="I45">
        <v>0.63600000000000001</v>
      </c>
      <c r="L45" t="s">
        <v>11</v>
      </c>
      <c r="M45">
        <f>SUM(M44:S44)/7</f>
        <v>196.54365079365081</v>
      </c>
      <c r="N45" t="s">
        <v>13</v>
      </c>
      <c r="O45">
        <f>SUM(B46:H46)/7</f>
        <v>0.23885714285714288</v>
      </c>
    </row>
    <row r="46" spans="1:28" x14ac:dyDescent="0.25">
      <c r="A46" t="s">
        <v>9</v>
      </c>
      <c r="B46">
        <v>9.000000000000008E-3</v>
      </c>
      <c r="C46">
        <v>0.1</v>
      </c>
      <c r="D46">
        <v>0.18999999999999997</v>
      </c>
      <c r="E46">
        <v>0.26700000000000002</v>
      </c>
      <c r="F46">
        <v>0.33100000000000007</v>
      </c>
      <c r="G46">
        <v>0.374</v>
      </c>
      <c r="H46">
        <v>0.40100000000000002</v>
      </c>
      <c r="I46">
        <v>0.41800000000000004</v>
      </c>
      <c r="L46" t="s">
        <v>12</v>
      </c>
      <c r="M46">
        <f>SUM(B$5:H$5)/7</f>
        <v>615.07936507936506</v>
      </c>
      <c r="N46" t="s">
        <v>19</v>
      </c>
      <c r="O46">
        <f>SUM(V44:AB44)/7</f>
        <v>7.5386857142857158E-2</v>
      </c>
    </row>
    <row r="47" spans="1:28" x14ac:dyDescent="0.25">
      <c r="L47" t="s">
        <v>14</v>
      </c>
      <c r="M47">
        <f>B$5^2</f>
        <v>771.60493827160462</v>
      </c>
      <c r="N47">
        <f t="shared" ref="N47" si="110">C$5^2</f>
        <v>49382.716049382718</v>
      </c>
      <c r="O47">
        <f t="shared" ref="O47" si="111">D$5^2</f>
        <v>210069.44444444444</v>
      </c>
      <c r="P47">
        <f t="shared" ref="P47" si="112">E$5^2</f>
        <v>444444.44444444455</v>
      </c>
      <c r="Q47">
        <f t="shared" ref="Q47" si="113">F$5^2</f>
        <v>741512.34567901236</v>
      </c>
      <c r="R47">
        <f t="shared" ref="R47" si="114">G$5^2</f>
        <v>972415.12345679034</v>
      </c>
      <c r="S47">
        <f t="shared" ref="S47" si="115">H$5^2</f>
        <v>1173611.111111111</v>
      </c>
    </row>
    <row r="48" spans="1:28" x14ac:dyDescent="0.25">
      <c r="A48" t="s">
        <v>6</v>
      </c>
      <c r="B48">
        <v>1</v>
      </c>
      <c r="L48" t="s">
        <v>15</v>
      </c>
      <c r="M48">
        <f>SUM(M47:S47)/7</f>
        <v>513172.3985890653</v>
      </c>
      <c r="N48" t="s">
        <v>16</v>
      </c>
      <c r="O48">
        <f>(M45-M46*O45)/(M48-M46^2)</f>
        <v>3.680210194429845E-4</v>
      </c>
      <c r="P48" t="s">
        <v>17</v>
      </c>
      <c r="Q48">
        <f>O45-O48*M46</f>
        <v>1.2495007882291298E-2</v>
      </c>
      <c r="S48" t="s">
        <v>20</v>
      </c>
      <c r="T48">
        <f>1/SQRT(7)*SQRT((O46-O45^2)/(M48-M46^2)-O48^2)</f>
        <v>8.6200620357965035E-6</v>
      </c>
    </row>
    <row r="49" spans="1:16" x14ac:dyDescent="0.25">
      <c r="A49" t="s">
        <v>7</v>
      </c>
      <c r="B49">
        <f>0.212</f>
        <v>0.21199999999999999</v>
      </c>
      <c r="C49">
        <f>0.119</f>
        <v>0.11899999999999999</v>
      </c>
      <c r="D49">
        <f>0.039</f>
        <v>3.9E-2</v>
      </c>
      <c r="E49">
        <f>-0.033</f>
        <v>-3.3000000000000002E-2</v>
      </c>
      <c r="F49">
        <f>-0.088</f>
        <v>-8.7999999999999995E-2</v>
      </c>
      <c r="G49">
        <f>-0.127</f>
        <v>-0.127</v>
      </c>
      <c r="H49">
        <f>-0.15</f>
        <v>-0.15</v>
      </c>
    </row>
    <row r="50" spans="1:16" x14ac:dyDescent="0.25">
      <c r="A50" t="s">
        <v>9</v>
      </c>
      <c r="B50">
        <f>B49 - 0.22</f>
        <v>-8.0000000000000071E-3</v>
      </c>
      <c r="C50">
        <f t="shared" ref="C50:H50" si="116">C49 - 0.22</f>
        <v>-0.10100000000000001</v>
      </c>
      <c r="D50">
        <f t="shared" si="116"/>
        <v>-0.18099999999999999</v>
      </c>
      <c r="E50">
        <f t="shared" si="116"/>
        <v>-0.253</v>
      </c>
      <c r="F50">
        <f t="shared" si="116"/>
        <v>-0.308</v>
      </c>
      <c r="G50">
        <f t="shared" si="116"/>
        <v>-0.34699999999999998</v>
      </c>
      <c r="H50">
        <f t="shared" si="116"/>
        <v>-0.37</v>
      </c>
    </row>
    <row r="53" spans="1:16" x14ac:dyDescent="0.25">
      <c r="H53">
        <v>0.3</v>
      </c>
      <c r="I53">
        <v>1.1E-4</v>
      </c>
      <c r="K53" t="s">
        <v>21</v>
      </c>
      <c r="L53">
        <f>SUM(I53:I60)/8</f>
        <v>2.3875000000000003E-4</v>
      </c>
      <c r="M53" t="s">
        <v>25</v>
      </c>
      <c r="N53">
        <f>SUM(K56:K63)/8</f>
        <v>6.4112499999999999E-8</v>
      </c>
      <c r="O53" t="s">
        <v>28</v>
      </c>
      <c r="P53">
        <f>SUM(M56:M63)/8</f>
        <v>1.7450000000000003E-7</v>
      </c>
    </row>
    <row r="54" spans="1:16" x14ac:dyDescent="0.25">
      <c r="H54">
        <v>0.4</v>
      </c>
      <c r="I54">
        <v>1.4999999999999999E-4</v>
      </c>
      <c r="K54" t="s">
        <v>22</v>
      </c>
      <c r="L54">
        <f>SUM(H53:H60)/8/1000</f>
        <v>6.4999999999999997E-4</v>
      </c>
      <c r="M54" t="s">
        <v>26</v>
      </c>
      <c r="N54">
        <f>SUM(L56:L63)/8</f>
        <v>4.75E-7</v>
      </c>
      <c r="O54" t="s">
        <v>16</v>
      </c>
      <c r="P54">
        <f>(P53-L53*L54)/(N54-L54*L54)</f>
        <v>0.3678571428571431</v>
      </c>
    </row>
    <row r="55" spans="1:16" x14ac:dyDescent="0.25">
      <c r="H55">
        <v>0.5</v>
      </c>
      <c r="I55">
        <v>1.8000000000000001E-4</v>
      </c>
      <c r="K55" t="s">
        <v>23</v>
      </c>
      <c r="L55" t="s">
        <v>24</v>
      </c>
      <c r="M55" t="s">
        <v>27</v>
      </c>
      <c r="O55" t="s">
        <v>20</v>
      </c>
      <c r="P55">
        <f>1/SQRT(8)*SQRT((N53-L53^2)/(N54-L54^2)-P54^2)</f>
        <v>3.9929785312403073E-3</v>
      </c>
    </row>
    <row r="56" spans="1:16" x14ac:dyDescent="0.25">
      <c r="H56">
        <v>0.6</v>
      </c>
      <c r="I56">
        <v>2.2000000000000001E-4</v>
      </c>
      <c r="K56">
        <f>I53^2</f>
        <v>1.2100000000000001E-8</v>
      </c>
      <c r="L56">
        <f>H53^2/1000000</f>
        <v>8.9999999999999999E-8</v>
      </c>
      <c r="M56">
        <f>H53*I53/1000</f>
        <v>3.3000000000000004E-8</v>
      </c>
      <c r="O56" t="s">
        <v>30</v>
      </c>
      <c r="P56">
        <f>P54*2.2/1000</f>
        <v>8.0928571428571497E-4</v>
      </c>
    </row>
    <row r="57" spans="1:16" x14ac:dyDescent="0.25">
      <c r="H57">
        <v>0.7</v>
      </c>
      <c r="I57">
        <v>2.5999999999999998E-4</v>
      </c>
      <c r="K57">
        <f t="shared" ref="K57:K65" si="117">I54^2</f>
        <v>2.2499999999999996E-8</v>
      </c>
      <c r="L57">
        <f t="shared" ref="L57:L63" si="118">H54^2/1000000</f>
        <v>1.6000000000000003E-7</v>
      </c>
      <c r="M57">
        <f t="shared" ref="M57:M63" si="119">H54*I54/1000</f>
        <v>5.9999999999999995E-8</v>
      </c>
      <c r="O57" t="s">
        <v>31</v>
      </c>
      <c r="P57">
        <f>P55/P54*P56</f>
        <v>8.7845527687286774E-6</v>
      </c>
    </row>
    <row r="58" spans="1:16" x14ac:dyDescent="0.25">
      <c r="H58">
        <v>0.8</v>
      </c>
      <c r="I58">
        <v>2.9E-4</v>
      </c>
      <c r="K58">
        <f t="shared" si="117"/>
        <v>3.2400000000000006E-8</v>
      </c>
      <c r="L58">
        <f t="shared" si="118"/>
        <v>2.4999999999999999E-7</v>
      </c>
      <c r="M58">
        <f t="shared" si="119"/>
        <v>9.0000000000000012E-8</v>
      </c>
      <c r="O58" t="s">
        <v>29</v>
      </c>
      <c r="P58">
        <f>1/P56/1.6*10^(19)</f>
        <v>7.7228596646072298E+21</v>
      </c>
    </row>
    <row r="59" spans="1:16" x14ac:dyDescent="0.25">
      <c r="H59">
        <v>0.9</v>
      </c>
      <c r="I59">
        <v>3.3E-4</v>
      </c>
      <c r="K59">
        <f t="shared" si="117"/>
        <v>4.8400000000000003E-8</v>
      </c>
      <c r="L59">
        <f t="shared" si="118"/>
        <v>3.5999999999999999E-7</v>
      </c>
      <c r="M59">
        <f t="shared" si="119"/>
        <v>1.3200000000000002E-7</v>
      </c>
      <c r="O59" t="s">
        <v>32</v>
      </c>
      <c r="P59">
        <f>P58*P57/P56</f>
        <v>8.3829316459770315E+19</v>
      </c>
    </row>
    <row r="60" spans="1:16" x14ac:dyDescent="0.25">
      <c r="H60">
        <v>1</v>
      </c>
      <c r="I60">
        <v>3.6999999999999999E-4</v>
      </c>
      <c r="K60">
        <f t="shared" si="117"/>
        <v>6.7599999999999983E-8</v>
      </c>
      <c r="L60">
        <f t="shared" si="118"/>
        <v>4.8999999999999997E-7</v>
      </c>
      <c r="M60">
        <f t="shared" si="119"/>
        <v>1.8199999999999999E-7</v>
      </c>
      <c r="O60" t="s">
        <v>33</v>
      </c>
      <c r="P60">
        <f>1/1000*6/1000/(2.56/1000*2.2/1000*7/1000)</f>
        <v>152.19155844155844</v>
      </c>
    </row>
    <row r="61" spans="1:16" x14ac:dyDescent="0.25">
      <c r="K61">
        <f t="shared" si="117"/>
        <v>8.4100000000000005E-8</v>
      </c>
      <c r="L61">
        <f t="shared" si="118"/>
        <v>6.4000000000000012E-7</v>
      </c>
      <c r="M61">
        <f t="shared" si="119"/>
        <v>2.3200000000000001E-7</v>
      </c>
      <c r="O61" t="s">
        <v>17</v>
      </c>
      <c r="P61">
        <f>P60/1.6*10^(19)/P58</f>
        <v>0.12316645408163276</v>
      </c>
    </row>
    <row r="62" spans="1:16" x14ac:dyDescent="0.25">
      <c r="K62">
        <f t="shared" si="117"/>
        <v>1.089E-7</v>
      </c>
      <c r="L62">
        <f t="shared" si="118"/>
        <v>8.1000000000000008E-7</v>
      </c>
      <c r="M62">
        <f t="shared" si="119"/>
        <v>2.9700000000000003E-7</v>
      </c>
      <c r="O62" t="s">
        <v>17</v>
      </c>
      <c r="P62">
        <f>P61*10000</f>
        <v>1231.6645408163276</v>
      </c>
    </row>
    <row r="63" spans="1:16" x14ac:dyDescent="0.25">
      <c r="K63">
        <f t="shared" si="117"/>
        <v>1.3689999999999999E-7</v>
      </c>
      <c r="L63">
        <f t="shared" si="118"/>
        <v>9.9999999999999995E-7</v>
      </c>
      <c r="M63">
        <f t="shared" si="119"/>
        <v>3.7E-7</v>
      </c>
      <c r="O63" t="s">
        <v>34</v>
      </c>
      <c r="P63">
        <f>P62*SQRT((P59/P58)^2+(3/152)^2)</f>
        <v>27.743019591495486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2017-12-14T21:05:33Z</dcterms:modified>
</cp:coreProperties>
</file>