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I10" i="1" l="1"/>
  <c r="G12" i="1"/>
  <c r="G10" i="1"/>
  <c r="G13" i="1"/>
  <c r="G11" i="1"/>
  <c r="G9" i="1"/>
  <c r="I11" i="1" l="1"/>
  <c r="I12" i="1"/>
  <c r="I13" i="1"/>
  <c r="D12" i="1"/>
  <c r="D13" i="1"/>
  <c r="D14" i="1"/>
  <c r="D15" i="1"/>
  <c r="D11" i="1"/>
  <c r="B14" i="1"/>
  <c r="B12" i="1"/>
  <c r="C12" i="1" s="1"/>
  <c r="B15" i="1"/>
  <c r="C13" i="1"/>
  <c r="C14" i="1"/>
  <c r="C15" i="1"/>
  <c r="C11" i="1"/>
  <c r="B13" i="1"/>
  <c r="P3" i="1"/>
  <c r="P4" i="1"/>
  <c r="P5" i="1"/>
  <c r="P6" i="1"/>
  <c r="P2" i="1"/>
  <c r="N3" i="1"/>
  <c r="N4" i="1"/>
  <c r="N5" i="1"/>
  <c r="N6" i="1"/>
  <c r="O6" i="1"/>
  <c r="O5" i="1"/>
  <c r="O4" i="1"/>
  <c r="O3" i="1"/>
  <c r="O2" i="1"/>
  <c r="N2" i="1"/>
  <c r="M3" i="1"/>
  <c r="M4" i="1"/>
  <c r="M5" i="1"/>
  <c r="M6" i="1"/>
  <c r="M2" i="1"/>
  <c r="G3" i="1"/>
  <c r="G4" i="1"/>
  <c r="G5" i="1"/>
  <c r="G6" i="1"/>
  <c r="G2" i="1"/>
  <c r="F3" i="1"/>
  <c r="F4" i="1"/>
  <c r="F5" i="1"/>
  <c r="F6" i="1"/>
  <c r="F2" i="1"/>
  <c r="E3" i="1"/>
  <c r="E4" i="1"/>
  <c r="E5" i="1"/>
  <c r="E6" i="1"/>
  <c r="E2" i="1"/>
  <c r="D3" i="1"/>
  <c r="D4" i="1"/>
  <c r="D5" i="1"/>
  <c r="D6" i="1"/>
  <c r="D2" i="1"/>
  <c r="B8" i="1"/>
  <c r="C3" i="1"/>
  <c r="C4" i="1"/>
  <c r="C5" i="1"/>
  <c r="C6" i="1"/>
  <c r="C2" i="1"/>
</calcChain>
</file>

<file path=xl/sharedStrings.xml><?xml version="1.0" encoding="utf-8"?>
<sst xmlns="http://schemas.openxmlformats.org/spreadsheetml/2006/main" count="22" uniqueCount="20">
  <si>
    <t>Расстояние между max</t>
  </si>
  <si>
    <t>№ max</t>
  </si>
  <si>
    <t>tg</t>
  </si>
  <si>
    <t>H</t>
  </si>
  <si>
    <t>d</t>
  </si>
  <si>
    <t>lambda</t>
  </si>
  <si>
    <t>угол</t>
  </si>
  <si>
    <t>sin</t>
  </si>
  <si>
    <t>d мкм</t>
  </si>
  <si>
    <t>№ решётки</t>
  </si>
  <si>
    <t>a1</t>
  </si>
  <si>
    <t>a2</t>
  </si>
  <si>
    <t>a2+b1</t>
  </si>
  <si>
    <t>b2</t>
  </si>
  <si>
    <t>b1</t>
  </si>
  <si>
    <t>увеличение</t>
  </si>
  <si>
    <t>период</t>
  </si>
  <si>
    <t xml:space="preserve">№ решётки </t>
  </si>
  <si>
    <t>щель</t>
  </si>
  <si>
    <t>1/щель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</si>
</sst>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G13" sqref="G13"/>
    </sheetView>
  </sheetViews>
  <sheetFormatPr defaultRowHeight="15" x14ac:dyDescent="0.25"/>
  <cols>
    <col min="1" max="1" width="31.42578125" customWidth="1"/>
    <col min="2" max="2" width="12" bestFit="1" customWidth="1"/>
    <col min="3" max="3" width="10" bestFit="1" customWidth="1"/>
    <col min="6" max="6" width="12" bestFit="1" customWidth="1"/>
    <col min="8" max="8" width="11.140625" customWidth="1"/>
    <col min="14" max="14" width="14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4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4</v>
      </c>
    </row>
    <row r="2" spans="1:16" x14ac:dyDescent="0.25">
      <c r="A2">
        <v>14.3</v>
      </c>
      <c r="B2">
        <v>2</v>
      </c>
      <c r="C2">
        <f>A2/2/$B$7</f>
        <v>5.3358208955223883E-2</v>
      </c>
      <c r="D2">
        <f>ATAN(C2)</f>
        <v>5.3307656592132262E-2</v>
      </c>
      <c r="E2">
        <f>SIN(D2)</f>
        <v>5.3282412729017674E-2</v>
      </c>
      <c r="F2">
        <f>B2*$B$8/E2</f>
        <v>1.9969065691737045E-5</v>
      </c>
      <c r="G2">
        <f>F2*10^6</f>
        <v>19.969065691737043</v>
      </c>
      <c r="H2">
        <v>5</v>
      </c>
      <c r="I2">
        <v>16</v>
      </c>
      <c r="J2">
        <v>3.2</v>
      </c>
      <c r="K2">
        <v>46</v>
      </c>
      <c r="L2">
        <v>67</v>
      </c>
      <c r="M2">
        <f>K2-J2</f>
        <v>42.8</v>
      </c>
      <c r="N2">
        <f>M2*L2/I2/J2</f>
        <v>56.007812499999993</v>
      </c>
      <c r="O2">
        <f>8/1000</f>
        <v>8.0000000000000002E-3</v>
      </c>
      <c r="P2">
        <f>O2/N2*10^6</f>
        <v>142.83721579020784</v>
      </c>
    </row>
    <row r="3" spans="1:16" x14ac:dyDescent="0.25">
      <c r="A3">
        <v>14.4</v>
      </c>
      <c r="B3">
        <v>3</v>
      </c>
      <c r="C3">
        <f t="shared" ref="C3:C6" si="0">A3/2/$B$7</f>
        <v>5.3731343283582089E-2</v>
      </c>
      <c r="D3">
        <f t="shared" ref="D3:D6" si="1">ATAN(C3)</f>
        <v>5.3679724182424185E-2</v>
      </c>
      <c r="E3">
        <f t="shared" ref="E3:E6" si="2">SIN(D3)</f>
        <v>5.3653948094460134E-2</v>
      </c>
      <c r="F3">
        <f t="shared" ref="F3:F6" si="3">B3*$B$8/E3</f>
        <v>2.9746180042336714E-5</v>
      </c>
      <c r="G3">
        <f t="shared" ref="G3:G6" si="4">F3*10^6</f>
        <v>29.746180042336714</v>
      </c>
      <c r="H3">
        <v>4</v>
      </c>
      <c r="I3">
        <v>16</v>
      </c>
      <c r="J3">
        <v>3.2</v>
      </c>
      <c r="K3">
        <v>44.5</v>
      </c>
      <c r="L3">
        <v>68.5</v>
      </c>
      <c r="M3">
        <f t="shared" ref="M3:M6" si="5">K3-J3</f>
        <v>41.3</v>
      </c>
      <c r="N3">
        <f t="shared" ref="N3:N6" si="6">M3*L3/I3/J3</f>
        <v>55.254882812499993</v>
      </c>
      <c r="O3">
        <f>6/1000</f>
        <v>6.0000000000000001E-3</v>
      </c>
      <c r="P3">
        <f t="shared" ref="P3:P6" si="7">O3/N3*10^6</f>
        <v>108.58768844665173</v>
      </c>
    </row>
    <row r="4" spans="1:16" x14ac:dyDescent="0.25">
      <c r="A4">
        <v>14.3</v>
      </c>
      <c r="B4">
        <v>6</v>
      </c>
      <c r="C4">
        <f t="shared" si="0"/>
        <v>5.3358208955223883E-2</v>
      </c>
      <c r="D4">
        <f t="shared" si="1"/>
        <v>5.3307656592132262E-2</v>
      </c>
      <c r="E4">
        <f t="shared" si="2"/>
        <v>5.3282412729017674E-2</v>
      </c>
      <c r="F4">
        <f t="shared" si="3"/>
        <v>5.9907197075211132E-5</v>
      </c>
      <c r="G4">
        <f t="shared" si="4"/>
        <v>59.90719707521113</v>
      </c>
      <c r="H4">
        <v>3</v>
      </c>
      <c r="I4">
        <v>16</v>
      </c>
      <c r="J4">
        <v>3.2</v>
      </c>
      <c r="K4">
        <v>44.5</v>
      </c>
      <c r="L4">
        <v>68.5</v>
      </c>
      <c r="M4">
        <f t="shared" si="5"/>
        <v>41.3</v>
      </c>
      <c r="N4">
        <f t="shared" si="6"/>
        <v>55.254882812499993</v>
      </c>
      <c r="O4">
        <f>3/1000</f>
        <v>3.0000000000000001E-3</v>
      </c>
      <c r="P4">
        <f t="shared" si="7"/>
        <v>54.293844223325863</v>
      </c>
    </row>
    <row r="5" spans="1:16" x14ac:dyDescent="0.25">
      <c r="A5">
        <v>7.1</v>
      </c>
      <c r="B5">
        <v>6</v>
      </c>
      <c r="C5">
        <f t="shared" si="0"/>
        <v>2.6492537313432835E-2</v>
      </c>
      <c r="D5">
        <f t="shared" si="1"/>
        <v>2.6486341953031328E-2</v>
      </c>
      <c r="E5">
        <f t="shared" si="2"/>
        <v>2.6483245250698045E-2</v>
      </c>
      <c r="F5">
        <f t="shared" si="3"/>
        <v>1.2052903523656586E-4</v>
      </c>
      <c r="G5">
        <f t="shared" si="4"/>
        <v>120.52903523656586</v>
      </c>
      <c r="H5">
        <v>2</v>
      </c>
      <c r="I5">
        <v>16</v>
      </c>
      <c r="J5">
        <v>3.2</v>
      </c>
      <c r="K5">
        <v>44</v>
      </c>
      <c r="L5">
        <v>69</v>
      </c>
      <c r="M5">
        <f t="shared" si="5"/>
        <v>40.799999999999997</v>
      </c>
      <c r="N5">
        <f t="shared" si="6"/>
        <v>54.984374999999993</v>
      </c>
      <c r="O5">
        <f>1.4/1000</f>
        <v>1.4E-3</v>
      </c>
      <c r="P5">
        <f t="shared" si="7"/>
        <v>25.46177891446434</v>
      </c>
    </row>
    <row r="6" spans="1:16" x14ac:dyDescent="0.25">
      <c r="A6">
        <v>8.1</v>
      </c>
      <c r="B6">
        <v>9</v>
      </c>
      <c r="C6">
        <f t="shared" si="0"/>
        <v>3.0223880597014925E-2</v>
      </c>
      <c r="D6">
        <f t="shared" si="1"/>
        <v>3.0214682637842789E-2</v>
      </c>
      <c r="E6">
        <f t="shared" si="2"/>
        <v>3.0210085547522584E-2</v>
      </c>
      <c r="F6">
        <f t="shared" si="3"/>
        <v>1.5849011723148354E-4</v>
      </c>
      <c r="G6">
        <f t="shared" si="4"/>
        <v>158.49011723148354</v>
      </c>
      <c r="H6">
        <v>1</v>
      </c>
      <c r="I6">
        <v>16</v>
      </c>
      <c r="J6">
        <v>3.2</v>
      </c>
      <c r="K6">
        <v>44</v>
      </c>
      <c r="L6">
        <v>69</v>
      </c>
      <c r="M6">
        <f t="shared" si="5"/>
        <v>40.799999999999997</v>
      </c>
      <c r="N6">
        <f t="shared" si="6"/>
        <v>54.984374999999993</v>
      </c>
      <c r="O6">
        <f>0.93/1000</f>
        <v>9.3000000000000005E-4</v>
      </c>
      <c r="P6">
        <f t="shared" si="7"/>
        <v>16.913895993179885</v>
      </c>
    </row>
    <row r="7" spans="1:16" x14ac:dyDescent="0.25">
      <c r="A7" t="s">
        <v>3</v>
      </c>
      <c r="B7">
        <v>134</v>
      </c>
    </row>
    <row r="8" spans="1:16" x14ac:dyDescent="0.25">
      <c r="A8" t="s">
        <v>5</v>
      </c>
      <c r="B8">
        <f>532*10^(-9)</f>
        <v>5.3200000000000005E-7</v>
      </c>
    </row>
    <row r="9" spans="1:16" x14ac:dyDescent="0.25">
      <c r="G9">
        <f>G2*SQRT((0.05/134)^2+(0.05*2/14.3)^2)</f>
        <v>0.13984246458061297</v>
      </c>
      <c r="H9">
        <v>1</v>
      </c>
    </row>
    <row r="10" spans="1:16" x14ac:dyDescent="0.25">
      <c r="A10" t="s">
        <v>17</v>
      </c>
      <c r="B10" t="s">
        <v>18</v>
      </c>
      <c r="C10" t="s">
        <v>4</v>
      </c>
      <c r="D10" t="s">
        <v>19</v>
      </c>
      <c r="G10">
        <f>G3*SQRT((0.05/134)^2+(0.05*2/14.4)^2)</f>
        <v>0.20686867053620786</v>
      </c>
      <c r="H10">
        <v>2</v>
      </c>
      <c r="I10">
        <f>300*0.00001/B12</f>
        <v>0.89020771513353114</v>
      </c>
      <c r="J10">
        <v>1</v>
      </c>
    </row>
    <row r="11" spans="1:16" x14ac:dyDescent="0.25">
      <c r="A11">
        <v>1</v>
      </c>
      <c r="B11">
        <v>1</v>
      </c>
      <c r="C11">
        <f>$B$8*2*110/1000/B11*10^6</f>
        <v>0.11704000000000002</v>
      </c>
      <c r="D11">
        <f>1/B11</f>
        <v>1</v>
      </c>
      <c r="E11">
        <v>1</v>
      </c>
      <c r="G11">
        <f>G4*SQRT((0.05/134)^2+(0.05*2/14.3)^2)</f>
        <v>0.41952739374183895</v>
      </c>
      <c r="H11">
        <v>3</v>
      </c>
      <c r="I11">
        <f t="shared" ref="I11:I13" si="8">300*0.00001/B13</f>
        <v>1.8072289156626506</v>
      </c>
      <c r="J11">
        <v>2</v>
      </c>
    </row>
    <row r="12" spans="1:16" x14ac:dyDescent="0.25">
      <c r="A12">
        <v>2</v>
      </c>
      <c r="B12">
        <f>3.37/1000</f>
        <v>3.3700000000000002E-3</v>
      </c>
      <c r="C12">
        <f t="shared" ref="C12:C15" si="9">$B$8*2*110/1000/B12*10^6</f>
        <v>34.7299703264095</v>
      </c>
      <c r="D12">
        <f t="shared" ref="D12:D15" si="10">1/B12</f>
        <v>296.73590504451039</v>
      </c>
      <c r="E12">
        <v>2</v>
      </c>
      <c r="G12">
        <f>G5*SQRT((0.05/134)^2+(0.05*2/7.1)^2)</f>
        <v>1.6981876724293634</v>
      </c>
      <c r="H12">
        <v>4</v>
      </c>
      <c r="I12">
        <f t="shared" si="8"/>
        <v>2.8571428571428568</v>
      </c>
      <c r="J12">
        <v>3</v>
      </c>
    </row>
    <row r="13" spans="1:16" x14ac:dyDescent="0.25">
      <c r="A13">
        <v>3</v>
      </c>
      <c r="B13">
        <f>1.66/1000</f>
        <v>1.66E-3</v>
      </c>
      <c r="C13">
        <f t="shared" si="9"/>
        <v>70.506024096385545</v>
      </c>
      <c r="D13">
        <f t="shared" si="10"/>
        <v>602.40963855421683</v>
      </c>
      <c r="E13">
        <v>3</v>
      </c>
      <c r="G13">
        <f>G6*SQRT((0.05/134)^2+(0.05*2/8.1)^2)</f>
        <v>1.9575616014577324</v>
      </c>
      <c r="H13">
        <v>5</v>
      </c>
      <c r="I13">
        <f t="shared" si="8"/>
        <v>4.166666666666667</v>
      </c>
      <c r="J13">
        <v>4</v>
      </c>
    </row>
    <row r="14" spans="1:16" x14ac:dyDescent="0.25">
      <c r="A14">
        <v>4</v>
      </c>
      <c r="B14">
        <f>1.05/1000</f>
        <v>1.0500000000000002E-3</v>
      </c>
      <c r="C14">
        <f t="shared" si="9"/>
        <v>111.46666666666667</v>
      </c>
      <c r="D14">
        <f t="shared" si="10"/>
        <v>952.38095238095229</v>
      </c>
      <c r="E14">
        <v>4</v>
      </c>
    </row>
    <row r="15" spans="1:16" x14ac:dyDescent="0.25">
      <c r="A15">
        <v>5</v>
      </c>
      <c r="B15">
        <f>0.72/1000</f>
        <v>7.1999999999999994E-4</v>
      </c>
      <c r="C15">
        <f t="shared" si="9"/>
        <v>162.5555555555556</v>
      </c>
      <c r="D15">
        <f t="shared" si="10"/>
        <v>1388.8888888888889</v>
      </c>
      <c r="E15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2018-02-16T06:56:06Z</dcterms:modified>
</cp:coreProperties>
</file>