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IMPRIMIR\2kurs\Phys\Lab3\"/>
    </mc:Choice>
  </mc:AlternateContent>
  <xr:revisionPtr revIDLastSave="0" documentId="13_ncr:1_{4D367C4F-CEB7-4ABE-8E2C-B041268EBF8A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Задание 1.1" sheetId="1" r:id="rId1"/>
    <sheet name="Задание 1.2" sheetId="2" r:id="rId2"/>
    <sheet name="Задание 2" sheetId="4" r:id="rId3"/>
    <sheet name="Графики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4" l="1"/>
  <c r="P24" i="4"/>
  <c r="P10" i="4"/>
  <c r="M7" i="4"/>
  <c r="Q8" i="4"/>
  <c r="I19" i="4"/>
  <c r="J19" i="4" s="1"/>
  <c r="L7" i="4"/>
  <c r="I7" i="4"/>
  <c r="I8" i="4"/>
  <c r="A5" i="3" s="1"/>
  <c r="I9" i="4"/>
  <c r="I10" i="4"/>
  <c r="I11" i="4"/>
  <c r="I12" i="4"/>
  <c r="I13" i="4"/>
  <c r="I20" i="4"/>
  <c r="I21" i="4"/>
  <c r="I22" i="4"/>
  <c r="A16" i="3" s="1"/>
  <c r="I23" i="4"/>
  <c r="I24" i="4"/>
  <c r="I25" i="4"/>
  <c r="A15" i="3"/>
  <c r="A6" i="3"/>
  <c r="A7" i="3"/>
  <c r="A4" i="3"/>
  <c r="M2" i="1"/>
  <c r="H20" i="4"/>
  <c r="H21" i="4"/>
  <c r="H22" i="4"/>
  <c r="H23" i="4"/>
  <c r="H24" i="4"/>
  <c r="H25" i="4"/>
  <c r="H19" i="4"/>
  <c r="A17" i="3"/>
  <c r="A18" i="3"/>
  <c r="A19" i="3"/>
  <c r="A9" i="3"/>
  <c r="A10" i="3"/>
  <c r="H8" i="4"/>
  <c r="H9" i="4"/>
  <c r="H10" i="4"/>
  <c r="H11" i="4"/>
  <c r="H12" i="4"/>
  <c r="H13" i="4"/>
  <c r="H7" i="4"/>
  <c r="L11" i="2"/>
  <c r="L2" i="2"/>
  <c r="H2" i="2"/>
  <c r="N12" i="1"/>
  <c r="J13" i="1"/>
  <c r="J14" i="1"/>
  <c r="J15" i="1"/>
  <c r="J16" i="1"/>
  <c r="J12" i="1"/>
  <c r="L13" i="1"/>
  <c r="L14" i="1"/>
  <c r="L15" i="1"/>
  <c r="L16" i="1"/>
  <c r="L12" i="1"/>
  <c r="L2" i="1"/>
  <c r="K13" i="1"/>
  <c r="K14" i="1"/>
  <c r="K15" i="1"/>
  <c r="K16" i="1"/>
  <c r="K12" i="1"/>
  <c r="K3" i="1"/>
  <c r="K4" i="1"/>
  <c r="K5" i="1"/>
  <c r="K6" i="1"/>
  <c r="K2" i="1"/>
  <c r="L3" i="1"/>
  <c r="L4" i="1"/>
  <c r="L5" i="1"/>
  <c r="L6" i="1"/>
  <c r="J3" i="1"/>
  <c r="J4" i="1"/>
  <c r="J5" i="1"/>
  <c r="J6" i="1"/>
  <c r="J2" i="1"/>
  <c r="M16" i="1" l="1"/>
  <c r="A14" i="3"/>
  <c r="J20" i="4"/>
  <c r="A13" i="3"/>
  <c r="P20" i="4"/>
  <c r="L19" i="4" s="1"/>
  <c r="M15" i="1"/>
  <c r="M14" i="1"/>
  <c r="M12" i="1"/>
  <c r="M13" i="1"/>
  <c r="J12" i="4"/>
  <c r="B9" i="3" s="1"/>
  <c r="B13" i="3"/>
  <c r="J10" i="4"/>
  <c r="B7" i="3" s="1"/>
  <c r="J21" i="4"/>
  <c r="B15" i="3" s="1"/>
  <c r="J7" i="4"/>
  <c r="J9" i="4"/>
  <c r="B6" i="3" s="1"/>
  <c r="J11" i="4"/>
  <c r="B8" i="3" s="1"/>
  <c r="A8" i="3"/>
  <c r="J23" i="4"/>
  <c r="J25" i="4"/>
  <c r="J13" i="4"/>
  <c r="B10" i="3" s="1"/>
  <c r="J22" i="4"/>
  <c r="J24" i="4"/>
  <c r="J8" i="4"/>
  <c r="B5" i="3" s="1"/>
  <c r="P8" i="4"/>
  <c r="K12" i="2"/>
  <c r="K13" i="2"/>
  <c r="K14" i="2"/>
  <c r="K15" i="2"/>
  <c r="K11" i="2"/>
  <c r="K6" i="2"/>
  <c r="K3" i="2"/>
  <c r="K4" i="2"/>
  <c r="K5" i="2"/>
  <c r="K2" i="2"/>
  <c r="I12" i="2"/>
  <c r="I13" i="2"/>
  <c r="I14" i="2"/>
  <c r="I15" i="2"/>
  <c r="I11" i="2"/>
  <c r="H12" i="2"/>
  <c r="H13" i="2"/>
  <c r="H14" i="2"/>
  <c r="H15" i="2"/>
  <c r="H11" i="2"/>
  <c r="H3" i="2"/>
  <c r="H4" i="2"/>
  <c r="H5" i="2"/>
  <c r="H6" i="2"/>
  <c r="I3" i="2"/>
  <c r="I4" i="2"/>
  <c r="I5" i="2"/>
  <c r="J5" i="2" s="1"/>
  <c r="I6" i="2"/>
  <c r="I2" i="2"/>
  <c r="J2" i="2" s="1"/>
  <c r="N13" i="1"/>
  <c r="N14" i="1"/>
  <c r="N15" i="1"/>
  <c r="N16" i="1"/>
  <c r="N2" i="1"/>
  <c r="N3" i="1"/>
  <c r="N4" i="1"/>
  <c r="N5" i="1"/>
  <c r="N6" i="1"/>
  <c r="M3" i="1"/>
  <c r="M4" i="1"/>
  <c r="M5" i="1"/>
  <c r="M6" i="1"/>
  <c r="J14" i="2" l="1"/>
  <c r="J3" i="2"/>
  <c r="Q12" i="1"/>
  <c r="Q15" i="1" s="1"/>
  <c r="L22" i="4"/>
  <c r="N22" i="4" s="1"/>
  <c r="B4" i="3"/>
  <c r="Q20" i="4"/>
  <c r="L8" i="4"/>
  <c r="B18" i="3"/>
  <c r="B17" i="3"/>
  <c r="B19" i="3"/>
  <c r="B16" i="3"/>
  <c r="B14" i="3"/>
  <c r="L9" i="4"/>
  <c r="N9" i="4" s="1"/>
  <c r="L10" i="4"/>
  <c r="L12" i="4"/>
  <c r="N12" i="4" s="1"/>
  <c r="L11" i="4"/>
  <c r="L13" i="4"/>
  <c r="N7" i="4"/>
  <c r="L21" i="4"/>
  <c r="L24" i="4"/>
  <c r="L20" i="4"/>
  <c r="N20" i="4" s="1"/>
  <c r="L23" i="4"/>
  <c r="N23" i="4" s="1"/>
  <c r="L25" i="4"/>
  <c r="N19" i="4"/>
  <c r="J15" i="2"/>
  <c r="J13" i="2"/>
  <c r="Q11" i="2"/>
  <c r="Q13" i="2" s="1"/>
  <c r="J4" i="2"/>
  <c r="J11" i="2"/>
  <c r="J12" i="2"/>
  <c r="Q2" i="2"/>
  <c r="Q4" i="2" s="1"/>
  <c r="J6" i="2"/>
  <c r="Q3" i="1"/>
  <c r="Q6" i="1" s="1"/>
  <c r="Q4" i="1"/>
  <c r="Q7" i="1" s="1"/>
  <c r="Q13" i="1"/>
  <c r="Q16" i="1" s="1"/>
  <c r="M25" i="4" l="1"/>
  <c r="M11" i="4"/>
  <c r="O11" i="4" s="1"/>
  <c r="O11" i="2"/>
  <c r="O13" i="2" s="1"/>
  <c r="O2" i="2"/>
  <c r="O4" i="2" s="1"/>
  <c r="M12" i="4"/>
  <c r="O12" i="4" s="1"/>
  <c r="M21" i="4"/>
  <c r="O21" i="4" s="1"/>
  <c r="M24" i="4"/>
  <c r="O24" i="4" s="1"/>
  <c r="O7" i="4"/>
  <c r="M19" i="4"/>
  <c r="O19" i="4" s="1"/>
  <c r="M23" i="4"/>
  <c r="O23" i="4" s="1"/>
  <c r="M22" i="4"/>
  <c r="O22" i="4" s="1"/>
  <c r="M20" i="4"/>
  <c r="O20" i="4" s="1"/>
  <c r="M13" i="4"/>
  <c r="O13" i="4" s="1"/>
  <c r="M8" i="4"/>
  <c r="O8" i="4" s="1"/>
  <c r="M9" i="4"/>
  <c r="O9" i="4" s="1"/>
  <c r="M10" i="4"/>
  <c r="O10" i="4" s="1"/>
  <c r="N8" i="4"/>
  <c r="N11" i="4"/>
  <c r="N24" i="4"/>
  <c r="N13" i="4"/>
  <c r="N21" i="4"/>
  <c r="O25" i="4"/>
  <c r="N25" i="4"/>
  <c r="N10" i="4"/>
  <c r="P22" i="4" l="1"/>
  <c r="R7" i="4"/>
  <c r="Q16" i="4"/>
  <c r="R19" i="4"/>
  <c r="Q28" i="4" l="1"/>
  <c r="Q22" i="4"/>
  <c r="Q10" i="4"/>
  <c r="S10" i="4" s="1"/>
  <c r="T10" i="4" s="1"/>
  <c r="S11" i="4" l="1"/>
  <c r="T11" i="4" s="1"/>
  <c r="S13" i="4"/>
  <c r="T13" i="4" s="1"/>
  <c r="S12" i="4"/>
  <c r="T12" i="4" s="1"/>
  <c r="S9" i="4"/>
  <c r="T9" i="4" s="1"/>
  <c r="S8" i="4"/>
  <c r="T8" i="4" s="1"/>
  <c r="S7" i="4"/>
  <c r="T7" i="4" s="1"/>
  <c r="S19" i="4"/>
  <c r="T19" i="4" s="1"/>
  <c r="S21" i="4"/>
  <c r="T21" i="4" s="1"/>
  <c r="S24" i="4"/>
  <c r="T24" i="4" s="1"/>
  <c r="S25" i="4"/>
  <c r="T25" i="4" s="1"/>
  <c r="S22" i="4"/>
  <c r="T22" i="4" s="1"/>
  <c r="S20" i="4"/>
  <c r="T20" i="4" s="1"/>
  <c r="S23" i="4"/>
  <c r="T23" i="4" s="1"/>
  <c r="P14" i="4" l="1"/>
  <c r="P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tc={E846D1B8-61F0-40A9-9A54-9D6B02DDF697}</author>
    <author>tc={9E122D61-305E-4E10-A08E-360387F61F72}</author>
    <author>tc={52DF4401-5908-4174-9CC3-9A37E943ED20}</author>
    <author>tc={637A9A4E-535B-4C6D-9314-96BCC5A4C8DA}</author>
    <author>tc={D410A585-F8B4-4291-9303-B8553279F7F4}</author>
    <author>tc={5D226EA3-D719-467D-A334-09E17EE585D7}</author>
    <author>tc={248D472B-3592-4C43-B8CA-01A0B556889B}</author>
    <author>tc={50D937FD-6621-4982-ADC7-886B1D7E2102}</author>
    <author>tc={57023DDB-4F66-471B-83EB-3A6E84FF0761}</author>
    <author>tc={3E7E7D5D-D588-4BDC-B1B9-F8C7F22C387E}</author>
    <author>tc={E47EF7DF-6650-4EB1-9C40-5139C625D922}</author>
    <author>tc={7DD7C8A8-64CE-4846-AE1C-9DBE7697AB4A}</author>
    <author>tc={D0791687-C437-4018-936C-3C812ED3B162}</author>
  </authors>
  <commentList>
    <comment ref="B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F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J1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K1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L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M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N1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3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4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6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7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tc={7D891D7B-D351-47BA-B1DD-0842E49C924A}</author>
    <author>tc={FBBBA779-D982-4256-97FB-EAD1EA13BC7C}</author>
    <author>tc={B8E9F0FF-B757-4E60-9126-AF3F61EEB9BC}</author>
    <author>tc={51CD5390-A841-4C4A-AC27-C60EDEBA8113}</author>
    <author>tc={109B229A-56D2-43BF-B110-1B17C611D41E}</author>
    <author>tc={BE7F7180-4C79-4B69-8269-15F41E7BBC03}</author>
    <author>tc={9552425B-BD14-4F2C-80B9-E82F62EE431C}</author>
    <author>tc={33250741-F062-46A5-AB56-B900D0B9313E}</author>
    <author>tc={CB68C1E0-60B7-4A55-9867-D8BB0B49E4FD}</author>
    <author>tc={2AB63745-F16F-482A-9B9F-421340318459}</author>
    <author>tc={9D5BD5F4-6A21-4779-968E-F72EA37C52AD}</author>
    <author>tc={CE2AC668-A5F8-49CD-93A7-6F432FAF4318}</author>
    <author>tc={70E48EF7-FB84-4CBB-AA46-0F39530A5362}</author>
  </authors>
  <commentList>
    <comment ref="B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C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D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E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графу</t>
      </text>
    </comment>
    <comment ref="H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I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J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K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L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N2" authorId="9" shapeId="0" xr:uid="{00000000-0006-0000-01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2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N4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  <comment ref="P4" authorId="12" shapeId="0" xr:uid="{00000000-0006-0000-01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Считается автоматически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tc={EF5131D6-C961-40C4-884F-DF59E0AB566E}</author>
    <author>tc={ABC7796B-9940-4546-B478-A3304622A070}</author>
    <author>tc={EE70B23E-23F6-4498-9BA8-502EF6C13134}</author>
    <author>tc={BA1F95B6-21EF-4FCC-9847-348B4A215CC4}</author>
    <author>tc={CAF9DDED-A83C-46BA-BB02-6500B79A4C87}</author>
    <author>tc={32E777A0-A12A-4709-A044-2BC7058A32EE}</author>
    <author>tc={DF0CAF3C-D23B-4DB4-B734-1145E530A035}</author>
    <author>tc={F09E9A4D-F976-4A5F-8E0F-8044CF516A75}</author>
    <author>tc={3247D418-5182-467E-BF61-1B72078469DB}</author>
    <author>tc={53225384-0B57-4980-9B57-0A0816950149}</author>
    <author>tc={4C48AA2D-8B9C-4783-80C3-298CE03B902A}</author>
    <author>tc={77EE7DC1-D98C-486B-BA56-20029A1F3C82}</author>
    <author>tc={3A303A8C-72B9-49E2-9F84-C28D7F5140EE}</author>
    <author>tc={BC612BB9-C40B-4124-8826-A205937B8A40}</author>
    <author>tc={C3C53DA5-1BAE-4FB1-956A-682C4CA100E2}</author>
    <author>tc={EDD63FC0-FDFA-429F-A9CE-06DD05C0A3F5}</author>
    <author>tc={159D1166-CB0C-4AEC-A78F-412FDFC8A04A}</author>
    <author>tc={C6DC92BC-568F-4FD7-96D9-EC78E59595DE}</author>
    <author>tc={B0F871FA-1460-4EFE-8E53-E1A2C4091D11}</author>
    <author>tc={36D15A0E-250D-420A-879F-DAE373A30122}</author>
  </authors>
  <commentList>
    <comment ref="C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ячейки</t>
      </text>
    </comment>
    <comment ref="D6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ячейки</t>
      </text>
    </comment>
    <comment ref="E6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ячейки</t>
      </text>
    </comment>
    <comment ref="H6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I6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J6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L6" authorId="6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M6" authorId="7" shapeId="0" xr:uid="{00000000-0006-0000-02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N6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O6" authorId="9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R6" authorId="10" shapeId="0" xr:uid="{00000000-0006-0000-02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S6" authorId="11" shapeId="0" xr:uid="{00000000-0006-0000-02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T6" authorId="12" shapeId="0" xr:uid="{00000000-0006-0000-02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P7" authorId="13" shapeId="0" xr:uid="{00000000-0006-0000-02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Q7" authorId="14" shapeId="0" xr:uid="{00000000-0006-0000-02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P9" authorId="15" shapeId="0" xr:uid="{00000000-0006-0000-02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Q9" authorId="16" shapeId="0" xr:uid="{00000000-0006-0000-02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P13" authorId="17" shapeId="0" xr:uid="{00000000-0006-0000-02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S18" authorId="18" shapeId="0" xr:uid="{00000000-0006-0000-02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T18" authorId="19" shapeId="0" xr:uid="{00000000-0006-0000-02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tc={B64AC050-5738-4A25-BED2-030038B09D49}</author>
    <author>tc={4C3F5663-EC18-4861-9F38-8FBFA374B15D}</author>
  </authors>
  <commentList>
    <comment ref="A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  <comment ref="A1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Заполняется автоматически</t>
      </text>
    </comment>
  </commentList>
</comments>
</file>

<file path=xl/sharedStrings.xml><?xml version="1.0" encoding="utf-8"?>
<sst xmlns="http://schemas.openxmlformats.org/spreadsheetml/2006/main" count="132" uniqueCount="62">
  <si>
    <t>№ опыта</t>
  </si>
  <si>
    <t>m1, г</t>
  </si>
  <si>
    <t>m2, г</t>
  </si>
  <si>
    <t>v10x, м/с</t>
  </si>
  <si>
    <t>v1x, м/с</t>
  </si>
  <si>
    <t>v2x, м/с</t>
  </si>
  <si>
    <t>p10x, мН*с</t>
  </si>
  <si>
    <t>p1x, мН*с</t>
  </si>
  <si>
    <t>p2x, мН*с</t>
  </si>
  <si>
    <t>δp</t>
  </si>
  <si>
    <t>δW</t>
  </si>
  <si>
    <t>v10, м/с</t>
  </si>
  <si>
    <t>v, м/с</t>
  </si>
  <si>
    <t>p10, мН*с</t>
  </si>
  <si>
    <t>p, мН*с</t>
  </si>
  <si>
    <t>δW (э)</t>
  </si>
  <si>
    <t>δW (Т)</t>
  </si>
  <si>
    <t>M1</t>
  </si>
  <si>
    <t>Состав гирьки</t>
  </si>
  <si>
    <t>m, г</t>
  </si>
  <si>
    <t>v1, м/с</t>
  </si>
  <si>
    <t>v2, м/с</t>
  </si>
  <si>
    <t>a, м/с^2</t>
  </si>
  <si>
    <t>T, мН</t>
  </si>
  <si>
    <t>подвеска</t>
  </si>
  <si>
    <t>подвеска + одна шайба</t>
  </si>
  <si>
    <t>подвеска + две шайбы</t>
  </si>
  <si>
    <t>подвеска + три шайбы</t>
  </si>
  <si>
    <t>подвеска + четыре шайбы</t>
  </si>
  <si>
    <t>подвеска + пять шайб</t>
  </si>
  <si>
    <t>подвеска + шесть шайб</t>
  </si>
  <si>
    <t>Среднее а</t>
  </si>
  <si>
    <t>Среднее T</t>
  </si>
  <si>
    <t>Коэффицент a</t>
  </si>
  <si>
    <t>Разн у</t>
  </si>
  <si>
    <t>Разн х</t>
  </si>
  <si>
    <t>D</t>
  </si>
  <si>
    <t>Квадраты разн х</t>
  </si>
  <si>
    <t>Произв разн у и х</t>
  </si>
  <si>
    <t>Коэффицент стьюдента =</t>
  </si>
  <si>
    <t>∆δW =</t>
  </si>
  <si>
    <t>∆δp =</t>
  </si>
  <si>
    <t>среднее δp =</t>
  </si>
  <si>
    <t>среднее δW =</t>
  </si>
  <si>
    <t>Вторая таблица заполняется аналогично</t>
  </si>
  <si>
    <t>∆δW (э) =</t>
  </si>
  <si>
    <t>среднее δW (э) =</t>
  </si>
  <si>
    <t>∆M1</t>
  </si>
  <si>
    <t>Таблицы 3.1 и 6.1</t>
  </si>
  <si>
    <t>M2</t>
  </si>
  <si>
    <t>∆M2</t>
  </si>
  <si>
    <t>F трения 2 =</t>
  </si>
  <si>
    <t>F трения 1 =</t>
  </si>
  <si>
    <t>Все важные вычисляемые значения, которые нужны в отчёте отмечены оранжевым цветом</t>
  </si>
  <si>
    <t>d i</t>
  </si>
  <si>
    <t>(d i)^2</t>
  </si>
  <si>
    <t>Таблицы 3.2 и 6.2 (ЗАПОНЯЮТСЯ АНАЛОГИЧНО)</t>
  </si>
  <si>
    <t>Значения из таблицы 6.1</t>
  </si>
  <si>
    <t>Значения из таблицы 6.2</t>
  </si>
  <si>
    <t>СКО M1</t>
  </si>
  <si>
    <t>СКО M2</t>
  </si>
  <si>
    <t>Графики построятся автоматически, при заполнении листа "Задание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</si>
</sst>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3" fillId="0" borderId="12" xfId="0" applyFont="1" applyBorder="1" applyAlignment="1">
      <alignment horizontal="right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2" xfId="0" applyFont="1" applyBorder="1" applyAlignment="1">
      <alignment horizontal="right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3" fillId="0" borderId="24" xfId="0" applyFont="1" applyBorder="1" applyAlignment="1">
      <alignment horizontal="right" wrapText="1"/>
    </xf>
    <xf numFmtId="0" fontId="1" fillId="0" borderId="24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24" xfId="0" applyBorder="1"/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4" xfId="0" applyBorder="1" applyAlignment="1">
      <alignment wrapText="1"/>
    </xf>
    <xf numFmtId="0" fontId="0" fillId="0" borderId="37" xfId="0" applyBorder="1"/>
    <xf numFmtId="0" fontId="0" fillId="0" borderId="38" xfId="0" applyBorder="1"/>
    <xf numFmtId="0" fontId="0" fillId="0" borderId="26" xfId="0" applyBorder="1"/>
    <xf numFmtId="0" fontId="0" fillId="0" borderId="28" xfId="0" applyBorder="1"/>
    <xf numFmtId="0" fontId="0" fillId="0" borderId="39" xfId="0" applyBorder="1"/>
    <xf numFmtId="0" fontId="3" fillId="0" borderId="40" xfId="0" applyFont="1" applyBorder="1" applyAlignment="1">
      <alignment horizontal="right" wrapText="1"/>
    </xf>
    <xf numFmtId="0" fontId="0" fillId="2" borderId="34" xfId="0" applyFill="1" applyBorder="1"/>
    <xf numFmtId="0" fontId="0" fillId="2" borderId="35" xfId="0" applyFill="1" applyBorder="1"/>
    <xf numFmtId="0" fontId="0" fillId="2" borderId="34" xfId="0" applyFill="1" applyBorder="1" applyAlignment="1">
      <alignment wrapText="1"/>
    </xf>
    <xf numFmtId="0" fontId="3" fillId="0" borderId="41" xfId="0" applyFont="1" applyBorder="1" applyAlignment="1">
      <alignment horizontal="right" wrapText="1"/>
    </xf>
    <xf numFmtId="0" fontId="3" fillId="0" borderId="25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0" fillId="2" borderId="43" xfId="0" applyFill="1" applyBorder="1"/>
    <xf numFmtId="0" fontId="0" fillId="2" borderId="44" xfId="0" applyFill="1" applyBorder="1"/>
    <xf numFmtId="0" fontId="5" fillId="0" borderId="24" xfId="0" applyFont="1" applyBorder="1"/>
    <xf numFmtId="0" fontId="3" fillId="0" borderId="45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1" fillId="0" borderId="24" xfId="0" applyFont="1" applyBorder="1" applyAlignment="1">
      <alignment horizontal="right" wrapText="1"/>
    </xf>
    <xf numFmtId="0" fontId="3" fillId="0" borderId="47" xfId="0" applyFont="1" applyBorder="1" applyAlignment="1">
      <alignment wrapText="1"/>
    </xf>
    <xf numFmtId="0" fontId="1" fillId="0" borderId="47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1" fillId="0" borderId="24" xfId="0" applyFont="1" applyBorder="1"/>
    <xf numFmtId="0" fontId="1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3.0000000000000006E-2"/>
            <c:backward val="3.0000000000000006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0.35</c:v>
                </c:pt>
                <c:pt idx="6">
                  <c:v>0.39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491.33</c:v>
                </c:pt>
                <c:pt idx="1">
                  <c:v>497.49</c:v>
                </c:pt>
                <c:pt idx="2">
                  <c:v>503.13</c:v>
                </c:pt>
                <c:pt idx="3">
                  <c:v>508.59</c:v>
                </c:pt>
                <c:pt idx="4">
                  <c:v>515.03</c:v>
                </c:pt>
                <c:pt idx="5">
                  <c:v>520.85</c:v>
                </c:pt>
                <c:pt idx="6">
                  <c:v>526.19000000000005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8-40FF-A7B9-4396458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67311"/>
        <c:axId val="970465231"/>
      </c:scatterChart>
      <c:valAx>
        <c:axId val="9704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65231"/>
        <c:crosses val="autoZero"/>
        <c:crossBetween val="midCat"/>
      </c:valAx>
      <c:valAx>
        <c:axId val="9704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0.35</c:v>
                </c:pt>
                <c:pt idx="6">
                  <c:v>0.39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491.33</c:v>
                </c:pt>
                <c:pt idx="1">
                  <c:v>497.49</c:v>
                </c:pt>
                <c:pt idx="2">
                  <c:v>503.13</c:v>
                </c:pt>
                <c:pt idx="3">
                  <c:v>508.59</c:v>
                </c:pt>
                <c:pt idx="4">
                  <c:v>515.03</c:v>
                </c:pt>
                <c:pt idx="5">
                  <c:v>520.85</c:v>
                </c:pt>
                <c:pt idx="6">
                  <c:v>526.19000000000005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7DE-ABED-6870A74E132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Графики!$A$13:$A$19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0.08</c:v>
                </c:pt>
                <c:pt idx="3">
                  <c:v>0.08</c:v>
                </c:pt>
                <c:pt idx="4">
                  <c:v>0.12</c:v>
                </c:pt>
                <c:pt idx="5">
                  <c:v>0.15</c:v>
                </c:pt>
                <c:pt idx="6">
                  <c:v>0.17</c:v>
                </c:pt>
              </c:numCache>
            </c:numRef>
          </c:xVal>
          <c:yVal>
            <c:numRef>
              <c:f>Графики!$B$13:$B$19</c:f>
              <c:numCache>
                <c:formatCode>General</c:formatCode>
                <c:ptCount val="7"/>
                <c:pt idx="0">
                  <c:v>970.16</c:v>
                </c:pt>
                <c:pt idx="1">
                  <c:v>980.91</c:v>
                </c:pt>
                <c:pt idx="2">
                  <c:v>983.74</c:v>
                </c:pt>
                <c:pt idx="3">
                  <c:v>991.53</c:v>
                </c:pt>
                <c:pt idx="4">
                  <c:v>996.19</c:v>
                </c:pt>
                <c:pt idx="5">
                  <c:v>1000.85</c:v>
                </c:pt>
                <c:pt idx="6">
                  <c:v>1007.46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9-47DE-ABED-6870A74E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3455"/>
        <c:axId val="753180543"/>
      </c:scatterChart>
      <c:valAx>
        <c:axId val="7531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80543"/>
        <c:crosses val="autoZero"/>
        <c:crossBetween val="midCat"/>
      </c:valAx>
      <c:valAx>
        <c:axId val="7531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477981</xdr:colOff>
      <xdr:row>4</xdr:row>
      <xdr:rowOff>58190</xdr:rowOff>
    </xdr:from>
    <xdr:to>
      <xdr:col>13</xdr:col>
      <xdr:colOff>173181</xdr:colOff>
      <xdr:row>18</xdr:row>
      <xdr:rowOff>133003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40E09B-0252-429D-9726-8718031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4</xdr:row>
      <xdr:rowOff>121920</xdr:rowOff>
    </xdr:from>
    <xdr:to>
      <xdr:col>22</xdr:col>
      <xdr:colOff>220980</xdr:colOff>
      <xdr:row>19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526870-E11B-4091-BA07-CEEA4B76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Жистин Фёдор Иванович" id="{C676CC20-B105-41EB-8E6C-08169D019B26}" userId="S::336567@niuitmo.ru::7eda5dd7-928e-45f3-8b01-f5be54f02f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30T21:33:29.06" personId="{C676CC20-B105-41EB-8E6C-08169D019B26}" id="{E846D1B8-61F0-40A9-9A54-9D6B02DDF697}">
    <text>Заполнить графу</text>
  </threadedComment>
  <threadedComment ref="C1" dT="2022-03-30T21:33:34.55" personId="{C676CC20-B105-41EB-8E6C-08169D019B26}" id="{9E122D61-305E-4E10-A08E-360387F61F72}">
    <text>Заполнить графу</text>
  </threadedComment>
  <threadedComment ref="D1" dT="2022-03-30T21:34:02.90" personId="{C676CC20-B105-41EB-8E6C-08169D019B26}" id="{52DF4401-5908-4174-9CC3-9A37E943ED20}">
    <text>Заполнить графу</text>
  </threadedComment>
  <threadedComment ref="F1" dT="2022-03-30T21:34:13.31" personId="{C676CC20-B105-41EB-8E6C-08169D019B26}" id="{637A9A4E-535B-4C6D-9314-96BCC5A4C8DA}">
    <text>Заполнить графу</text>
  </threadedComment>
  <threadedComment ref="J1" dT="2022-03-30T21:35:05.55" personId="{C676CC20-B105-41EB-8E6C-08169D019B26}" id="{D410A585-F8B4-4291-9303-B8553279F7F4}">
    <text>Считается автоматически</text>
  </threadedComment>
  <threadedComment ref="K1" dT="2022-03-30T21:35:18.30" personId="{C676CC20-B105-41EB-8E6C-08169D019B26}" id="{5D226EA3-D719-467D-A334-09E17EE585D7}">
    <text>Считается автоматически</text>
  </threadedComment>
  <threadedComment ref="L1" dT="2022-03-30T21:35:22.73" personId="{C676CC20-B105-41EB-8E6C-08169D019B26}" id="{248D472B-3592-4C43-B8CA-01A0B556889B}">
    <text>Считается автоматически</text>
  </threadedComment>
  <threadedComment ref="M1" dT="2022-03-30T21:35:26.68" personId="{C676CC20-B105-41EB-8E6C-08169D019B26}" id="{50D937FD-6621-4982-ADC7-886B1D7E2102}">
    <text>Считается автоматически</text>
  </threadedComment>
  <threadedComment ref="N1" dT="2022-03-30T21:35:30.97" personId="{C676CC20-B105-41EB-8E6C-08169D019B26}" id="{57023DDB-4F66-471B-83EB-3A6E84FF0761}">
    <text>Считается автоматически</text>
  </threadedComment>
  <threadedComment ref="P3" dT="2022-03-30T21:36:00.07" personId="{C676CC20-B105-41EB-8E6C-08169D019B26}" id="{3E7E7D5D-D588-4BDC-B1B9-F8C7F22C387E}">
    <text>Считается автоматически</text>
  </threadedComment>
  <threadedComment ref="P4" dT="2022-03-30T21:36:04.28" personId="{C676CC20-B105-41EB-8E6C-08169D019B26}" id="{E47EF7DF-6650-4EB1-9C40-5139C625D922}">
    <text>Считается автоматически</text>
  </threadedComment>
  <threadedComment ref="P6" dT="2022-03-30T21:36:08.27" personId="{C676CC20-B105-41EB-8E6C-08169D019B26}" id="{7DD7C8A8-64CE-4846-AE1C-9DBE7697AB4A}">
    <text>Считается автоматически</text>
  </threadedComment>
  <threadedComment ref="P7" dT="2022-03-30T21:36:12.26" personId="{C676CC20-B105-41EB-8E6C-08169D019B26}" id="{D0791687-C437-4018-936C-3C812ED3B162}">
    <text>Считается автоматически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3-30T21:44:15.21" personId="{C676CC20-B105-41EB-8E6C-08169D019B26}" id="{7D891D7B-D351-47BA-B1DD-0842E49C924A}">
    <text>Заполнить графу</text>
  </threadedComment>
  <threadedComment ref="C1" dT="2022-03-30T21:44:21.50" personId="{C676CC20-B105-41EB-8E6C-08169D019B26}" id="{FBBBA779-D982-4256-97FB-EAD1EA13BC7C}">
    <text>Заполнить графу</text>
  </threadedComment>
  <threadedComment ref="D1" dT="2022-03-30T21:44:39.51" personId="{C676CC20-B105-41EB-8E6C-08169D019B26}" id="{B8E9F0FF-B757-4E60-9126-AF3F61EEB9BC}">
    <text>Заполнить графу</text>
  </threadedComment>
  <threadedComment ref="E1" dT="2022-03-30T21:44:42.98" personId="{C676CC20-B105-41EB-8E6C-08169D019B26}" id="{51CD5390-A841-4C4A-AC27-C60EDEBA8113}">
    <text>Заполнить графу</text>
  </threadedComment>
  <threadedComment ref="H1" dT="2022-03-30T21:44:56.98" personId="{C676CC20-B105-41EB-8E6C-08169D019B26}" id="{109B229A-56D2-43BF-B110-1B17C611D41E}">
    <text>Считается автоматически</text>
  </threadedComment>
  <threadedComment ref="I1" dT="2022-03-30T21:45:00.62" personId="{C676CC20-B105-41EB-8E6C-08169D019B26}" id="{BE7F7180-4C79-4B69-8269-15F41E7BBC03}">
    <text>Считается автоматически</text>
  </threadedComment>
  <threadedComment ref="J1" dT="2022-03-30T21:45:04.11" personId="{C676CC20-B105-41EB-8E6C-08169D019B26}" id="{9552425B-BD14-4F2C-80B9-E82F62EE431C}">
    <text>Считается автоматически</text>
  </threadedComment>
  <threadedComment ref="K1" dT="2022-03-30T21:45:09.04" personId="{C676CC20-B105-41EB-8E6C-08169D019B26}" id="{33250741-F062-46A5-AB56-B900D0B9313E}">
    <text>Считается автоматически</text>
  </threadedComment>
  <threadedComment ref="L1" dT="2022-03-30T21:51:39.85" personId="{C676CC20-B105-41EB-8E6C-08169D019B26}" id="{CB68C1E0-60B7-4A55-9867-D8BB0B49E4FD}">
    <text>Считается автоматически</text>
  </threadedComment>
  <threadedComment ref="N2" dT="2022-03-30T21:51:01.78" personId="{C676CC20-B105-41EB-8E6C-08169D019B26}" id="{2AB63745-F16F-482A-9B9F-421340318459}">
    <text>Считается автоматически</text>
  </threadedComment>
  <threadedComment ref="P2" dT="2022-03-30T21:51:09.38" personId="{C676CC20-B105-41EB-8E6C-08169D019B26}" id="{9D5BD5F4-6A21-4779-968E-F72EA37C52AD}">
    <text>Считается автоматически</text>
  </threadedComment>
  <threadedComment ref="N4" dT="2022-03-30T21:51:05.03" personId="{C676CC20-B105-41EB-8E6C-08169D019B26}" id="{CE2AC668-A5F8-49CD-93A7-6F432FAF4318}">
    <text>Считается автоматически</text>
  </threadedComment>
  <threadedComment ref="P4" dT="2022-03-30T21:51:12.98" personId="{C676CC20-B105-41EB-8E6C-08169D019B26}" id="{70E48EF7-FB84-4CBB-AA46-0F39530A5362}">
    <text>Считается автоматически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03-30T22:57:46.69" personId="{C676CC20-B105-41EB-8E6C-08169D019B26}" id="{EF5131D6-C961-40C4-884F-DF59E0AB566E}">
    <text>Заполнить ячейки</text>
  </threadedComment>
  <threadedComment ref="D6" dT="2022-03-30T22:57:50.58" personId="{C676CC20-B105-41EB-8E6C-08169D019B26}" id="{ABC7796B-9940-4546-B478-A3304622A070}">
    <text>Заполнить ячейки</text>
  </threadedComment>
  <threadedComment ref="E6" dT="2022-03-30T22:57:54.47" personId="{C676CC20-B105-41EB-8E6C-08169D019B26}" id="{EE70B23E-23F6-4498-9BA8-502EF6C13134}">
    <text>Заполнить ячейки</text>
  </threadedComment>
  <threadedComment ref="H6" dT="2022-03-30T22:58:23.11" personId="{C676CC20-B105-41EB-8E6C-08169D019B26}" id="{BA1F95B6-21EF-4FCC-9847-348B4A215CC4}">
    <text>Заполняется автоматически</text>
  </threadedComment>
  <threadedComment ref="I6" dT="2022-03-30T22:58:28.31" personId="{C676CC20-B105-41EB-8E6C-08169D019B26}" id="{CAF9DDED-A83C-46BA-BB02-6500B79A4C87}">
    <text>Заполняется автоматически</text>
  </threadedComment>
  <threadedComment ref="J6" dT="2022-03-30T22:58:32.23" personId="{C676CC20-B105-41EB-8E6C-08169D019B26}" id="{32E777A0-A12A-4709-A044-2BC7058A32EE}">
    <text>Заполняется автоматически</text>
  </threadedComment>
  <threadedComment ref="L6" dT="2022-03-30T23:01:10.83" personId="{C676CC20-B105-41EB-8E6C-08169D019B26}" id="{DF0CAF3C-D23B-4DB4-B734-1145E530A035}">
    <text>Заполняется автоматически</text>
  </threadedComment>
  <threadedComment ref="M6" dT="2022-03-30T23:01:14.92" personId="{C676CC20-B105-41EB-8E6C-08169D019B26}" id="{F09E9A4D-F976-4A5F-8E0F-8044CF516A75}">
    <text>Заполняется автоматически</text>
  </threadedComment>
  <threadedComment ref="N6" dT="2022-03-30T23:01:18.68" personId="{C676CC20-B105-41EB-8E6C-08169D019B26}" id="{3247D418-5182-467E-BF61-1B72078469DB}">
    <text>Заполняется автоматически</text>
  </threadedComment>
  <threadedComment ref="O6" dT="2022-03-30T23:01:22.65" personId="{C676CC20-B105-41EB-8E6C-08169D019B26}" id="{53225384-0B57-4980-9B57-0A0816950149}">
    <text>Заполняется автоматически</text>
  </threadedComment>
  <threadedComment ref="R6" dT="2022-03-30T23:01:49.36" personId="{C676CC20-B105-41EB-8E6C-08169D019B26}" id="{4C48AA2D-8B9C-4783-80C3-298CE03B902A}">
    <text>Заполняется автоматически</text>
  </threadedComment>
  <threadedComment ref="S6" dT="2022-03-30T23:01:52.42" personId="{C676CC20-B105-41EB-8E6C-08169D019B26}" id="{77EE7DC1-D98C-486B-BA56-20029A1F3C82}">
    <text>Заполняется автоматически</text>
  </threadedComment>
  <threadedComment ref="T6" dT="2022-03-30T23:02:02.01" personId="{C676CC20-B105-41EB-8E6C-08169D019B26}" id="{3A303A8C-72B9-49E2-9F84-C28D7F5140EE}">
    <text>Заполняется автоматически</text>
  </threadedComment>
  <threadedComment ref="P7" dT="2022-03-30T23:01:28.48" personId="{C676CC20-B105-41EB-8E6C-08169D019B26}" id="{BC612BB9-C40B-4124-8826-A205937B8A40}">
    <text>Заполняется автоматически</text>
  </threadedComment>
  <threadedComment ref="Q7" dT="2022-03-30T23:01:42.18" personId="{C676CC20-B105-41EB-8E6C-08169D019B26}" id="{C3C53DA5-1BAE-4FB1-956A-682C4CA100E2}">
    <text>Заполняется автоматически</text>
  </threadedComment>
  <threadedComment ref="P9" dT="2022-03-30T23:01:34.17" personId="{C676CC20-B105-41EB-8E6C-08169D019B26}" id="{EDD63FC0-FDFA-429F-A9CE-06DD05C0A3F5}">
    <text>Заполняется автоматически</text>
  </threadedComment>
  <threadedComment ref="Q9" dT="2022-03-30T23:01:45.95" personId="{C676CC20-B105-41EB-8E6C-08169D019B26}" id="{159D1166-CB0C-4AEC-A78F-412FDFC8A04A}">
    <text>Заполняется автоматически</text>
  </threadedComment>
  <threadedComment ref="P13" dT="2022-03-30T23:01:38.52" personId="{C676CC20-B105-41EB-8E6C-08169D019B26}" id="{C6DC92BC-568F-4FD7-96D9-EC78E59595DE}">
    <text>Заполняется автоматически</text>
  </threadedComment>
  <threadedComment ref="S18" dT="2022-03-30T23:01:52.42" personId="{C676CC20-B105-41EB-8E6C-08169D019B26}" id="{B0F871FA-1460-4EFE-8E53-E1A2C4091D11}">
    <text>Заполняется автоматически</text>
  </threadedComment>
  <threadedComment ref="T18" dT="2022-03-30T23:02:02.01" personId="{C676CC20-B105-41EB-8E6C-08169D019B26}" id="{36D15A0E-250D-420A-879F-DAE373A30122}">
    <text>Заполняется автоматически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22-03-30T23:05:23.26" personId="{C676CC20-B105-41EB-8E6C-08169D019B26}" id="{B64AC050-5738-4A25-BED2-030038B09D49}">
    <text>Заполняется автоматически</text>
  </threadedComment>
  <threadedComment ref="A12" dT="2022-03-30T23:05:26.73" personId="{C676CC20-B105-41EB-8E6C-08169D019B26}" id="{4C3F5663-EC18-4861-9F38-8FBFA374B15D}">
    <text>Заполняется автоматически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zoomScaleNormal="100" workbookViewId="0">
      <selection activeCell="R10" sqref="R10"/>
    </sheetView>
  </sheetViews>
  <sheetFormatPr defaultColWidth="8.77734375" defaultRowHeight="14.4" x14ac:dyDescent="0.3"/>
  <cols>
    <col min="13" max="13" width="13.33203125" bestFit="1" customWidth="1"/>
    <col min="14" max="14" width="26.33203125" customWidth="1"/>
    <col min="16" max="16" width="15.44140625" customWidth="1"/>
  </cols>
  <sheetData>
    <row r="1" spans="1:17" ht="29.4" thickBot="1" x14ac:dyDescent="0.35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0</v>
      </c>
      <c r="J1" s="2" t="s">
        <v>6</v>
      </c>
      <c r="K1" s="2" t="s">
        <v>7</v>
      </c>
      <c r="L1" s="2" t="s">
        <v>8</v>
      </c>
      <c r="M1" s="11" t="s">
        <v>9</v>
      </c>
      <c r="N1" s="11" t="s">
        <v>10</v>
      </c>
    </row>
    <row r="2" spans="1:17" ht="15" thickBot="1" x14ac:dyDescent="0.35">
      <c r="A2" s="3">
        <v>1</v>
      </c>
      <c r="B2" s="15">
        <v>49.8</v>
      </c>
      <c r="C2" s="15">
        <v>47.2</v>
      </c>
      <c r="D2" s="74">
        <v>0.24</v>
      </c>
      <c r="E2" s="4">
        <v>0</v>
      </c>
      <c r="F2" s="4">
        <v>0.22</v>
      </c>
      <c r="I2" s="3">
        <v>1</v>
      </c>
      <c r="J2" s="4">
        <f>$B$2*D2</f>
        <v>11.951999999999998</v>
      </c>
      <c r="K2" s="4">
        <f>$B$2*E2</f>
        <v>0</v>
      </c>
      <c r="L2" s="4">
        <f>$C$2*F2</f>
        <v>10.384</v>
      </c>
      <c r="M2" s="4">
        <f>ROUND((K2+L2)/J2-1,2)</f>
        <v>-0.13</v>
      </c>
      <c r="N2" s="4">
        <f>ROUND(($B$2*E2^2 +$C$2*F2^2)/($B$2*D2^2)-1, 2)</f>
        <v>-0.2</v>
      </c>
    </row>
    <row r="3" spans="1:17" ht="15" thickBot="1" x14ac:dyDescent="0.35">
      <c r="A3" s="3">
        <v>2</v>
      </c>
      <c r="B3" s="76"/>
      <c r="C3" s="76"/>
      <c r="D3" s="74">
        <v>0.24</v>
      </c>
      <c r="E3" s="4">
        <v>0</v>
      </c>
      <c r="F3" s="4">
        <v>0.22</v>
      </c>
      <c r="I3" s="3">
        <v>2</v>
      </c>
      <c r="J3" s="4">
        <f t="shared" ref="J3:J6" si="0">$B$2*D3</f>
        <v>11.951999999999998</v>
      </c>
      <c r="K3" s="4">
        <f t="shared" ref="K3:K6" si="1">$B$2*E3</f>
        <v>0</v>
      </c>
      <c r="L3" s="4">
        <f t="shared" ref="L3:L6" si="2">$C$2*F3</f>
        <v>10.384</v>
      </c>
      <c r="M3" s="4">
        <f t="shared" ref="M3:M6" si="3">ROUND((K3+L3)/J3-1,2)</f>
        <v>-0.13</v>
      </c>
      <c r="N3" s="4">
        <f t="shared" ref="N3:N6" si="4">ROUND(($B$2*E3^2 +$C$2*F3^2)/($B$2*D3^2)-1, 2)</f>
        <v>-0.2</v>
      </c>
      <c r="P3" s="37" t="s">
        <v>42</v>
      </c>
      <c r="Q3" s="37">
        <f>SUM(M2:M6)/5</f>
        <v>-0.12</v>
      </c>
    </row>
    <row r="4" spans="1:17" ht="15" thickBot="1" x14ac:dyDescent="0.35">
      <c r="A4" s="3">
        <v>3</v>
      </c>
      <c r="B4" s="76"/>
      <c r="C4" s="76"/>
      <c r="D4" s="74">
        <v>0.24</v>
      </c>
      <c r="E4" s="4">
        <v>0</v>
      </c>
      <c r="F4" s="74">
        <v>0.21</v>
      </c>
      <c r="I4" s="3">
        <v>3</v>
      </c>
      <c r="J4" s="4">
        <f t="shared" si="0"/>
        <v>11.951999999999998</v>
      </c>
      <c r="K4" s="4">
        <f t="shared" si="1"/>
        <v>0</v>
      </c>
      <c r="L4" s="4">
        <f t="shared" si="2"/>
        <v>9.9120000000000008</v>
      </c>
      <c r="M4" s="4">
        <f t="shared" si="3"/>
        <v>-0.17</v>
      </c>
      <c r="N4" s="4">
        <f t="shared" si="4"/>
        <v>-0.27</v>
      </c>
      <c r="P4" s="37" t="s">
        <v>43</v>
      </c>
      <c r="Q4" s="37">
        <f>SUM(N2:N6)/5</f>
        <v>-0.24199999999999999</v>
      </c>
    </row>
    <row r="5" spans="1:17" ht="15" thickBot="1" x14ac:dyDescent="0.35">
      <c r="A5" s="3">
        <v>4</v>
      </c>
      <c r="B5" s="76"/>
      <c r="C5" s="76"/>
      <c r="D5" s="75">
        <v>0.25</v>
      </c>
      <c r="E5" s="4">
        <v>0.05</v>
      </c>
      <c r="F5" s="4">
        <v>0.19</v>
      </c>
      <c r="I5" s="3">
        <v>4</v>
      </c>
      <c r="J5" s="4">
        <f t="shared" si="0"/>
        <v>12.45</v>
      </c>
      <c r="K5" s="4">
        <f t="shared" si="1"/>
        <v>2.4900000000000002</v>
      </c>
      <c r="L5" s="4">
        <f t="shared" si="2"/>
        <v>8.968</v>
      </c>
      <c r="M5" s="4">
        <f t="shared" si="3"/>
        <v>-0.08</v>
      </c>
      <c r="N5" s="4">
        <f t="shared" si="4"/>
        <v>-0.41</v>
      </c>
    </row>
    <row r="6" spans="1:17" ht="15" thickBot="1" x14ac:dyDescent="0.35">
      <c r="A6" s="3">
        <v>5</v>
      </c>
      <c r="B6" s="77"/>
      <c r="C6" s="77"/>
      <c r="D6" s="4">
        <v>0.23</v>
      </c>
      <c r="E6" s="4">
        <v>0</v>
      </c>
      <c r="F6" s="4">
        <v>0.22</v>
      </c>
      <c r="I6" s="3">
        <v>5</v>
      </c>
      <c r="J6" s="4">
        <f t="shared" si="0"/>
        <v>11.454000000000001</v>
      </c>
      <c r="K6" s="4">
        <f t="shared" si="1"/>
        <v>0</v>
      </c>
      <c r="L6" s="4">
        <f t="shared" si="2"/>
        <v>10.384</v>
      </c>
      <c r="M6" s="4">
        <f t="shared" si="3"/>
        <v>-0.09</v>
      </c>
      <c r="N6" s="4">
        <f t="shared" si="4"/>
        <v>-0.13</v>
      </c>
      <c r="P6" s="64" t="s">
        <v>41</v>
      </c>
      <c r="Q6" s="37">
        <f>O9*SQRT(SUM((M2-Q3)^2,(M3-Q3)^2,(M4-Q3)^2,(M5-Q3)^2,(M6-Q3)^2)/20)</f>
        <v>4.4826153080539943E-2</v>
      </c>
    </row>
    <row r="7" spans="1:17" x14ac:dyDescent="0.3">
      <c r="A7" s="13"/>
      <c r="B7" s="14"/>
      <c r="C7" s="14"/>
      <c r="D7" s="13"/>
      <c r="E7" s="13"/>
      <c r="F7" s="13"/>
      <c r="I7" s="13"/>
      <c r="J7" s="13"/>
      <c r="K7" s="13"/>
      <c r="L7" s="13"/>
      <c r="M7" s="13"/>
      <c r="N7" s="13"/>
      <c r="O7" s="12"/>
      <c r="P7" s="37" t="s">
        <v>40</v>
      </c>
      <c r="Q7" s="37">
        <f>$O$9*SQRT(SUM((N2-Q4)^2,(N3-Q4)^2,(N4-Q4)^2,(N5-Q4)^2,(N6-Q4)^2)/20)</f>
        <v>0.13198414147161772</v>
      </c>
    </row>
    <row r="8" spans="1:17" ht="14.55" customHeight="1" thickBot="1" x14ac:dyDescent="0.35">
      <c r="A8" s="78" t="s">
        <v>44</v>
      </c>
      <c r="B8" s="78"/>
      <c r="C8" s="78"/>
      <c r="D8" s="78"/>
      <c r="E8" s="78"/>
      <c r="F8" s="13"/>
      <c r="I8" s="13"/>
      <c r="J8" s="13"/>
      <c r="K8" s="13"/>
      <c r="L8" s="13"/>
      <c r="M8" s="13"/>
      <c r="N8" s="13"/>
      <c r="O8" s="12"/>
    </row>
    <row r="9" spans="1:17" x14ac:dyDescent="0.3">
      <c r="N9" s="37" t="s">
        <v>39</v>
      </c>
      <c r="O9" s="37">
        <v>2.78</v>
      </c>
    </row>
    <row r="10" spans="1:17" ht="15" thickBot="1" x14ac:dyDescent="0.35"/>
    <row r="11" spans="1:17" ht="29.4" thickBot="1" x14ac:dyDescent="0.35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I11" s="1" t="s">
        <v>0</v>
      </c>
      <c r="J11" s="2" t="s">
        <v>6</v>
      </c>
      <c r="K11" s="2" t="s">
        <v>7</v>
      </c>
      <c r="L11" s="2" t="s">
        <v>8</v>
      </c>
      <c r="M11" s="65" t="s">
        <v>9</v>
      </c>
      <c r="N11" s="66" t="s">
        <v>10</v>
      </c>
    </row>
    <row r="12" spans="1:17" ht="15" thickBot="1" x14ac:dyDescent="0.35">
      <c r="A12" s="3">
        <v>1</v>
      </c>
      <c r="B12" s="15">
        <v>49.8</v>
      </c>
      <c r="C12" s="15">
        <v>96.1</v>
      </c>
      <c r="D12" s="4">
        <v>0.24</v>
      </c>
      <c r="E12" s="4">
        <v>0</v>
      </c>
      <c r="F12" s="4">
        <v>0.14000000000000001</v>
      </c>
      <c r="I12" s="3">
        <v>1</v>
      </c>
      <c r="J12" s="4">
        <f>$B$12*D12</f>
        <v>11.951999999999998</v>
      </c>
      <c r="K12" s="4">
        <f>$B$12*E12</f>
        <v>0</v>
      </c>
      <c r="L12" s="4">
        <f>$C$12*F12</f>
        <v>13.454000000000001</v>
      </c>
      <c r="M12" s="4">
        <f>ROUND((K12+L12)/J12-1,2)</f>
        <v>0.13</v>
      </c>
      <c r="N12" s="59">
        <f>ROUND(($B$12*E12^2 +$C$12*F12^2)/($B$12*D12^2)-1, 2)</f>
        <v>-0.34</v>
      </c>
      <c r="P12" s="37" t="s">
        <v>42</v>
      </c>
      <c r="Q12" s="37">
        <f>SUM(M12:M16)/5</f>
        <v>0.12000000000000002</v>
      </c>
    </row>
    <row r="13" spans="1:17" ht="15" thickBot="1" x14ac:dyDescent="0.35">
      <c r="A13" s="3">
        <v>2</v>
      </c>
      <c r="B13" s="76"/>
      <c r="C13" s="76"/>
      <c r="D13" s="4">
        <v>0.25</v>
      </c>
      <c r="E13" s="4">
        <v>0</v>
      </c>
      <c r="F13" s="4">
        <v>0.14000000000000001</v>
      </c>
      <c r="I13" s="3">
        <v>2</v>
      </c>
      <c r="J13" s="4">
        <f t="shared" ref="J13:J16" si="5">$B$12*D13</f>
        <v>12.45</v>
      </c>
      <c r="K13" s="4">
        <f t="shared" ref="K13:K16" si="6">$B$12*E13</f>
        <v>0</v>
      </c>
      <c r="L13" s="4">
        <f t="shared" ref="L13:L16" si="7">$C$12*F13</f>
        <v>13.454000000000001</v>
      </c>
      <c r="M13" s="4">
        <f t="shared" ref="M13:M16" si="8">ROUND((K13+L13)/J13-1,2)</f>
        <v>0.08</v>
      </c>
      <c r="N13" s="4">
        <f t="shared" ref="N13:N16" si="9">ROUND(($B$12*E13^2 +$C$12*F13^2)/($B$12*D13^2)-1, 2)</f>
        <v>-0.39</v>
      </c>
      <c r="P13" s="37" t="s">
        <v>43</v>
      </c>
      <c r="Q13" s="37">
        <f>SUM($N$12:$N$16)/5</f>
        <v>-0.35000000000000003</v>
      </c>
    </row>
    <row r="14" spans="1:17" ht="15" thickBot="1" x14ac:dyDescent="0.35">
      <c r="A14" s="3">
        <v>3</v>
      </c>
      <c r="B14" s="76"/>
      <c r="C14" s="76"/>
      <c r="D14" s="4">
        <v>0.24</v>
      </c>
      <c r="E14" s="4">
        <v>0</v>
      </c>
      <c r="F14" s="4">
        <v>0.14000000000000001</v>
      </c>
      <c r="I14" s="3">
        <v>3</v>
      </c>
      <c r="J14" s="4">
        <f t="shared" si="5"/>
        <v>11.951999999999998</v>
      </c>
      <c r="K14" s="4">
        <f t="shared" si="6"/>
        <v>0</v>
      </c>
      <c r="L14" s="4">
        <f t="shared" si="7"/>
        <v>13.454000000000001</v>
      </c>
      <c r="M14" s="4">
        <f t="shared" si="8"/>
        <v>0.13</v>
      </c>
      <c r="N14" s="4">
        <f t="shared" si="9"/>
        <v>-0.34</v>
      </c>
    </row>
    <row r="15" spans="1:17" ht="15" thickBot="1" x14ac:dyDescent="0.35">
      <c r="A15" s="3">
        <v>4</v>
      </c>
      <c r="B15" s="76"/>
      <c r="C15" s="76"/>
      <c r="D15" s="4">
        <v>0.24</v>
      </c>
      <c r="E15" s="4">
        <v>0</v>
      </c>
      <c r="F15" s="4">
        <v>0.14000000000000001</v>
      </c>
      <c r="I15" s="3">
        <v>4</v>
      </c>
      <c r="J15" s="4">
        <f t="shared" si="5"/>
        <v>11.951999999999998</v>
      </c>
      <c r="K15" s="4">
        <f t="shared" si="6"/>
        <v>0</v>
      </c>
      <c r="L15" s="4">
        <f t="shared" si="7"/>
        <v>13.454000000000001</v>
      </c>
      <c r="M15" s="4">
        <f t="shared" si="8"/>
        <v>0.13</v>
      </c>
      <c r="N15" s="4">
        <f t="shared" si="9"/>
        <v>-0.34</v>
      </c>
      <c r="P15" s="37" t="s">
        <v>41</v>
      </c>
      <c r="Q15" s="37">
        <f>ROUND($O$9*SQRT(SUM(($M$12-$Q$12)^2,($M$13-$Q$12)^2,($M$14-$Q$12)^2,($M$15-$Q$12)^2,($M$16-$Q$12)^2)/20),4)</f>
        <v>2.7799999999999998E-2</v>
      </c>
    </row>
    <row r="16" spans="1:17" ht="15" thickBot="1" x14ac:dyDescent="0.35">
      <c r="A16" s="3">
        <v>5</v>
      </c>
      <c r="B16" s="77"/>
      <c r="C16" s="77"/>
      <c r="D16" s="4">
        <v>0.24</v>
      </c>
      <c r="E16" s="4">
        <v>0</v>
      </c>
      <c r="F16" s="4">
        <v>0.14000000000000001</v>
      </c>
      <c r="I16" s="3">
        <v>5</v>
      </c>
      <c r="J16" s="4">
        <f t="shared" si="5"/>
        <v>11.951999999999998</v>
      </c>
      <c r="K16" s="4">
        <f t="shared" si="6"/>
        <v>0</v>
      </c>
      <c r="L16" s="4">
        <f t="shared" si="7"/>
        <v>13.454000000000001</v>
      </c>
      <c r="M16" s="4">
        <f t="shared" si="8"/>
        <v>0.13</v>
      </c>
      <c r="N16" s="4">
        <f t="shared" si="9"/>
        <v>-0.34</v>
      </c>
      <c r="P16" s="37" t="s">
        <v>40</v>
      </c>
      <c r="Q16" s="37">
        <f>ROUND(O9*SQRT(SUM((N12-Q13)^2,(N13-Q13)^2,(N14-Q13)^2,(N15-Q13)^2,(N16-Q13)^2)/20),4)</f>
        <v>2.7799999999999998E-2</v>
      </c>
    </row>
  </sheetData>
  <mergeCells count="5">
    <mergeCell ref="B3:B6"/>
    <mergeCell ref="C3:C6"/>
    <mergeCell ref="C13:C16"/>
    <mergeCell ref="B13:B16"/>
    <mergeCell ref="A8:E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zoomScale="107" zoomScaleNormal="70" workbookViewId="0">
      <selection activeCell="K2" sqref="K2"/>
    </sheetView>
  </sheetViews>
  <sheetFormatPr defaultColWidth="8.77734375" defaultRowHeight="14.4" x14ac:dyDescent="0.3"/>
  <cols>
    <col min="10" max="10" width="13.33203125" bestFit="1" customWidth="1"/>
    <col min="11" max="11" width="12.6640625" bestFit="1" customWidth="1"/>
    <col min="12" max="12" width="13.33203125" bestFit="1" customWidth="1"/>
    <col min="14" max="14" width="24.44140625" customWidth="1"/>
    <col min="15" max="15" width="12.6640625" bestFit="1" customWidth="1"/>
    <col min="16" max="16" width="20.6640625" customWidth="1"/>
    <col min="17" max="17" width="12.6640625" bestFit="1" customWidth="1"/>
  </cols>
  <sheetData>
    <row r="1" spans="1:17" ht="29.4" thickBot="1" x14ac:dyDescent="0.35">
      <c r="A1" s="1" t="s">
        <v>0</v>
      </c>
      <c r="B1" s="11" t="s">
        <v>1</v>
      </c>
      <c r="C1" s="2" t="s">
        <v>2</v>
      </c>
      <c r="D1" s="2" t="s">
        <v>11</v>
      </c>
      <c r="E1" s="2" t="s">
        <v>12</v>
      </c>
      <c r="F1" s="5"/>
      <c r="G1" s="2" t="s">
        <v>0</v>
      </c>
      <c r="H1" s="2" t="s">
        <v>13</v>
      </c>
      <c r="I1" s="2" t="s">
        <v>14</v>
      </c>
      <c r="J1" s="2" t="s">
        <v>9</v>
      </c>
      <c r="K1" s="2" t="s">
        <v>15</v>
      </c>
      <c r="L1" s="2" t="s">
        <v>16</v>
      </c>
      <c r="M1" s="6"/>
      <c r="N1" s="28"/>
      <c r="O1" s="28"/>
      <c r="P1" s="28"/>
      <c r="Q1" s="28"/>
    </row>
    <row r="2" spans="1:17" ht="15.45" customHeight="1" thickBot="1" x14ac:dyDescent="0.35">
      <c r="A2" s="3">
        <v>1</v>
      </c>
      <c r="B2" s="79">
        <v>52.8</v>
      </c>
      <c r="C2" s="79">
        <v>50.3</v>
      </c>
      <c r="D2" s="4">
        <v>0.22</v>
      </c>
      <c r="E2" s="4">
        <v>0.11</v>
      </c>
      <c r="F2" s="5"/>
      <c r="G2" s="4">
        <v>1</v>
      </c>
      <c r="H2" s="8">
        <f>ROUND($B$2*D2,2)</f>
        <v>11.62</v>
      </c>
      <c r="I2" s="8">
        <f>($B$2+$C$2)*E2</f>
        <v>11.340999999999999</v>
      </c>
      <c r="J2" s="8">
        <f>ROUND(I2/H2-1,2)</f>
        <v>-0.02</v>
      </c>
      <c r="K2" s="8">
        <f>ROUND(($B$2+$C$2)*E2^2/$B$2/D2^2-1,2)</f>
        <v>-0.51</v>
      </c>
      <c r="L2" s="79">
        <f>-C2/(C2+B2)</f>
        <v>-0.48787584869059164</v>
      </c>
      <c r="M2" s="23"/>
      <c r="N2" s="35" t="s">
        <v>42</v>
      </c>
      <c r="O2" s="34">
        <f>AVERAGE(J2:J6)</f>
        <v>-7.5999999999999998E-2</v>
      </c>
      <c r="P2" s="35" t="s">
        <v>46</v>
      </c>
      <c r="Q2" s="34">
        <f>AVERAGE(K2:K6)</f>
        <v>-0.56399999999999995</v>
      </c>
    </row>
    <row r="3" spans="1:17" ht="15" thickBot="1" x14ac:dyDescent="0.35">
      <c r="A3" s="3">
        <v>2</v>
      </c>
      <c r="B3" s="76"/>
      <c r="C3" s="76"/>
      <c r="D3" s="4">
        <v>0.21</v>
      </c>
      <c r="E3" s="4">
        <v>0.09</v>
      </c>
      <c r="F3" s="5"/>
      <c r="G3" s="4">
        <v>2</v>
      </c>
      <c r="H3" s="8">
        <f t="shared" ref="H3:H6" si="0">ROUND($B$2*D3,2)</f>
        <v>11.09</v>
      </c>
      <c r="I3" s="8">
        <f t="shared" ref="I3:I6" si="1">($B$2+$C$2)*E3</f>
        <v>9.2789999999999999</v>
      </c>
      <c r="J3" s="8">
        <f t="shared" ref="J3:J6" si="2">ROUND(I3/H3-1,2)</f>
        <v>-0.16</v>
      </c>
      <c r="K3" s="8">
        <f t="shared" ref="K3:K5" si="3">ROUND(($B$2+$C$2)*E3^2/$B$2/D3^2-1,2)</f>
        <v>-0.64</v>
      </c>
      <c r="L3" s="76"/>
      <c r="M3" s="6"/>
      <c r="N3" s="70"/>
      <c r="O3" s="70"/>
      <c r="P3" s="70"/>
      <c r="Q3" s="70"/>
    </row>
    <row r="4" spans="1:17" ht="15" thickBot="1" x14ac:dyDescent="0.35">
      <c r="A4" s="3">
        <v>3</v>
      </c>
      <c r="B4" s="76"/>
      <c r="C4" s="76"/>
      <c r="D4" s="4">
        <v>0.22</v>
      </c>
      <c r="E4" s="4">
        <v>0.1</v>
      </c>
      <c r="F4" s="5"/>
      <c r="G4" s="4">
        <v>3</v>
      </c>
      <c r="H4" s="8">
        <f t="shared" si="0"/>
        <v>11.62</v>
      </c>
      <c r="I4" s="8">
        <f t="shared" si="1"/>
        <v>10.31</v>
      </c>
      <c r="J4" s="8">
        <f t="shared" si="2"/>
        <v>-0.11</v>
      </c>
      <c r="K4" s="8">
        <f t="shared" si="3"/>
        <v>-0.6</v>
      </c>
      <c r="L4" s="76"/>
      <c r="M4" s="23"/>
      <c r="N4" s="35" t="s">
        <v>41</v>
      </c>
      <c r="O4" s="73">
        <f>O9*SQRT(SUM((K2-O2)^2,(K3-O2)^2,(K4-O2)^2,(K5-O2)^2,(K6-O2)^2)/20)</f>
        <v>0.6819901530080914</v>
      </c>
      <c r="P4" s="35" t="s">
        <v>45</v>
      </c>
      <c r="Q4" s="73">
        <f>ROUND(O9*SQRT(SUM((K2-Q2)^2,(K3-Q2)^2,(K4-Q2)^2,(K5-Q2)^2,(K6-Q2)^2)/20),3)</f>
        <v>7.0999999999999994E-2</v>
      </c>
    </row>
    <row r="5" spans="1:17" ht="15" thickBot="1" x14ac:dyDescent="0.35">
      <c r="A5" s="3">
        <v>4</v>
      </c>
      <c r="B5" s="76"/>
      <c r="C5" s="76"/>
      <c r="D5" s="4">
        <v>0.22</v>
      </c>
      <c r="E5" s="4">
        <v>0.11</v>
      </c>
      <c r="F5" s="5"/>
      <c r="G5" s="4">
        <v>4</v>
      </c>
      <c r="H5" s="8">
        <f t="shared" si="0"/>
        <v>11.62</v>
      </c>
      <c r="I5" s="8">
        <f t="shared" si="1"/>
        <v>11.340999999999999</v>
      </c>
      <c r="J5" s="8">
        <f t="shared" si="2"/>
        <v>-0.02</v>
      </c>
      <c r="K5" s="8">
        <f t="shared" si="3"/>
        <v>-0.51</v>
      </c>
      <c r="L5" s="76"/>
      <c r="M5" s="6"/>
      <c r="N5" s="72"/>
      <c r="O5" s="68"/>
      <c r="P5" s="68"/>
      <c r="Q5" s="68"/>
    </row>
    <row r="6" spans="1:17" ht="15" thickBot="1" x14ac:dyDescent="0.35">
      <c r="A6" s="3">
        <v>5</v>
      </c>
      <c r="B6" s="77"/>
      <c r="C6" s="77"/>
      <c r="D6" s="4">
        <v>0.21</v>
      </c>
      <c r="E6" s="4">
        <v>0.1</v>
      </c>
      <c r="F6" s="5"/>
      <c r="G6" s="4">
        <v>5</v>
      </c>
      <c r="H6" s="8">
        <f t="shared" si="0"/>
        <v>11.09</v>
      </c>
      <c r="I6" s="8">
        <f t="shared" si="1"/>
        <v>10.31</v>
      </c>
      <c r="J6" s="8">
        <f t="shared" si="2"/>
        <v>-7.0000000000000007E-2</v>
      </c>
      <c r="K6" s="8">
        <f>ROUND(($B$2+$C$2)*E6^2/$B$2/D6^2-1,2)</f>
        <v>-0.56000000000000005</v>
      </c>
      <c r="L6" s="77"/>
      <c r="M6" s="6"/>
      <c r="N6" s="6"/>
      <c r="O6" s="19"/>
      <c r="P6" s="19"/>
      <c r="Q6" s="19"/>
    </row>
    <row r="7" spans="1:17" ht="15" thickBot="1" x14ac:dyDescent="0.35">
      <c r="A7" s="20"/>
      <c r="B7" s="21"/>
      <c r="C7" s="21"/>
      <c r="D7" s="22"/>
      <c r="E7" s="22"/>
      <c r="F7" s="23"/>
      <c r="G7" s="25"/>
      <c r="H7" s="26"/>
      <c r="I7" s="26"/>
      <c r="J7" s="26"/>
      <c r="K7" s="26"/>
      <c r="L7" s="14"/>
      <c r="M7" s="6"/>
      <c r="N7" s="6"/>
      <c r="O7" s="19"/>
      <c r="P7" s="19"/>
      <c r="Q7" s="19"/>
    </row>
    <row r="8" spans="1:17" ht="15" thickBot="1" x14ac:dyDescent="0.35">
      <c r="A8" s="80" t="s">
        <v>44</v>
      </c>
      <c r="B8" s="81"/>
      <c r="C8" s="81"/>
      <c r="D8" s="81"/>
      <c r="E8" s="82"/>
      <c r="F8" s="23"/>
      <c r="G8" s="13"/>
      <c r="H8" s="14"/>
      <c r="I8" s="14"/>
      <c r="J8" s="14"/>
      <c r="K8" s="14"/>
      <c r="L8" s="14"/>
      <c r="M8" s="24"/>
      <c r="N8" s="28"/>
      <c r="O8" s="33"/>
      <c r="P8" s="19"/>
      <c r="Q8" s="19"/>
    </row>
    <row r="9" spans="1:17" ht="15" thickBot="1" x14ac:dyDescent="0.35">
      <c r="A9" s="7"/>
      <c r="B9" s="7"/>
      <c r="C9" s="7"/>
      <c r="D9" s="7"/>
      <c r="E9" s="7"/>
      <c r="F9" s="6"/>
      <c r="G9" s="27"/>
      <c r="H9" s="27"/>
      <c r="I9" s="27"/>
      <c r="J9" s="27"/>
      <c r="K9" s="27"/>
      <c r="L9" s="27"/>
      <c r="M9" s="23"/>
      <c r="N9" s="35" t="s">
        <v>39</v>
      </c>
      <c r="O9" s="69">
        <v>2.78</v>
      </c>
      <c r="P9" s="67"/>
      <c r="Q9" s="19"/>
    </row>
    <row r="10" spans="1:17" ht="29.4" thickBot="1" x14ac:dyDescent="0.35">
      <c r="A10" s="10" t="s">
        <v>0</v>
      </c>
      <c r="B10" s="9" t="s">
        <v>1</v>
      </c>
      <c r="C10" s="9" t="s">
        <v>2</v>
      </c>
      <c r="D10" s="9" t="s">
        <v>11</v>
      </c>
      <c r="E10" s="9" t="s">
        <v>12</v>
      </c>
      <c r="F10" s="5"/>
      <c r="G10" s="9" t="s">
        <v>0</v>
      </c>
      <c r="H10" s="9" t="s">
        <v>13</v>
      </c>
      <c r="I10" s="9" t="s">
        <v>14</v>
      </c>
      <c r="J10" s="9" t="s">
        <v>9</v>
      </c>
      <c r="K10" s="9" t="s">
        <v>10</v>
      </c>
      <c r="L10" s="9" t="s">
        <v>10</v>
      </c>
      <c r="M10" s="6"/>
      <c r="N10" s="70"/>
      <c r="O10" s="71"/>
      <c r="P10" s="33"/>
      <c r="Q10" s="33"/>
    </row>
    <row r="11" spans="1:17" ht="15" thickBot="1" x14ac:dyDescent="0.35">
      <c r="A11" s="3">
        <v>1</v>
      </c>
      <c r="B11" s="79">
        <v>52.8</v>
      </c>
      <c r="C11" s="79">
        <v>99.3</v>
      </c>
      <c r="D11" s="4">
        <v>0.24</v>
      </c>
      <c r="E11" s="4">
        <v>0.06</v>
      </c>
      <c r="F11" s="5"/>
      <c r="G11" s="4">
        <v>1</v>
      </c>
      <c r="H11" s="8">
        <f>ROUND($B$11*D11,2)</f>
        <v>12.67</v>
      </c>
      <c r="I11" s="8">
        <f>ROUND(($B$11+$C$11)*E11,2)</f>
        <v>9.1300000000000008</v>
      </c>
      <c r="J11" s="8">
        <f>ROUND(I11/H11-1,2)</f>
        <v>-0.28000000000000003</v>
      </c>
      <c r="K11" s="8">
        <f>ROUND(($B$11+$C$11)*E11^2/$B$11/D11^2-1,2)</f>
        <v>-0.82</v>
      </c>
      <c r="L11" s="79">
        <f>-C11/(C11+B11)</f>
        <v>-0.65285996055226825</v>
      </c>
      <c r="M11" s="23"/>
      <c r="N11" s="35" t="s">
        <v>42</v>
      </c>
      <c r="O11" s="69">
        <f>AVERAGE(J11:J15)</f>
        <v>-0.186</v>
      </c>
      <c r="P11" s="35" t="s">
        <v>46</v>
      </c>
      <c r="Q11" s="69">
        <f>AVERAGE(K11:K15)</f>
        <v>-0.7659999999999999</v>
      </c>
    </row>
    <row r="12" spans="1:17" ht="15" thickBot="1" x14ac:dyDescent="0.35">
      <c r="A12" s="3">
        <v>2</v>
      </c>
      <c r="B12" s="76"/>
      <c r="C12" s="76"/>
      <c r="D12" s="4">
        <v>0.23</v>
      </c>
      <c r="E12" s="4">
        <v>7.0000000000000007E-2</v>
      </c>
      <c r="F12" s="5"/>
      <c r="G12" s="4">
        <v>2</v>
      </c>
      <c r="H12" s="8">
        <f t="shared" ref="H12:H15" si="4">ROUND($B$11*D12,2)</f>
        <v>12.14</v>
      </c>
      <c r="I12" s="8">
        <f t="shared" ref="I12:I15" si="5">ROUND(($B$11+$C$11)*E12,2)</f>
        <v>10.65</v>
      </c>
      <c r="J12" s="8">
        <f t="shared" ref="J12:J15" si="6">ROUND(I12/H12-1,2)</f>
        <v>-0.12</v>
      </c>
      <c r="K12" s="8">
        <f t="shared" ref="K12:K15" si="7">ROUND(($B$11+$C$11)*E12^2/$B$11/D12^2-1,2)</f>
        <v>-0.73</v>
      </c>
      <c r="L12" s="76"/>
      <c r="M12" s="6"/>
      <c r="N12" s="70"/>
      <c r="O12" s="71"/>
      <c r="P12" s="71"/>
      <c r="Q12" s="71"/>
    </row>
    <row r="13" spans="1:17" ht="15" thickBot="1" x14ac:dyDescent="0.35">
      <c r="A13" s="3">
        <v>3</v>
      </c>
      <c r="B13" s="76"/>
      <c r="C13" s="76"/>
      <c r="D13" s="4">
        <v>0.24</v>
      </c>
      <c r="E13" s="4">
        <v>7.0000000000000007E-2</v>
      </c>
      <c r="F13" s="5"/>
      <c r="G13" s="4">
        <v>3</v>
      </c>
      <c r="H13" s="8">
        <f t="shared" si="4"/>
        <v>12.67</v>
      </c>
      <c r="I13" s="8">
        <f t="shared" si="5"/>
        <v>10.65</v>
      </c>
      <c r="J13" s="8">
        <f t="shared" si="6"/>
        <v>-0.16</v>
      </c>
      <c r="K13" s="8">
        <f t="shared" si="7"/>
        <v>-0.75</v>
      </c>
      <c r="L13" s="76"/>
      <c r="M13" s="23"/>
      <c r="N13" s="35" t="s">
        <v>41</v>
      </c>
      <c r="O13" s="69">
        <f>ROUND(O9*SQRT(SUM((K11-O11)^2,(K12-O11)^2,(K13-O11)^2,(K14-O11)^2,(K15-O11)^2)/20),3)</f>
        <v>0.80800000000000005</v>
      </c>
      <c r="P13" s="35" t="s">
        <v>45</v>
      </c>
      <c r="Q13" s="69">
        <f>O9*SQRT(SUM((K11-Q11)^2,(K12-Q11)^2,(K13-Q11)^2,(K14-Q11)^2,(K15-Q11)^2)/20)</f>
        <v>5.17109891609124E-2</v>
      </c>
    </row>
    <row r="14" spans="1:17" ht="15" thickBot="1" x14ac:dyDescent="0.35">
      <c r="A14" s="3">
        <v>4</v>
      </c>
      <c r="B14" s="76"/>
      <c r="C14" s="76"/>
      <c r="D14" s="4">
        <v>0.23</v>
      </c>
      <c r="E14" s="4">
        <v>0.06</v>
      </c>
      <c r="F14" s="5"/>
      <c r="G14" s="4">
        <v>4</v>
      </c>
      <c r="H14" s="8">
        <f t="shared" si="4"/>
        <v>12.14</v>
      </c>
      <c r="I14" s="8">
        <f t="shared" si="5"/>
        <v>9.1300000000000008</v>
      </c>
      <c r="J14" s="8">
        <f t="shared" si="6"/>
        <v>-0.25</v>
      </c>
      <c r="K14" s="8">
        <f t="shared" si="7"/>
        <v>-0.8</v>
      </c>
      <c r="L14" s="76"/>
      <c r="M14" s="6"/>
      <c r="N14" s="72"/>
      <c r="O14" s="72"/>
      <c r="P14" s="72"/>
      <c r="Q14" s="72"/>
    </row>
    <row r="15" spans="1:17" ht="15" thickBot="1" x14ac:dyDescent="0.35">
      <c r="A15" s="3">
        <v>5</v>
      </c>
      <c r="B15" s="77"/>
      <c r="C15" s="77"/>
      <c r="D15" s="4">
        <v>0.23</v>
      </c>
      <c r="E15" s="4">
        <v>7.0000000000000007E-2</v>
      </c>
      <c r="F15" s="5"/>
      <c r="G15" s="4">
        <v>5</v>
      </c>
      <c r="H15" s="8">
        <f t="shared" si="4"/>
        <v>12.14</v>
      </c>
      <c r="I15" s="8">
        <f t="shared" si="5"/>
        <v>10.65</v>
      </c>
      <c r="J15" s="8">
        <f t="shared" si="6"/>
        <v>-0.12</v>
      </c>
      <c r="K15" s="8">
        <f t="shared" si="7"/>
        <v>-0.73</v>
      </c>
      <c r="L15" s="77"/>
      <c r="M15" s="6"/>
      <c r="N15" s="6"/>
      <c r="O15" s="6"/>
      <c r="P15" s="6"/>
      <c r="Q15" s="6"/>
    </row>
  </sheetData>
  <mergeCells count="7">
    <mergeCell ref="B2:B6"/>
    <mergeCell ref="C2:C6"/>
    <mergeCell ref="L2:L6"/>
    <mergeCell ref="B11:B15"/>
    <mergeCell ref="C11:C15"/>
    <mergeCell ref="L11:L15"/>
    <mergeCell ref="A8:E8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"/>
  <sheetViews>
    <sheetView topLeftCell="E2" zoomScaleNormal="55" workbookViewId="0">
      <selection activeCell="J19" sqref="J19"/>
    </sheetView>
  </sheetViews>
  <sheetFormatPr defaultColWidth="8.77734375" defaultRowHeight="14.4" x14ac:dyDescent="0.3"/>
  <cols>
    <col min="2" max="2" width="24.44140625" customWidth="1"/>
    <col min="9" max="10" width="12" bestFit="1" customWidth="1"/>
    <col min="11" max="11" width="12" customWidth="1"/>
    <col min="13" max="13" width="9.33203125" customWidth="1"/>
    <col min="14" max="14" width="10.6640625" customWidth="1"/>
    <col min="15" max="15" width="16.77734375" customWidth="1"/>
    <col min="16" max="16" width="18.44140625" customWidth="1"/>
    <col min="17" max="17" width="17.77734375" customWidth="1"/>
    <col min="20" max="20" width="17.44140625" customWidth="1"/>
  </cols>
  <sheetData>
    <row r="1" spans="1:20" ht="38.549999999999997" customHeight="1" x14ac:dyDescent="0.45">
      <c r="F1" s="84" t="s">
        <v>53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3" spans="1:20" x14ac:dyDescent="0.3">
      <c r="A3" s="83" t="s">
        <v>48</v>
      </c>
      <c r="B3" s="83"/>
      <c r="C3" s="83"/>
      <c r="D3" s="83"/>
      <c r="E3" s="83"/>
      <c r="F3" s="18"/>
      <c r="G3" s="18"/>
      <c r="H3" s="18"/>
      <c r="I3" s="18"/>
      <c r="J3" s="18"/>
      <c r="K3" s="18"/>
    </row>
    <row r="4" spans="1:20" x14ac:dyDescent="0.3">
      <c r="A4" s="16"/>
      <c r="B4" s="16"/>
      <c r="C4" s="16"/>
      <c r="D4" s="16"/>
      <c r="E4" s="16"/>
      <c r="F4" s="18"/>
      <c r="G4" s="18"/>
      <c r="H4" s="18"/>
      <c r="I4" s="18"/>
      <c r="J4" s="18"/>
      <c r="K4" s="18"/>
    </row>
    <row r="5" spans="1:20" ht="15" thickBot="1" x14ac:dyDescent="0.35">
      <c r="A5" s="29"/>
      <c r="B5" s="30"/>
      <c r="C5" s="31"/>
      <c r="D5" s="31"/>
      <c r="E5" s="31"/>
      <c r="F5" s="32"/>
      <c r="G5" s="31"/>
      <c r="H5" s="31"/>
      <c r="I5" s="31"/>
      <c r="J5" s="31"/>
      <c r="K5" s="18"/>
    </row>
    <row r="6" spans="1:20" ht="29.4" thickBot="1" x14ac:dyDescent="0.35">
      <c r="A6" s="10" t="s">
        <v>0</v>
      </c>
      <c r="B6" s="9" t="s">
        <v>18</v>
      </c>
      <c r="C6" s="9" t="s">
        <v>19</v>
      </c>
      <c r="D6" s="9" t="s">
        <v>20</v>
      </c>
      <c r="E6" s="9" t="s">
        <v>21</v>
      </c>
      <c r="F6" s="5"/>
      <c r="G6" s="9" t="s">
        <v>0</v>
      </c>
      <c r="H6" s="9" t="s">
        <v>19</v>
      </c>
      <c r="I6" s="9" t="s">
        <v>22</v>
      </c>
      <c r="J6" s="9" t="s">
        <v>23</v>
      </c>
      <c r="K6" s="36"/>
      <c r="L6" s="38" t="s">
        <v>35</v>
      </c>
      <c r="M6" s="39" t="s">
        <v>34</v>
      </c>
      <c r="N6" s="39" t="s">
        <v>37</v>
      </c>
      <c r="O6" s="40" t="s">
        <v>38</v>
      </c>
      <c r="R6" s="50" t="s">
        <v>36</v>
      </c>
      <c r="S6" s="52" t="s">
        <v>54</v>
      </c>
      <c r="T6" s="53" t="s">
        <v>55</v>
      </c>
    </row>
    <row r="7" spans="1:20" ht="15" thickBot="1" x14ac:dyDescent="0.35">
      <c r="A7" s="3">
        <v>1</v>
      </c>
      <c r="B7" s="9" t="s">
        <v>24</v>
      </c>
      <c r="C7" s="4">
        <v>50.6</v>
      </c>
      <c r="D7" s="4">
        <v>0.12</v>
      </c>
      <c r="E7" s="4">
        <v>0.39</v>
      </c>
      <c r="F7" s="5"/>
      <c r="G7" s="4">
        <v>1</v>
      </c>
      <c r="H7" s="4">
        <f>C7</f>
        <v>50.6</v>
      </c>
      <c r="I7" s="4">
        <f>ROUND(((E7)^2-(D7)^2)/(2*(0.8-0.15)),2)</f>
        <v>0.11</v>
      </c>
      <c r="J7" s="4">
        <f>ROUND(C7*(9.82-I7),2)</f>
        <v>491.33</v>
      </c>
      <c r="K7" s="13"/>
      <c r="L7" s="41">
        <f>ROUND(I7-$P$8,2)</f>
        <v>-0.14000000000000001</v>
      </c>
      <c r="M7" s="37">
        <f>ROUND(J7-$Q$8,2)</f>
        <v>-17.61</v>
      </c>
      <c r="N7" s="37">
        <f>L7^2</f>
        <v>1.9600000000000003E-2</v>
      </c>
      <c r="O7" s="42">
        <f t="shared" ref="O7:O13" si="0">L7*M7</f>
        <v>2.4654000000000003</v>
      </c>
      <c r="P7" s="46" t="s">
        <v>31</v>
      </c>
      <c r="Q7" s="50" t="s">
        <v>32</v>
      </c>
      <c r="R7" s="51">
        <f>SUM(N7:N13)</f>
        <v>6.2400000000000011E-2</v>
      </c>
      <c r="S7" s="41">
        <f t="shared" ref="S7:S10" si="1">ROUND(J7-($Q$10+$P$10*I7),3)</f>
        <v>-0.34899999999999998</v>
      </c>
      <c r="T7" s="42">
        <f>S7*S7</f>
        <v>0.12180099999999998</v>
      </c>
    </row>
    <row r="8" spans="1:20" ht="15" thickBot="1" x14ac:dyDescent="0.35">
      <c r="A8" s="3">
        <v>2</v>
      </c>
      <c r="B8" s="9" t="s">
        <v>25</v>
      </c>
      <c r="C8" s="4">
        <v>51.5</v>
      </c>
      <c r="D8" s="4">
        <v>0.16</v>
      </c>
      <c r="E8" s="4">
        <v>0.48</v>
      </c>
      <c r="F8" s="5"/>
      <c r="G8" s="4">
        <v>2</v>
      </c>
      <c r="H8" s="4">
        <f t="shared" ref="H8:H13" si="2">C8</f>
        <v>51.5</v>
      </c>
      <c r="I8" s="4">
        <f t="shared" ref="I8:I13" si="3">ROUND(((E8)^2-(D8)^2)/(2*(0.8-0.15)),2)</f>
        <v>0.16</v>
      </c>
      <c r="J8" s="4">
        <f>ROUND(C8*(9.82-I8),2)</f>
        <v>497.49</v>
      </c>
      <c r="K8" s="13"/>
      <c r="L8" s="41">
        <f t="shared" ref="L8:L13" si="4">ROUND(I8-$P$8,2)</f>
        <v>-0.09</v>
      </c>
      <c r="M8" s="37">
        <f t="shared" ref="M8:M13" si="5">ROUND(J8-$Q$8,2)</f>
        <v>-11.45</v>
      </c>
      <c r="N8" s="37">
        <f t="shared" ref="N8:N13" si="6">L8^2</f>
        <v>8.0999999999999996E-3</v>
      </c>
      <c r="O8" s="42">
        <f>L8*M8</f>
        <v>1.0305</v>
      </c>
      <c r="P8" s="47">
        <f>ROUND(AVERAGE(I7:I13),2)</f>
        <v>0.25</v>
      </c>
      <c r="Q8" s="47">
        <f>ROUND(AVERAGE(J7:J13),2)</f>
        <v>508.94</v>
      </c>
      <c r="S8" s="41">
        <f t="shared" si="1"/>
        <v>-0.35399999999999998</v>
      </c>
      <c r="T8" s="42">
        <f t="shared" ref="T8:T13" si="7">S8*S8</f>
        <v>0.12531599999999998</v>
      </c>
    </row>
    <row r="9" spans="1:20" ht="15" thickBot="1" x14ac:dyDescent="0.35">
      <c r="A9" s="3">
        <v>3</v>
      </c>
      <c r="B9" s="9" t="s">
        <v>26</v>
      </c>
      <c r="C9" s="4">
        <v>52.3</v>
      </c>
      <c r="D9" s="4">
        <v>0.19</v>
      </c>
      <c r="E9" s="4">
        <v>0.55000000000000004</v>
      </c>
      <c r="F9" s="5"/>
      <c r="G9" s="4">
        <v>3</v>
      </c>
      <c r="H9" s="4">
        <f t="shared" si="2"/>
        <v>52.3</v>
      </c>
      <c r="I9" s="4">
        <f t="shared" si="3"/>
        <v>0.2</v>
      </c>
      <c r="J9" s="4">
        <f t="shared" ref="J9:J13" si="8">ROUND(C9*(9.82-I9),2)</f>
        <v>503.13</v>
      </c>
      <c r="K9" s="13"/>
      <c r="L9" s="41">
        <f t="shared" si="4"/>
        <v>-0.05</v>
      </c>
      <c r="M9" s="37">
        <f t="shared" si="5"/>
        <v>-5.81</v>
      </c>
      <c r="N9" s="37">
        <f t="shared" si="6"/>
        <v>2.5000000000000005E-3</v>
      </c>
      <c r="O9" s="42">
        <f t="shared" si="0"/>
        <v>0.29049999999999998</v>
      </c>
      <c r="P9" s="56" t="s">
        <v>17</v>
      </c>
      <c r="Q9" s="46" t="s">
        <v>33</v>
      </c>
      <c r="S9" s="41">
        <f t="shared" si="1"/>
        <v>0.35499999999999998</v>
      </c>
      <c r="T9" s="42">
        <f t="shared" si="7"/>
        <v>0.126025</v>
      </c>
    </row>
    <row r="10" spans="1:20" ht="15" thickBot="1" x14ac:dyDescent="0.35">
      <c r="A10" s="3">
        <v>4</v>
      </c>
      <c r="B10" s="9" t="s">
        <v>27</v>
      </c>
      <c r="C10" s="4">
        <v>53.2</v>
      </c>
      <c r="D10" s="4">
        <v>0.2</v>
      </c>
      <c r="E10" s="4">
        <v>0.61</v>
      </c>
      <c r="F10" s="5"/>
      <c r="G10" s="4">
        <v>4</v>
      </c>
      <c r="H10" s="4">
        <f t="shared" si="2"/>
        <v>53.2</v>
      </c>
      <c r="I10" s="4">
        <f t="shared" si="3"/>
        <v>0.26</v>
      </c>
      <c r="J10" s="4">
        <f t="shared" si="8"/>
        <v>508.59</v>
      </c>
      <c r="K10" s="13"/>
      <c r="L10" s="41">
        <f t="shared" si="4"/>
        <v>0.01</v>
      </c>
      <c r="M10" s="37">
        <f t="shared" si="5"/>
        <v>-0.35</v>
      </c>
      <c r="N10" s="37">
        <f t="shared" si="6"/>
        <v>1E-4</v>
      </c>
      <c r="O10" s="42">
        <f t="shared" si="0"/>
        <v>-3.4999999999999996E-3</v>
      </c>
      <c r="P10" s="57">
        <f>SUM(O7:O13)/SUM(N7:N13)</f>
        <v>123.29166666666666</v>
      </c>
      <c r="Q10" s="47">
        <f>Q8-P10*P8</f>
        <v>478.11708333333331</v>
      </c>
      <c r="S10" s="41">
        <f t="shared" si="1"/>
        <v>-1.583</v>
      </c>
      <c r="T10" s="42">
        <f>S10*S10</f>
        <v>2.5058889999999998</v>
      </c>
    </row>
    <row r="11" spans="1:20" ht="15.45" customHeight="1" thickBot="1" x14ac:dyDescent="0.35">
      <c r="A11" s="3">
        <v>5</v>
      </c>
      <c r="B11" s="9" t="s">
        <v>28</v>
      </c>
      <c r="C11" s="4">
        <v>54.1</v>
      </c>
      <c r="D11" s="4">
        <v>0.22</v>
      </c>
      <c r="E11" s="4">
        <v>0.66</v>
      </c>
      <c r="F11" s="5"/>
      <c r="G11" s="4">
        <v>5</v>
      </c>
      <c r="H11" s="4">
        <f t="shared" si="2"/>
        <v>54.1</v>
      </c>
      <c r="I11" s="4">
        <f t="shared" si="3"/>
        <v>0.3</v>
      </c>
      <c r="J11" s="4">
        <f t="shared" si="8"/>
        <v>515.03</v>
      </c>
      <c r="K11" s="13"/>
      <c r="L11" s="41">
        <f t="shared" si="4"/>
        <v>0.05</v>
      </c>
      <c r="M11" s="37">
        <f t="shared" si="5"/>
        <v>6.09</v>
      </c>
      <c r="N11" s="37">
        <f t="shared" si="6"/>
        <v>2.5000000000000005E-3</v>
      </c>
      <c r="O11" s="42">
        <f t="shared" si="0"/>
        <v>0.30449999999999999</v>
      </c>
      <c r="P11" s="49" t="s">
        <v>59</v>
      </c>
      <c r="S11" s="41">
        <f>ROUND(J11-($Q$10+$P$10*I11),3)</f>
        <v>-7.4999999999999997E-2</v>
      </c>
      <c r="T11" s="42">
        <f t="shared" si="7"/>
        <v>5.6249999999999998E-3</v>
      </c>
    </row>
    <row r="12" spans="1:20" ht="15" thickBot="1" x14ac:dyDescent="0.35">
      <c r="A12" s="3">
        <v>6</v>
      </c>
      <c r="B12" s="9" t="s">
        <v>29</v>
      </c>
      <c r="C12" s="4">
        <v>55</v>
      </c>
      <c r="D12" s="4">
        <v>0.23</v>
      </c>
      <c r="E12" s="4">
        <v>0.71</v>
      </c>
      <c r="F12" s="5"/>
      <c r="G12" s="4">
        <v>6</v>
      </c>
      <c r="H12" s="4">
        <f t="shared" si="2"/>
        <v>55</v>
      </c>
      <c r="I12" s="4">
        <f t="shared" si="3"/>
        <v>0.35</v>
      </c>
      <c r="J12" s="4">
        <f t="shared" si="8"/>
        <v>520.85</v>
      </c>
      <c r="K12" s="13"/>
      <c r="L12" s="41">
        <f t="shared" si="4"/>
        <v>0.1</v>
      </c>
      <c r="M12" s="37">
        <f t="shared" si="5"/>
        <v>11.91</v>
      </c>
      <c r="N12" s="37">
        <f t="shared" si="6"/>
        <v>1.0000000000000002E-2</v>
      </c>
      <c r="O12" s="42">
        <f t="shared" si="0"/>
        <v>1.1910000000000001</v>
      </c>
      <c r="P12" s="47">
        <f>SQRT(SUM(T7:T13)/7/R7)</f>
        <v>2.6469356461799962</v>
      </c>
      <c r="S12" s="41">
        <f t="shared" ref="S12:S13" si="9">ROUND(J12-($Q$10+$P$10*I12),3)</f>
        <v>-0.41899999999999998</v>
      </c>
      <c r="T12" s="42">
        <f t="shared" si="7"/>
        <v>0.17556099999999999</v>
      </c>
    </row>
    <row r="13" spans="1:20" ht="16.2" customHeight="1" thickBot="1" x14ac:dyDescent="0.35">
      <c r="A13" s="3">
        <v>7</v>
      </c>
      <c r="B13" s="9" t="s">
        <v>30</v>
      </c>
      <c r="C13" s="4">
        <v>55.8</v>
      </c>
      <c r="D13" s="4">
        <v>0.24</v>
      </c>
      <c r="E13" s="4">
        <v>0.75</v>
      </c>
      <c r="F13" s="5"/>
      <c r="G13" s="4">
        <v>7</v>
      </c>
      <c r="H13" s="4">
        <f t="shared" si="2"/>
        <v>55.8</v>
      </c>
      <c r="I13" s="4">
        <f t="shared" si="3"/>
        <v>0.39</v>
      </c>
      <c r="J13" s="4">
        <f t="shared" si="8"/>
        <v>526.19000000000005</v>
      </c>
      <c r="K13" s="13"/>
      <c r="L13" s="43">
        <f t="shared" si="4"/>
        <v>0.14000000000000001</v>
      </c>
      <c r="M13" s="44">
        <f t="shared" si="5"/>
        <v>17.25</v>
      </c>
      <c r="N13" s="44">
        <f t="shared" si="6"/>
        <v>1.9600000000000003E-2</v>
      </c>
      <c r="O13" s="48">
        <f t="shared" si="0"/>
        <v>2.415</v>
      </c>
      <c r="P13" s="58" t="s">
        <v>47</v>
      </c>
      <c r="S13" s="43">
        <f t="shared" si="9"/>
        <v>-1.0999999999999999E-2</v>
      </c>
      <c r="T13" s="45">
        <f t="shared" si="7"/>
        <v>1.2099999999999999E-4</v>
      </c>
    </row>
    <row r="14" spans="1:20" ht="15" thickBot="1" x14ac:dyDescent="0.35">
      <c r="C14" s="28"/>
      <c r="D14" s="28"/>
      <c r="E14" s="28"/>
      <c r="F14" s="28"/>
      <c r="G14" s="28"/>
      <c r="H14" s="28"/>
      <c r="I14" s="28"/>
      <c r="J14" s="28"/>
      <c r="K14" s="18"/>
      <c r="P14" s="57">
        <f>2*P12</f>
        <v>5.2938712923599924</v>
      </c>
    </row>
    <row r="15" spans="1:20" ht="15" thickBot="1" x14ac:dyDescent="0.35">
      <c r="A15" s="17"/>
      <c r="B15" s="13"/>
      <c r="C15" s="18"/>
      <c r="D15" s="18"/>
      <c r="E15" s="18"/>
      <c r="F15" s="18"/>
      <c r="G15" s="18"/>
      <c r="H15" s="18"/>
      <c r="I15" s="18"/>
      <c r="J15" s="18"/>
      <c r="K15" s="18"/>
    </row>
    <row r="16" spans="1:20" ht="15" customHeight="1" thickBot="1" x14ac:dyDescent="0.35">
      <c r="A16" s="83" t="s">
        <v>56</v>
      </c>
      <c r="B16" s="83"/>
      <c r="C16" s="83"/>
      <c r="D16" s="83"/>
      <c r="E16" s="83"/>
      <c r="F16" s="83"/>
      <c r="G16" s="83"/>
      <c r="H16" s="83"/>
      <c r="I16" s="83"/>
      <c r="J16" s="83"/>
      <c r="K16" s="18"/>
      <c r="P16" s="62" t="s">
        <v>52</v>
      </c>
      <c r="Q16" s="63">
        <f>Q8-(P10*P8)</f>
        <v>478.11708333333331</v>
      </c>
    </row>
    <row r="17" spans="1:20" ht="15" thickBot="1" x14ac:dyDescent="0.35">
      <c r="A17" s="29"/>
      <c r="B17" s="30"/>
      <c r="C17" s="31"/>
      <c r="D17" s="31"/>
      <c r="E17" s="31"/>
      <c r="F17" s="32"/>
      <c r="G17" s="31"/>
      <c r="H17" s="31"/>
      <c r="I17" s="31"/>
      <c r="J17" s="31"/>
      <c r="K17" s="18"/>
    </row>
    <row r="18" spans="1:20" ht="29.4" thickBot="1" x14ac:dyDescent="0.35">
      <c r="A18" s="10" t="s">
        <v>0</v>
      </c>
      <c r="B18" s="9" t="s">
        <v>18</v>
      </c>
      <c r="C18" s="9" t="s">
        <v>19</v>
      </c>
      <c r="D18" s="9" t="s">
        <v>20</v>
      </c>
      <c r="E18" s="9" t="s">
        <v>21</v>
      </c>
      <c r="F18" s="5"/>
      <c r="G18" s="9" t="s">
        <v>0</v>
      </c>
      <c r="H18" s="9" t="s">
        <v>19</v>
      </c>
      <c r="I18" s="9" t="s">
        <v>22</v>
      </c>
      <c r="J18" s="9" t="s">
        <v>23</v>
      </c>
      <c r="K18" s="36"/>
      <c r="L18" s="38" t="s">
        <v>35</v>
      </c>
      <c r="M18" s="39" t="s">
        <v>34</v>
      </c>
      <c r="N18" s="39" t="s">
        <v>37</v>
      </c>
      <c r="O18" s="40" t="s">
        <v>38</v>
      </c>
      <c r="R18" s="46" t="s">
        <v>36</v>
      </c>
      <c r="S18" s="52" t="s">
        <v>54</v>
      </c>
      <c r="T18" s="53" t="s">
        <v>55</v>
      </c>
    </row>
    <row r="19" spans="1:20" ht="15" thickBot="1" x14ac:dyDescent="0.35">
      <c r="A19" s="3">
        <v>1</v>
      </c>
      <c r="B19" s="9" t="s">
        <v>24</v>
      </c>
      <c r="C19" s="4">
        <v>99.3</v>
      </c>
      <c r="D19" s="4">
        <v>0.09</v>
      </c>
      <c r="E19" s="4">
        <v>0.28000000000000003</v>
      </c>
      <c r="F19" s="5"/>
      <c r="G19" s="4">
        <v>1</v>
      </c>
      <c r="H19" s="4">
        <f>C19</f>
        <v>99.3</v>
      </c>
      <c r="I19" s="4">
        <f>ROUND(((E19)^2-(D19)^2)/(2*(0.8-0.15)),2)</f>
        <v>0.05</v>
      </c>
      <c r="J19" s="4">
        <f>ROUND(C19*(9.82-I19),2)</f>
        <v>970.16</v>
      </c>
      <c r="K19" s="13"/>
      <c r="L19" s="41">
        <f>(I19-$P$20)</f>
        <v>-0.05</v>
      </c>
      <c r="M19" s="37">
        <f>(J19-$Q$20)</f>
        <v>-19.960000000000036</v>
      </c>
      <c r="N19" s="37">
        <f>L19^2</f>
        <v>2.5000000000000005E-3</v>
      </c>
      <c r="O19" s="42">
        <f t="shared" ref="O19:O25" si="10">L19*M19</f>
        <v>0.99800000000000189</v>
      </c>
      <c r="P19" s="46" t="s">
        <v>31</v>
      </c>
      <c r="Q19" s="46" t="s">
        <v>32</v>
      </c>
      <c r="R19" s="54">
        <f>SUM(N19:N25)</f>
        <v>1.3600000000000001E-2</v>
      </c>
      <c r="S19" s="41">
        <f t="shared" ref="S19:S22" si="11">ROUND(J19-($Q$22+$P$22*I19),3)</f>
        <v>-7.351</v>
      </c>
      <c r="T19" s="42">
        <f>S19*S19</f>
        <v>54.037201000000003</v>
      </c>
    </row>
    <row r="20" spans="1:20" ht="15" thickBot="1" x14ac:dyDescent="0.35">
      <c r="A20" s="3">
        <v>2</v>
      </c>
      <c r="B20" s="9" t="s">
        <v>25</v>
      </c>
      <c r="C20" s="4">
        <v>100.4</v>
      </c>
      <c r="D20" s="4">
        <v>0.12</v>
      </c>
      <c r="E20" s="4">
        <v>0.28000000000000003</v>
      </c>
      <c r="F20" s="5"/>
      <c r="G20" s="4">
        <v>2</v>
      </c>
      <c r="H20" s="4">
        <f t="shared" ref="H20:H25" si="12">C20</f>
        <v>100.4</v>
      </c>
      <c r="I20" s="4">
        <f t="shared" ref="I20:I25" si="13">ROUND(((E20)^2-(D20)^2)/(2*(0.8-0.15)),2)</f>
        <v>0.05</v>
      </c>
      <c r="J20" s="4">
        <f>ROUND(C20*(9.82-I20),2)</f>
        <v>980.91</v>
      </c>
      <c r="K20" s="13"/>
      <c r="L20" s="41">
        <f t="shared" ref="L20:L25" si="14">(I20-$P$20)</f>
        <v>-0.05</v>
      </c>
      <c r="M20" s="37">
        <f t="shared" ref="M20:M25" si="15">(J20-$Q$20)</f>
        <v>-9.2100000000000364</v>
      </c>
      <c r="N20" s="37">
        <f t="shared" ref="N20:N25" si="16">L20^2</f>
        <v>2.5000000000000005E-3</v>
      </c>
      <c r="O20" s="42">
        <f t="shared" si="10"/>
        <v>0.46050000000000185</v>
      </c>
      <c r="P20" s="47">
        <f>ROUND(AVERAGE(I19:I25),2)</f>
        <v>0.1</v>
      </c>
      <c r="Q20" s="47">
        <f>ROUND(AVERAGE(J19:J25),2)</f>
        <v>990.12</v>
      </c>
      <c r="S20" s="41">
        <f t="shared" si="11"/>
        <v>3.399</v>
      </c>
      <c r="T20" s="42">
        <f t="shared" ref="T20:T25" si="17">S20*S20</f>
        <v>11.553201</v>
      </c>
    </row>
    <row r="21" spans="1:20" ht="15" thickBot="1" x14ac:dyDescent="0.35">
      <c r="A21" s="3">
        <v>3</v>
      </c>
      <c r="B21" s="9" t="s">
        <v>26</v>
      </c>
      <c r="C21" s="4">
        <v>101</v>
      </c>
      <c r="D21" s="4">
        <v>0.12</v>
      </c>
      <c r="E21" s="4">
        <v>0.34</v>
      </c>
      <c r="F21" s="5"/>
      <c r="G21" s="4">
        <v>3</v>
      </c>
      <c r="H21" s="4">
        <f t="shared" si="12"/>
        <v>101</v>
      </c>
      <c r="I21" s="4">
        <f t="shared" si="13"/>
        <v>0.08</v>
      </c>
      <c r="J21" s="4">
        <f t="shared" ref="J21:J25" si="18">ROUND(C21*(9.82-I21),2)</f>
        <v>983.74</v>
      </c>
      <c r="K21" s="13"/>
      <c r="L21" s="41">
        <f t="shared" si="14"/>
        <v>-2.0000000000000004E-2</v>
      </c>
      <c r="M21" s="37">
        <f t="shared" si="15"/>
        <v>-6.3799999999999955</v>
      </c>
      <c r="N21" s="37">
        <f t="shared" si="16"/>
        <v>4.0000000000000018E-4</v>
      </c>
      <c r="O21" s="42">
        <f t="shared" si="10"/>
        <v>0.12759999999999994</v>
      </c>
      <c r="P21" s="56" t="s">
        <v>49</v>
      </c>
      <c r="Q21" s="46" t="s">
        <v>33</v>
      </c>
      <c r="S21" s="41">
        <f t="shared" si="11"/>
        <v>-1.3360000000000001</v>
      </c>
      <c r="T21" s="42">
        <f t="shared" si="17"/>
        <v>1.7848960000000003</v>
      </c>
    </row>
    <row r="22" spans="1:20" ht="15" thickBot="1" x14ac:dyDescent="0.35">
      <c r="A22" s="3">
        <v>4</v>
      </c>
      <c r="B22" s="9" t="s">
        <v>27</v>
      </c>
      <c r="C22" s="4">
        <v>101.8</v>
      </c>
      <c r="D22" s="4">
        <v>0.12</v>
      </c>
      <c r="E22" s="74">
        <v>0.35</v>
      </c>
      <c r="F22" s="5"/>
      <c r="G22" s="4">
        <v>4</v>
      </c>
      <c r="H22" s="4">
        <f t="shared" si="12"/>
        <v>101.8</v>
      </c>
      <c r="I22" s="4">
        <f>ROUND(((E22)^2-(D22)^2)/(2*(0.8-0.15)),2)</f>
        <v>0.08</v>
      </c>
      <c r="J22" s="4">
        <f t="shared" si="18"/>
        <v>991.53</v>
      </c>
      <c r="K22" s="13"/>
      <c r="L22" s="41">
        <f t="shared" si="14"/>
        <v>-2.0000000000000004E-2</v>
      </c>
      <c r="M22" s="37">
        <f t="shared" si="15"/>
        <v>1.4099999999999682</v>
      </c>
      <c r="N22" s="37">
        <f t="shared" si="16"/>
        <v>4.0000000000000018E-4</v>
      </c>
      <c r="O22" s="42">
        <f t="shared" si="10"/>
        <v>-2.8199999999999368E-2</v>
      </c>
      <c r="P22" s="57">
        <f>SUM(O19:O25)/SUM(N19:N25)</f>
        <v>252.1764705882359</v>
      </c>
      <c r="Q22" s="47">
        <f>Q20-P22*P20</f>
        <v>964.90235294117645</v>
      </c>
      <c r="S22" s="41">
        <f t="shared" si="11"/>
        <v>6.4539999999999997</v>
      </c>
      <c r="T22" s="42">
        <f t="shared" si="17"/>
        <v>41.654115999999995</v>
      </c>
    </row>
    <row r="23" spans="1:20" ht="15" thickBot="1" x14ac:dyDescent="0.35">
      <c r="A23" s="3">
        <v>5</v>
      </c>
      <c r="B23" s="9" t="s">
        <v>28</v>
      </c>
      <c r="C23" s="4">
        <v>102.7</v>
      </c>
      <c r="D23" s="4">
        <v>0.13</v>
      </c>
      <c r="E23" s="4">
        <v>0.41</v>
      </c>
      <c r="F23" s="5"/>
      <c r="G23" s="4">
        <v>5</v>
      </c>
      <c r="H23" s="4">
        <f t="shared" si="12"/>
        <v>102.7</v>
      </c>
      <c r="I23" s="4">
        <f t="shared" si="13"/>
        <v>0.12</v>
      </c>
      <c r="J23" s="4">
        <f t="shared" si="18"/>
        <v>996.19</v>
      </c>
      <c r="K23" s="13"/>
      <c r="L23" s="41">
        <f t="shared" si="14"/>
        <v>1.999999999999999E-2</v>
      </c>
      <c r="M23" s="37">
        <f t="shared" si="15"/>
        <v>6.07000000000005</v>
      </c>
      <c r="N23" s="37">
        <f t="shared" si="16"/>
        <v>3.9999999999999959E-4</v>
      </c>
      <c r="O23" s="42">
        <f t="shared" si="10"/>
        <v>0.12140000000000094</v>
      </c>
      <c r="P23" s="49" t="s">
        <v>60</v>
      </c>
      <c r="S23" s="41">
        <f>ROUND(J23-($Q$22+$P$22*I23),3)</f>
        <v>1.026</v>
      </c>
      <c r="T23" s="42">
        <f t="shared" si="17"/>
        <v>1.0526759999999999</v>
      </c>
    </row>
    <row r="24" spans="1:20" ht="15" thickBot="1" x14ac:dyDescent="0.35">
      <c r="A24" s="3">
        <v>6</v>
      </c>
      <c r="B24" s="9" t="s">
        <v>29</v>
      </c>
      <c r="C24" s="4">
        <v>103.5</v>
      </c>
      <c r="D24" s="4">
        <v>0.14000000000000001</v>
      </c>
      <c r="E24" s="4">
        <v>0.46</v>
      </c>
      <c r="F24" s="5"/>
      <c r="G24" s="4">
        <v>6</v>
      </c>
      <c r="H24" s="4">
        <f t="shared" si="12"/>
        <v>103.5</v>
      </c>
      <c r="I24" s="4">
        <f t="shared" si="13"/>
        <v>0.15</v>
      </c>
      <c r="J24" s="4">
        <f>ROUND(C24*(9.82-I24),2)</f>
        <v>1000.85</v>
      </c>
      <c r="K24" s="13"/>
      <c r="L24" s="41">
        <f t="shared" si="14"/>
        <v>4.9999999999999989E-2</v>
      </c>
      <c r="M24" s="37">
        <f t="shared" si="15"/>
        <v>10.730000000000018</v>
      </c>
      <c r="N24" s="37">
        <f t="shared" si="16"/>
        <v>2.4999999999999988E-3</v>
      </c>
      <c r="O24" s="42">
        <f t="shared" si="10"/>
        <v>0.53650000000000075</v>
      </c>
      <c r="P24" s="47">
        <f>SQRT(SUM(T19:T25)/7/R19)</f>
        <v>34.560578133537781</v>
      </c>
      <c r="S24" s="41">
        <f t="shared" ref="S24:S25" si="19">ROUND(J24-($Q$22+$P$22*I24),3)</f>
        <v>-1.879</v>
      </c>
      <c r="T24" s="42">
        <f t="shared" si="17"/>
        <v>3.5306410000000001</v>
      </c>
    </row>
    <row r="25" spans="1:20" ht="15" thickBot="1" x14ac:dyDescent="0.35">
      <c r="A25" s="3">
        <v>7</v>
      </c>
      <c r="B25" s="9" t="s">
        <v>30</v>
      </c>
      <c r="C25" s="4">
        <v>104.4</v>
      </c>
      <c r="D25" s="4">
        <v>0.16</v>
      </c>
      <c r="E25" s="4">
        <v>0.5</v>
      </c>
      <c r="F25" s="5"/>
      <c r="G25" s="4">
        <v>7</v>
      </c>
      <c r="H25" s="4">
        <f t="shared" si="12"/>
        <v>104.4</v>
      </c>
      <c r="I25" s="4">
        <f t="shared" si="13"/>
        <v>0.17</v>
      </c>
      <c r="J25" s="4">
        <f t="shared" si="18"/>
        <v>1007.46</v>
      </c>
      <c r="K25" s="13"/>
      <c r="L25" s="43">
        <f t="shared" si="14"/>
        <v>7.0000000000000007E-2</v>
      </c>
      <c r="M25" s="44">
        <f t="shared" si="15"/>
        <v>17.340000000000032</v>
      </c>
      <c r="N25" s="44">
        <f t="shared" si="16"/>
        <v>4.9000000000000007E-3</v>
      </c>
      <c r="O25" s="48">
        <f t="shared" si="10"/>
        <v>1.2138000000000024</v>
      </c>
      <c r="P25" s="58" t="s">
        <v>50</v>
      </c>
      <c r="S25" s="41">
        <f t="shared" si="19"/>
        <v>-0.312</v>
      </c>
      <c r="T25" s="45">
        <f t="shared" si="17"/>
        <v>9.7344E-2</v>
      </c>
    </row>
    <row r="26" spans="1:20" ht="15" thickBot="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18"/>
      <c r="P26" s="57">
        <f>2*P24</f>
        <v>69.121156267075563</v>
      </c>
    </row>
    <row r="27" spans="1:20" ht="15" thickBot="1" x14ac:dyDescent="0.35">
      <c r="A27" s="18"/>
      <c r="B27" s="13"/>
      <c r="C27" s="18"/>
      <c r="D27" s="18"/>
      <c r="E27" s="18"/>
      <c r="F27" s="18"/>
      <c r="G27" s="18"/>
      <c r="H27" s="18"/>
      <c r="I27" s="18"/>
      <c r="J27" s="18"/>
      <c r="K27" s="18"/>
    </row>
    <row r="28" spans="1:20" ht="15" thickBot="1" x14ac:dyDescent="0.35">
      <c r="A28" s="18"/>
      <c r="B28" s="13"/>
      <c r="C28" s="18"/>
      <c r="D28" s="18"/>
      <c r="E28" s="18"/>
      <c r="F28" s="18"/>
      <c r="G28" s="18"/>
      <c r="H28" s="18"/>
      <c r="I28" s="18"/>
      <c r="J28" s="18"/>
      <c r="K28" s="18"/>
      <c r="P28" s="62" t="s">
        <v>51</v>
      </c>
      <c r="Q28" s="63">
        <f>Q20-(P22*P20)</f>
        <v>964.90235294117645</v>
      </c>
    </row>
  </sheetData>
  <mergeCells count="3">
    <mergeCell ref="A3:E3"/>
    <mergeCell ref="F1:Q1"/>
    <mergeCell ref="A16:J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tabSelected="1" topLeftCell="A2" zoomScaleNormal="55" workbookViewId="0">
      <selection activeCell="B13" sqref="B13"/>
    </sheetView>
  </sheetViews>
  <sheetFormatPr defaultColWidth="8.77734375" defaultRowHeight="14.4" x14ac:dyDescent="0.3"/>
  <cols>
    <col min="1" max="1" width="10" bestFit="1" customWidth="1"/>
  </cols>
  <sheetData>
    <row r="1" spans="1:20" ht="31.95" customHeight="1" x14ac:dyDescent="0.5">
      <c r="F1" s="86" t="s">
        <v>61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3" spans="1:20" ht="15" thickBot="1" x14ac:dyDescent="0.35">
      <c r="A3" s="85" t="s">
        <v>57</v>
      </c>
      <c r="B3" s="85"/>
      <c r="C3" s="85"/>
    </row>
    <row r="4" spans="1:20" ht="15" thickBot="1" x14ac:dyDescent="0.35">
      <c r="A4" s="61">
        <f>'Задание 2'!I7</f>
        <v>0.11</v>
      </c>
      <c r="B4" s="55">
        <f>'Задание 2'!J7</f>
        <v>491.33</v>
      </c>
    </row>
    <row r="5" spans="1:20" ht="15" thickBot="1" x14ac:dyDescent="0.35">
      <c r="A5" s="59">
        <f>'Задание 2'!I8</f>
        <v>0.16</v>
      </c>
      <c r="B5" s="59">
        <f>'Задание 2'!J8</f>
        <v>497.49</v>
      </c>
    </row>
    <row r="6" spans="1:20" ht="15" thickBot="1" x14ac:dyDescent="0.35">
      <c r="A6" s="4">
        <f>'Задание 2'!I9</f>
        <v>0.2</v>
      </c>
      <c r="B6" s="4">
        <f>'Задание 2'!J9</f>
        <v>503.13</v>
      </c>
    </row>
    <row r="7" spans="1:20" ht="15" thickBot="1" x14ac:dyDescent="0.35">
      <c r="A7" s="4">
        <f>'Задание 2'!I10</f>
        <v>0.26</v>
      </c>
      <c r="B7" s="4">
        <f>'Задание 2'!J10</f>
        <v>508.59</v>
      </c>
    </row>
    <row r="8" spans="1:20" ht="15" thickBot="1" x14ac:dyDescent="0.35">
      <c r="A8" s="4">
        <f>'Задание 2'!I11</f>
        <v>0.3</v>
      </c>
      <c r="B8" s="4">
        <f>'Задание 2'!J11</f>
        <v>515.03</v>
      </c>
    </row>
    <row r="9" spans="1:20" ht="15" thickBot="1" x14ac:dyDescent="0.35">
      <c r="A9" s="4">
        <f>'Задание 2'!I12</f>
        <v>0.35</v>
      </c>
      <c r="B9" s="4">
        <f>'Задание 2'!J12</f>
        <v>520.85</v>
      </c>
    </row>
    <row r="10" spans="1:20" ht="15" thickBot="1" x14ac:dyDescent="0.35">
      <c r="A10" s="4">
        <f>'Задание 2'!I13</f>
        <v>0.39</v>
      </c>
      <c r="B10" s="4">
        <f>'Задание 2'!J13</f>
        <v>526.19000000000005</v>
      </c>
    </row>
    <row r="12" spans="1:20" ht="15" thickBot="1" x14ac:dyDescent="0.35">
      <c r="A12" s="85" t="s">
        <v>58</v>
      </c>
      <c r="B12" s="85"/>
      <c r="C12" s="85"/>
    </row>
    <row r="13" spans="1:20" ht="15" thickBot="1" x14ac:dyDescent="0.35">
      <c r="A13" s="60">
        <f>'Задание 2'!I19</f>
        <v>0.05</v>
      </c>
      <c r="B13" s="60">
        <f>'Задание 2'!J19</f>
        <v>970.16</v>
      </c>
    </row>
    <row r="14" spans="1:20" ht="15" thickBot="1" x14ac:dyDescent="0.35">
      <c r="A14" s="59">
        <f>'Задание 2'!I20</f>
        <v>0.05</v>
      </c>
      <c r="B14" s="59">
        <f>'Задание 2'!J20</f>
        <v>980.91</v>
      </c>
    </row>
    <row r="15" spans="1:20" ht="15" thickBot="1" x14ac:dyDescent="0.35">
      <c r="A15" s="4">
        <f>'Задание 2'!I21</f>
        <v>0.08</v>
      </c>
      <c r="B15" s="4">
        <f>'Задание 2'!J21</f>
        <v>983.74</v>
      </c>
    </row>
    <row r="16" spans="1:20" ht="15" thickBot="1" x14ac:dyDescent="0.35">
      <c r="A16" s="4">
        <f>'Задание 2'!I22</f>
        <v>0.08</v>
      </c>
      <c r="B16" s="4">
        <f>'Задание 2'!J22</f>
        <v>991.53</v>
      </c>
    </row>
    <row r="17" spans="1:2" ht="15" thickBot="1" x14ac:dyDescent="0.35">
      <c r="A17" s="4">
        <f>'Задание 2'!I23</f>
        <v>0.12</v>
      </c>
      <c r="B17" s="4">
        <f>'Задание 2'!J23</f>
        <v>996.19</v>
      </c>
    </row>
    <row r="18" spans="1:2" ht="15" thickBot="1" x14ac:dyDescent="0.35">
      <c r="A18" s="4">
        <f>'Задание 2'!I24</f>
        <v>0.15</v>
      </c>
      <c r="B18" s="4">
        <f>'Задание 2'!J24</f>
        <v>1000.85</v>
      </c>
    </row>
    <row r="19" spans="1:2" ht="15" thickBot="1" x14ac:dyDescent="0.35">
      <c r="A19" s="4">
        <f>'Задание 2'!I25</f>
        <v>0.17</v>
      </c>
      <c r="B19" s="4">
        <f>'Задание 2'!J25</f>
        <v>1007.46</v>
      </c>
    </row>
  </sheetData>
  <mergeCells count="3">
    <mergeCell ref="A12:C12"/>
    <mergeCell ref="A3:C3"/>
    <mergeCell ref="F1:T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1.1</vt:lpstr>
      <vt:lpstr>Задание 1.2</vt:lpstr>
      <vt:lpstr>Задание 2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Маликов Глеб Игоревич</cp:lastModifiedBy>
  <dcterms:created xsi:type="dcterms:W3CDTF">2015-06-05T18:19:34Z</dcterms:created>
  <dcterms:modified xsi:type="dcterms:W3CDTF">2023-10-13T12:18:21Z</dcterms:modified>
</cp:coreProperties>
</file>