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IMPRIMIR\2kurs\Phys\Lab4\"/>
    </mc:Choice>
  </mc:AlternateContent>
  <xr:revisionPtr revIDLastSave="0" documentId="13_ncr:1_{F21224DF-A373-4B05-A758-0A5C2892949E}" xr6:coauthVersionLast="47" xr6:coauthVersionMax="47" xr10:uidLastSave="{00000000-0000-0000-0000-000000000000}"/>
  <bookViews>
    <workbookView xWindow="-108" yWindow="-108" windowWidth="30936" windowHeight="16776" tabRatio="912" firstSheet="5" activeTab="7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2" sheetId="26" r:id="rId10"/>
    <sheet name="Печать 3" sheetId="27" r:id="rId11"/>
    <sheet name="Погрешности прямые (a)" sheetId="5" r:id="rId12"/>
    <sheet name="Погрешности прямые (t)" sheetId="13" r:id="rId13"/>
    <sheet name="Погрешности косвенные (a)" sheetId="12" r:id="rId14"/>
    <sheet name="Погрешности прямые (e)" sheetId="6" r:id="rId15"/>
    <sheet name="Погрешности косвенные (e)" sheetId="10" r:id="rId16"/>
    <sheet name="Погрешности прямые (M)" sheetId="7" r:id="rId17"/>
    <sheet name="Погрешности косвенные (M)" sheetId="11" r:id="rId18"/>
    <sheet name="МНК рис.1" sheetId="8" r:id="rId19"/>
    <sheet name="МНК рис.2" sheetId="14" r:id="rId20"/>
    <sheet name="МНК рис.3" sheetId="15" r:id="rId21"/>
    <sheet name="МНК рис.4" sheetId="16" r:id="rId22"/>
    <sheet name="МНК рис.5" sheetId="17" r:id="rId23"/>
    <sheet name="МНК рис.6" sheetId="18" r:id="rId24"/>
    <sheet name="МНК I" sheetId="21" r:id="rId25"/>
    <sheet name="Параметры установки" sheetId="22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B6" i="11"/>
  <c r="I2" i="13"/>
  <c r="N2" i="21"/>
  <c r="H4" i="19"/>
  <c r="H3" i="19"/>
  <c r="H2" i="19"/>
  <c r="D30" i="2"/>
  <c r="E30" i="2"/>
  <c r="F30" i="2"/>
  <c r="G30" i="2"/>
  <c r="C30" i="2"/>
  <c r="B30" i="2"/>
  <c r="G29" i="2"/>
  <c r="F29" i="2"/>
  <c r="E29" i="2"/>
  <c r="D29" i="2"/>
  <c r="C29" i="2"/>
  <c r="B29" i="2"/>
  <c r="B4" i="19"/>
  <c r="B32" i="2"/>
  <c r="A3" i="1"/>
  <c r="G19" i="25"/>
  <c r="F19" i="25"/>
  <c r="E19" i="25"/>
  <c r="D19" i="25"/>
  <c r="C19" i="25"/>
  <c r="B19" i="25"/>
  <c r="A16" i="25"/>
  <c r="G15" i="25"/>
  <c r="F15" i="25"/>
  <c r="E15" i="25"/>
  <c r="D15" i="25"/>
  <c r="C15" i="25"/>
  <c r="B15" i="25"/>
  <c r="A12" i="25"/>
  <c r="G11" i="25"/>
  <c r="F11" i="25"/>
  <c r="E11" i="25"/>
  <c r="D11" i="25"/>
  <c r="C11" i="25"/>
  <c r="B11" i="25"/>
  <c r="A8" i="25"/>
  <c r="G7" i="25"/>
  <c r="F7" i="25"/>
  <c r="E7" i="25"/>
  <c r="D7" i="25"/>
  <c r="C7" i="25"/>
  <c r="B7" i="25"/>
  <c r="A4" i="25"/>
  <c r="A15" i="1"/>
  <c r="A11" i="1"/>
  <c r="A7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H2" i="13"/>
  <c r="B2" i="12" l="1"/>
  <c r="B4" i="10"/>
  <c r="B4" i="12"/>
  <c r="B2" i="10"/>
  <c r="C2" i="21"/>
  <c r="E4" i="21"/>
  <c r="C3" i="21"/>
  <c r="E7" i="21"/>
  <c r="E6" i="21"/>
  <c r="E5" i="21"/>
  <c r="E3" i="21"/>
  <c r="C7" i="21"/>
  <c r="C6" i="21"/>
  <c r="C5" i="21"/>
  <c r="C4" i="21"/>
  <c r="B4" i="13"/>
  <c r="B3" i="11"/>
  <c r="B3" i="10"/>
  <c r="B3" i="13"/>
  <c r="B2" i="13"/>
  <c r="B3" i="12"/>
  <c r="K2" i="13" l="1"/>
  <c r="M2" i="13" s="1"/>
  <c r="B5" i="10" s="1"/>
  <c r="P2" i="21"/>
  <c r="N2" i="13" l="1"/>
  <c r="B6" i="12" s="1"/>
  <c r="B5" i="11"/>
  <c r="B5" i="12"/>
  <c r="B7" i="12" s="1"/>
  <c r="B8" i="12" s="1"/>
  <c r="M2" i="4"/>
  <c r="D3" i="4" s="1"/>
  <c r="L2" i="4"/>
  <c r="C2" i="4" s="1"/>
  <c r="B6" i="10" l="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B4" i="11" s="1"/>
  <c r="G18" i="1"/>
  <c r="B26" i="2" s="1"/>
  <c r="C26" i="2" s="1"/>
  <c r="D26" i="2" s="1"/>
  <c r="A5" i="18" s="1"/>
  <c r="F18" i="1"/>
  <c r="B25" i="2" s="1"/>
  <c r="C25" i="2" s="1"/>
  <c r="D25" i="2" s="1"/>
  <c r="A5" i="17" s="1"/>
  <c r="E18" i="1"/>
  <c r="B24" i="2" s="1"/>
  <c r="C24" i="2" s="1"/>
  <c r="D24" i="2" s="1"/>
  <c r="A5" i="16" s="1"/>
  <c r="D18" i="1"/>
  <c r="B23" i="2" s="1"/>
  <c r="C23" i="2" s="1"/>
  <c r="D23" i="2" s="1"/>
  <c r="A5" i="15" s="1"/>
  <c r="C18" i="1"/>
  <c r="B22" i="2" s="1"/>
  <c r="C22" i="2" s="1"/>
  <c r="D22" i="2" s="1"/>
  <c r="A5" i="14" s="1"/>
  <c r="B18" i="1"/>
  <c r="B21" i="2" s="1"/>
  <c r="C21" i="2" s="1"/>
  <c r="D21" i="2" s="1"/>
  <c r="A5" i="8" s="1"/>
  <c r="G14" i="1"/>
  <c r="B20" i="2" s="1"/>
  <c r="C20" i="2" s="1"/>
  <c r="D20" i="2" s="1"/>
  <c r="A4" i="18" s="1"/>
  <c r="F14" i="1"/>
  <c r="B19" i="2" s="1"/>
  <c r="C19" i="2" s="1"/>
  <c r="D19" i="2" s="1"/>
  <c r="A4" i="17" s="1"/>
  <c r="E14" i="1"/>
  <c r="B18" i="2" s="1"/>
  <c r="C18" i="2" s="1"/>
  <c r="D18" i="2" s="1"/>
  <c r="A4" i="16" s="1"/>
  <c r="D14" i="1"/>
  <c r="B17" i="2" s="1"/>
  <c r="C17" i="2" s="1"/>
  <c r="D17" i="2" s="1"/>
  <c r="A4" i="15" s="1"/>
  <c r="C14" i="1"/>
  <c r="B16" i="2" s="1"/>
  <c r="C16" i="2" s="1"/>
  <c r="D16" i="2" s="1"/>
  <c r="A4" i="14" s="1"/>
  <c r="B14" i="1"/>
  <c r="B15" i="2" s="1"/>
  <c r="C15" i="2" s="1"/>
  <c r="D15" i="2" s="1"/>
  <c r="A4" i="8" s="1"/>
  <c r="C10" i="1"/>
  <c r="B10" i="2" s="1"/>
  <c r="C10" i="2" s="1"/>
  <c r="D10" i="2" s="1"/>
  <c r="A3" i="14" s="1"/>
  <c r="D10" i="1"/>
  <c r="B11" i="2" s="1"/>
  <c r="C11" i="2" s="1"/>
  <c r="D11" i="2" s="1"/>
  <c r="A3" i="15" s="1"/>
  <c r="E10" i="1"/>
  <c r="B12" i="2" s="1"/>
  <c r="C12" i="2" s="1"/>
  <c r="D12" i="2" s="1"/>
  <c r="A3" i="16" s="1"/>
  <c r="F10" i="1"/>
  <c r="B13" i="2" s="1"/>
  <c r="C13" i="2" s="1"/>
  <c r="D13" i="2" s="1"/>
  <c r="A3" i="17" s="1"/>
  <c r="G10" i="1"/>
  <c r="B14" i="2" s="1"/>
  <c r="C14" i="2" s="1"/>
  <c r="D14" i="2" s="1"/>
  <c r="A3" i="18" s="1"/>
  <c r="B10" i="1"/>
  <c r="B9" i="2" s="1"/>
  <c r="C9" i="2" s="1"/>
  <c r="D9" i="2" s="1"/>
  <c r="A3" i="8" s="1"/>
  <c r="C6" i="1"/>
  <c r="C4" i="2" s="1"/>
  <c r="D6" i="1"/>
  <c r="C5" i="2" s="1"/>
  <c r="E6" i="1"/>
  <c r="C6" i="2" s="1"/>
  <c r="F6" i="1"/>
  <c r="C7" i="2" s="1"/>
  <c r="A6" i="5" s="1"/>
  <c r="G6" i="1"/>
  <c r="C8" i="2" s="1"/>
  <c r="B6" i="1"/>
  <c r="C3" i="2" s="1"/>
  <c r="D3" i="2" s="1"/>
  <c r="B2" i="11" l="1"/>
  <c r="B7" i="11" s="1"/>
  <c r="B8" i="11" s="1"/>
  <c r="D5" i="2"/>
  <c r="D32" i="2" s="1"/>
  <c r="A4" i="5"/>
  <c r="D6" i="2"/>
  <c r="E32" i="2" s="1"/>
  <c r="A5" i="5"/>
  <c r="A2" i="5"/>
  <c r="D8" i="2"/>
  <c r="G32" i="2" s="1"/>
  <c r="A7" i="5"/>
  <c r="E26" i="2"/>
  <c r="B5" i="18" s="1"/>
  <c r="D4" i="2"/>
  <c r="C32" i="2" s="1"/>
  <c r="A3" i="5"/>
  <c r="G5" i="4"/>
  <c r="P2" i="4"/>
  <c r="G4" i="4"/>
  <c r="G6" i="4"/>
  <c r="G7" i="4"/>
  <c r="G2" i="4"/>
  <c r="G8" i="4"/>
  <c r="G3" i="4"/>
  <c r="E6" i="2"/>
  <c r="D7" i="2"/>
  <c r="F32" i="2" s="1"/>
  <c r="E7" i="2"/>
  <c r="E10" i="2"/>
  <c r="B3" i="14" s="1"/>
  <c r="E5" i="2"/>
  <c r="E18" i="2"/>
  <c r="B4" i="16" s="1"/>
  <c r="E22" i="2"/>
  <c r="B5" i="14" s="1"/>
  <c r="E23" i="2"/>
  <c r="B5" i="15" s="1"/>
  <c r="E4" i="2"/>
  <c r="C31" i="2" s="1"/>
  <c r="E24" i="2"/>
  <c r="B5" i="16" s="1"/>
  <c r="E3" i="2"/>
  <c r="B31" i="2" s="1"/>
  <c r="E25" i="2"/>
  <c r="B5" i="17" s="1"/>
  <c r="E8" i="2"/>
  <c r="G31" i="2" s="1"/>
  <c r="E21" i="2"/>
  <c r="B5" i="8" s="1"/>
  <c r="E17" i="2"/>
  <c r="B4" i="15" s="1"/>
  <c r="E20" i="2"/>
  <c r="B4" i="18" s="1"/>
  <c r="E19" i="2"/>
  <c r="B4" i="17" s="1"/>
  <c r="E15" i="2"/>
  <c r="B4" i="8" s="1"/>
  <c r="E16" i="2"/>
  <c r="B4" i="14" s="1"/>
  <c r="E13" i="2"/>
  <c r="B3" i="17" s="1"/>
  <c r="E12" i="2"/>
  <c r="B3" i="16" s="1"/>
  <c r="E11" i="2"/>
  <c r="B3" i="15" s="1"/>
  <c r="E9" i="2"/>
  <c r="B3" i="8" s="1"/>
  <c r="E14" i="2"/>
  <c r="B3" i="18" s="1"/>
  <c r="D31" i="2" l="1"/>
  <c r="F31" i="2"/>
  <c r="E31" i="2"/>
  <c r="B2" i="18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4" i="5" s="1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B9" i="1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R2" i="4" s="1"/>
  <c r="R4" i="4" s="1"/>
  <c r="R6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Q2" i="4" l="1"/>
  <c r="Q4" i="4" s="1"/>
  <c r="Q6" i="4" s="1"/>
  <c r="B4" i="7"/>
  <c r="B7" i="7"/>
  <c r="B6" i="7"/>
  <c r="B3" i="7"/>
  <c r="E2" i="8"/>
  <c r="F2" i="8"/>
  <c r="C2" i="17"/>
  <c r="I2" i="5"/>
  <c r="K2" i="5" s="1"/>
  <c r="M2" i="5" s="1"/>
  <c r="N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5" i="14" l="1"/>
  <c r="G2" i="8"/>
  <c r="G3" i="14"/>
  <c r="G5" i="17"/>
  <c r="G5" i="8"/>
  <c r="G4" i="8"/>
  <c r="G3" i="17"/>
  <c r="G4" i="17"/>
  <c r="G5" i="16"/>
  <c r="P2" i="8"/>
  <c r="P2" i="17"/>
  <c r="G5" i="18"/>
  <c r="G3" i="8"/>
  <c r="G4" i="14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4" l="1"/>
  <c r="O2" i="14" s="1"/>
  <c r="H5" i="14" s="1"/>
  <c r="I5" i="14" s="1"/>
  <c r="N2" i="17"/>
  <c r="O2" i="17" s="1"/>
  <c r="H2" i="17" s="1"/>
  <c r="I2" i="17" s="1"/>
  <c r="N2" i="8"/>
  <c r="O2" i="8" s="1"/>
  <c r="C4" i="19"/>
  <c r="B3" i="21" s="1"/>
  <c r="N2" i="15"/>
  <c r="N2" i="18"/>
  <c r="N2" i="16"/>
  <c r="B7" i="10"/>
  <c r="B8" i="10" s="1"/>
  <c r="B9" i="10" s="1"/>
  <c r="N2" i="6"/>
  <c r="F4" i="19" l="1"/>
  <c r="B6" i="21" s="1"/>
  <c r="H4" i="8"/>
  <c r="I4" i="8" s="1"/>
  <c r="H5" i="8"/>
  <c r="I5" i="8" s="1"/>
  <c r="B2" i="2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R4" i="17" s="1"/>
  <c r="R6" i="17" s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H2" i="16"/>
  <c r="I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R2" i="16"/>
  <c r="Q2" i="16"/>
  <c r="Q4" i="16" s="1"/>
  <c r="Q6" i="16" s="1"/>
  <c r="Q2" i="15"/>
  <c r="Q4" i="15" s="1"/>
  <c r="Q6" i="15" s="1"/>
  <c r="R2" i="15"/>
  <c r="O2" i="21" l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</calcChain>
</file>

<file path=xl/sharedStrings.xml><?xml version="1.0" encoding="utf-8"?>
<sst xmlns="http://schemas.openxmlformats.org/spreadsheetml/2006/main" count="309" uniqueCount="81">
  <si>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</si>
  <si>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</si>
  <si>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</si>
  <si>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</si>
  <si>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</si>
  <si>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</si>
  <si>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</si>
  <si>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</si>
  <si>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</si>
  <si>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</si>
  <si>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</si>
  <si>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</si>
  <si>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</si>
  <si>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</si>
  <si>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</si>
  <si>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</si>
  <si>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</si>
  <si>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</si>
  <si>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</si>
  <si>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</si>
  <si>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</si>
  <si>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</si>
  <si>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</si>
  <si>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</si>
  <si>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</si>
  <si>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</si>
  <si>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</si>
  <si>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</si>
  <si>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</si>
  <si>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</si>
  <si>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</si>
  <si>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</si>
  <si>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</si>
  <si>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</si>
  <si>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</si>
  <si>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</si>
  <si>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</si>
  <si>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</si>
  <si>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</si>
  <si>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</si>
  <si>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</si>
  <si>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</si>
  <si>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</si>
  <si>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</si>
  <si>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</si>
  <si>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</si>
  <si>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</si>
  <si>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</si>
  <si>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</si>
  <si>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</si>
  <si>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</si>
  <si>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</si>
  <si>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</si>
  <si>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</si>
  <si>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</si>
  <si>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</si>
  <si>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</si>
  <si>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</si>
  <si>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</si>
  <si>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</si>
  <si>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</si>
  <si>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</si>
  <si>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</si>
  <si>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</si>
  <si>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</si>
  <si>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</si>
  <si>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</si>
  <si>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</si>
  <si>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</si>
  <si>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</si>
  <si>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</si>
  <si>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</si>
  <si>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</si>
  <si>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</si>
  <si>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</si>
  <si>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</si>
  <si>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</si>
  <si>
    <r>
      <t>M</t>
    </r>
    <r>
      <rPr>
        <b/>
        <vertAlign val="subscript"/>
        <sz val="12"/>
        <color theme="1"/>
        <rFont val="Times New Roman"/>
        <family val="1"/>
      </rPr>
      <t>тр</t>
    </r>
  </si>
  <si>
    <r>
      <t>M</t>
    </r>
    <r>
      <rPr>
        <b/>
        <vertAlign val="subscript"/>
        <sz val="12"/>
        <color theme="1"/>
        <rFont val="Times New Roman"/>
        <family val="1"/>
      </rPr>
      <t>cр</t>
    </r>
  </si>
  <si>
    <r>
      <t>ε</t>
    </r>
    <r>
      <rPr>
        <b/>
        <vertAlign val="subscript"/>
        <sz val="12"/>
        <color theme="1"/>
        <rFont val="Times New Roman"/>
        <family val="1"/>
      </rPr>
      <t>cp</t>
    </r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</si>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</sst>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1.0740702461731682E-4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1.0740702461731682E-4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2'!$D$3,'Таблица 2'!$D$9,'Таблица 2'!$D$15,'Таблица 2'!$D$21)</c:f>
              <c:numCache>
                <c:formatCode>0.00</c:formatCode>
                <c:ptCount val="4"/>
                <c:pt idx="0">
                  <c:v>2.6940376328834055</c:v>
                </c:pt>
                <c:pt idx="1">
                  <c:v>5.9691389829686248</c:v>
                </c:pt>
                <c:pt idx="2">
                  <c:v>9.4845236661447672</c:v>
                </c:pt>
                <c:pt idx="3">
                  <c:v>12.65292465323957</c:v>
                </c:pt>
              </c:numCache>
            </c:numRef>
          </c:xVal>
          <c:yVal>
            <c:numRef>
              <c:f>('Таблица 2'!$E$3,'Таблица 2'!$E$9,'Таблица 2'!$E$15,'Таблица 2'!$E$21)</c:f>
              <c:numCache>
                <c:formatCode>0.00</c:formatCode>
                <c:ptCount val="4"/>
                <c:pt idx="0">
                  <c:v>5.9801286042618668E-2</c:v>
                </c:pt>
                <c:pt idx="1">
                  <c:v>0.10823201250779067</c:v>
                </c:pt>
                <c:pt idx="2">
                  <c:v>0.1558105596952909</c:v>
                </c:pt>
                <c:pt idx="3">
                  <c:v>0.20274102084977044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рис.2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2'!$D$4,'Таблица 2'!$D$10,'Таблица 2'!$D$16,'Таблица 2'!$D$22)</c:f>
              <c:numCache>
                <c:formatCode>0.00</c:formatCode>
                <c:ptCount val="4"/>
                <c:pt idx="0">
                  <c:v>1.8496134227209415</c:v>
                </c:pt>
                <c:pt idx="1">
                  <c:v>4.7054354464111947</c:v>
                </c:pt>
                <c:pt idx="2">
                  <c:v>6.931690882015304</c:v>
                </c:pt>
                <c:pt idx="3">
                  <c:v>9.3854692675043481</c:v>
                </c:pt>
              </c:numCache>
            </c:numRef>
          </c:xVal>
          <c:yVal>
            <c:numRef>
              <c:f>('Таблица 2'!$E$4,'Таблица 2'!$E$10,'Таблица 2'!$E$16,'Таблица 2'!$E$22)</c:f>
              <c:numCache>
                <c:formatCode>0.00</c:formatCode>
                <c:ptCount val="4"/>
                <c:pt idx="0">
                  <c:v>5.9920555051334638E-2</c:v>
                </c:pt>
                <c:pt idx="1">
                  <c:v>0.10855757160398921</c:v>
                </c:pt>
                <c:pt idx="2">
                  <c:v>0.15676532681505367</c:v>
                </c:pt>
                <c:pt idx="3">
                  <c:v>0.20434332542419342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рис.3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2'!$D$5,'Таблица 2'!$D$11,'Таблица 2'!$D$17,'Таблица 2'!$D$23)</c:f>
              <c:numCache>
                <c:formatCode>0.00</c:formatCode>
                <c:ptCount val="4"/>
                <c:pt idx="0">
                  <c:v>1.360028358534173</c:v>
                </c:pt>
                <c:pt idx="1">
                  <c:v>3.3022578637767253</c:v>
                </c:pt>
                <c:pt idx="2">
                  <c:v>4.9784222929325015</c:v>
                </c:pt>
                <c:pt idx="3">
                  <c:v>6.4026423603391871</c:v>
                </c:pt>
              </c:numCache>
            </c:numRef>
          </c:xVal>
          <c:yVal>
            <c:numRef>
              <c:f>('Таблица 2'!$E$5,'Таблица 2'!$E$11,'Таблица 2'!$E$17,'Таблица 2'!$E$23)</c:f>
              <c:numCache>
                <c:formatCode>0.00</c:formatCode>
                <c:ptCount val="4"/>
                <c:pt idx="0">
                  <c:v>5.9989705514555569E-2</c:v>
                </c:pt>
                <c:pt idx="1">
                  <c:v>0.10891906242236025</c:v>
                </c:pt>
                <c:pt idx="2">
                  <c:v>0.1574958551271764</c:v>
                </c:pt>
                <c:pt idx="3">
                  <c:v>0.20580605303140981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рис.4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2'!$D$6,'Таблица 2'!$D$12,'Таблица 2'!$D$18,'Таблица 2'!$D$24)</c:f>
              <c:numCache>
                <c:formatCode>0.00</c:formatCode>
                <c:ptCount val="4"/>
                <c:pt idx="0">
                  <c:v>0.99030295347952857</c:v>
                </c:pt>
                <c:pt idx="1">
                  <c:v>2.0220088278979698</c:v>
                </c:pt>
                <c:pt idx="2">
                  <c:v>3.0830630779779828</c:v>
                </c:pt>
                <c:pt idx="3">
                  <c:v>4.0853153921844418</c:v>
                </c:pt>
              </c:numCache>
            </c:numRef>
          </c:xVal>
          <c:yVal>
            <c:numRef>
              <c:f>('Таблица 2'!$E$6,'Таблица 2'!$E$12,'Таблица 2'!$E$18,'Таблица 2'!$E$24)</c:f>
              <c:numCache>
                <c:formatCode>0.00</c:formatCode>
                <c:ptCount val="4"/>
                <c:pt idx="0">
                  <c:v>6.0041926639941699E-2</c:v>
                </c:pt>
                <c:pt idx="1">
                  <c:v>0.10924888401973044</c:v>
                </c:pt>
                <c:pt idx="2">
                  <c:v>0.15820472515964704</c:v>
                </c:pt>
                <c:pt idx="3">
                  <c:v>0.20694243078203442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рис.5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2'!$D$7,'Таблица 2'!$D$13,'Таблица 2'!$D$19,'Таблица 2'!$D$25)</c:f>
              <c:numCache>
                <c:formatCode>0.00</c:formatCode>
                <c:ptCount val="4"/>
                <c:pt idx="0">
                  <c:v>0.77716575974198099</c:v>
                </c:pt>
                <c:pt idx="1">
                  <c:v>1.5466906883279306</c:v>
                </c:pt>
                <c:pt idx="2">
                  <c:v>2.4250726179334459</c:v>
                </c:pt>
                <c:pt idx="3">
                  <c:v>3.0692325320720184</c:v>
                </c:pt>
              </c:numCache>
            </c:numRef>
          </c:xVal>
          <c:yVal>
            <c:numRef>
              <c:f>('Таблица 2'!$E$7,'Таблица 2'!$E$13,'Таблица 2'!$E$19,'Таблица 2'!$E$25)</c:f>
              <c:numCache>
                <c:formatCode>0.00</c:formatCode>
                <c:ptCount val="4"/>
                <c:pt idx="0">
                  <c:v>6.0072030776596771E-2</c:v>
                </c:pt>
                <c:pt idx="1">
                  <c:v>0.10937133690480089</c:v>
                </c:pt>
                <c:pt idx="2">
                  <c:v>0.15845081556567508</c:v>
                </c:pt>
                <c:pt idx="3">
                  <c:v>0.20744070054322492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рис.6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2'!$D$8,'Таблица 2'!$D$14,'Таблица 2'!$D$20,'Таблица 2'!$D$26)</c:f>
              <c:numCache>
                <c:formatCode>0.00</c:formatCode>
                <c:ptCount val="4"/>
                <c:pt idx="0">
                  <c:v>0.59473749360863726</c:v>
                </c:pt>
                <c:pt idx="1">
                  <c:v>1.3359575356354745</c:v>
                </c:pt>
                <c:pt idx="2">
                  <c:v>1.9525991069958448</c:v>
                </c:pt>
                <c:pt idx="3">
                  <c:v>2.5044153737473227</c:v>
                </c:pt>
              </c:numCache>
            </c:numRef>
          </c:xVal>
          <c:yVal>
            <c:numRef>
              <c:f>('Таблица 2'!$E$8,'Таблица 2'!$E$14,'Таблица 2'!$E$20,'Таблица 2'!$E$26)</c:f>
              <c:numCache>
                <c:formatCode>0.00</c:formatCode>
                <c:ptCount val="4"/>
                <c:pt idx="0">
                  <c:v>6.0097797492190248E-2</c:v>
                </c:pt>
                <c:pt idx="1">
                  <c:v>0.10942562661179699</c:v>
                </c:pt>
                <c:pt idx="2">
                  <c:v>0.15862752207618624</c:v>
                </c:pt>
                <c:pt idx="3">
                  <c:v>0.2077176772757757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1.4262274229440071E-2</c:v>
                </c:pt>
                <c:pt idx="1">
                  <c:v>1.934270082513068E-2</c:v>
                </c:pt>
                <c:pt idx="2">
                  <c:v>2.8792072764712899E-2</c:v>
                </c:pt>
                <c:pt idx="3">
                  <c:v>4.7323026928486077E-2</c:v>
                </c:pt>
                <c:pt idx="4">
                  <c:v>6.3137712741013735E-2</c:v>
                </c:pt>
                <c:pt idx="5">
                  <c:v>7.7197711880816478E-2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1.4262274229440071E-2</c:v>
                </c:pt>
                <c:pt idx="1">
                  <c:v>1.934270082513068E-2</c:v>
                </c:pt>
                <c:pt idx="2">
                  <c:v>2.8792072764712899E-2</c:v>
                </c:pt>
                <c:pt idx="3">
                  <c:v>4.7323026928486077E-2</c:v>
                </c:pt>
                <c:pt idx="4">
                  <c:v>6.3137712741013735E-2</c:v>
                </c:pt>
                <c:pt idx="5">
                  <c:v>7.7197711880816478E-2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ColWidth="8.77734375" defaultRowHeight="14.4" x14ac:dyDescent="0.3"/>
  <cols>
    <col min="1" max="1" width="26.33203125" customWidth="1"/>
  </cols>
  <sheetData>
    <row r="1" spans="1:7" x14ac:dyDescent="0.3">
      <c r="A1" s="29" t="s">
        <v>42</v>
      </c>
    </row>
    <row r="2" spans="1:7" ht="43.2" x14ac:dyDescent="0.3">
      <c r="A2" s="29" t="s">
        <v>38</v>
      </c>
      <c r="B2" s="25">
        <v>1</v>
      </c>
      <c r="C2" s="25">
        <v>1</v>
      </c>
      <c r="D2" s="25">
        <v>1</v>
      </c>
      <c r="E2" s="25">
        <v>1</v>
      </c>
      <c r="F2" s="25"/>
      <c r="G2" s="25"/>
    </row>
    <row r="3" spans="1:7" ht="28.8" x14ac:dyDescent="0.3">
      <c r="A3" s="29" t="s">
        <v>41</v>
      </c>
      <c r="B3" s="25">
        <v>1</v>
      </c>
      <c r="C3" s="25">
        <v>1</v>
      </c>
      <c r="D3" s="25">
        <v>1</v>
      </c>
      <c r="E3" s="25">
        <v>1</v>
      </c>
      <c r="F3" s="25"/>
      <c r="G3" s="25"/>
    </row>
    <row r="4" spans="1:7" x14ac:dyDescent="0.3">
      <c r="A4" s="29" t="s">
        <v>40</v>
      </c>
    </row>
    <row r="5" spans="1:7" ht="28.8" x14ac:dyDescent="0.3">
      <c r="A5" s="29" t="s">
        <v>43</v>
      </c>
    </row>
    <row r="6" spans="1:7" ht="28.8" x14ac:dyDescent="0.3">
      <c r="A6" s="29" t="s">
        <v>46</v>
      </c>
      <c r="B6" s="28"/>
    </row>
    <row r="7" spans="1:7" x14ac:dyDescent="0.3">
      <c r="A7" s="29" t="s">
        <v>44</v>
      </c>
      <c r="B7">
        <f>B5*B5*B2*B2</f>
        <v>0</v>
      </c>
    </row>
    <row r="8" spans="1:7" ht="28.8" x14ac:dyDescent="0.3">
      <c r="A8" s="29" t="s">
        <v>39</v>
      </c>
      <c r="B8">
        <f>SQRT(SUM(7:7))</f>
        <v>0</v>
      </c>
    </row>
    <row r="9" spans="1:7" ht="28.8" x14ac:dyDescent="0.3">
      <c r="A9" s="29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zoomScaleNormal="100" workbookViewId="0"/>
  </sheetViews>
  <sheetFormatPr defaultColWidth="8.77734375" defaultRowHeight="14.4" x14ac:dyDescent="0.3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topLeftCell="A4" zoomScaleNormal="100" workbookViewId="0"/>
  </sheetViews>
  <sheetFormatPr defaultColWidth="8.77734375"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workbookViewId="0">
      <selection activeCell="K2" sqref="K2"/>
    </sheetView>
  </sheetViews>
  <sheetFormatPr defaultColWidth="8.77734375" defaultRowHeight="14.4" x14ac:dyDescent="0.3"/>
  <cols>
    <col min="1" max="1" width="9.4414062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3" width="18.44140625" customWidth="1"/>
    <col min="14" max="14" width="14.4414062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2'!C3</f>
        <v>6.1962865556318324E-2</v>
      </c>
      <c r="B2" s="15">
        <f>(A2-$H$2)*(A2-$H$2)</f>
        <v>9.1669495331163603E-4</v>
      </c>
      <c r="H2" s="15">
        <f>SUM(A:A)/COUNT(A:A)</f>
        <v>3.1685894880379886E-2</v>
      </c>
      <c r="I2" s="15">
        <f>SQRT(SUM(B:B)/COUNT(A:A)/(COUNT(A:A)-1))</f>
        <v>7.3689878050978005E-3</v>
      </c>
      <c r="J2" s="15">
        <v>0.95</v>
      </c>
      <c r="K2" s="15">
        <f>J2*I2</f>
        <v>7.0005384148429097E-3</v>
      </c>
      <c r="L2" s="15">
        <v>1</v>
      </c>
      <c r="M2" s="15">
        <f>SQRT(K2*K2+(2/3*L2)*(2/3*L2))</f>
        <v>0.66670342130706217</v>
      </c>
      <c r="N2" s="60">
        <f>M2/H2</f>
        <v>21.041016004881381</v>
      </c>
    </row>
    <row r="3" spans="1:14" x14ac:dyDescent="0.3">
      <c r="A3" s="15">
        <f>'Таблица 2'!C4</f>
        <v>4.2541108722581655E-2</v>
      </c>
      <c r="B3" s="15">
        <f t="shared" ref="B3:B7" si="0">(A3-$H$2)*(A3-$H$2)</f>
        <v>1.178356675599289E-4</v>
      </c>
    </row>
    <row r="4" spans="1:14" x14ac:dyDescent="0.3">
      <c r="A4" s="15">
        <f>'Таблица 2'!C5</f>
        <v>3.1280652246285977E-2</v>
      </c>
      <c r="B4" s="15">
        <f t="shared" si="0"/>
        <v>1.6422159248737016E-7</v>
      </c>
    </row>
    <row r="5" spans="1:14" x14ac:dyDescent="0.3">
      <c r="A5" s="15">
        <f>'Таблица 2'!C6</f>
        <v>2.2776967930029157E-2</v>
      </c>
      <c r="B5" s="15">
        <f>(A5-$H$2)*(A5-$H$2)</f>
        <v>7.9368979406685557E-5</v>
      </c>
    </row>
    <row r="6" spans="1:14" x14ac:dyDescent="0.3">
      <c r="A6" s="15">
        <f>'Таблица 2'!C7</f>
        <v>1.7874812474065561E-2</v>
      </c>
      <c r="B6" s="15">
        <f t="shared" si="0"/>
        <v>1.9074599723400507E-4</v>
      </c>
    </row>
    <row r="7" spans="1:14" x14ac:dyDescent="0.3">
      <c r="A7" s="15">
        <f>'Таблица 2'!C8</f>
        <v>1.3678962352998656E-2</v>
      </c>
      <c r="B7" s="15">
        <f t="shared" si="0"/>
        <v>3.2424961904566025E-4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4"/>
  <sheetViews>
    <sheetView workbookViewId="0">
      <selection activeCell="M2" sqref="M2"/>
    </sheetView>
  </sheetViews>
  <sheetFormatPr defaultColWidth="8.77734375" defaultRowHeight="14.4" x14ac:dyDescent="0.3"/>
  <cols>
    <col min="1" max="1" width="9.4414062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3" width="18.44140625" customWidth="1"/>
    <col min="14" max="14" width="14.4414062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1'!B3</f>
        <v>4.6900000000000004</v>
      </c>
      <c r="B2">
        <f>(A2-$H$2)*(A2-$H$2)</f>
        <v>4.0111111111111276E-3</v>
      </c>
      <c r="H2">
        <f>SUM(A:A)/COUNT(A:A)</f>
        <v>4.7533333333333339</v>
      </c>
      <c r="I2">
        <f>SQRT(SUM(B:B)/COUNT(A:A)/(COUNT(A:A)-1))</f>
        <v>7.8810602783579223E-2</v>
      </c>
      <c r="J2">
        <v>0.95</v>
      </c>
      <c r="K2">
        <f>J2*I2</f>
        <v>7.4870072644400251E-2</v>
      </c>
      <c r="L2">
        <v>1</v>
      </c>
      <c r="M2">
        <f>SQRT(K2*K2+(2/3*L2)*(2/3*L2))</f>
        <v>0.67085763931121944</v>
      </c>
      <c r="N2" s="28">
        <f>M2/H2</f>
        <v>0.14113414571764785</v>
      </c>
    </row>
    <row r="3" spans="1:14" x14ac:dyDescent="0.3">
      <c r="A3" s="15">
        <f>'Таблица 1'!B4</f>
        <v>4.66</v>
      </c>
      <c r="B3">
        <f t="shared" ref="B3:B4" si="0">(A3-$H$2)*(A3-$H$2)</f>
        <v>8.7111111111111816E-3</v>
      </c>
    </row>
    <row r="4" spans="1:14" x14ac:dyDescent="0.3">
      <c r="A4" s="15">
        <f>'Таблица 1'!B5</f>
        <v>4.91</v>
      </c>
      <c r="B4">
        <f t="shared" si="0"/>
        <v>2.4544444444444327E-2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8" sqref="B8"/>
    </sheetView>
  </sheetViews>
  <sheetFormatPr defaultColWidth="8.77734375" defaultRowHeight="14.4" x14ac:dyDescent="0.3"/>
  <cols>
    <col min="1" max="1" width="26.33203125" customWidth="1"/>
  </cols>
  <sheetData>
    <row r="1" spans="1:7" x14ac:dyDescent="0.3">
      <c r="A1" s="29" t="s">
        <v>42</v>
      </c>
      <c r="B1" t="s">
        <v>27</v>
      </c>
    </row>
    <row r="2" spans="1:7" ht="43.2" x14ac:dyDescent="0.3">
      <c r="A2" s="29" t="s">
        <v>38</v>
      </c>
      <c r="B2" s="25">
        <f>-4*'Параметры установки'!A2/'Погрешности прямые (t)'!H2/'Погрешности прямые (t)'!H2/'Погрешности прямые (t)'!H2</f>
        <v>-2.6071331931129725E-2</v>
      </c>
      <c r="C2" s="25"/>
      <c r="D2" s="25"/>
      <c r="E2" s="25"/>
      <c r="F2" s="25"/>
      <c r="G2" s="25"/>
    </row>
    <row r="3" spans="1:7" ht="28.8" x14ac:dyDescent="0.3">
      <c r="A3" s="29" t="s">
        <v>41</v>
      </c>
      <c r="B3" s="27">
        <f>'Погрешности прямые (t)'!H2</f>
        <v>4.7533333333333339</v>
      </c>
      <c r="C3" s="25"/>
      <c r="D3" s="25"/>
      <c r="E3" s="25"/>
      <c r="F3" s="25"/>
      <c r="G3" s="25"/>
    </row>
    <row r="4" spans="1:7" x14ac:dyDescent="0.3">
      <c r="A4" s="29" t="s">
        <v>40</v>
      </c>
      <c r="B4" s="15">
        <f>2*'Параметры установки'!A2/'Погрешности прямые (t)'!H2/'Погрешности прямые (t)'!H2</f>
        <v>6.1962865556318324E-2</v>
      </c>
    </row>
    <row r="5" spans="1:7" ht="28.8" x14ac:dyDescent="0.3">
      <c r="A5" s="29" t="s">
        <v>43</v>
      </c>
      <c r="B5" s="15">
        <f>'Погрешности прямые (t)'!M2</f>
        <v>0.67085763931121944</v>
      </c>
    </row>
    <row r="6" spans="1:7" ht="28.8" x14ac:dyDescent="0.3">
      <c r="A6" s="29" t="s">
        <v>46</v>
      </c>
      <c r="B6" s="28">
        <f>'Погрешности прямые (t)'!N2</f>
        <v>0.14113414571764785</v>
      </c>
    </row>
    <row r="7" spans="1:7" x14ac:dyDescent="0.3">
      <c r="A7" s="29" t="s">
        <v>44</v>
      </c>
      <c r="B7">
        <f>B5*B5*B2*B2</f>
        <v>3.0590542373489399E-4</v>
      </c>
    </row>
    <row r="8" spans="1:7" ht="28.8" x14ac:dyDescent="0.3">
      <c r="A8" s="29" t="s">
        <v>39</v>
      </c>
      <c r="B8">
        <f>SQRT(SUM(7:7))</f>
        <v>1.7490152193016903E-2</v>
      </c>
    </row>
    <row r="9" spans="1:7" ht="28.8" x14ac:dyDescent="0.3">
      <c r="A9" s="29" t="s">
        <v>47</v>
      </c>
      <c r="B9" s="28">
        <f>B8/B4</f>
        <v>0.28226829143529564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workbookViewId="0">
      <selection activeCell="N2" sqref="N2"/>
    </sheetView>
  </sheetViews>
  <sheetFormatPr defaultColWidth="8.77734375" defaultRowHeight="14.4" x14ac:dyDescent="0.3"/>
  <cols>
    <col min="1" max="1" width="9.4414062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3" width="18.44140625" customWidth="1"/>
    <col min="14" max="14" width="14.4414062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2'!D3</f>
        <v>2.6940376328834055</v>
      </c>
      <c r="B2" s="15">
        <f>(A2-$H$2)*(A2-$H$2)</f>
        <v>1.7328827094737926</v>
      </c>
      <c r="H2" s="15">
        <f>SUM(A:A)/COUNT(A:A)</f>
        <v>1.3776476034947776</v>
      </c>
      <c r="I2" s="15">
        <f>SQRT(SUM(B:B)/COUNT(A:A)/(COUNT(A:A)-1))</f>
        <v>0.32039077413468703</v>
      </c>
      <c r="J2" s="15">
        <v>0.95</v>
      </c>
      <c r="K2" s="15">
        <f>J2*I2</f>
        <v>0.30437123542795264</v>
      </c>
      <c r="L2" s="15">
        <v>1</v>
      </c>
      <c r="M2" s="15">
        <f>SQRT(K2*K2+(2/3*L2)*(2/3*L2))</f>
        <v>0.73286171505979392</v>
      </c>
      <c r="N2" s="60">
        <f>M2/H2</f>
        <v>0.53196602179010877</v>
      </c>
    </row>
    <row r="3" spans="1:14" x14ac:dyDescent="0.3">
      <c r="A3" s="15">
        <f>'Таблица 2'!D4</f>
        <v>1.8496134227209415</v>
      </c>
      <c r="B3" s="15">
        <f t="shared" ref="B3:B7" si="0">(A3-$H$2)*(A3-$H$2)</f>
        <v>0.2227517345178241</v>
      </c>
    </row>
    <row r="4" spans="1:14" x14ac:dyDescent="0.3">
      <c r="A4" s="15">
        <f>'Таблица 2'!D5</f>
        <v>1.360028358534173</v>
      </c>
      <c r="B4" s="15">
        <f t="shared" si="0"/>
        <v>3.1043779298178771E-4</v>
      </c>
    </row>
    <row r="5" spans="1:14" x14ac:dyDescent="0.3">
      <c r="A5" s="15">
        <f>'Таблица 2'!D6</f>
        <v>0.99030295347952857</v>
      </c>
      <c r="B5" s="15">
        <f t="shared" si="0"/>
        <v>0.15003587789543571</v>
      </c>
    </row>
    <row r="6" spans="1:14" x14ac:dyDescent="0.3">
      <c r="A6" s="15">
        <f>'Таблица 2'!D7</f>
        <v>0.77716575974198099</v>
      </c>
      <c r="B6" s="15">
        <f t="shared" si="0"/>
        <v>0.36057844467675798</v>
      </c>
    </row>
    <row r="7" spans="1:14" x14ac:dyDescent="0.3">
      <c r="A7" s="15">
        <f>'Таблица 2'!D8</f>
        <v>0.59473749360863726</v>
      </c>
      <c r="B7" s="15">
        <f t="shared" si="0"/>
        <v>0.61294824016192828</v>
      </c>
    </row>
    <row r="8" spans="1:14" x14ac:dyDescent="0.3">
      <c r="A8" s="15"/>
      <c r="B8" s="15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workbookViewId="0">
      <selection activeCell="B8" sqref="B8"/>
    </sheetView>
  </sheetViews>
  <sheetFormatPr defaultColWidth="8.77734375" defaultRowHeight="14.4" x14ac:dyDescent="0.3"/>
  <cols>
    <col min="1" max="1" width="26.33203125" customWidth="1"/>
  </cols>
  <sheetData>
    <row r="1" spans="1:7" x14ac:dyDescent="0.3">
      <c r="A1" s="29" t="s">
        <v>42</v>
      </c>
      <c r="B1" s="26" t="s">
        <v>45</v>
      </c>
    </row>
    <row r="2" spans="1:7" ht="43.2" x14ac:dyDescent="0.3">
      <c r="A2" s="29" t="s">
        <v>38</v>
      </c>
      <c r="B2" s="25">
        <f>-8*'Параметры установки'!A2/'Параметры установки'!B2/'Погрешности прямые (t)'!H2/'Погрешности прямые (t)'!H2/'Погрешности прямые (t)'!H2</f>
        <v>-1.133536170918684</v>
      </c>
      <c r="C2" s="25"/>
      <c r="D2" s="25"/>
      <c r="E2" s="25"/>
      <c r="F2" s="25"/>
      <c r="G2" s="25"/>
    </row>
    <row r="3" spans="1:7" ht="28.8" x14ac:dyDescent="0.3">
      <c r="A3" s="29" t="s">
        <v>41</v>
      </c>
      <c r="B3" s="27">
        <f>'Погрешности прямые (t)'!H2</f>
        <v>4.7533333333333339</v>
      </c>
      <c r="C3" s="25"/>
      <c r="D3" s="25"/>
      <c r="E3" s="25"/>
      <c r="F3" s="25"/>
      <c r="G3" s="25"/>
    </row>
    <row r="4" spans="1:7" x14ac:dyDescent="0.3">
      <c r="A4" s="29" t="s">
        <v>40</v>
      </c>
      <c r="B4">
        <f>4*'Параметры установки'!A2/'Параметры установки'!B2/'Погрешности прямые (t)'!H2/'Погрешности прямые (t)'!H2</f>
        <v>2.6940376328834059</v>
      </c>
    </row>
    <row r="5" spans="1:7" ht="28.8" x14ac:dyDescent="0.3">
      <c r="A5" s="29" t="s">
        <v>43</v>
      </c>
      <c r="B5" s="15">
        <f>'Погрешности прямые (t)'!M2</f>
        <v>0.67085763931121944</v>
      </c>
    </row>
    <row r="6" spans="1:7" ht="28.8" x14ac:dyDescent="0.3">
      <c r="A6" s="29" t="s">
        <v>46</v>
      </c>
      <c r="B6" s="28">
        <f>'Погрешности прямые (t)'!N2</f>
        <v>0.14113414571764785</v>
      </c>
    </row>
    <row r="7" spans="1:7" x14ac:dyDescent="0.3">
      <c r="A7" s="29" t="s">
        <v>44</v>
      </c>
      <c r="B7">
        <f>B5*B5*B2*B2</f>
        <v>0.57827112237220069</v>
      </c>
    </row>
    <row r="8" spans="1:7" ht="28.8" x14ac:dyDescent="0.3">
      <c r="A8" s="29" t="s">
        <v>39</v>
      </c>
      <c r="B8">
        <f>SQRT(SUM(7:7))</f>
        <v>0.76044139969638735</v>
      </c>
    </row>
    <row r="9" spans="1:7" ht="28.8" x14ac:dyDescent="0.3">
      <c r="A9" s="29" t="s">
        <v>47</v>
      </c>
      <c r="B9" s="28">
        <f>B8/B4</f>
        <v>0.28226829143529569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workbookViewId="0">
      <selection activeCell="K17" sqref="K17"/>
    </sheetView>
  </sheetViews>
  <sheetFormatPr defaultColWidth="8.77734375" defaultRowHeight="14.4" x14ac:dyDescent="0.3"/>
  <cols>
    <col min="1" max="1" width="9.44140625" bestFit="1" customWidth="1"/>
    <col min="2" max="2" width="17" bestFit="1" customWidth="1"/>
    <col min="9" max="9" width="9.109375" customWidth="1"/>
    <col min="10" max="10" width="12" customWidth="1"/>
    <col min="11" max="11" width="19.33203125" customWidth="1"/>
    <col min="12" max="13" width="18.44140625" customWidth="1"/>
    <col min="14" max="14" width="14.44140625" customWidth="1"/>
  </cols>
  <sheetData>
    <row r="1" spans="1:14" ht="45.6" thickTop="1" thickBot="1" x14ac:dyDescent="0.3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5" thickTop="1" x14ac:dyDescent="0.3">
      <c r="A2" s="15">
        <f>'Таблица 2'!E3</f>
        <v>5.9801286042618668E-2</v>
      </c>
      <c r="B2" s="15">
        <f>(A2-$H$2)*(A2-$H$2)</f>
        <v>3.4570290992586954E-8</v>
      </c>
      <c r="H2" s="15">
        <f>SUM(A:A)/COUNT(A:A)</f>
        <v>5.99872169195396E-2</v>
      </c>
      <c r="I2" s="15">
        <f>SQRT(SUM(B:B)/COUNT(A:A)/(COUNT(A:A)-1))</f>
        <v>4.5252954111104386E-5</v>
      </c>
      <c r="J2" s="15">
        <v>0.95</v>
      </c>
      <c r="K2" s="15">
        <f>J2*I2</f>
        <v>4.2990306405549167E-5</v>
      </c>
      <c r="L2" s="15">
        <v>1</v>
      </c>
      <c r="M2" s="15">
        <f>SQRT(K2*K2+(2/3*L2)*(2/3*L2))</f>
        <v>0.66666666805279151</v>
      </c>
      <c r="N2" s="60">
        <f>M2/H2</f>
        <v>11.113478875790928</v>
      </c>
    </row>
    <row r="3" spans="1:14" x14ac:dyDescent="0.3">
      <c r="A3" s="15">
        <f>'Таблица 2'!E4</f>
        <v>5.9920555051334638E-2</v>
      </c>
      <c r="B3" s="15">
        <f t="shared" ref="B3:B7" si="0">(A3-$H$2)*(A3-$H$2)</f>
        <v>4.4438046725757091E-9</v>
      </c>
    </row>
    <row r="4" spans="1:14" x14ac:dyDescent="0.3">
      <c r="A4" s="15">
        <f>'Таблица 2'!E5</f>
        <v>5.9989705514555569E-2</v>
      </c>
      <c r="B4" s="15">
        <f t="shared" si="0"/>
        <v>6.1931051535054025E-12</v>
      </c>
    </row>
    <row r="5" spans="1:14" x14ac:dyDescent="0.3">
      <c r="A5" s="15">
        <f>'Таблица 2'!E6</f>
        <v>6.0041926639941699E-2</v>
      </c>
      <c r="B5" s="15">
        <f t="shared" si="0"/>
        <v>2.9931535064758577E-9</v>
      </c>
    </row>
    <row r="6" spans="1:14" x14ac:dyDescent="0.3">
      <c r="A6" s="15">
        <f>'Таблица 2'!E7</f>
        <v>6.0072030776596771E-2</v>
      </c>
      <c r="B6" s="15">
        <f t="shared" si="0"/>
        <v>7.1933903489142889E-9</v>
      </c>
    </row>
    <row r="7" spans="1:14" x14ac:dyDescent="0.3">
      <c r="A7" s="15">
        <f>'Таблица 2'!E8</f>
        <v>6.0097797492190248E-2</v>
      </c>
      <c r="B7" s="15">
        <f t="shared" si="0"/>
        <v>1.2228063047745271E-8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10"/>
  <sheetViews>
    <sheetView workbookViewId="0">
      <selection activeCell="G9" sqref="G9"/>
    </sheetView>
  </sheetViews>
  <sheetFormatPr defaultColWidth="8.77734375" defaultRowHeight="14.4" x14ac:dyDescent="0.3"/>
  <cols>
    <col min="1" max="1" width="26.33203125" customWidth="1"/>
  </cols>
  <sheetData>
    <row r="1" spans="1:8" x14ac:dyDescent="0.3">
      <c r="A1" s="29" t="s">
        <v>42</v>
      </c>
      <c r="B1" t="s">
        <v>48</v>
      </c>
    </row>
    <row r="2" spans="1:8" ht="43.2" x14ac:dyDescent="0.3">
      <c r="A2" s="29" t="s">
        <v>38</v>
      </c>
      <c r="B2" s="25">
        <f>2*'Таблица 2'!A3*'Параметры установки'!B2*'Параметры установки'!A2/'Погрешности прямые (t)'!H2/'Погрешности прямые (t)'!H2/'Погрешности прямые (t)'!H2</f>
        <v>1.6010404938906768E-4</v>
      </c>
      <c r="C2" s="25"/>
      <c r="D2" s="25"/>
      <c r="E2" s="25"/>
      <c r="F2" s="25"/>
      <c r="G2" s="25"/>
    </row>
    <row r="3" spans="1:8" ht="28.8" x14ac:dyDescent="0.3">
      <c r="A3" s="29" t="s">
        <v>41</v>
      </c>
      <c r="B3" s="27">
        <f>'Погрешности прямые (t)'!H2</f>
        <v>4.7533333333333339</v>
      </c>
      <c r="C3" s="25"/>
      <c r="D3" s="25"/>
      <c r="E3" s="25"/>
      <c r="F3" s="25"/>
      <c r="G3" s="25"/>
    </row>
    <row r="4" spans="1:8" x14ac:dyDescent="0.3">
      <c r="A4" s="29" t="s">
        <v>40</v>
      </c>
      <c r="B4">
        <f>'Таблица 2'!A3*'Параметры установки'!B2/2*(9.82-2*'Параметры установки'!A2/'Погрешности прямые (t)'!H2/'Погрешности прямые (t)'!H2)</f>
        <v>5.9924106042618663E-2</v>
      </c>
    </row>
    <row r="5" spans="1:8" ht="28.8" x14ac:dyDescent="0.3">
      <c r="A5" s="29" t="s">
        <v>43</v>
      </c>
      <c r="B5">
        <f>'Погрешности прямые (t)'!M2</f>
        <v>0.67085763931121944</v>
      </c>
    </row>
    <row r="6" spans="1:8" ht="28.8" x14ac:dyDescent="0.3">
      <c r="A6" s="29" t="s">
        <v>46</v>
      </c>
      <c r="B6" s="28">
        <f>'Погрешности прямые (t)'!N2</f>
        <v>0.14113414571764785</v>
      </c>
    </row>
    <row r="7" spans="1:8" x14ac:dyDescent="0.3">
      <c r="A7" s="29" t="s">
        <v>44</v>
      </c>
      <c r="B7">
        <f>B5*B5*B2*B2</f>
        <v>1.1536268937144902E-8</v>
      </c>
    </row>
    <row r="8" spans="1:8" ht="28.8" x14ac:dyDescent="0.3">
      <c r="A8" s="29" t="s">
        <v>39</v>
      </c>
      <c r="B8">
        <f>SQRT(SUM(7:7))</f>
        <v>1.0740702461731682E-4</v>
      </c>
    </row>
    <row r="9" spans="1:8" ht="28.8" x14ac:dyDescent="0.3">
      <c r="A9" s="29" t="s">
        <v>47</v>
      </c>
      <c r="B9" s="28">
        <f>B8/B3</f>
        <v>2.2596148236462163E-5</v>
      </c>
    </row>
    <row r="10" spans="1:8" x14ac:dyDescent="0.3">
      <c r="H10" s="2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zoomScaleNormal="100" workbookViewId="0">
      <selection activeCell="P32" sqref="P32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2'!D3</f>
        <v>2.6940376328834055</v>
      </c>
      <c r="B2" s="14">
        <f>'Таблица 2'!E3</f>
        <v>5.9801286042618668E-2</v>
      </c>
      <c r="C2" s="31">
        <f>(A2-$L$2)*(A2-$L$2)</f>
        <v>25.061223446534157</v>
      </c>
      <c r="D2" s="33">
        <f>(B2-$M$2)*(B2-$M$2)</f>
        <v>5.161694502847561E-3</v>
      </c>
      <c r="E2" s="16">
        <f>A2-$L$2</f>
        <v>-5.0061186009256868</v>
      </c>
      <c r="F2" s="14">
        <f>B2-$M$2</f>
        <v>-7.1844933731249006E-2</v>
      </c>
      <c r="G2" s="34">
        <f>E2*F2</f>
        <v>0.35966425913427896</v>
      </c>
      <c r="H2" s="15">
        <f>B2-($O$2+$N$2*A2)</f>
        <v>-4.4629741974600012E-4</v>
      </c>
      <c r="I2" s="32">
        <f>H2*H2</f>
        <v>1.9918138687193742E-7</v>
      </c>
      <c r="J2" s="23">
        <f>SQRT(4*$R$2+4*$Q$2*A2*A2)</f>
        <v>3.2600739893649945E-3</v>
      </c>
      <c r="K2" s="15"/>
      <c r="L2" s="15">
        <f>SUM(A:A)/COUNT(A:A)</f>
        <v>7.7001562338090919</v>
      </c>
      <c r="M2" s="15">
        <f>SUM(B:B)/COUNT(B:B)</f>
        <v>0.13164621977386767</v>
      </c>
      <c r="N2" s="15">
        <f>SUM(G:G)/SUM(C:C)</f>
        <v>1.4262274229440071E-2</v>
      </c>
      <c r="O2" s="15">
        <f>M2-N2*L2</f>
        <v>2.1824479957749943E-2</v>
      </c>
      <c r="P2" s="15">
        <f>SUM(C:C)</f>
        <v>55.771526319329524</v>
      </c>
      <c r="Q2" s="31">
        <f>1/P2*SUM(I:I)/(COUNT(I:I)-2)</f>
        <v>3.3009285684151558E-8</v>
      </c>
      <c r="R2" s="31">
        <f>(1/COUNT(I:I)+L2*L2/P2)*SUM(I:I)/(COUNT(I:I)-2)</f>
        <v>2.4174445307111937E-6</v>
      </c>
    </row>
    <row r="3" spans="1:18" ht="16.8" thickTop="1" thickBot="1" x14ac:dyDescent="0.35">
      <c r="A3" s="13">
        <f>'Таблица 2'!D9</f>
        <v>5.9691389829686248</v>
      </c>
      <c r="B3" s="14">
        <f>'Таблица 2'!E9</f>
        <v>0.10823201250779067</v>
      </c>
      <c r="C3" s="31">
        <f t="shared" ref="C3:C5" si="0">(A3-$L$2)*(A3-$L$2)</f>
        <v>2.9964207227072888</v>
      </c>
      <c r="D3" s="33">
        <f t="shared" ref="D3:D5" si="1">(B3-$M$2)*(B3-$M$2)</f>
        <v>5.4822510189881301E-4</v>
      </c>
      <c r="E3" s="19">
        <f>A3-$L$2</f>
        <v>-1.7310172508404671</v>
      </c>
      <c r="F3" s="14">
        <f>B3-$M$2</f>
        <v>-2.3414207266077E-2</v>
      </c>
      <c r="G3" s="34">
        <f>E3*F3</f>
        <v>4.0530396692333499E-2</v>
      </c>
      <c r="H3" s="15">
        <f>B3-($O$2+$N$2*A3)</f>
        <v>1.2740354613011984E-3</v>
      </c>
      <c r="I3" s="33">
        <f>H3*H3</f>
        <v>1.6231663566529573E-6</v>
      </c>
      <c r="J3" s="17">
        <f t="shared" ref="J3:J5" si="2">SQRT(4*$R$2+4*$Q$2*A3*A3)</f>
        <v>3.7913511322114888E-3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2'!D15</f>
        <v>9.4845236661447672</v>
      </c>
      <c r="B4" s="14">
        <f>'Таблица 2'!E15</f>
        <v>0.1558105596952909</v>
      </c>
      <c r="C4" s="31">
        <f t="shared" si="0"/>
        <v>3.1839671335802109</v>
      </c>
      <c r="D4" s="33">
        <f t="shared" si="1"/>
        <v>5.8391532383808803E-4</v>
      </c>
      <c r="E4" s="19">
        <f t="shared" ref="E4:E5" si="3">A4-$L$2</f>
        <v>1.7843674323356753</v>
      </c>
      <c r="F4" s="14">
        <f t="shared" ref="F4:F5" si="4">B4-$M$2</f>
        <v>2.4164339921423222E-2</v>
      </c>
      <c r="G4" s="34">
        <f t="shared" ref="G4:G5" si="5">E4*F4</f>
        <v>4.3118061179676412E-2</v>
      </c>
      <c r="H4" s="15">
        <f t="shared" ref="H4:H5" si="6">B4-($O$2+$N$2*A4)</f>
        <v>-1.2847977246300268E-3</v>
      </c>
      <c r="I4" s="33">
        <f t="shared" ref="I4:I5" si="7">H4*H4</f>
        <v>1.6507051932144942E-6</v>
      </c>
      <c r="J4" s="17">
        <f t="shared" si="2"/>
        <v>4.6419108471413466E-3</v>
      </c>
      <c r="K4" s="15"/>
      <c r="L4" s="15"/>
      <c r="M4" s="15"/>
      <c r="N4" s="15"/>
      <c r="O4" s="15"/>
      <c r="P4" s="15"/>
      <c r="Q4" s="15">
        <f>SQRT(Q2)</f>
        <v>1.8168457745265984E-4</v>
      </c>
      <c r="R4" s="15">
        <f>SQRT(R2)</f>
        <v>1.5548133427235546E-3</v>
      </c>
    </row>
    <row r="5" spans="1:18" ht="16.8" thickTop="1" thickBot="1" x14ac:dyDescent="0.35">
      <c r="A5" s="13">
        <f>'Таблица 2'!D21</f>
        <v>12.65292465323957</v>
      </c>
      <c r="B5" s="14">
        <f>'Таблица 2'!E21</f>
        <v>0.20274102084977044</v>
      </c>
      <c r="C5" s="31">
        <f t="shared" si="0"/>
        <v>24.529915016507871</v>
      </c>
      <c r="D5" s="33">
        <f t="shared" si="1"/>
        <v>5.0544707400221852E-3</v>
      </c>
      <c r="E5" s="19">
        <f t="shared" si="3"/>
        <v>4.9527684194304777</v>
      </c>
      <c r="F5" s="14">
        <f t="shared" si="4"/>
        <v>7.1094801075902769E-2</v>
      </c>
      <c r="G5" s="34">
        <f t="shared" si="5"/>
        <v>0.3521160855544232</v>
      </c>
      <c r="H5" s="15">
        <f t="shared" si="6"/>
        <v>4.5705968307482858E-4</v>
      </c>
      <c r="I5" s="33">
        <f t="shared" si="7"/>
        <v>2.0890355389246273E-7</v>
      </c>
      <c r="J5" s="17">
        <f t="shared" si="2"/>
        <v>5.5505371673464339E-3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3.6336915490531969E-4</v>
      </c>
      <c r="R6" s="15">
        <f>R4*2</f>
        <v>3.1096266854471091E-3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5">
        <f>B2-($O$2+$N$2*A2)</f>
        <v>0.42403696602093532</v>
      </c>
      <c r="I2" s="18">
        <f>H2*H2</f>
        <v>0.17980734855223987</v>
      </c>
      <c r="J2" s="23">
        <f>SQRT(4*$R$2+4*$Q$2*A2*A2)</f>
        <v>4.9576164097232098</v>
      </c>
      <c r="K2" s="15"/>
      <c r="L2" s="15">
        <f>SUM(A:A)/COUNT(A:A)</f>
        <v>0.90338095238095228</v>
      </c>
      <c r="M2" s="15">
        <f>SUM(B:B)/COUNT(B:B)</f>
        <v>301.67071428571433</v>
      </c>
      <c r="N2" s="15">
        <f>SUM(G:G)/SUM(C:C)</f>
        <v>308.38344786082757</v>
      </c>
      <c r="O2" s="15">
        <f>M2-N2*L2</f>
        <v>23.082981458678148</v>
      </c>
      <c r="P2" s="15">
        <f>SUM(C:C)</f>
        <v>1.902756984126984</v>
      </c>
      <c r="Q2" s="15">
        <f>1/P2*SUM(I:I)/(COUNT(I:I)-2)</f>
        <v>5.6135134076679245</v>
      </c>
      <c r="R2" s="15">
        <f>(1/COUNT(I:I)+L2*L2/P2)*SUM(I:I)/(COUNT(I:I)-2)</f>
        <v>6.1070511006786266</v>
      </c>
    </row>
    <row r="3" spans="1:18" ht="16.8" thickTop="1" thickBot="1" x14ac:dyDescent="0.35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19">
        <f>A3-$L$2</f>
        <v>-0.51938095238095228</v>
      </c>
      <c r="F3" s="14">
        <f>B3-$M$2</f>
        <v>-160.13071428571433</v>
      </c>
      <c r="G3" s="17">
        <f>E3*F3</f>
        <v>83.168842891156473</v>
      </c>
      <c r="H3" s="15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4"/>
      <c r="L3" s="15"/>
      <c r="M3" s="15"/>
      <c r="N3" s="30"/>
      <c r="O3" s="30"/>
      <c r="P3" s="15"/>
      <c r="Q3" s="30" t="s">
        <v>58</v>
      </c>
      <c r="R3" s="30" t="s">
        <v>59</v>
      </c>
    </row>
    <row r="4" spans="1:18" ht="15.6" thickTop="1" thickBot="1" x14ac:dyDescent="0.35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19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5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5"/>
      <c r="L4" s="15"/>
      <c r="M4" s="15"/>
      <c r="N4" s="15"/>
      <c r="O4" s="15"/>
      <c r="P4" s="15"/>
      <c r="Q4" s="15">
        <f>SQRT(Q2)</f>
        <v>2.3692854213175591</v>
      </c>
      <c r="R4" s="15">
        <f>SQRT(R2)</f>
        <v>2.4712448483868665</v>
      </c>
    </row>
    <row r="5" spans="1:18" ht="16.8" thickTop="1" thickBot="1" x14ac:dyDescent="0.35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19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5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19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5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5"/>
      <c r="L6" s="15"/>
      <c r="M6" s="15"/>
      <c r="N6" s="15"/>
      <c r="O6" s="15"/>
      <c r="P6" s="15"/>
      <c r="Q6" s="15">
        <f>Q4*2</f>
        <v>4.7385708426351183</v>
      </c>
      <c r="R6" s="15">
        <f>R4*2</f>
        <v>4.9424896967737331</v>
      </c>
    </row>
    <row r="7" spans="1:18" x14ac:dyDescent="0.3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19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5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19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5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workbookViewId="0">
      <selection activeCell="B2" sqref="B2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2'!D4</f>
        <v>1.8496134227209415</v>
      </c>
      <c r="B2" s="14">
        <f>'Таблица 2'!E4</f>
        <v>5.9920555051334638E-2</v>
      </c>
      <c r="C2" s="15">
        <f>(A2-$L$2)*(A2-$L$2)</f>
        <v>14.964818996476826</v>
      </c>
      <c r="D2" s="14">
        <f>(B2-$M$2)*(B2-$M$2)</f>
        <v>5.2527908217999113E-3</v>
      </c>
      <c r="E2" s="16">
        <f>A2-$L$2</f>
        <v>-3.8684388319420053</v>
      </c>
      <c r="F2" s="14">
        <f>B2-$M$2</f>
        <v>-7.2476139672308093E-2</v>
      </c>
      <c r="G2" s="17">
        <f>E2*F2</f>
        <v>0.28036951309760916</v>
      </c>
      <c r="H2" s="15">
        <f>B2-($O$2+$N$2*A2)</f>
        <v>2.3499153142640811E-3</v>
      </c>
      <c r="I2" s="18">
        <f>H2*H2</f>
        <v>5.5221019842128548E-6</v>
      </c>
      <c r="J2" s="23">
        <f>SQRT(4*$R$2+4*$Q$2*A2*A2)</f>
        <v>8.4918807533881351E-3</v>
      </c>
      <c r="K2" s="15"/>
      <c r="L2" s="15">
        <f>SUM(A:A)/COUNT(A:A)</f>
        <v>5.7180522546629469</v>
      </c>
      <c r="M2" s="15">
        <f>SUM(B:B)/COUNT(B:B)</f>
        <v>0.13239669472364274</v>
      </c>
      <c r="N2" s="15">
        <f>SUM(G:G)/SUM(C:C)</f>
        <v>1.934270082513068E-2</v>
      </c>
      <c r="O2" s="15">
        <f>M2-N2*L2</f>
        <v>2.1794120659233418E-2</v>
      </c>
      <c r="P2" s="15">
        <f>SUM(C:C)</f>
        <v>30.913078060711051</v>
      </c>
      <c r="Q2" s="15">
        <f>1/P2*SUM(I:I)/(COUNT(I:I)-2)</f>
        <v>4.111716311315542E-7</v>
      </c>
      <c r="R2" s="15">
        <f>(1/COUNT(I:I)+L2*L2/P2)*SUM(I:I)/(COUNT(I:I)-2)</f>
        <v>1.6621362827005347E-5</v>
      </c>
    </row>
    <row r="3" spans="1:18" ht="16.8" thickTop="1" thickBot="1" x14ac:dyDescent="0.35">
      <c r="A3" s="13">
        <f>'Таблица 2'!D10</f>
        <v>4.7054354464111947</v>
      </c>
      <c r="B3" s="14">
        <f>'Таблица 2'!E10</f>
        <v>0.10855757160398921</v>
      </c>
      <c r="C3" s="15">
        <f t="shared" ref="C3:C5" si="0">(A3-$L$2)*(A3-$L$2)</f>
        <v>1.0253928003539658</v>
      </c>
      <c r="D3" s="14">
        <f t="shared" ref="D3:D5" si="1">(B3-$M$2)*(B3-$M$2)</f>
        <v>5.6830379111399933E-4</v>
      </c>
      <c r="E3" s="19">
        <f>A3-$L$2</f>
        <v>-1.0126168082517522</v>
      </c>
      <c r="F3" s="14">
        <f>B3-$M$2</f>
        <v>-2.3839123119653527E-2</v>
      </c>
      <c r="G3" s="17">
        <f>E3*F3</f>
        <v>2.4139896764944106E-2</v>
      </c>
      <c r="H3" s="15">
        <f>B3-($O$2+$N$2*A3)</f>
        <v>-4.2523791471411748E-3</v>
      </c>
      <c r="I3" s="14">
        <f>H3*H3</f>
        <v>1.8082728411041107E-5</v>
      </c>
      <c r="J3" s="17">
        <f t="shared" ref="J3:J5" si="2">SQRT(4*$R$2+4*$Q$2*A3*A3)</f>
        <v>1.0143996131552121E-2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2'!D16</f>
        <v>6.931690882015304</v>
      </c>
      <c r="B4" s="14">
        <f>'Таблица 2'!E16</f>
        <v>0.15676532681505367</v>
      </c>
      <c r="C4" s="15">
        <f t="shared" si="0"/>
        <v>1.4729187178017136</v>
      </c>
      <c r="D4" s="14">
        <f t="shared" si="1"/>
        <v>5.9383023000654294E-4</v>
      </c>
      <c r="E4" s="19">
        <f t="shared" ref="E4:E5" si="3">A4-$L$2</f>
        <v>1.2136386273523572</v>
      </c>
      <c r="F4" s="14">
        <f t="shared" ref="F4:F5" si="4">B4-$M$2</f>
        <v>2.4368632091410936E-2</v>
      </c>
      <c r="G4" s="17">
        <f t="shared" ref="G4:G5" si="5">E4*F4</f>
        <v>2.9574713201874568E-2</v>
      </c>
      <c r="H4" s="15">
        <f t="shared" ref="H4:H5" si="6">B4-($O$2+$N$2*A4)</f>
        <v>8.9358321271201802E-4</v>
      </c>
      <c r="I4" s="14">
        <f t="shared" ref="I4:I5" si="7">H4*H4</f>
        <v>7.9849095804073168E-7</v>
      </c>
      <c r="J4" s="17">
        <f t="shared" si="2"/>
        <v>1.2062748697466298E-2</v>
      </c>
      <c r="K4" s="15"/>
      <c r="L4" s="15"/>
      <c r="M4" s="15"/>
      <c r="N4" s="15"/>
      <c r="O4" s="15"/>
      <c r="P4" s="15"/>
      <c r="Q4" s="15">
        <f>SQRT(Q2)</f>
        <v>6.4122666127630265E-4</v>
      </c>
      <c r="R4" s="15">
        <f>SQRT(R2)</f>
        <v>4.076930564408149E-3</v>
      </c>
    </row>
    <row r="5" spans="1:18" ht="16.8" thickTop="1" thickBot="1" x14ac:dyDescent="0.35">
      <c r="A5" s="13">
        <f>'Таблица 2'!D22</f>
        <v>9.3854692675043481</v>
      </c>
      <c r="B5" s="14">
        <f>'Таблица 2'!E22</f>
        <v>0.20434332542419342</v>
      </c>
      <c r="C5" s="15">
        <f t="shared" si="0"/>
        <v>13.449947546078546</v>
      </c>
      <c r="D5" s="14">
        <f t="shared" si="1"/>
        <v>5.1763176691614222E-3</v>
      </c>
      <c r="E5" s="19">
        <f t="shared" si="3"/>
        <v>3.6674170128414012</v>
      </c>
      <c r="F5" s="14">
        <f t="shared" si="4"/>
        <v>7.1946630700550684E-2</v>
      </c>
      <c r="G5" s="17">
        <f t="shared" si="5"/>
        <v>0.26385829744781703</v>
      </c>
      <c r="H5" s="15">
        <f t="shared" si="6"/>
        <v>1.0088806201650202E-3</v>
      </c>
      <c r="I5" s="14">
        <f t="shared" si="7"/>
        <v>1.0178401057445559E-6</v>
      </c>
      <c r="J5" s="17">
        <f t="shared" si="2"/>
        <v>1.453826014622238E-2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1.2824533225526053E-3</v>
      </c>
      <c r="R6" s="15">
        <f>R4*2</f>
        <v>8.153861128816298E-3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2'!D5</f>
        <v>1.360028358534173</v>
      </c>
      <c r="B2" s="14">
        <f>'Таблица 2'!E5</f>
        <v>5.9989705514555569E-2</v>
      </c>
      <c r="C2" s="15">
        <f>(A2-$L$2)*(A2-$L$2)</f>
        <v>7.0267902649800051</v>
      </c>
      <c r="D2" s="14">
        <f>(B2-$M$2)*(B2-$M$2)</f>
        <v>5.3381966367642194E-3</v>
      </c>
      <c r="E2" s="16">
        <f>A2-$L$2</f>
        <v>-2.6508093603614737</v>
      </c>
      <c r="F2" s="14">
        <f>B2-$M$2</f>
        <v>-7.3062963509319956E-2</v>
      </c>
      <c r="G2" s="17">
        <f>E2*F2</f>
        <v>0.19367598756625412</v>
      </c>
      <c r="H2" s="15">
        <f>B2-($O$2+$N$2*A2)</f>
        <v>3.2593324795896425E-3</v>
      </c>
      <c r="I2" s="18">
        <f>H2*H2</f>
        <v>1.0623248212507968E-5</v>
      </c>
      <c r="J2" s="23">
        <f>SQRT(4*$R$2+4*$Q$2*A2*A2)</f>
        <v>1.2469599061673681E-2</v>
      </c>
      <c r="K2" s="15"/>
      <c r="L2" s="15">
        <f>SUM(A:A)/COUNT(A:A)</f>
        <v>4.0108377188956466</v>
      </c>
      <c r="M2" s="15">
        <f>SUM(B:B)/COUNT(B:B)</f>
        <v>0.13305266902387552</v>
      </c>
      <c r="N2" s="15">
        <f>SUM(G:G)/SUM(C:C)</f>
        <v>2.8792072764712899E-2</v>
      </c>
      <c r="O2" s="15">
        <f>M2-N2*L2</f>
        <v>1.757233757397697E-2</v>
      </c>
      <c r="P2" s="15">
        <f>SUM(C:C)</f>
        <v>14.185825026805302</v>
      </c>
      <c r="Q2" s="15">
        <f>1/P2*SUM(I:I)/(COUNT(I:I)-2)</f>
        <v>1.8094684615028587E-6</v>
      </c>
      <c r="R2" s="15">
        <f>(1/COUNT(I:I)+L2*L2/P2)*SUM(I:I)/(COUNT(I:I)-2)</f>
        <v>3.5525792748137313E-5</v>
      </c>
    </row>
    <row r="3" spans="1:18" ht="16.8" thickTop="1" thickBot="1" x14ac:dyDescent="0.35">
      <c r="A3" s="13">
        <f>'Таблица 2'!D11</f>
        <v>3.3022578637767253</v>
      </c>
      <c r="B3" s="14">
        <f>'Таблица 2'!E11</f>
        <v>0.10891906242236025</v>
      </c>
      <c r="C3" s="15">
        <f t="shared" ref="C3:C5" si="0">(A3-$L$2)*(A3-$L$2)</f>
        <v>0.50208541108035154</v>
      </c>
      <c r="D3" s="14">
        <f t="shared" ref="D3:D5" si="1">(B3-$M$2)*(B3-$M$2)</f>
        <v>5.8243096759670143E-4</v>
      </c>
      <c r="E3" s="19">
        <f>A3-$L$2</f>
        <v>-0.7085798551189213</v>
      </c>
      <c r="F3" s="14">
        <f>B3-$M$2</f>
        <v>-2.413360660151527E-2</v>
      </c>
      <c r="G3" s="17">
        <f>E3*F3</f>
        <v>1.7100587469198732E-2</v>
      </c>
      <c r="H3" s="15">
        <f>B3-($O$2+$N$2*A3)</f>
        <v>-3.73212385332157E-3</v>
      </c>
      <c r="I3" s="14">
        <f>H3*H3</f>
        <v>1.3928748456531843E-5</v>
      </c>
      <c r="J3" s="17">
        <f t="shared" ref="J3:J5" si="2">SQRT(4*$R$2+4*$Q$2*A3*A3)</f>
        <v>1.486712857793647E-2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2'!D17</f>
        <v>4.9784222929325015</v>
      </c>
      <c r="B4" s="14">
        <f>'Таблица 2'!E17</f>
        <v>0.1574958551271764</v>
      </c>
      <c r="C4" s="15">
        <f t="shared" si="0"/>
        <v>0.93621990791408205</v>
      </c>
      <c r="D4" s="14">
        <f t="shared" si="1"/>
        <v>5.9746934688060095E-4</v>
      </c>
      <c r="E4" s="19">
        <f t="shared" ref="E4:E5" si="3">A4-$L$2</f>
        <v>0.96758457403685494</v>
      </c>
      <c r="F4" s="14">
        <f t="shared" ref="F4:F5" si="4">B4-$M$2</f>
        <v>2.4443186103300873E-2</v>
      </c>
      <c r="G4" s="17">
        <f t="shared" ref="G4:G5" si="5">E4*F4</f>
        <v>2.3650849813865948E-2</v>
      </c>
      <c r="H4" s="15">
        <f t="shared" ref="H4:H5" si="6">B4-($O$2+$N$2*A4)</f>
        <v>-3.4155793583819927E-3</v>
      </c>
      <c r="I4" s="14">
        <f t="shared" ref="I4:I5" si="7">H4*H4</f>
        <v>1.1666182353405145E-5</v>
      </c>
      <c r="J4" s="17">
        <f t="shared" si="2"/>
        <v>1.7930187390598516E-2</v>
      </c>
      <c r="K4" s="15"/>
      <c r="L4" s="15"/>
      <c r="M4" s="15"/>
      <c r="N4" s="15"/>
      <c r="O4" s="15"/>
      <c r="P4" s="15"/>
      <c r="Q4" s="15">
        <f>SQRT(Q2)</f>
        <v>1.3451648454754007E-3</v>
      </c>
      <c r="R4" s="15">
        <f>SQRT(R2)</f>
        <v>5.9603517302368415E-3</v>
      </c>
    </row>
    <row r="5" spans="1:18" ht="16.8" thickTop="1" thickBot="1" x14ac:dyDescent="0.35">
      <c r="A5" s="13">
        <f>'Таблица 2'!D23</f>
        <v>6.4026423603391871</v>
      </c>
      <c r="B5" s="14">
        <f>'Таблица 2'!E23</f>
        <v>0.20580605303140981</v>
      </c>
      <c r="C5" s="15">
        <f t="shared" si="0"/>
        <v>5.7207294428308639</v>
      </c>
      <c r="D5" s="14">
        <f t="shared" si="1"/>
        <v>5.2930548845477451E-3</v>
      </c>
      <c r="E5" s="19">
        <f t="shared" si="3"/>
        <v>2.3918046414435405</v>
      </c>
      <c r="F5" s="14">
        <f t="shared" si="4"/>
        <v>7.2753384007534283E-2</v>
      </c>
      <c r="G5" s="17">
        <f t="shared" si="5"/>
        <v>0.17401188154994476</v>
      </c>
      <c r="H5" s="15">
        <f t="shared" si="6"/>
        <v>3.8883707321138161E-3</v>
      </c>
      <c r="I5" s="14">
        <f t="shared" si="7"/>
        <v>1.5119426950359334E-5</v>
      </c>
      <c r="J5" s="17">
        <f t="shared" si="2"/>
        <v>2.094782411532586E-2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2.6903296909508013E-3</v>
      </c>
      <c r="R6" s="15">
        <f>R4*2</f>
        <v>1.1920703460473683E-2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2'!D6</f>
        <v>0.99030295347952857</v>
      </c>
      <c r="B2" s="14">
        <f>'Таблица 2'!E6</f>
        <v>6.0041926639941699E-2</v>
      </c>
      <c r="C2" s="15">
        <f>(A2-$L$2)*(A2-$L$2)</f>
        <v>2.4176195022526628</v>
      </c>
      <c r="D2" s="14">
        <f>(B2-$M$2)*(B2-$M$2)</f>
        <v>5.4121866215589426E-3</v>
      </c>
      <c r="E2" s="16">
        <f>A2-$L$2</f>
        <v>-1.5548696094054519</v>
      </c>
      <c r="F2" s="14">
        <f>B2-$M$2</f>
        <v>-7.3567565010396685E-2</v>
      </c>
      <c r="G2" s="17">
        <f>E2*F2</f>
        <v>0.11438797107262569</v>
      </c>
      <c r="H2" s="15">
        <f>B2-($O$2+$N$2*A2)</f>
        <v>1.3571385782139289E-5</v>
      </c>
      <c r="I2" s="18">
        <f>H2*H2</f>
        <v>1.8418251204765243E-10</v>
      </c>
      <c r="J2" s="23">
        <f>SQRT(4*$R$2+4*$Q$2*A2*A2)</f>
        <v>1.8994983301504184E-3</v>
      </c>
      <c r="K2" s="15"/>
      <c r="L2" s="15">
        <f>SUM(A:A)/COUNT(A:A)</f>
        <v>2.5451725628849804</v>
      </c>
      <c r="M2" s="15">
        <f>SUM(B:B)/COUNT(B:B)</f>
        <v>0.13360949165033839</v>
      </c>
      <c r="N2" s="15">
        <f>SUM(G:G)/SUM(C:C)</f>
        <v>4.7323026928486077E-2</v>
      </c>
      <c r="O2" s="15">
        <f>M2-N2*L2</f>
        <v>1.3164221919288538E-2</v>
      </c>
      <c r="P2" s="15">
        <f>SUM(C:C)</f>
        <v>5.3526859367277879</v>
      </c>
      <c r="Q2" s="15">
        <f>1/P2*SUM(I:I)/(COUNT(I:I)-2)</f>
        <v>1.0254024880719346E-7</v>
      </c>
      <c r="R2" s="15">
        <f>(1/COUNT(I:I)+L2*L2/P2)*SUM(I:I)/(COUNT(I:I)-2)</f>
        <v>8.0146226074206711E-7</v>
      </c>
    </row>
    <row r="3" spans="1:18" ht="16.8" thickTop="1" thickBot="1" x14ac:dyDescent="0.35">
      <c r="A3" s="13">
        <f>'Таблица 2'!D12</f>
        <v>2.0220088278979698</v>
      </c>
      <c r="B3" s="14">
        <f>'Таблица 2'!E12</f>
        <v>0.10924888401973044</v>
      </c>
      <c r="C3" s="15">
        <f t="shared" ref="C3:C5" si="0">(A3-$L$2)*(A3-$L$2)</f>
        <v>0.27370029360555909</v>
      </c>
      <c r="D3" s="14">
        <f t="shared" ref="D3:D5" si="1">(B3-$M$2)*(B3-$M$2)</f>
        <v>5.9343920413243412E-4</v>
      </c>
      <c r="E3" s="19">
        <f>A3-$L$2</f>
        <v>-0.52316373498701063</v>
      </c>
      <c r="F3" s="14">
        <f>B3-$M$2</f>
        <v>-2.4360607630607947E-2</v>
      </c>
      <c r="G3" s="17">
        <f>E3*F3</f>
        <v>1.2744586474581925E-2</v>
      </c>
      <c r="H3" s="15">
        <f>B3-($O$2+$N$2*A3)</f>
        <v>3.9708388818970874E-4</v>
      </c>
      <c r="I3" s="14">
        <f>H3*H3</f>
        <v>1.5767561425985713E-7</v>
      </c>
      <c r="J3" s="17">
        <f t="shared" ref="J3:J5" si="2">SQRT(4*$R$2+4*$Q$2*A3*A3)</f>
        <v>2.2097059424666969E-3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2'!D18</f>
        <v>3.0830630779779828</v>
      </c>
      <c r="B4" s="14">
        <f>'Таблица 2'!E18</f>
        <v>0.15820472515964704</v>
      </c>
      <c r="C4" s="15">
        <f t="shared" si="0"/>
        <v>0.28932620622701549</v>
      </c>
      <c r="D4" s="14">
        <f t="shared" si="1"/>
        <v>6.0492551137741879E-4</v>
      </c>
      <c r="E4" s="19">
        <f t="shared" ref="E4:E5" si="3">A4-$L$2</f>
        <v>0.53789051509300245</v>
      </c>
      <c r="F4" s="14">
        <f t="shared" ref="F4:F5" si="4">B4-$M$2</f>
        <v>2.4595233509308645E-2</v>
      </c>
      <c r="G4" s="17">
        <f t="shared" ref="G4:G5" si="5">E4*F4</f>
        <v>1.3229542821154702E-2</v>
      </c>
      <c r="H4" s="15">
        <f t="shared" ref="H4:H5" si="6">B4-($O$2+$N$2*A4)</f>
        <v>-8.5937382101475279E-4</v>
      </c>
      <c r="I4" s="14">
        <f t="shared" ref="I4:I5" si="7">H4*H4</f>
        <v>7.3852336424549635E-7</v>
      </c>
      <c r="J4" s="17">
        <f t="shared" si="2"/>
        <v>2.6654349183406387E-3</v>
      </c>
      <c r="K4" s="15"/>
      <c r="L4" s="15"/>
      <c r="M4" s="15"/>
      <c r="N4" s="15"/>
      <c r="O4" s="15"/>
      <c r="P4" s="15"/>
      <c r="Q4" s="15">
        <f>SQRT(Q2)</f>
        <v>3.2021906377852251E-4</v>
      </c>
      <c r="R4" s="15">
        <f>SQRT(R2)</f>
        <v>8.952442464166229E-4</v>
      </c>
    </row>
    <row r="5" spans="1:18" ht="16.8" thickTop="1" thickBot="1" x14ac:dyDescent="0.35">
      <c r="A5" s="13">
        <f>'Таблица 2'!D24</f>
        <v>4.0853153921844418</v>
      </c>
      <c r="B5" s="14">
        <f>'Таблица 2'!E24</f>
        <v>0.20694243078203442</v>
      </c>
      <c r="C5" s="15">
        <f t="shared" si="0"/>
        <v>2.37203993464255</v>
      </c>
      <c r="D5" s="14">
        <f t="shared" si="1"/>
        <v>5.3777199616930347E-3</v>
      </c>
      <c r="E5" s="19">
        <f t="shared" si="3"/>
        <v>1.5401428292994614</v>
      </c>
      <c r="F5" s="14">
        <f t="shared" si="4"/>
        <v>7.3332939131696029E-2</v>
      </c>
      <c r="G5" s="17">
        <f t="shared" si="5"/>
        <v>0.11294320035513551</v>
      </c>
      <c r="H5" s="15">
        <f t="shared" si="6"/>
        <v>4.4871854704287006E-4</v>
      </c>
      <c r="I5" s="14">
        <f t="shared" si="7"/>
        <v>2.0134833446026439E-7</v>
      </c>
      <c r="J5" s="17">
        <f t="shared" si="2"/>
        <v>3.1703871658552555E-3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6.4043812755704501E-4</v>
      </c>
      <c r="R6" s="15">
        <f>R4*2</f>
        <v>1.7904884928332458E-3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2'!D7</f>
        <v>0.77716575974198099</v>
      </c>
      <c r="B2" s="14">
        <f>'Таблица 2'!E7</f>
        <v>6.0072030776596771E-2</v>
      </c>
      <c r="C2" s="15">
        <f>(A2-$L$2)*(A2-$L$2)</f>
        <v>1.3862110423896978</v>
      </c>
      <c r="D2" s="14">
        <f>(B2-$M$2)*(B2-$M$2)</f>
        <v>5.4407869368793011E-3</v>
      </c>
      <c r="E2" s="16">
        <f>A2-$L$2</f>
        <v>-1.177374639776863</v>
      </c>
      <c r="F2" s="14">
        <f>B2-$M$2</f>
        <v>-7.3761690170977653E-2</v>
      </c>
      <c r="G2" s="17">
        <f>E2*F2</f>
        <v>8.6845143394387384E-2</v>
      </c>
      <c r="H2" s="15">
        <f>B2-($O$2+$N$2*A2)</f>
        <v>5.7505162380844937E-4</v>
      </c>
      <c r="I2" s="18">
        <f>H2*H2</f>
        <v>3.3068437004473437E-7</v>
      </c>
      <c r="J2" s="23">
        <f>SQRT(4*$R$2+4*$Q$2*A2*A2)</f>
        <v>1.1471753750176129E-2</v>
      </c>
      <c r="K2" s="15"/>
      <c r="L2" s="15">
        <f>SUM(A:A)/COUNT(A:A)</f>
        <v>1.954540399518844</v>
      </c>
      <c r="M2" s="15">
        <f>SUM(B:B)/COUNT(B:B)</f>
        <v>0.13383372094757442</v>
      </c>
      <c r="N2" s="15">
        <f>SUM(G:G)/SUM(C:C)</f>
        <v>6.3137712741013735E-2</v>
      </c>
      <c r="O2" s="15">
        <f>M2-N2*L2</f>
        <v>1.0428510662047433E-2</v>
      </c>
      <c r="P2" s="15">
        <f>SUM(C:C)</f>
        <v>3.0164915482503201</v>
      </c>
      <c r="Q2" s="15">
        <f>1/P2*SUM(I:I)/(COUNT(I:I)-2)</f>
        <v>6.3534449795701072E-6</v>
      </c>
      <c r="R2" s="15">
        <f>(1/COUNT(I:I)+L2*L2/P2)*SUM(I:I)/(COUNT(I:I)-2)</f>
        <v>2.9062887779577649E-5</v>
      </c>
    </row>
    <row r="3" spans="1:18" ht="16.8" thickTop="1" thickBot="1" x14ac:dyDescent="0.35">
      <c r="A3" s="13">
        <f>'Таблица 2'!D13</f>
        <v>1.5466906883279306</v>
      </c>
      <c r="B3" s="14">
        <f>'Таблица 2'!E13</f>
        <v>0.10937133690480089</v>
      </c>
      <c r="C3" s="15">
        <f t="shared" ref="C3:C5" si="0">(A3-$L$2)*(A3-$L$2)</f>
        <v>0.16634138691851147</v>
      </c>
      <c r="D3" s="14">
        <f t="shared" ref="D3:D5" si="1">(B3-$M$2)*(B3-$M$2)</f>
        <v>5.9840823305614148E-4</v>
      </c>
      <c r="E3" s="19">
        <f>A3-$L$2</f>
        <v>-0.4078497111909134</v>
      </c>
      <c r="F3" s="14">
        <f>B3-$M$2</f>
        <v>-2.4462384042773538E-2</v>
      </c>
      <c r="G3" s="17">
        <f>E3*F3</f>
        <v>9.9769762668863969E-3</v>
      </c>
      <c r="H3" s="15">
        <f>B3-($O$2+$N$2*A3)</f>
        <v>1.2883138639037672E-3</v>
      </c>
      <c r="I3" s="14">
        <f>H3*H3</f>
        <v>1.6597526119266544E-6</v>
      </c>
      <c r="J3" s="17">
        <f t="shared" ref="J3:J5" si="2">SQRT(4*$R$2+4*$Q$2*A3*A3)</f>
        <v>1.330592796931899E-2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2'!D19</f>
        <v>2.4250726179334459</v>
      </c>
      <c r="B4" s="14">
        <f>'Таблица 2'!E19</f>
        <v>0.15845081556567508</v>
      </c>
      <c r="C4" s="15">
        <f t="shared" si="0"/>
        <v>0.22140056856616663</v>
      </c>
      <c r="D4" s="14">
        <f t="shared" si="1"/>
        <v>6.0600134743652053E-4</v>
      </c>
      <c r="E4" s="19">
        <f t="shared" ref="E4:E5" si="3">A4-$L$2</f>
        <v>0.47053221841460191</v>
      </c>
      <c r="F4" s="14">
        <f t="shared" ref="F4:F5" si="4">B4-$M$2</f>
        <v>2.461709461810066E-2</v>
      </c>
      <c r="G4" s="17">
        <f t="shared" ref="G4:G5" si="5">E4*F4</f>
        <v>1.1583136141577062E-2</v>
      </c>
      <c r="H4" s="15">
        <f t="shared" ref="H4:H5" si="6">B4-($O$2+$N$2*A4)</f>
        <v>-5.0912334235523882E-3</v>
      </c>
      <c r="I4" s="14">
        <f t="shared" ref="I4:I5" si="7">H4*H4</f>
        <v>2.5920657773096972E-5</v>
      </c>
      <c r="J4" s="17">
        <f t="shared" si="2"/>
        <v>1.630059543209178E-2</v>
      </c>
      <c r="K4" s="15"/>
      <c r="L4" s="15"/>
      <c r="M4" s="15"/>
      <c r="N4" s="15"/>
      <c r="O4" s="15"/>
      <c r="P4" s="15"/>
      <c r="Q4" s="15">
        <f>SQRT(Q2)</f>
        <v>2.5206040902073668E-3</v>
      </c>
      <c r="R4" s="15">
        <f>SQRT(R2)</f>
        <v>5.3910006287866121E-3</v>
      </c>
    </row>
    <row r="5" spans="1:18" ht="16.8" thickTop="1" thickBot="1" x14ac:dyDescent="0.35">
      <c r="A5" s="13">
        <f>'Таблица 2'!D25</f>
        <v>3.0692325320720184</v>
      </c>
      <c r="B5" s="14">
        <f>'Таблица 2'!E25</f>
        <v>0.20744070054322492</v>
      </c>
      <c r="C5" s="15">
        <f t="shared" si="0"/>
        <v>1.2425385503759439</v>
      </c>
      <c r="D5" s="14">
        <f t="shared" si="1"/>
        <v>5.417987445194508E-3</v>
      </c>
      <c r="E5" s="19">
        <f t="shared" si="3"/>
        <v>1.1146921325531745</v>
      </c>
      <c r="F5" s="14">
        <f t="shared" si="4"/>
        <v>7.360697959565049E-2</v>
      </c>
      <c r="G5" s="17">
        <f t="shared" si="5"/>
        <v>8.2049121056273641E-2</v>
      </c>
      <c r="H5" s="15">
        <f t="shared" si="6"/>
        <v>3.2278679358401507E-3</v>
      </c>
      <c r="I5" s="14">
        <f t="shared" si="7"/>
        <v>1.0419131411224956E-5</v>
      </c>
      <c r="J5" s="17">
        <f t="shared" si="2"/>
        <v>1.8858794878686389E-2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5.0412081804147336E-3</v>
      </c>
      <c r="R6" s="15">
        <f>R4*2</f>
        <v>1.0782001257573224E-2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workbookViewId="0">
      <selection activeCell="Q5" activeCellId="2" sqref="N3:O3 Q3:R3 Q5:R5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5.44140625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2'!D8</f>
        <v>0.59473749360863726</v>
      </c>
      <c r="B2" s="14">
        <f>'Таблица 2'!E8</f>
        <v>6.0097797492190248E-2</v>
      </c>
      <c r="C2" s="15">
        <f>(A2-$L$2)*(A2-$L$2)</f>
        <v>1.004384563367809</v>
      </c>
      <c r="D2" s="14">
        <f>(B2-$M$2)*(B2-$M$2)</f>
        <v>5.4566821062609844E-3</v>
      </c>
      <c r="E2" s="16">
        <f>A2-$L$2</f>
        <v>-1.0021898838881826</v>
      </c>
      <c r="F2" s="14">
        <f>B2-$M$2</f>
        <v>-7.3869358371797061E-2</v>
      </c>
      <c r="G2" s="17">
        <f>E2*F2</f>
        <v>7.4031123689525843E-2</v>
      </c>
      <c r="H2" s="15">
        <f>B2-($O$2+$N$2*A2)</f>
        <v>3.4974075344717873E-3</v>
      </c>
      <c r="I2" s="18">
        <f>H2*H2</f>
        <v>1.2231859462180026E-5</v>
      </c>
      <c r="J2" s="23">
        <f>SQRT(4*$R$2+4*$Q$2*A2*A2)</f>
        <v>1.3370224419455496E-2</v>
      </c>
      <c r="K2" s="15"/>
      <c r="L2" s="15">
        <f>SUM(A:A)/COUNT(A:A)</f>
        <v>1.5969273774968198</v>
      </c>
      <c r="M2" s="15">
        <f>SUM(B:B)/COUNT(B:B)</f>
        <v>0.1339671558639873</v>
      </c>
      <c r="N2" s="15">
        <f>SUM(G:G)/SUM(C:C)</f>
        <v>7.7197711880816478E-2</v>
      </c>
      <c r="O2" s="15">
        <f>M2-N2*L2</f>
        <v>1.0688016281399954E-2</v>
      </c>
      <c r="P2" s="15">
        <f>SUM(C:C)</f>
        <v>2.022526664232525</v>
      </c>
      <c r="Q2" s="15">
        <f>1/P2*SUM(I:I)/(COUNT(I:I)-2)</f>
        <v>1.3107624207553893E-5</v>
      </c>
      <c r="R2" s="15">
        <f>(1/COUNT(I:I)+L2*L2/P2)*SUM(I:I)/(COUNT(I:I)-2)</f>
        <v>4.0054392287135311E-5</v>
      </c>
    </row>
    <row r="3" spans="1:18" ht="16.8" thickTop="1" thickBot="1" x14ac:dyDescent="0.35">
      <c r="A3" s="13">
        <f>'Таблица 2'!D14</f>
        <v>1.3359575356354745</v>
      </c>
      <c r="B3" s="14">
        <f>'Таблица 2'!E14</f>
        <v>0.10942562661179699</v>
      </c>
      <c r="C3" s="15">
        <f t="shared" ref="C3:C5" si="0">(A3-$L$2)*(A3-$L$2)</f>
        <v>6.8105258361135582E-2</v>
      </c>
      <c r="D3" s="14">
        <f t="shared" ref="D3:D5" si="1">(B3-$M$2)*(B3-$M$2)</f>
        <v>6.0228665803611296E-4</v>
      </c>
      <c r="E3" s="19">
        <f>A3-$L$2</f>
        <v>-0.26096984186134531</v>
      </c>
      <c r="F3" s="14">
        <f>B3-$M$2</f>
        <v>-2.4541529252190317E-2</v>
      </c>
      <c r="G3" s="17">
        <f>E3*F3</f>
        <v>6.4045990079796868E-3</v>
      </c>
      <c r="H3" s="15">
        <f>B3-($O$2+$N$2*A3)</f>
        <v>-4.3952545905959345E-3</v>
      </c>
      <c r="I3" s="14">
        <f>H3*H3</f>
        <v>1.9318262916154634E-5</v>
      </c>
      <c r="J3" s="17">
        <f t="shared" ref="J3:J5" si="2">SQRT(4*$R$2+4*$Q$2*A3*A3)</f>
        <v>1.593093231102486E-2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2'!D20</f>
        <v>1.9525991069958448</v>
      </c>
      <c r="B4" s="14">
        <f>'Таблица 2'!E20</f>
        <v>0.15862752207618624</v>
      </c>
      <c r="C4" s="15">
        <f t="shared" si="0"/>
        <v>0.12650237916482762</v>
      </c>
      <c r="D4" s="14">
        <f t="shared" si="1"/>
        <v>6.0813366171976314E-4</v>
      </c>
      <c r="E4" s="19">
        <f t="shared" ref="E4:E5" si="3">A4-$L$2</f>
        <v>0.35567172949902504</v>
      </c>
      <c r="F4" s="14">
        <f t="shared" ref="F4:F5" si="4">B4-$M$2</f>
        <v>2.4660366212198942E-2</v>
      </c>
      <c r="G4" s="17">
        <f t="shared" ref="G4:G5" si="5">E4*F4</f>
        <v>8.7709951007721183E-3</v>
      </c>
      <c r="H4" s="15">
        <f t="shared" ref="H4:H5" si="6">B4-($O$2+$N$2*A4)</f>
        <v>-2.796677485818494E-3</v>
      </c>
      <c r="I4" s="14">
        <f t="shared" ref="I4:I5" si="7">H4*H4</f>
        <v>7.821404959684052E-6</v>
      </c>
      <c r="J4" s="17">
        <f t="shared" si="2"/>
        <v>1.8976731809494655E-2</v>
      </c>
      <c r="K4" s="15"/>
      <c r="L4" s="15"/>
      <c r="M4" s="15"/>
      <c r="N4" s="15"/>
      <c r="O4" s="15"/>
      <c r="P4" s="15"/>
      <c r="Q4" s="15">
        <f>SQRT(Q2)</f>
        <v>3.6204453051460247E-3</v>
      </c>
      <c r="R4" s="15">
        <f>SQRT(R2)</f>
        <v>6.3288539473695636E-3</v>
      </c>
    </row>
    <row r="5" spans="1:18" ht="16.8" thickTop="1" thickBot="1" x14ac:dyDescent="0.35">
      <c r="A5" s="13">
        <f>'Таблица 2'!D26</f>
        <v>2.5044153737473227</v>
      </c>
      <c r="B5" s="14">
        <f>'Таблица 2'!E26</f>
        <v>0.2077176772757757</v>
      </c>
      <c r="C5" s="15">
        <f t="shared" si="0"/>
        <v>0.8235344633387528</v>
      </c>
      <c r="D5" s="14">
        <f t="shared" si="1"/>
        <v>5.4391394085106584E-3</v>
      </c>
      <c r="E5" s="19">
        <f t="shared" si="3"/>
        <v>0.90748799625050292</v>
      </c>
      <c r="F5" s="14">
        <f t="shared" si="4"/>
        <v>7.3750521411788394E-2</v>
      </c>
      <c r="G5" s="17">
        <f t="shared" si="5"/>
        <v>6.6927712898413663E-2</v>
      </c>
      <c r="H5" s="15">
        <f t="shared" si="6"/>
        <v>3.6945245419426065E-3</v>
      </c>
      <c r="I5" s="14">
        <f t="shared" si="7"/>
        <v>1.3649511591016226E-5</v>
      </c>
      <c r="J5" s="17">
        <f t="shared" si="2"/>
        <v>2.2114852423061375E-2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7.2408906102920494E-3</v>
      </c>
      <c r="R6" s="15">
        <f>R4*2</f>
        <v>1.2657707894739127E-2</v>
      </c>
    </row>
    <row r="7" spans="1:18" x14ac:dyDescent="0.3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3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3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3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3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3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3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3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3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3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3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3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3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3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3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workbookViewId="0">
      <selection activeCell="O17" sqref="O17"/>
    </sheetView>
  </sheetViews>
  <sheetFormatPr defaultColWidth="8.77734375" defaultRowHeight="14.4" x14ac:dyDescent="0.3"/>
  <cols>
    <col min="1" max="1" width="9" bestFit="1" customWidth="1"/>
    <col min="2" max="2" width="9.44140625" bestFit="1" customWidth="1"/>
    <col min="3" max="3" width="9" bestFit="1" customWidth="1"/>
    <col min="4" max="4" width="9.6640625" customWidth="1"/>
    <col min="5" max="5" width="9" bestFit="1" customWidth="1"/>
    <col min="6" max="6" width="10.109375" bestFit="1" customWidth="1"/>
    <col min="7" max="7" width="14" customWidth="1"/>
    <col min="8" max="10" width="9" bestFit="1" customWidth="1"/>
    <col min="12" max="12" width="9" bestFit="1" customWidth="1"/>
    <col min="13" max="14" width="9.44140625" bestFit="1" customWidth="1"/>
    <col min="15" max="18" width="9" bestFit="1" customWidth="1"/>
  </cols>
  <sheetData>
    <row r="1" spans="1:18" ht="46.8" thickTop="1" thickBot="1" x14ac:dyDescent="0.3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.6" thickTop="1" thickBot="1" x14ac:dyDescent="0.35">
      <c r="A2" s="13">
        <f>'Таблица 3'!B3</f>
        <v>5.9290000000000002E-3</v>
      </c>
      <c r="B2" s="14">
        <f>'Таблица 3'!B4</f>
        <v>1.4262274229440071E-2</v>
      </c>
      <c r="C2" s="15">
        <f>(A2-$L$2)*(A2-$L$2)</f>
        <v>2.3575043402777784E-4</v>
      </c>
      <c r="D2" s="14">
        <f>(B2-$M$2)*(B2-$M$2)</f>
        <v>7.5150778591559031E-4</v>
      </c>
      <c r="E2" s="16">
        <f>A2-$L$2</f>
        <v>-1.5354166666666669E-2</v>
      </c>
      <c r="F2" s="14">
        <f>B2-$M$2</f>
        <v>-2.741364233215992E-2</v>
      </c>
      <c r="G2" s="17">
        <f>E2*F2</f>
        <v>4.2091363330837213E-4</v>
      </c>
      <c r="H2" s="15">
        <f>B2-($O$2+$N$2*A2)</f>
        <v>1.8345123062734354E-3</v>
      </c>
      <c r="I2" s="18">
        <f>H2*H2</f>
        <v>3.3654354018686789E-6</v>
      </c>
      <c r="J2" s="23">
        <f>SQRT(4*$R$2+4*$Q$2*A2*A2)</f>
        <v>4.5443143562835832E-3</v>
      </c>
      <c r="K2" s="15"/>
      <c r="L2" s="15">
        <f>SUM(A:A)/COUNT(A:A)</f>
        <v>2.1283166666666669E-2</v>
      </c>
      <c r="M2" s="15">
        <f>SUM(B:B)/COUNT(B:B)</f>
        <v>4.1675916561599989E-2</v>
      </c>
      <c r="N2" s="15">
        <f>SUM(G:G)/SUM(C:C)</f>
        <v>1.904900166410856</v>
      </c>
      <c r="O2" s="15">
        <f>M2-N2*L2</f>
        <v>1.1336088365166697E-3</v>
      </c>
      <c r="P2" s="15">
        <f>SUM(C:C)</f>
        <v>8.6596927083333294E-4</v>
      </c>
      <c r="Q2" s="15">
        <f>1/P2*SUM(I:I)/(COUNT(I:I)-2)</f>
        <v>8.162956802821409E-3</v>
      </c>
      <c r="R2" s="15">
        <f>(1/COUNT(I:I)+L2*L2/P2)*SUM(I:I)/(COUNT(I:I)-2)</f>
        <v>4.8757454870104601E-6</v>
      </c>
    </row>
    <row r="3" spans="1:18" ht="16.8" thickTop="1" thickBot="1" x14ac:dyDescent="0.35">
      <c r="A3" s="13">
        <f>'Таблица 3'!C3</f>
        <v>1.0404000000000002E-2</v>
      </c>
      <c r="B3" s="14">
        <f>'Таблица 3'!C4</f>
        <v>1.934270082513068E-2</v>
      </c>
      <c r="C3" s="15">
        <f>(A3-$L$2)*(A3-$L$2)</f>
        <v>1.1835626736111112E-4</v>
      </c>
      <c r="D3" s="14">
        <f>(B3-$M$2)*(B3-$M$2)</f>
        <v>4.9877252513168041E-4</v>
      </c>
      <c r="E3" s="19">
        <f>A3-$L$2</f>
        <v>-1.0879166666666667E-2</v>
      </c>
      <c r="F3" s="14">
        <f>B3-$M$2</f>
        <v>-2.2333215736469309E-2</v>
      </c>
      <c r="G3" s="17">
        <f>E3*F3</f>
        <v>2.4296677619967236E-4</v>
      </c>
      <c r="H3" s="15">
        <f>B3-($O$2+$N$2*A3)</f>
        <v>-1.6094893427245384E-3</v>
      </c>
      <c r="I3" s="14">
        <f>H3*H3</f>
        <v>2.5904559443438664E-6</v>
      </c>
      <c r="J3" s="17">
        <f t="shared" ref="J3:J7" si="0">SQRT(4*$R$2+4*$Q$2*A3*A3)</f>
        <v>4.7997209016428979E-3</v>
      </c>
      <c r="K3" s="24"/>
      <c r="L3" s="15"/>
      <c r="M3" s="15"/>
      <c r="N3" s="30" t="s">
        <v>57</v>
      </c>
      <c r="O3" s="30" t="s">
        <v>56</v>
      </c>
      <c r="P3" s="15"/>
      <c r="Q3" s="30" t="s">
        <v>58</v>
      </c>
      <c r="R3" s="30" t="s">
        <v>59</v>
      </c>
    </row>
    <row r="4" spans="1:18" ht="15.6" thickTop="1" thickBot="1" x14ac:dyDescent="0.35">
      <c r="A4" s="13">
        <f>'Таблица 3'!D3</f>
        <v>1.6129000000000001E-2</v>
      </c>
      <c r="B4" s="14">
        <f>'Таблица 3'!D4</f>
        <v>2.8792072764712899E-2</v>
      </c>
      <c r="C4" s="15">
        <f t="shared" ref="C4:C7" si="1">(A4-$L$2)*(A4-$L$2)</f>
        <v>2.6565434027777793E-5</v>
      </c>
      <c r="D4" s="14">
        <f t="shared" ref="D4:D7" si="2">(B4-$M$2)*(B4-$M$2)</f>
        <v>1.6599343098258596E-4</v>
      </c>
      <c r="E4" s="19">
        <f t="shared" ref="E4:E7" si="3">A4-$L$2</f>
        <v>-5.154166666666668E-3</v>
      </c>
      <c r="F4" s="14">
        <f t="shared" ref="F4:F7" si="4">B4-$M$2</f>
        <v>-1.288384379688709E-2</v>
      </c>
      <c r="G4" s="17">
        <f t="shared" ref="G4:G7" si="5">E4*F4</f>
        <v>6.6405478236455562E-5</v>
      </c>
      <c r="H4" s="15">
        <f t="shared" ref="H4:H7" si="6">B4-($O$2+$N$2*A4)</f>
        <v>-3.0656708558444642E-3</v>
      </c>
      <c r="I4" s="14">
        <f t="shared" ref="I4:I7" si="7">H4*H4</f>
        <v>9.39833779637413E-6</v>
      </c>
      <c r="J4" s="17">
        <f t="shared" si="0"/>
        <v>5.2912361330709643E-3</v>
      </c>
      <c r="K4" s="15"/>
      <c r="L4" s="15"/>
      <c r="M4" s="15"/>
      <c r="N4" s="15"/>
      <c r="O4" s="15"/>
      <c r="P4" s="15"/>
      <c r="Q4" s="15">
        <f>SQRT(Q2)</f>
        <v>9.0349083021475152E-2</v>
      </c>
      <c r="R4" s="15">
        <f>SQRT(R2)</f>
        <v>2.2081090296927051E-3</v>
      </c>
    </row>
    <row r="5" spans="1:18" ht="16.8" thickTop="1" thickBot="1" x14ac:dyDescent="0.35">
      <c r="A5" s="13">
        <f>'Таблица 3'!E3</f>
        <v>2.3104E-2</v>
      </c>
      <c r="B5" s="14">
        <f>'Таблица 3'!E4</f>
        <v>4.7323026928486077E-2</v>
      </c>
      <c r="C5" s="15">
        <f t="shared" si="1"/>
        <v>3.3154340277777676E-6</v>
      </c>
      <c r="D5" s="14">
        <f t="shared" si="2"/>
        <v>3.1889855495792322E-5</v>
      </c>
      <c r="E5" s="19">
        <f t="shared" si="3"/>
        <v>1.8208333333333306E-3</v>
      </c>
      <c r="F5" s="14">
        <f t="shared" si="4"/>
        <v>5.6471103668860878E-3</v>
      </c>
      <c r="G5" s="17">
        <f t="shared" si="5"/>
        <v>1.0282446793038403E-5</v>
      </c>
      <c r="H5" s="15">
        <f t="shared" si="6"/>
        <v>2.1786046472129922E-3</v>
      </c>
      <c r="I5" s="14">
        <f t="shared" si="7"/>
        <v>4.7463182088580458E-6</v>
      </c>
      <c r="J5" s="17">
        <f t="shared" si="0"/>
        <v>6.0771998524282419E-3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5" thickTop="1" x14ac:dyDescent="0.3">
      <c r="A6" s="13">
        <f>'Таблица 3'!F3</f>
        <v>3.1328999999999996E-2</v>
      </c>
      <c r="B6" s="14">
        <f>'Таблица 3'!F4</f>
        <v>6.3137712741013735E-2</v>
      </c>
      <c r="C6" s="15">
        <f t="shared" si="1"/>
        <v>1.0091876736111099E-4</v>
      </c>
      <c r="D6" s="14">
        <f t="shared" si="2"/>
        <v>4.6060869524669847E-4</v>
      </c>
      <c r="E6" s="19">
        <f t="shared" si="3"/>
        <v>1.0045833333333327E-2</v>
      </c>
      <c r="F6" s="14">
        <f t="shared" si="4"/>
        <v>2.1461796179413746E-2</v>
      </c>
      <c r="G6" s="17">
        <f t="shared" si="5"/>
        <v>2.1560162745236044E-4</v>
      </c>
      <c r="H6" s="15">
        <f t="shared" si="6"/>
        <v>2.3254865910113665E-3</v>
      </c>
      <c r="I6" s="14">
        <f t="shared" si="7"/>
        <v>5.4078878849736661E-6</v>
      </c>
      <c r="J6" s="17">
        <f t="shared" si="0"/>
        <v>7.179899312384005E-3</v>
      </c>
      <c r="K6" s="15"/>
      <c r="L6" s="15"/>
      <c r="M6" s="15"/>
      <c r="N6" s="15"/>
      <c r="O6" s="15"/>
      <c r="P6" s="15"/>
      <c r="Q6" s="15">
        <f>Q4*2</f>
        <v>0.1806981660429503</v>
      </c>
      <c r="R6" s="15">
        <f>R4*2</f>
        <v>4.4162180593854102E-3</v>
      </c>
    </row>
    <row r="7" spans="1:18" x14ac:dyDescent="0.3">
      <c r="A7" s="13">
        <f>'Таблица 3'!G3</f>
        <v>4.0803999999999993E-2</v>
      </c>
      <c r="B7" s="14">
        <f>'Таблица 3'!G4</f>
        <v>7.7197711880816478E-2</v>
      </c>
      <c r="C7" s="15">
        <f t="shared" si="1"/>
        <v>3.8106293402777742E-4</v>
      </c>
      <c r="D7" s="14">
        <f t="shared" si="2"/>
        <v>1.2617979427003104E-3</v>
      </c>
      <c r="E7" s="19">
        <f t="shared" si="3"/>
        <v>1.9520833333333324E-2</v>
      </c>
      <c r="F7" s="14">
        <f t="shared" si="4"/>
        <v>3.5521795319216488E-2</v>
      </c>
      <c r="G7" s="17">
        <f t="shared" si="5"/>
        <v>6.9341504612720488E-4</v>
      </c>
      <c r="H7" s="15">
        <f t="shared" si="6"/>
        <v>-1.6634433459287445E-3</v>
      </c>
      <c r="I7" s="14">
        <f t="shared" si="7"/>
        <v>2.7670437651146169E-6</v>
      </c>
      <c r="J7" s="17">
        <f t="shared" si="0"/>
        <v>8.5946016589407651E-3</v>
      </c>
      <c r="K7" s="15"/>
      <c r="L7" s="15"/>
      <c r="M7" s="15"/>
      <c r="N7" s="15"/>
      <c r="O7" s="15"/>
      <c r="P7" s="15"/>
      <c r="Q7" s="15"/>
      <c r="R7" s="15"/>
    </row>
    <row r="8" spans="1:18" x14ac:dyDescent="0.3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3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zoomScale="150" workbookViewId="0">
      <selection activeCell="B2" sqref="B2"/>
    </sheetView>
  </sheetViews>
  <sheetFormatPr defaultColWidth="8.77734375" defaultRowHeight="14.4" x14ac:dyDescent="0.3"/>
  <sheetData>
    <row r="1" spans="1:5" ht="15.6" x14ac:dyDescent="0.35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3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9"/>
  <sheetViews>
    <sheetView workbookViewId="0">
      <selection activeCell="E9" sqref="E9"/>
    </sheetView>
  </sheetViews>
  <sheetFormatPr defaultColWidth="8.77734375" defaultRowHeight="14.4" x14ac:dyDescent="0.3"/>
  <sheetData>
    <row r="1" spans="1:1" x14ac:dyDescent="0.3">
      <c r="A1" t="s">
        <v>75</v>
      </c>
    </row>
    <row r="3" spans="1:1" x14ac:dyDescent="0.3">
      <c r="A3" t="s">
        <v>76</v>
      </c>
    </row>
    <row r="5" spans="1:1" x14ac:dyDescent="0.3">
      <c r="A5" t="s">
        <v>74</v>
      </c>
    </row>
    <row r="7" spans="1:1" x14ac:dyDescent="0.3">
      <c r="A7" t="s">
        <v>73</v>
      </c>
    </row>
    <row r="9" spans="1:1" x14ac:dyDescent="0.3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zoomScale="142" workbookViewId="0">
      <selection activeCell="B5" sqref="B5"/>
    </sheetView>
  </sheetViews>
  <sheetFormatPr defaultColWidth="8.77734375" defaultRowHeight="14.4" x14ac:dyDescent="0.3"/>
  <cols>
    <col min="1" max="1" width="13.44140625" bestFit="1" customWidth="1"/>
  </cols>
  <sheetData>
    <row r="1" spans="1:7" x14ac:dyDescent="0.3">
      <c r="A1" s="46" t="s">
        <v>0</v>
      </c>
      <c r="B1" s="46" t="s">
        <v>1</v>
      </c>
      <c r="C1" s="46"/>
      <c r="D1" s="46"/>
      <c r="E1" s="46"/>
      <c r="F1" s="46"/>
      <c r="G1" s="46"/>
    </row>
    <row r="2" spans="1:7" x14ac:dyDescent="0.3">
      <c r="A2" s="46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3">
      <c r="A3" s="45">
        <f>0.047+0.22</f>
        <v>0.26700000000000002</v>
      </c>
      <c r="B3" s="12">
        <v>4.6900000000000004</v>
      </c>
      <c r="C3" s="12">
        <v>5.68</v>
      </c>
      <c r="D3" s="12">
        <v>6.69</v>
      </c>
      <c r="E3" s="12">
        <v>7.81</v>
      </c>
      <c r="F3" s="12">
        <v>8.5</v>
      </c>
      <c r="G3" s="12">
        <v>10.37</v>
      </c>
    </row>
    <row r="4" spans="1:7" x14ac:dyDescent="0.3">
      <c r="A4" s="45"/>
      <c r="B4" s="12">
        <v>4.66</v>
      </c>
      <c r="C4" s="12">
        <v>5.69</v>
      </c>
      <c r="D4" s="12">
        <v>6.66</v>
      </c>
      <c r="E4" s="12">
        <v>7.87</v>
      </c>
      <c r="F4" s="12">
        <v>9.0299999999999994</v>
      </c>
      <c r="G4" s="12">
        <v>10.07</v>
      </c>
    </row>
    <row r="5" spans="1:7" x14ac:dyDescent="0.3">
      <c r="A5" s="45"/>
      <c r="B5" s="12">
        <v>4.91</v>
      </c>
      <c r="C5" s="12">
        <v>5.84</v>
      </c>
      <c r="D5" s="12">
        <v>6.72</v>
      </c>
      <c r="E5" s="12">
        <v>7.84</v>
      </c>
      <c r="F5" s="12">
        <v>9.02</v>
      </c>
      <c r="G5" s="12">
        <v>9.91</v>
      </c>
    </row>
    <row r="6" spans="1:7" x14ac:dyDescent="0.3">
      <c r="A6" s="45"/>
      <c r="B6" s="12">
        <f>SUM(B3:B5)/3</f>
        <v>4.7533333333333339</v>
      </c>
      <c r="C6" s="12">
        <f t="shared" ref="C6:G6" si="0">SUM(C3:C5)/3</f>
        <v>5.7366666666666672</v>
      </c>
      <c r="D6" s="12">
        <f t="shared" si="0"/>
        <v>6.69</v>
      </c>
      <c r="E6" s="12">
        <f t="shared" si="0"/>
        <v>7.84</v>
      </c>
      <c r="F6" s="12">
        <f t="shared" si="0"/>
        <v>8.85</v>
      </c>
      <c r="G6" s="12">
        <f t="shared" si="0"/>
        <v>10.116666666666665</v>
      </c>
    </row>
    <row r="7" spans="1:7" x14ac:dyDescent="0.3">
      <c r="A7" s="45">
        <f>0.047+0.22*2</f>
        <v>0.48699999999999999</v>
      </c>
      <c r="B7" s="12">
        <v>3.27</v>
      </c>
      <c r="C7" s="12">
        <v>3.52</v>
      </c>
      <c r="D7" s="12">
        <v>4.3600000000000003</v>
      </c>
      <c r="E7" s="12">
        <v>5.34</v>
      </c>
      <c r="F7" s="12">
        <v>6.19</v>
      </c>
      <c r="G7" s="12">
        <v>6.66</v>
      </c>
    </row>
    <row r="8" spans="1:7" x14ac:dyDescent="0.3">
      <c r="A8" s="45"/>
      <c r="B8" s="12">
        <v>3.18</v>
      </c>
      <c r="C8" s="12">
        <v>3.63</v>
      </c>
      <c r="D8" s="12">
        <v>4.3499999999999996</v>
      </c>
      <c r="E8" s="12">
        <v>5.72</v>
      </c>
      <c r="F8" s="12">
        <v>6.47</v>
      </c>
      <c r="G8" s="12">
        <v>6.72</v>
      </c>
    </row>
    <row r="9" spans="1:7" x14ac:dyDescent="0.3">
      <c r="A9" s="45"/>
      <c r="B9" s="12">
        <v>3.13</v>
      </c>
      <c r="C9" s="12">
        <v>3.64</v>
      </c>
      <c r="D9" s="12">
        <v>4.17</v>
      </c>
      <c r="E9" s="12">
        <v>5.4</v>
      </c>
      <c r="F9" s="12">
        <v>6.16</v>
      </c>
      <c r="G9" s="12">
        <v>6.87</v>
      </c>
    </row>
    <row r="10" spans="1:7" x14ac:dyDescent="0.3">
      <c r="A10" s="45"/>
      <c r="B10" s="12">
        <f>SUM(B7:B9)/3</f>
        <v>3.1933333333333334</v>
      </c>
      <c r="C10" s="12">
        <f t="shared" ref="C10:G10" si="1">SUM(C7:C9)/3</f>
        <v>3.5966666666666671</v>
      </c>
      <c r="D10" s="12">
        <f t="shared" si="1"/>
        <v>4.2933333333333339</v>
      </c>
      <c r="E10" s="12">
        <f t="shared" si="1"/>
        <v>5.4866666666666672</v>
      </c>
      <c r="F10" s="12">
        <f t="shared" si="1"/>
        <v>6.2733333333333334</v>
      </c>
      <c r="G10" s="12">
        <f t="shared" si="1"/>
        <v>6.75</v>
      </c>
    </row>
    <row r="11" spans="1:7" x14ac:dyDescent="0.3">
      <c r="A11" s="45">
        <f>0.047+0.22*3</f>
        <v>0.70700000000000007</v>
      </c>
      <c r="B11" s="12">
        <v>2.5099999999999998</v>
      </c>
      <c r="C11" s="12">
        <v>2.94</v>
      </c>
      <c r="D11" s="12">
        <v>3.45</v>
      </c>
      <c r="E11" s="12">
        <v>4.3</v>
      </c>
      <c r="F11" s="12">
        <v>5</v>
      </c>
      <c r="G11" s="12">
        <v>5.54</v>
      </c>
    </row>
    <row r="12" spans="1:7" x14ac:dyDescent="0.3">
      <c r="A12" s="45"/>
      <c r="B12" s="12">
        <v>2.56</v>
      </c>
      <c r="C12" s="12">
        <v>2.93</v>
      </c>
      <c r="D12" s="12">
        <v>3.55</v>
      </c>
      <c r="E12" s="12">
        <v>4.47</v>
      </c>
      <c r="F12" s="12">
        <v>5.09</v>
      </c>
      <c r="G12" s="12">
        <v>5.62</v>
      </c>
    </row>
    <row r="13" spans="1:7" x14ac:dyDescent="0.3">
      <c r="A13" s="45"/>
      <c r="B13" s="12">
        <v>2.5299999999999998</v>
      </c>
      <c r="C13" s="12">
        <v>3.02</v>
      </c>
      <c r="D13" s="12">
        <v>3.49</v>
      </c>
      <c r="E13" s="12">
        <v>4.5599999999999996</v>
      </c>
      <c r="F13" s="12">
        <v>4.9400000000000004</v>
      </c>
      <c r="G13" s="12">
        <v>5.59</v>
      </c>
    </row>
    <row r="14" spans="1:7" x14ac:dyDescent="0.3">
      <c r="A14" s="45"/>
      <c r="B14" s="12">
        <f>SUM(B11:B13)/3</f>
        <v>2.5333333333333332</v>
      </c>
      <c r="C14" s="12">
        <f t="shared" ref="C14" si="2">SUM(C11:C13)/3</f>
        <v>2.9633333333333334</v>
      </c>
      <c r="D14" s="12">
        <f t="shared" ref="D14" si="3">SUM(D11:D13)/3</f>
        <v>3.4966666666666666</v>
      </c>
      <c r="E14" s="12">
        <f t="shared" ref="E14" si="4">SUM(E11:E13)/3</f>
        <v>4.4433333333333325</v>
      </c>
      <c r="F14" s="12">
        <f t="shared" ref="F14" si="5">SUM(F11:F13)/3</f>
        <v>5.0100000000000007</v>
      </c>
      <c r="G14" s="12">
        <f t="shared" ref="G14" si="6">SUM(G11:G13)/3</f>
        <v>5.583333333333333</v>
      </c>
    </row>
    <row r="15" spans="1:7" x14ac:dyDescent="0.3">
      <c r="A15" s="45">
        <f>0.047+0.22*4</f>
        <v>0.92700000000000005</v>
      </c>
      <c r="B15" s="12">
        <v>2.23</v>
      </c>
      <c r="C15" s="12">
        <v>2.59</v>
      </c>
      <c r="D15" s="12">
        <v>3.1</v>
      </c>
      <c r="E15" s="12">
        <v>3.57</v>
      </c>
      <c r="F15" s="12">
        <v>4.4000000000000004</v>
      </c>
      <c r="G15" s="12">
        <v>4.95</v>
      </c>
    </row>
    <row r="16" spans="1:7" x14ac:dyDescent="0.3">
      <c r="A16" s="45"/>
      <c r="B16" s="12">
        <v>2.23</v>
      </c>
      <c r="C16" s="12">
        <v>2.59</v>
      </c>
      <c r="D16" s="12">
        <v>3.06</v>
      </c>
      <c r="E16" s="12">
        <v>3.88</v>
      </c>
      <c r="F16" s="12">
        <v>4.37</v>
      </c>
      <c r="G16" s="12">
        <v>4.87</v>
      </c>
    </row>
    <row r="17" spans="1:7" x14ac:dyDescent="0.3">
      <c r="A17" s="45"/>
      <c r="B17" s="12">
        <v>2.12</v>
      </c>
      <c r="C17" s="12">
        <v>2.46</v>
      </c>
      <c r="D17" s="12">
        <v>3.09</v>
      </c>
      <c r="E17" s="12">
        <v>4.13</v>
      </c>
      <c r="F17" s="12">
        <v>4.59</v>
      </c>
      <c r="G17" s="12">
        <v>4.97</v>
      </c>
    </row>
    <row r="18" spans="1:7" x14ac:dyDescent="0.3">
      <c r="A18" s="45"/>
      <c r="B18" s="12">
        <f>SUM(B15:B17)/3</f>
        <v>2.1933333333333334</v>
      </c>
      <c r="C18" s="12">
        <f t="shared" ref="C18" si="7">SUM(C15:C17)/3</f>
        <v>2.5466666666666664</v>
      </c>
      <c r="D18" s="12">
        <f t="shared" ref="D18" si="8">SUM(D15:D17)/3</f>
        <v>3.0833333333333335</v>
      </c>
      <c r="E18" s="12">
        <f t="shared" ref="E18" si="9">SUM(E15:E17)/3</f>
        <v>3.8599999999999994</v>
      </c>
      <c r="F18" s="12">
        <f t="shared" ref="F18" si="10">SUM(F15:F17)/3</f>
        <v>4.4533333333333331</v>
      </c>
      <c r="G18" s="12">
        <f t="shared" ref="G18" si="11">SUM(G15:G17)/3</f>
        <v>4.93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32"/>
  <sheetViews>
    <sheetView zoomScaleNormal="100" workbookViewId="0">
      <selection activeCell="C3" sqref="C3"/>
    </sheetView>
  </sheetViews>
  <sheetFormatPr defaultColWidth="8.77734375" defaultRowHeight="14.4" x14ac:dyDescent="0.3"/>
  <cols>
    <col min="1" max="1" width="13.44140625" bestFit="1" customWidth="1"/>
  </cols>
  <sheetData>
    <row r="1" spans="1:5" ht="18" customHeight="1" x14ac:dyDescent="0.3"/>
    <row r="2" spans="1:5" ht="16.8" x14ac:dyDescent="0.35">
      <c r="A2" s="20" t="s">
        <v>0</v>
      </c>
      <c r="B2" s="20" t="s">
        <v>8</v>
      </c>
      <c r="C2" s="21" t="s">
        <v>9</v>
      </c>
      <c r="D2" s="22" t="s">
        <v>10</v>
      </c>
      <c r="E2" s="2" t="s">
        <v>11</v>
      </c>
    </row>
    <row r="3" spans="1:5" x14ac:dyDescent="0.3">
      <c r="A3" s="45">
        <f>'Таблица 1'!A3</f>
        <v>0.26700000000000002</v>
      </c>
      <c r="B3" s="12">
        <v>4.7533333333333339</v>
      </c>
      <c r="C3" s="12">
        <f>'Параметры установки'!$A$2*2/B3/B3</f>
        <v>6.1962865556318324E-2</v>
      </c>
      <c r="D3" s="12">
        <f>2*C3/'Параметры установки'!$B$2</f>
        <v>2.6940376328834055</v>
      </c>
      <c r="E3" s="12">
        <f>$A$3*'Параметры установки'!$B$2/2*(9.8-C3)</f>
        <v>5.9801286042618668E-2</v>
      </c>
    </row>
    <row r="4" spans="1:5" x14ac:dyDescent="0.3">
      <c r="A4" s="45"/>
      <c r="B4" s="12">
        <v>5.7366666666666672</v>
      </c>
      <c r="C4" s="12">
        <f>'Параметры установки'!$A$2*2/B4/B4</f>
        <v>4.2541108722581655E-2</v>
      </c>
      <c r="D4" s="12">
        <f>2*C4/'Параметры установки'!$B$2</f>
        <v>1.8496134227209415</v>
      </c>
      <c r="E4" s="12">
        <f>$A$3*'Параметры установки'!$B$2/2*(9.8-C4)</f>
        <v>5.9920555051334638E-2</v>
      </c>
    </row>
    <row r="5" spans="1:5" x14ac:dyDescent="0.3">
      <c r="A5" s="45"/>
      <c r="B5" s="12">
        <v>6.69</v>
      </c>
      <c r="C5" s="12">
        <f>'Параметры установки'!$A$2*2/B5/B5</f>
        <v>3.1280652246285977E-2</v>
      </c>
      <c r="D5" s="12">
        <f>2*C5/'Параметры установки'!$B$2</f>
        <v>1.360028358534173</v>
      </c>
      <c r="E5" s="12">
        <f>$A$3*'Параметры установки'!$B$2/2*(9.8-C5)</f>
        <v>5.9989705514555569E-2</v>
      </c>
    </row>
    <row r="6" spans="1:5" x14ac:dyDescent="0.3">
      <c r="A6" s="45"/>
      <c r="B6" s="12">
        <v>7.84</v>
      </c>
      <c r="C6" s="12">
        <f>'Параметры установки'!$A$2*2/B6/B6</f>
        <v>2.2776967930029157E-2</v>
      </c>
      <c r="D6" s="12">
        <f>2*C6/'Параметры установки'!$B$2</f>
        <v>0.99030295347952857</v>
      </c>
      <c r="E6" s="12">
        <f>$A$3*'Параметры установки'!$B$2/2*(9.8-C6)</f>
        <v>6.0041926639941699E-2</v>
      </c>
    </row>
    <row r="7" spans="1:5" x14ac:dyDescent="0.3">
      <c r="A7" s="45"/>
      <c r="B7" s="12">
        <v>8.85</v>
      </c>
      <c r="C7" s="12">
        <f>'Параметры установки'!$A$2*2/B7/B7</f>
        <v>1.7874812474065561E-2</v>
      </c>
      <c r="D7" s="12">
        <f>2*C7/'Параметры установки'!$B$2</f>
        <v>0.77716575974198099</v>
      </c>
      <c r="E7" s="12">
        <f>$A$3*'Параметры установки'!$B$2/2*(9.8-C7)</f>
        <v>6.0072030776596771E-2</v>
      </c>
    </row>
    <row r="8" spans="1:5" x14ac:dyDescent="0.3">
      <c r="A8" s="45"/>
      <c r="B8" s="12">
        <v>10.116666666666665</v>
      </c>
      <c r="C8" s="12">
        <f>'Параметры установки'!$A$2*2/B8/B8</f>
        <v>1.3678962352998656E-2</v>
      </c>
      <c r="D8" s="12">
        <f>2*C8/'Параметры установки'!$B$2</f>
        <v>0.59473749360863726</v>
      </c>
      <c r="E8" s="12">
        <f>$A$3*'Параметры установки'!$B$2/2*(9.8-C8)</f>
        <v>6.0097797492190248E-2</v>
      </c>
    </row>
    <row r="9" spans="1:5" x14ac:dyDescent="0.3">
      <c r="A9" s="45">
        <f>'Таблица 1'!A7</f>
        <v>0.48699999999999999</v>
      </c>
      <c r="B9" s="12">
        <f>'Таблица 1'!B10</f>
        <v>3.1933333333333334</v>
      </c>
      <c r="C9" s="12">
        <f>'Параметры установки'!$A$2*2/B9/B9</f>
        <v>0.13729019660827838</v>
      </c>
      <c r="D9" s="12">
        <f>2*C9/'Параметры установки'!$B$2</f>
        <v>5.9691389829686248</v>
      </c>
      <c r="E9" s="12">
        <f>$A$9*'Параметры установки'!$B$2/2*(9.8-C9)</f>
        <v>0.10823201250779067</v>
      </c>
    </row>
    <row r="10" spans="1:5" x14ac:dyDescent="0.3">
      <c r="A10" s="45"/>
      <c r="B10" s="12">
        <f>'Таблица 1'!C10</f>
        <v>3.5966666666666671</v>
      </c>
      <c r="C10" s="12">
        <f>'Параметры установки'!$A$2*2/B10/B10</f>
        <v>0.10822501526745747</v>
      </c>
      <c r="D10" s="12">
        <f>2*C10/'Параметры установки'!$B$2</f>
        <v>4.7054354464111947</v>
      </c>
      <c r="E10" s="12">
        <f>$A$9*'Параметры установки'!$B$2/2*(9.8-C10)</f>
        <v>0.10855757160398921</v>
      </c>
    </row>
    <row r="11" spans="1:5" x14ac:dyDescent="0.3">
      <c r="A11" s="45"/>
      <c r="B11" s="12">
        <f>'Таблица 1'!D10</f>
        <v>4.2933333333333339</v>
      </c>
      <c r="C11" s="12">
        <f>'Параметры установки'!$A$2*2/B11/B11</f>
        <v>7.5951930866864678E-2</v>
      </c>
      <c r="D11" s="12">
        <f>2*C11/'Параметры установки'!$B$2</f>
        <v>3.3022578637767253</v>
      </c>
      <c r="E11" s="12">
        <f>$A$9*'Параметры установки'!$B$2/2*(9.8-C11)</f>
        <v>0.10891906242236025</v>
      </c>
    </row>
    <row r="12" spans="1:5" x14ac:dyDescent="0.3">
      <c r="A12" s="45"/>
      <c r="B12" s="12">
        <f>'Таблица 1'!E10</f>
        <v>5.4866666666666672</v>
      </c>
      <c r="C12" s="12">
        <f>'Параметры установки'!$A$2*2/B12/B12</f>
        <v>4.6506203041653302E-2</v>
      </c>
      <c r="D12" s="12">
        <f>2*C12/'Параметры установки'!$B$2</f>
        <v>2.0220088278979698</v>
      </c>
      <c r="E12" s="12">
        <f>$A$9*'Параметры установки'!$B$2/2*(9.8-C12)</f>
        <v>0.10924888401973044</v>
      </c>
    </row>
    <row r="13" spans="1:5" x14ac:dyDescent="0.3">
      <c r="A13" s="45"/>
      <c r="B13" s="12">
        <f>'Таблица 1'!F10</f>
        <v>6.2733333333333334</v>
      </c>
      <c r="C13" s="12">
        <f>'Параметры установки'!$A$2*2/B13/B13</f>
        <v>3.5573885831542404E-2</v>
      </c>
      <c r="D13" s="12">
        <f>2*C13/'Параметры установки'!$B$2</f>
        <v>1.5466906883279306</v>
      </c>
      <c r="E13" s="12">
        <f>$A$9*'Параметры установки'!$B$2/2*(9.8-C13)</f>
        <v>0.10937133690480089</v>
      </c>
    </row>
    <row r="14" spans="1:5" x14ac:dyDescent="0.3">
      <c r="A14" s="45"/>
      <c r="B14" s="12">
        <f>'Таблица 1'!G10</f>
        <v>6.75</v>
      </c>
      <c r="C14" s="12">
        <f>'Параметры установки'!$A$2*2/B14/B14</f>
        <v>3.0727023319615913E-2</v>
      </c>
      <c r="D14" s="12">
        <f>2*C14/'Параметры установки'!$B$2</f>
        <v>1.3359575356354745</v>
      </c>
      <c r="E14" s="12">
        <f>$A$9*'Параметры установки'!$B$2/2*(9.8-C14)</f>
        <v>0.10942562661179699</v>
      </c>
    </row>
    <row r="15" spans="1:5" x14ac:dyDescent="0.3">
      <c r="A15" s="45">
        <f>'Таблица 1'!A11</f>
        <v>0.70700000000000007</v>
      </c>
      <c r="B15" s="12">
        <f>'Таблица 1'!B14</f>
        <v>2.5333333333333332</v>
      </c>
      <c r="C15" s="12">
        <f>'Параметры установки'!$A$2*2/B15/B15</f>
        <v>0.21814404432132964</v>
      </c>
      <c r="D15" s="12">
        <f>2*C15/'Параметры установки'!$B$2</f>
        <v>9.4845236661447672</v>
      </c>
      <c r="E15" s="12">
        <f>$A$15*'Параметры установки'!$B$2/2*(9.8-C15)</f>
        <v>0.1558105596952909</v>
      </c>
    </row>
    <row r="16" spans="1:5" x14ac:dyDescent="0.3">
      <c r="A16" s="45"/>
      <c r="B16" s="12">
        <f>'Таблица 1'!C14</f>
        <v>2.9633333333333334</v>
      </c>
      <c r="C16" s="12">
        <f>'Параметры установки'!$A$2*2/B16/B16</f>
        <v>0.15942889028635199</v>
      </c>
      <c r="D16" s="12">
        <f>2*C16/'Параметры установки'!$B$2</f>
        <v>6.931690882015304</v>
      </c>
      <c r="E16" s="12">
        <f>$A$15*'Параметры установки'!$B$2/2*(9.8-C16)</f>
        <v>0.15676532681505367</v>
      </c>
    </row>
    <row r="17" spans="1:8" x14ac:dyDescent="0.3">
      <c r="A17" s="45"/>
      <c r="B17" s="12">
        <f>'Таблица 1'!D14</f>
        <v>3.4966666666666666</v>
      </c>
      <c r="C17" s="12">
        <f>'Параметры установки'!$A$2*2/B17/B17</f>
        <v>0.11450371273744753</v>
      </c>
      <c r="D17" s="12">
        <f>2*C17/'Параметры установки'!$B$2</f>
        <v>4.9784222929325015</v>
      </c>
      <c r="E17" s="12">
        <f>$A$15*'Параметры установки'!$B$2/2*(9.8-C17)</f>
        <v>0.1574958551271764</v>
      </c>
    </row>
    <row r="18" spans="1:8" x14ac:dyDescent="0.3">
      <c r="A18" s="45"/>
      <c r="B18" s="12">
        <f>'Таблица 1'!E14</f>
        <v>4.4433333333333325</v>
      </c>
      <c r="C18" s="12">
        <f>'Параметры установки'!$A$2*2/B18/B18</f>
        <v>7.0910450793493604E-2</v>
      </c>
      <c r="D18" s="12">
        <f>2*C18/'Параметры установки'!$B$2</f>
        <v>3.0830630779779828</v>
      </c>
      <c r="E18" s="12">
        <f>$A$15*'Параметры установки'!$B$2/2*(9.8-C18)</f>
        <v>0.15820472515964704</v>
      </c>
    </row>
    <row r="19" spans="1:8" x14ac:dyDescent="0.3">
      <c r="A19" s="45"/>
      <c r="B19" s="12">
        <f>'Таблица 1'!F14</f>
        <v>5.0100000000000007</v>
      </c>
      <c r="C19" s="12">
        <f>'Параметры установки'!$A$2*2/B19/B19</f>
        <v>5.5776670212469258E-2</v>
      </c>
      <c r="D19" s="12">
        <f>2*C19/'Параметры установки'!$B$2</f>
        <v>2.4250726179334459</v>
      </c>
      <c r="E19" s="12">
        <f>$A$15*'Параметры установки'!$B$2/2*(9.8-C19)</f>
        <v>0.15845081556567508</v>
      </c>
    </row>
    <row r="20" spans="1:8" x14ac:dyDescent="0.3">
      <c r="A20" s="45"/>
      <c r="B20" s="12">
        <f>'Таблица 1'!G14</f>
        <v>5.583333333333333</v>
      </c>
      <c r="C20" s="12">
        <f>'Параметры установки'!$A$2*2/B20/B20</f>
        <v>4.490977946090443E-2</v>
      </c>
      <c r="D20" s="12">
        <f>2*C20/'Параметры установки'!$B$2</f>
        <v>1.9525991069958448</v>
      </c>
      <c r="E20" s="12">
        <f>$A$15*'Параметры установки'!$B$2/2*(9.8-C20)</f>
        <v>0.15862752207618624</v>
      </c>
    </row>
    <row r="21" spans="1:8" x14ac:dyDescent="0.3">
      <c r="A21" s="45">
        <f>'Таблица 1'!A15</f>
        <v>0.92700000000000005</v>
      </c>
      <c r="B21" s="12">
        <f>'Таблица 1'!B18</f>
        <v>2.1933333333333334</v>
      </c>
      <c r="C21" s="12">
        <f>'Параметры установки'!$A$2*2/B21/B21</f>
        <v>0.29101726702451008</v>
      </c>
      <c r="D21" s="12">
        <f>2*C21/'Параметры установки'!$B$2</f>
        <v>12.65292465323957</v>
      </c>
      <c r="E21" s="12">
        <f>$A$21*'Параметры установки'!$B$2/2*(9.8-C21)</f>
        <v>0.20274102084977044</v>
      </c>
    </row>
    <row r="22" spans="1:8" x14ac:dyDescent="0.3">
      <c r="A22" s="45"/>
      <c r="B22" s="12">
        <f>'Таблица 1'!C18</f>
        <v>2.5466666666666664</v>
      </c>
      <c r="C22" s="12">
        <f>'Параметры установки'!$A$2*2/B22/B22</f>
        <v>0.21586579315259999</v>
      </c>
      <c r="D22" s="12">
        <f>2*C22/'Параметры установки'!$B$2</f>
        <v>9.3854692675043481</v>
      </c>
      <c r="E22" s="12">
        <f>$A$21*'Параметры установки'!$B$2/2*(9.8-C22)</f>
        <v>0.20434332542419342</v>
      </c>
    </row>
    <row r="23" spans="1:8" x14ac:dyDescent="0.3">
      <c r="A23" s="45"/>
      <c r="B23" s="12">
        <f>'Таблица 1'!D18</f>
        <v>3.0833333333333335</v>
      </c>
      <c r="C23" s="12">
        <f>'Параметры установки'!$A$2*2/B23/B23</f>
        <v>0.14726077428780129</v>
      </c>
      <c r="D23" s="12">
        <f>2*C23/'Параметры установки'!$B$2</f>
        <v>6.4026423603391871</v>
      </c>
      <c r="E23" s="12">
        <f>$A$21*'Параметры установки'!$B$2/2*(9.8-C23)</f>
        <v>0.20580605303140981</v>
      </c>
    </row>
    <row r="24" spans="1:8" x14ac:dyDescent="0.3">
      <c r="A24" s="45"/>
      <c r="B24" s="12">
        <f>'Таблица 1'!E18</f>
        <v>3.8599999999999994</v>
      </c>
      <c r="C24" s="12">
        <f>'Параметры установки'!$A$2*2/B24/B24</f>
        <v>9.3962254020242164E-2</v>
      </c>
      <c r="D24" s="12">
        <f>2*C24/'Параметры установки'!$B$2</f>
        <v>4.0853153921844418</v>
      </c>
      <c r="E24" s="12">
        <f>$A$21*'Параметры установки'!$B$2/2*(9.8-C24)</f>
        <v>0.20694243078203442</v>
      </c>
    </row>
    <row r="25" spans="1:8" x14ac:dyDescent="0.3">
      <c r="A25" s="45"/>
      <c r="B25" s="12">
        <f>'Таблица 1'!F18</f>
        <v>4.4533333333333331</v>
      </c>
      <c r="C25" s="12">
        <f>'Параметры установки'!$A$2*2/B25/B25</f>
        <v>7.0592348237656422E-2</v>
      </c>
      <c r="D25" s="12">
        <f>2*C25/'Параметры установки'!$B$2</f>
        <v>3.0692325320720184</v>
      </c>
      <c r="E25" s="12">
        <f>$A$21*'Параметры установки'!$B$2/2*(9.8-C25)</f>
        <v>0.20744070054322492</v>
      </c>
    </row>
    <row r="26" spans="1:8" x14ac:dyDescent="0.3">
      <c r="A26" s="45"/>
      <c r="B26" s="12">
        <f>'Таблица 1'!G18</f>
        <v>4.93</v>
      </c>
      <c r="C26" s="12">
        <f>'Параметры установки'!$A$2*2/B26/B26</f>
        <v>5.7601553596188425E-2</v>
      </c>
      <c r="D26" s="12">
        <f>2*C26/'Параметры установки'!$B$2</f>
        <v>2.5044153737473227</v>
      </c>
      <c r="E26" s="12">
        <f>$A$21*'Параметры установки'!$B$2/2*(9.8-C26)</f>
        <v>0.2077176772757757</v>
      </c>
    </row>
    <row r="28" spans="1:8" ht="15" thickBot="1" x14ac:dyDescent="0.35"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</row>
    <row r="29" spans="1:8" ht="16.2" thickBot="1" x14ac:dyDescent="0.35">
      <c r="A29" s="58" t="s">
        <v>54</v>
      </c>
      <c r="B29" s="12">
        <f>'МНК рис.1'!N2</f>
        <v>1.4262274229440071E-2</v>
      </c>
      <c r="C29" s="12">
        <f>'МНК рис.2'!N2</f>
        <v>1.934270082513068E-2</v>
      </c>
      <c r="D29" s="12">
        <f>'МНК рис.3'!N2</f>
        <v>2.8792072764712899E-2</v>
      </c>
      <c r="E29" s="12">
        <f>'МНК рис.4'!N2</f>
        <v>4.7323026928486077E-2</v>
      </c>
      <c r="F29" s="12">
        <f>'МНК рис.5'!N2</f>
        <v>6.3137712741013735E-2</v>
      </c>
      <c r="G29" s="12">
        <f>'МНК рис.6'!N2</f>
        <v>7.7197711880816478E-2</v>
      </c>
    </row>
    <row r="30" spans="1:8" ht="18.600000000000001" thickBot="1" x14ac:dyDescent="0.35">
      <c r="A30" s="59" t="s">
        <v>77</v>
      </c>
      <c r="B30">
        <f>B31-B29*B32</f>
        <v>2.1824479957749943E-2</v>
      </c>
      <c r="C30">
        <f>C31-C29*C32</f>
        <v>2.1794120659233418E-2</v>
      </c>
      <c r="D30">
        <f t="shared" ref="D30:G30" si="0">D31-D29*D32</f>
        <v>1.757233757397697E-2</v>
      </c>
      <c r="E30">
        <f t="shared" si="0"/>
        <v>1.3164221919288538E-2</v>
      </c>
      <c r="F30">
        <f t="shared" si="0"/>
        <v>1.0428510662047433E-2</v>
      </c>
      <c r="G30">
        <f t="shared" si="0"/>
        <v>1.0688016281399954E-2</v>
      </c>
    </row>
    <row r="31" spans="1:8" ht="18.600000000000001" thickBot="1" x14ac:dyDescent="0.35">
      <c r="A31" s="59" t="s">
        <v>78</v>
      </c>
      <c r="B31" s="31">
        <f>AVERAGE($E3,$E9,$E15,$E21)</f>
        <v>0.13164621977386767</v>
      </c>
      <c r="C31" s="31">
        <f>AVERAGE($E4,$E10,$E16,$E22)</f>
        <v>0.13239669472364274</v>
      </c>
      <c r="D31" s="31">
        <f>AVERAGE($E5,$E11,$E17,$E23)</f>
        <v>0.13305266902387552</v>
      </c>
      <c r="E31" s="31">
        <f>AVERAGE($E6,$E12,$E18,$E24)</f>
        <v>0.13360949165033839</v>
      </c>
      <c r="F31" s="31">
        <f>AVERAGE($E7,$E13,$E19,$E25)</f>
        <v>0.13383372094757442</v>
      </c>
      <c r="G31" s="31">
        <f>AVERAGE($E8,$E14,$E20,$E26)</f>
        <v>0.1339671558639873</v>
      </c>
      <c r="H31" s="31"/>
    </row>
    <row r="32" spans="1:8" ht="18.600000000000001" thickBot="1" x14ac:dyDescent="0.35">
      <c r="A32" s="59" t="s">
        <v>79</v>
      </c>
      <c r="B32" s="31">
        <f>AVERAGE($D3,$D9,$D15,$D21)</f>
        <v>7.7001562338090919</v>
      </c>
      <c r="C32" s="31">
        <f>AVERAGE($D4,$D10,$D16,$D22)</f>
        <v>5.7180522546629469</v>
      </c>
      <c r="D32" s="31">
        <f>AVERAGE($D5,$D11,$D17,$D23)</f>
        <v>4.0108377188956466</v>
      </c>
      <c r="E32" s="31">
        <f>AVERAGE($D6,$D12,$D18,$D24)</f>
        <v>2.5451725628849804</v>
      </c>
      <c r="F32" s="31">
        <f>AVERAGE($D7,$D13,$D19,$D25)</f>
        <v>1.954540399518844</v>
      </c>
      <c r="G32" s="31">
        <f>AVERAGE($D8,$D14,$D20,$D26)</f>
        <v>1.5969273774968198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4"/>
  <sheetViews>
    <sheetView workbookViewId="0">
      <selection activeCell="G3" sqref="G3"/>
    </sheetView>
  </sheetViews>
  <sheetFormatPr defaultColWidth="8.77734375" defaultRowHeight="14.4" x14ac:dyDescent="0.3"/>
  <cols>
    <col min="1" max="1" width="12.77734375" bestFit="1" customWidth="1"/>
  </cols>
  <sheetData>
    <row r="1" spans="1:8" ht="28.8" x14ac:dyDescent="0.3">
      <c r="A1" s="29" t="s">
        <v>51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t="s">
        <v>80</v>
      </c>
    </row>
    <row r="2" spans="1:8" x14ac:dyDescent="0.3">
      <c r="A2" s="29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  <c r="H2">
        <f>AVERAGE(B2:G2)</f>
        <v>0.13949999999999999</v>
      </c>
    </row>
    <row r="3" spans="1:8" ht="16.2" x14ac:dyDescent="0.3">
      <c r="A3" s="29" t="s">
        <v>53</v>
      </c>
      <c r="B3" s="2">
        <f>B2*B2</f>
        <v>5.9290000000000002E-3</v>
      </c>
      <c r="C3" s="2">
        <f t="shared" ref="C3:G3" si="0">C2*C2</f>
        <v>1.0404000000000002E-2</v>
      </c>
      <c r="D3" s="2">
        <f t="shared" si="0"/>
        <v>1.6129000000000001E-2</v>
      </c>
      <c r="E3" s="2">
        <f t="shared" si="0"/>
        <v>2.3104E-2</v>
      </c>
      <c r="F3" s="2">
        <f t="shared" si="0"/>
        <v>3.1328999999999996E-2</v>
      </c>
      <c r="G3" s="2">
        <f t="shared" si="0"/>
        <v>4.0803999999999993E-2</v>
      </c>
      <c r="H3">
        <f>AVERAGE(B3:G3)</f>
        <v>2.1283166666666669E-2</v>
      </c>
    </row>
    <row r="4" spans="1:8" x14ac:dyDescent="0.3">
      <c r="A4" s="29" t="s">
        <v>54</v>
      </c>
      <c r="B4" s="12">
        <f>'МНК рис.1'!N2</f>
        <v>1.4262274229440071E-2</v>
      </c>
      <c r="C4" s="12">
        <f>'МНК рис.2'!N2</f>
        <v>1.934270082513068E-2</v>
      </c>
      <c r="D4" s="12">
        <f>'МНК рис.3'!N2</f>
        <v>2.8792072764712899E-2</v>
      </c>
      <c r="E4" s="12">
        <f>'МНК рис.4'!N2</f>
        <v>4.7323026928486077E-2</v>
      </c>
      <c r="F4" s="12">
        <f>'МНК рис.5'!N2</f>
        <v>6.3137712741013735E-2</v>
      </c>
      <c r="G4" s="12">
        <f>'МНК рис.6'!N2</f>
        <v>7.7197711880816478E-2</v>
      </c>
      <c r="H4">
        <f>AVERAGE(B4:G4)</f>
        <v>4.1675916561599989E-2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Normal="100" workbookViewId="0">
      <selection activeCell="R24" sqref="R24"/>
    </sheetView>
  </sheetViews>
  <sheetFormatPr defaultColWidth="8.77734375"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tabSelected="1" workbookViewId="0">
      <selection sqref="A1:A1048576"/>
    </sheetView>
  </sheetViews>
  <sheetFormatPr defaultColWidth="8.77734375"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workbookViewId="0">
      <selection activeCell="B16" sqref="B16:D18"/>
    </sheetView>
  </sheetViews>
  <sheetFormatPr defaultColWidth="8.77734375" defaultRowHeight="14.4" x14ac:dyDescent="0.3"/>
  <cols>
    <col min="1" max="1" width="14.33203125" customWidth="1"/>
    <col min="2" max="2" width="11" customWidth="1"/>
    <col min="3" max="3" width="11.33203125" customWidth="1"/>
    <col min="4" max="4" width="10.6640625" customWidth="1"/>
    <col min="5" max="5" width="10" customWidth="1"/>
    <col min="6" max="6" width="10.33203125" customWidth="1"/>
    <col min="7" max="7" width="13.44140625" customWidth="1"/>
  </cols>
  <sheetData>
    <row r="1" spans="1:7" ht="47.55" customHeight="1" x14ac:dyDescent="0.3">
      <c r="A1" s="47" t="s">
        <v>62</v>
      </c>
      <c r="B1" s="47"/>
      <c r="C1" s="47"/>
      <c r="D1" s="47"/>
      <c r="E1" s="47"/>
      <c r="F1" s="47"/>
      <c r="G1" s="47"/>
    </row>
    <row r="2" spans="1:7" x14ac:dyDescent="0.3">
      <c r="A2" s="56" t="s">
        <v>65</v>
      </c>
      <c r="B2" s="49" t="s">
        <v>1</v>
      </c>
      <c r="C2" s="50"/>
      <c r="D2" s="50"/>
      <c r="E2" s="50"/>
      <c r="F2" s="50"/>
      <c r="G2" s="51"/>
    </row>
    <row r="3" spans="1:7" x14ac:dyDescent="0.3">
      <c r="A3" s="57"/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</row>
    <row r="4" spans="1:7" x14ac:dyDescent="0.3">
      <c r="A4" s="52">
        <f>0.047+0.22</f>
        <v>0.26700000000000002</v>
      </c>
      <c r="B4" s="36">
        <v>4.2</v>
      </c>
      <c r="C4" s="36">
        <v>4.97</v>
      </c>
      <c r="D4" s="36">
        <v>6</v>
      </c>
      <c r="E4" s="36">
        <v>6.86</v>
      </c>
      <c r="F4" s="36">
        <v>7.78</v>
      </c>
      <c r="G4" s="36">
        <v>8.8800000000000008</v>
      </c>
    </row>
    <row r="5" spans="1:7" x14ac:dyDescent="0.3">
      <c r="A5" s="53"/>
      <c r="B5" s="36">
        <v>4.3</v>
      </c>
      <c r="C5" s="36">
        <v>4.87</v>
      </c>
      <c r="D5" s="36">
        <v>5.93</v>
      </c>
      <c r="E5" s="36">
        <v>6.87</v>
      </c>
      <c r="F5" s="36">
        <v>7.8</v>
      </c>
      <c r="G5" s="36">
        <v>8.94</v>
      </c>
    </row>
    <row r="6" spans="1:7" x14ac:dyDescent="0.3">
      <c r="A6" s="53"/>
      <c r="B6" s="36">
        <v>4.3600000000000003</v>
      </c>
      <c r="C6" s="36">
        <v>4.95</v>
      </c>
      <c r="D6" s="36">
        <v>6.04</v>
      </c>
      <c r="E6" s="36">
        <v>6.96</v>
      </c>
      <c r="F6" s="36">
        <v>7.91</v>
      </c>
      <c r="G6" s="36">
        <v>9.02</v>
      </c>
    </row>
    <row r="7" spans="1:7" x14ac:dyDescent="0.3">
      <c r="A7" s="54"/>
      <c r="B7" s="36">
        <f>SUM(B4:B6)/3</f>
        <v>4.2866666666666662</v>
      </c>
      <c r="C7" s="36">
        <f t="shared" ref="C7:G7" si="0">SUM(C4:C6)/3</f>
        <v>4.93</v>
      </c>
      <c r="D7" s="36">
        <f t="shared" si="0"/>
        <v>5.9899999999999993</v>
      </c>
      <c r="E7" s="36">
        <f t="shared" si="0"/>
        <v>6.8966666666666674</v>
      </c>
      <c r="F7" s="36">
        <f t="shared" si="0"/>
        <v>7.830000000000001</v>
      </c>
      <c r="G7" s="36">
        <f t="shared" si="0"/>
        <v>8.9466666666666672</v>
      </c>
    </row>
    <row r="8" spans="1:7" x14ac:dyDescent="0.3">
      <c r="A8" s="52">
        <f>0.047+0.22*2</f>
        <v>0.48699999999999999</v>
      </c>
      <c r="B8" s="36">
        <v>3.27</v>
      </c>
      <c r="C8" s="36">
        <v>3.52</v>
      </c>
      <c r="D8" s="36">
        <v>4.3600000000000003</v>
      </c>
      <c r="E8" s="36">
        <v>4.99</v>
      </c>
      <c r="F8" s="36">
        <v>5.67</v>
      </c>
      <c r="G8" s="36">
        <v>6.36</v>
      </c>
    </row>
    <row r="9" spans="1:7" x14ac:dyDescent="0.3">
      <c r="A9" s="53"/>
      <c r="B9" s="36">
        <v>3.18</v>
      </c>
      <c r="C9" s="36">
        <v>3.63</v>
      </c>
      <c r="D9" s="36">
        <v>4.3499999999999996</v>
      </c>
      <c r="E9" s="36">
        <v>5.0199999999999996</v>
      </c>
      <c r="F9" s="36">
        <v>5.74</v>
      </c>
      <c r="G9" s="36">
        <v>6.39</v>
      </c>
    </row>
    <row r="10" spans="1:7" x14ac:dyDescent="0.3">
      <c r="A10" s="53"/>
      <c r="B10" s="36">
        <v>3.13</v>
      </c>
      <c r="C10" s="36">
        <v>3.64</v>
      </c>
      <c r="D10" s="36">
        <v>4.17</v>
      </c>
      <c r="E10" s="36">
        <v>4.96</v>
      </c>
      <c r="F10" s="36">
        <v>5.65</v>
      </c>
      <c r="G10" s="36">
        <v>6.37</v>
      </c>
    </row>
    <row r="11" spans="1:7" x14ac:dyDescent="0.3">
      <c r="A11" s="54"/>
      <c r="B11" s="36">
        <f>SUM(B8:B10)/3</f>
        <v>3.1933333333333334</v>
      </c>
      <c r="C11" s="36">
        <f t="shared" ref="C11:G11" si="1">SUM(C8:C10)/3</f>
        <v>3.5966666666666671</v>
      </c>
      <c r="D11" s="36">
        <f t="shared" si="1"/>
        <v>4.2933333333333339</v>
      </c>
      <c r="E11" s="36">
        <f t="shared" si="1"/>
        <v>4.9899999999999993</v>
      </c>
      <c r="F11" s="36">
        <f t="shared" si="1"/>
        <v>5.6866666666666674</v>
      </c>
      <c r="G11" s="36">
        <f t="shared" si="1"/>
        <v>6.373333333333334</v>
      </c>
    </row>
    <row r="12" spans="1:7" x14ac:dyDescent="0.3">
      <c r="A12" s="52">
        <f>0.047+0.22*3</f>
        <v>0.70700000000000007</v>
      </c>
      <c r="B12" s="36">
        <v>2.5099999999999998</v>
      </c>
      <c r="C12" s="36">
        <v>2.94</v>
      </c>
      <c r="D12" s="36">
        <v>3.45</v>
      </c>
      <c r="E12" s="36">
        <v>4.1399999999999997</v>
      </c>
      <c r="F12" s="36">
        <v>4.6399999999999997</v>
      </c>
      <c r="G12" s="36">
        <v>5.24</v>
      </c>
    </row>
    <row r="13" spans="1:7" x14ac:dyDescent="0.3">
      <c r="A13" s="53"/>
      <c r="B13" s="36">
        <v>2.56</v>
      </c>
      <c r="C13" s="36">
        <v>2.93</v>
      </c>
      <c r="D13" s="36">
        <v>3.55</v>
      </c>
      <c r="E13" s="36">
        <v>4.08</v>
      </c>
      <c r="F13" s="36">
        <v>4.75</v>
      </c>
      <c r="G13" s="36">
        <v>5.27</v>
      </c>
    </row>
    <row r="14" spans="1:7" x14ac:dyDescent="0.3">
      <c r="A14" s="53"/>
      <c r="B14" s="36">
        <v>2.5299999999999998</v>
      </c>
      <c r="C14" s="36">
        <v>3.02</v>
      </c>
      <c r="D14" s="36">
        <v>3.49</v>
      </c>
      <c r="E14" s="36">
        <v>4.07</v>
      </c>
      <c r="F14" s="36">
        <v>4.62</v>
      </c>
      <c r="G14" s="36">
        <v>5.28</v>
      </c>
    </row>
    <row r="15" spans="1:7" x14ac:dyDescent="0.3">
      <c r="A15" s="54"/>
      <c r="B15" s="36">
        <f>SUM(B12:B14)/3</f>
        <v>2.5333333333333332</v>
      </c>
      <c r="C15" s="36">
        <f t="shared" ref="C15" si="2">SUM(C12:C14)/3</f>
        <v>2.9633333333333334</v>
      </c>
      <c r="D15" s="36">
        <f t="shared" ref="D15:G15" si="3">SUM(D12:D14)/3</f>
        <v>3.4966666666666666</v>
      </c>
      <c r="E15" s="36">
        <f t="shared" si="3"/>
        <v>4.0966666666666667</v>
      </c>
      <c r="F15" s="36">
        <f t="shared" si="3"/>
        <v>4.6700000000000008</v>
      </c>
      <c r="G15" s="36">
        <f t="shared" si="3"/>
        <v>5.2633333333333328</v>
      </c>
    </row>
    <row r="16" spans="1:7" x14ac:dyDescent="0.3">
      <c r="A16" s="52">
        <f>0.047+0.22*4</f>
        <v>0.92700000000000005</v>
      </c>
      <c r="B16" s="36">
        <v>2.23</v>
      </c>
      <c r="C16" s="36">
        <v>2.59</v>
      </c>
      <c r="D16" s="36">
        <v>3.1</v>
      </c>
      <c r="E16" s="36">
        <v>3.55</v>
      </c>
      <c r="F16" s="36">
        <v>4.0599999999999996</v>
      </c>
      <c r="G16" s="36">
        <v>4.6100000000000003</v>
      </c>
    </row>
    <row r="17" spans="1:7" x14ac:dyDescent="0.3">
      <c r="A17" s="53"/>
      <c r="B17" s="36">
        <v>2.23</v>
      </c>
      <c r="C17" s="36">
        <v>2.59</v>
      </c>
      <c r="D17" s="36">
        <v>3.06</v>
      </c>
      <c r="E17" s="36">
        <v>3.56</v>
      </c>
      <c r="F17" s="36">
        <v>4.01</v>
      </c>
      <c r="G17" s="36">
        <v>4.5599999999999996</v>
      </c>
    </row>
    <row r="18" spans="1:7" x14ac:dyDescent="0.3">
      <c r="A18" s="53"/>
      <c r="B18" s="36">
        <v>2.12</v>
      </c>
      <c r="C18" s="36">
        <v>2.46</v>
      </c>
      <c r="D18" s="36">
        <v>3.09</v>
      </c>
      <c r="E18" s="36">
        <v>3.58</v>
      </c>
      <c r="F18" s="36">
        <v>4.07</v>
      </c>
      <c r="G18" s="36">
        <v>4.68</v>
      </c>
    </row>
    <row r="19" spans="1:7" x14ac:dyDescent="0.3">
      <c r="A19" s="54"/>
      <c r="B19" s="36">
        <f>SUM(B16:B18)/3</f>
        <v>2.1933333333333334</v>
      </c>
      <c r="C19" s="36">
        <f t="shared" ref="C19" si="4">SUM(C16:C18)/3</f>
        <v>2.5466666666666664</v>
      </c>
      <c r="D19" s="36">
        <f t="shared" ref="D19:G19" si="5">SUM(D16:D18)/3</f>
        <v>3.0833333333333335</v>
      </c>
      <c r="E19" s="36">
        <f t="shared" si="5"/>
        <v>3.563333333333333</v>
      </c>
      <c r="F19" s="36">
        <f t="shared" si="5"/>
        <v>4.0466666666666669</v>
      </c>
      <c r="G19" s="36">
        <f t="shared" si="5"/>
        <v>4.6166666666666663</v>
      </c>
    </row>
    <row r="20" spans="1:7" ht="41.55" customHeight="1" x14ac:dyDescent="0.3">
      <c r="A20" s="47" t="s">
        <v>63</v>
      </c>
      <c r="B20" s="47"/>
      <c r="C20" s="47"/>
      <c r="D20" s="47"/>
      <c r="E20" s="47"/>
      <c r="F20" s="37"/>
      <c r="G20" s="37"/>
    </row>
    <row r="21" spans="1:7" ht="15.6" x14ac:dyDescent="0.35">
      <c r="A21" s="35" t="s">
        <v>65</v>
      </c>
      <c r="B21" s="38" t="s">
        <v>67</v>
      </c>
      <c r="C21" s="39" t="s">
        <v>68</v>
      </c>
      <c r="D21" s="40" t="s">
        <v>69</v>
      </c>
      <c r="E21" s="41" t="s">
        <v>11</v>
      </c>
      <c r="F21" s="37"/>
      <c r="G21" s="37"/>
    </row>
    <row r="22" spans="1:7" x14ac:dyDescent="0.3">
      <c r="A22" s="52">
        <v>0.26700000000000002</v>
      </c>
      <c r="B22" s="36">
        <v>4.2866666666666662</v>
      </c>
      <c r="C22" s="36">
        <v>7.6188356967848536E-2</v>
      </c>
      <c r="D22" s="36">
        <v>3.3125372594716755</v>
      </c>
      <c r="E22" s="36">
        <v>5.9713927299860449E-2</v>
      </c>
      <c r="F22" s="37"/>
      <c r="G22" s="37"/>
    </row>
    <row r="23" spans="1:7" x14ac:dyDescent="0.3">
      <c r="A23" s="53"/>
      <c r="B23" s="36">
        <v>4.93</v>
      </c>
      <c r="C23" s="36">
        <v>5.7601553596188425E-2</v>
      </c>
      <c r="D23" s="36">
        <v>2.5044153737473227</v>
      </c>
      <c r="E23" s="36">
        <v>5.982806885936582E-2</v>
      </c>
      <c r="F23" s="37"/>
      <c r="G23" s="37"/>
    </row>
    <row r="24" spans="1:7" x14ac:dyDescent="0.3">
      <c r="A24" s="53"/>
      <c r="B24" s="36">
        <v>5.9899999999999993</v>
      </c>
      <c r="C24" s="36">
        <v>3.901884331426056E-2</v>
      </c>
      <c r="D24" s="36">
        <v>1.6964714484461114</v>
      </c>
      <c r="E24" s="36">
        <v>5.994218528320714E-2</v>
      </c>
      <c r="F24" s="37"/>
      <c r="G24" s="37"/>
    </row>
    <row r="25" spans="1:7" x14ac:dyDescent="0.3">
      <c r="A25" s="53"/>
      <c r="B25" s="36">
        <v>6.8966666666666674</v>
      </c>
      <c r="C25" s="36">
        <v>2.9434018857861947E-2</v>
      </c>
      <c r="D25" s="36">
        <v>1.2797399503418239</v>
      </c>
      <c r="E25" s="36">
        <v>6.0001045690193884E-2</v>
      </c>
      <c r="F25" s="37"/>
      <c r="G25" s="37"/>
    </row>
    <row r="26" spans="1:7" x14ac:dyDescent="0.3">
      <c r="A26" s="53"/>
      <c r="B26" s="36">
        <v>7.830000000000001</v>
      </c>
      <c r="C26" s="36">
        <v>2.2835183798763304E-2</v>
      </c>
      <c r="D26" s="36">
        <v>0.99283407820710023</v>
      </c>
      <c r="E26" s="36">
        <v>6.0041569136291807E-2</v>
      </c>
      <c r="F26" s="37"/>
      <c r="G26" s="37"/>
    </row>
    <row r="27" spans="1:7" x14ac:dyDescent="0.3">
      <c r="A27" s="54"/>
      <c r="B27" s="36">
        <v>8.9466666666666672</v>
      </c>
      <c r="C27" s="36">
        <v>1.7490632794436755E-2</v>
      </c>
      <c r="D27" s="36">
        <v>0.76046229541029375</v>
      </c>
      <c r="E27" s="36">
        <v>6.0074390024009376E-2</v>
      </c>
      <c r="F27" s="37"/>
      <c r="G27" s="37"/>
    </row>
    <row r="28" spans="1:7" x14ac:dyDescent="0.3">
      <c r="A28" s="52">
        <v>0.48699999999999999</v>
      </c>
      <c r="B28" s="36">
        <v>3.1933333333333334</v>
      </c>
      <c r="C28" s="36">
        <v>0.13729019660827838</v>
      </c>
      <c r="D28" s="36">
        <v>5.9691389829686248</v>
      </c>
      <c r="E28" s="36">
        <v>0.10823201250779067</v>
      </c>
      <c r="F28" s="37"/>
      <c r="G28" s="37"/>
    </row>
    <row r="29" spans="1:7" x14ac:dyDescent="0.3">
      <c r="A29" s="53"/>
      <c r="B29" s="36">
        <v>3.5966666666666671</v>
      </c>
      <c r="C29" s="36">
        <v>0.10822501526745747</v>
      </c>
      <c r="D29" s="36">
        <v>4.7054354464111947</v>
      </c>
      <c r="E29" s="36">
        <v>0.10855757160398921</v>
      </c>
      <c r="F29" s="37"/>
      <c r="G29" s="37"/>
    </row>
    <row r="30" spans="1:7" x14ac:dyDescent="0.3">
      <c r="A30" s="53"/>
      <c r="B30" s="36">
        <v>4.2933333333333339</v>
      </c>
      <c r="C30" s="36">
        <v>7.5951930866864678E-2</v>
      </c>
      <c r="D30" s="36">
        <v>3.3022578637767253</v>
      </c>
      <c r="E30" s="36">
        <v>0.10891906242236025</v>
      </c>
      <c r="F30" s="37"/>
      <c r="G30" s="37"/>
    </row>
    <row r="31" spans="1:7" x14ac:dyDescent="0.3">
      <c r="A31" s="53"/>
      <c r="B31" s="36">
        <v>4.9899999999999993</v>
      </c>
      <c r="C31" s="36">
        <v>5.6224673796490786E-2</v>
      </c>
      <c r="D31" s="36">
        <v>2.4445510346300341</v>
      </c>
      <c r="E31" s="36">
        <v>0.10914002742880551</v>
      </c>
      <c r="F31" s="37"/>
      <c r="G31" s="37"/>
    </row>
    <row r="32" spans="1:7" x14ac:dyDescent="0.3">
      <c r="A32" s="53"/>
      <c r="B32" s="36">
        <v>5.6866666666666674</v>
      </c>
      <c r="C32" s="36">
        <v>4.3292482638340082E-2</v>
      </c>
      <c r="D32" s="36">
        <v>1.8822818538408732</v>
      </c>
      <c r="E32" s="36">
        <v>0.10928488090196795</v>
      </c>
      <c r="F32" s="37"/>
      <c r="G32" s="37"/>
    </row>
    <row r="33" spans="1:7" x14ac:dyDescent="0.3">
      <c r="A33" s="54"/>
      <c r="B33" s="36">
        <v>6.373333333333334</v>
      </c>
      <c r="C33" s="36">
        <v>3.4466308362948818E-2</v>
      </c>
      <c r="D33" s="36">
        <v>1.4985351462151659</v>
      </c>
      <c r="E33" s="36">
        <v>0.1093837428800266</v>
      </c>
      <c r="F33" s="37"/>
      <c r="G33" s="37"/>
    </row>
    <row r="34" spans="1:7" x14ac:dyDescent="0.3">
      <c r="A34" s="52">
        <v>0.70700000000000007</v>
      </c>
      <c r="B34" s="36">
        <v>2.5333333333333332</v>
      </c>
      <c r="C34" s="36">
        <v>0.21814404432132964</v>
      </c>
      <c r="D34" s="36">
        <v>9.4845236661447672</v>
      </c>
      <c r="E34" s="36">
        <v>0.1558105596952909</v>
      </c>
      <c r="F34" s="37"/>
      <c r="G34" s="37"/>
    </row>
    <row r="35" spans="1:7" x14ac:dyDescent="0.3">
      <c r="A35" s="53"/>
      <c r="B35" s="36">
        <v>2.9633333333333334</v>
      </c>
      <c r="C35" s="36">
        <v>0.15942889028635199</v>
      </c>
      <c r="D35" s="36">
        <v>6.931690882015304</v>
      </c>
      <c r="E35" s="36">
        <v>0.15676532681505367</v>
      </c>
      <c r="F35" s="37"/>
      <c r="G35" s="37"/>
    </row>
    <row r="36" spans="1:7" x14ac:dyDescent="0.3">
      <c r="A36" s="53"/>
      <c r="B36" s="36">
        <v>3.4966666666666666</v>
      </c>
      <c r="C36" s="36">
        <v>0.11450371273744753</v>
      </c>
      <c r="D36" s="36">
        <v>4.9784222929325015</v>
      </c>
      <c r="E36" s="36">
        <v>0.1574958551271764</v>
      </c>
      <c r="F36" s="37"/>
      <c r="G36" s="37"/>
    </row>
    <row r="37" spans="1:7" x14ac:dyDescent="0.3">
      <c r="A37" s="53"/>
      <c r="B37" s="36">
        <v>4.0966666666666667</v>
      </c>
      <c r="C37" s="36">
        <v>8.3419345740747233E-2</v>
      </c>
      <c r="D37" s="36">
        <v>3.6269280756846625</v>
      </c>
      <c r="E37" s="36">
        <v>0.15800131801890974</v>
      </c>
      <c r="F37" s="37"/>
      <c r="G37" s="37"/>
    </row>
    <row r="38" spans="1:7" x14ac:dyDescent="0.3">
      <c r="A38" s="53"/>
      <c r="B38" s="36">
        <v>4.6700000000000008</v>
      </c>
      <c r="C38" s="36">
        <v>6.4193975853894483E-2</v>
      </c>
      <c r="D38" s="36">
        <v>2.7910424284301949</v>
      </c>
      <c r="E38" s="36">
        <v>0.15831394175863983</v>
      </c>
      <c r="F38" s="37"/>
      <c r="G38" s="37"/>
    </row>
    <row r="39" spans="1:7" x14ac:dyDescent="0.3">
      <c r="A39" s="54"/>
      <c r="B39" s="36">
        <v>5.2633333333333328</v>
      </c>
      <c r="C39" s="36">
        <v>5.0536630835125856E-2</v>
      </c>
      <c r="D39" s="36">
        <v>2.1972448189185156</v>
      </c>
      <c r="E39" s="36">
        <v>0.15853602384599005</v>
      </c>
      <c r="F39" s="37"/>
      <c r="G39" s="37"/>
    </row>
    <row r="40" spans="1:7" x14ac:dyDescent="0.3">
      <c r="A40" s="55">
        <v>0.92700000000000005</v>
      </c>
      <c r="B40" s="36">
        <v>2.1933333333333334</v>
      </c>
      <c r="C40" s="36">
        <v>0.29101726702451008</v>
      </c>
      <c r="D40" s="36">
        <v>12.65292465323957</v>
      </c>
      <c r="E40" s="36">
        <v>0.20274102084977044</v>
      </c>
      <c r="F40" s="37"/>
      <c r="G40" s="37"/>
    </row>
    <row r="41" spans="1:7" x14ac:dyDescent="0.3">
      <c r="A41" s="55"/>
      <c r="B41" s="36">
        <v>2.5466666666666664</v>
      </c>
      <c r="C41" s="36">
        <v>0.21586579315259999</v>
      </c>
      <c r="D41" s="36">
        <v>9.3854692675043481</v>
      </c>
      <c r="E41" s="36">
        <v>0.20434332542419342</v>
      </c>
      <c r="F41" s="37"/>
      <c r="G41" s="37"/>
    </row>
    <row r="42" spans="1:7" x14ac:dyDescent="0.3">
      <c r="A42" s="55"/>
      <c r="B42" s="36">
        <v>3.0833333333333335</v>
      </c>
      <c r="C42" s="36">
        <v>0.14726077428780129</v>
      </c>
      <c r="D42" s="36">
        <v>6.4026423603391871</v>
      </c>
      <c r="E42" s="36">
        <v>0.20580605303140981</v>
      </c>
      <c r="F42" s="37"/>
      <c r="G42" s="37"/>
    </row>
    <row r="43" spans="1:7" x14ac:dyDescent="0.3">
      <c r="A43" s="55"/>
      <c r="B43" s="36">
        <v>3.563333333333333</v>
      </c>
      <c r="C43" s="36">
        <v>0.11025927556155662</v>
      </c>
      <c r="D43" s="36">
        <v>4.793881546154636</v>
      </c>
      <c r="E43" s="36">
        <v>0.20659496198575206</v>
      </c>
      <c r="F43" s="37"/>
      <c r="G43" s="37"/>
    </row>
    <row r="44" spans="1:7" x14ac:dyDescent="0.3">
      <c r="A44" s="55"/>
      <c r="B44" s="36">
        <v>4.0466666666666669</v>
      </c>
      <c r="C44" s="36">
        <v>8.5493514706241558E-2</v>
      </c>
      <c r="D44" s="36">
        <v>3.7171093350539808</v>
      </c>
      <c r="E44" s="36">
        <v>0.20712299277294824</v>
      </c>
      <c r="F44" s="37"/>
      <c r="G44" s="37"/>
    </row>
    <row r="45" spans="1:7" x14ac:dyDescent="0.3">
      <c r="A45" s="55"/>
      <c r="B45" s="36">
        <v>4.6166666666666663</v>
      </c>
      <c r="C45" s="36">
        <v>6.5685725084387928E-2</v>
      </c>
      <c r="D45" s="36">
        <v>2.855901090625562</v>
      </c>
      <c r="E45" s="36">
        <v>0.20754531465547579</v>
      </c>
      <c r="F45" s="37"/>
      <c r="G45" s="37"/>
    </row>
    <row r="46" spans="1:7" x14ac:dyDescent="0.3">
      <c r="A46" s="43"/>
      <c r="B46" s="44"/>
      <c r="C46" s="44"/>
      <c r="D46" s="44"/>
      <c r="E46" s="44"/>
      <c r="F46" s="37"/>
      <c r="G46" s="37"/>
    </row>
    <row r="47" spans="1:7" x14ac:dyDescent="0.3">
      <c r="A47" s="48" t="s">
        <v>66</v>
      </c>
      <c r="B47" s="48"/>
      <c r="C47" s="48"/>
      <c r="D47" s="48"/>
      <c r="E47" s="48"/>
      <c r="F47" s="48"/>
      <c r="G47" s="48"/>
    </row>
    <row r="48" spans="1:7" x14ac:dyDescent="0.3">
      <c r="A48" s="42" t="s">
        <v>51</v>
      </c>
      <c r="B48" s="42">
        <v>1</v>
      </c>
      <c r="C48" s="42">
        <v>2</v>
      </c>
      <c r="D48" s="42">
        <v>3</v>
      </c>
      <c r="E48" s="42">
        <v>4</v>
      </c>
      <c r="F48" s="42">
        <v>5</v>
      </c>
      <c r="G48" s="42">
        <v>6</v>
      </c>
    </row>
    <row r="49" spans="1:7" x14ac:dyDescent="0.3">
      <c r="A49" s="42" t="s">
        <v>64</v>
      </c>
      <c r="B49" s="41">
        <v>7.6999999999999999E-2</v>
      </c>
      <c r="C49" s="41">
        <v>0.10200000000000001</v>
      </c>
      <c r="D49" s="41">
        <v>0.127</v>
      </c>
      <c r="E49" s="41">
        <v>0.152</v>
      </c>
      <c r="F49" s="41">
        <v>0.17699999999999999</v>
      </c>
      <c r="G49" s="41">
        <v>0.20199999999999999</v>
      </c>
    </row>
    <row r="50" spans="1:7" ht="15" x14ac:dyDescent="0.3">
      <c r="A50" s="42" t="s">
        <v>70</v>
      </c>
      <c r="B50" s="41">
        <v>5.9290000000000002E-3</v>
      </c>
      <c r="C50" s="41">
        <v>1.0404000000000002E-2</v>
      </c>
      <c r="D50" s="41">
        <v>1.6129000000000001E-2</v>
      </c>
      <c r="E50" s="41">
        <v>2.3104E-2</v>
      </c>
      <c r="F50" s="41">
        <v>3.1328999999999996E-2</v>
      </c>
      <c r="G50" s="41">
        <v>4.0803999999999993E-2</v>
      </c>
    </row>
    <row r="51" spans="1:7" ht="15" x14ac:dyDescent="0.3">
      <c r="A51" s="42" t="s">
        <v>71</v>
      </c>
      <c r="B51" s="36">
        <v>1.5068213537674789E-2</v>
      </c>
      <c r="C51" s="36">
        <v>2.1048078241893361E-2</v>
      </c>
      <c r="D51" s="36">
        <v>3.0749652241374853E-2</v>
      </c>
      <c r="E51" s="36">
        <v>4.1675635135226742E-2</v>
      </c>
      <c r="F51" s="36">
        <v>5.3980073805964597E-2</v>
      </c>
      <c r="G51" s="36">
        <v>7.0331102837393106E-2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Погрешности прямые (a)</vt:lpstr>
      <vt:lpstr>Погрешности прямые (t)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  <vt:lpstr>Параметры установки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Глеб Игоревич Маликов</cp:lastModifiedBy>
  <cp:lastPrinted>2021-10-21T21:58:13Z</cp:lastPrinted>
  <dcterms:created xsi:type="dcterms:W3CDTF">2015-06-05T18:19:34Z</dcterms:created>
  <dcterms:modified xsi:type="dcterms:W3CDTF">2023-11-22T20:02:47Z</dcterms:modified>
</cp:coreProperties>
</file>