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Mi unidad\Revistas\Electronics\Electronics(SI)-IdeAir\"/>
    </mc:Choice>
  </mc:AlternateContent>
  <xr:revisionPtr revIDLastSave="0" documentId="13_ncr:1_{D2C52990-8261-41BE-A8A9-30CB98D825EE}" xr6:coauthVersionLast="47" xr6:coauthVersionMax="47" xr10:uidLastSave="{00000000-0000-0000-0000-000000000000}"/>
  <bookViews>
    <workbookView xWindow="28680" yWindow="-120" windowWidth="29040" windowHeight="15720" xr2:uid="{00000000-000D-0000-FFFF-FFFF00000000}"/>
  </bookViews>
  <sheets>
    <sheet name="Encuesta 3.0(guardada)" sheetId="1" r:id="rId1"/>
    <sheet name="Información" sheetId="2" r:id="rId2"/>
  </sheets>
  <definedNames>
    <definedName name="_xlnm._FilterDatabase" localSheetId="0" hidden="1">'Encuesta 3.0(guardada)'!$A$1:$U$42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1" i="1" l="1"/>
  <c r="T72" i="1"/>
  <c r="T73" i="1"/>
  <c r="T74" i="1"/>
  <c r="T70" i="1"/>
  <c r="S62" i="1"/>
  <c r="S63" i="1"/>
  <c r="S66" i="1" s="1"/>
  <c r="T62" i="1" s="1"/>
  <c r="S64" i="1"/>
  <c r="S65" i="1"/>
  <c r="S61" i="1"/>
  <c r="U55" i="1"/>
  <c r="U56" i="1"/>
  <c r="U57" i="1"/>
  <c r="U54" i="1"/>
  <c r="T57" i="1"/>
  <c r="T56" i="1"/>
  <c r="T55" i="1"/>
  <c r="T54" i="1"/>
  <c r="S55" i="1"/>
  <c r="S56" i="1"/>
  <c r="S57" i="1"/>
  <c r="S54" i="1"/>
  <c r="R57" i="1"/>
  <c r="R56" i="1"/>
  <c r="R55" i="1"/>
  <c r="R54" i="1"/>
  <c r="S58" i="1" s="1"/>
  <c r="P47" i="1"/>
  <c r="P46" i="1"/>
  <c r="O110" i="1"/>
  <c r="O109" i="1"/>
  <c r="O108" i="1"/>
  <c r="O107" i="1"/>
  <c r="O106" i="1"/>
  <c r="O105" i="1"/>
  <c r="O104" i="1"/>
  <c r="O103" i="1"/>
  <c r="O102" i="1"/>
  <c r="O101" i="1"/>
  <c r="O100" i="1"/>
  <c r="O99" i="1"/>
  <c r="O92" i="1"/>
  <c r="O93" i="1"/>
  <c r="O94" i="1"/>
  <c r="O95" i="1"/>
  <c r="O91" i="1"/>
  <c r="N95" i="1"/>
  <c r="N94" i="1"/>
  <c r="N93" i="1"/>
  <c r="N92" i="1"/>
  <c r="N91" i="1"/>
  <c r="N88" i="1"/>
  <c r="N80" i="1"/>
  <c r="N81" i="1"/>
  <c r="N82" i="1"/>
  <c r="N83" i="1"/>
  <c r="N84" i="1"/>
  <c r="N85" i="1"/>
  <c r="N86" i="1"/>
  <c r="N87" i="1"/>
  <c r="N79" i="1"/>
  <c r="M85" i="1"/>
  <c r="M84" i="1"/>
  <c r="M83" i="1"/>
  <c r="M82" i="1"/>
  <c r="M81" i="1"/>
  <c r="M80" i="1"/>
  <c r="M86" i="1"/>
  <c r="M87" i="1"/>
  <c r="O87" i="1"/>
  <c r="M79" i="1"/>
  <c r="O86" i="1"/>
  <c r="O85" i="1"/>
  <c r="O84" i="1"/>
  <c r="O83" i="1"/>
  <c r="O82" i="1"/>
  <c r="O81" i="1"/>
  <c r="O80" i="1"/>
  <c r="O79" i="1"/>
  <c r="N73" i="1"/>
  <c r="N74" i="1"/>
  <c r="N72" i="1"/>
  <c r="N71" i="1"/>
  <c r="N70" i="1"/>
  <c r="N69" i="1"/>
  <c r="N68" i="1"/>
  <c r="N67" i="1"/>
  <c r="N66" i="1"/>
  <c r="N65" i="1"/>
  <c r="N64" i="1"/>
  <c r="N63" i="1"/>
  <c r="L74" i="1"/>
  <c r="L72" i="1"/>
  <c r="L71" i="1"/>
  <c r="L70" i="1"/>
  <c r="L69" i="1"/>
  <c r="L68" i="1"/>
  <c r="L67" i="1"/>
  <c r="L66" i="1"/>
  <c r="L65" i="1"/>
  <c r="L64" i="1"/>
  <c r="L63" i="1"/>
  <c r="L62" i="1"/>
  <c r="N62" i="1"/>
  <c r="L73" i="1"/>
  <c r="K56" i="1"/>
  <c r="K57" i="1"/>
  <c r="K58" i="1"/>
  <c r="K55" i="1"/>
  <c r="J51" i="1"/>
  <c r="J50" i="1"/>
  <c r="J49" i="1"/>
  <c r="J48" i="1"/>
  <c r="J47" i="1"/>
  <c r="J46" i="1"/>
  <c r="I88" i="1"/>
  <c r="I84" i="1"/>
  <c r="I85" i="1"/>
  <c r="I86" i="1"/>
  <c r="I87" i="1"/>
  <c r="I83" i="1"/>
  <c r="I79" i="1"/>
  <c r="I78" i="1"/>
  <c r="I77" i="1"/>
  <c r="I76" i="1"/>
  <c r="I75" i="1"/>
  <c r="I74" i="1"/>
  <c r="I73" i="1"/>
  <c r="I72" i="1"/>
  <c r="I71" i="1"/>
  <c r="I70" i="1"/>
  <c r="I69" i="1"/>
  <c r="I68" i="1"/>
  <c r="G68" i="1"/>
  <c r="G76" i="1"/>
  <c r="G79" i="1"/>
  <c r="G78" i="1"/>
  <c r="G77" i="1"/>
  <c r="G75" i="1"/>
  <c r="G74" i="1"/>
  <c r="G73" i="1"/>
  <c r="G72" i="1"/>
  <c r="G71" i="1"/>
  <c r="G70" i="1"/>
  <c r="G69" i="1"/>
  <c r="F62" i="1"/>
  <c r="F63" i="1"/>
  <c r="F64" i="1"/>
  <c r="F61" i="1"/>
  <c r="E53" i="1"/>
  <c r="D47" i="1"/>
  <c r="D48" i="1"/>
  <c r="D49" i="1"/>
  <c r="D46" i="1"/>
  <c r="E57" i="1" s="1"/>
  <c r="T61" i="1" l="1"/>
  <c r="T65" i="1"/>
  <c r="T64" i="1"/>
  <c r="T63" i="1"/>
  <c r="U70" i="1"/>
  <c r="U74" i="1"/>
  <c r="U73" i="1"/>
  <c r="U71" i="1"/>
  <c r="T75" i="1"/>
  <c r="U72" i="1"/>
  <c r="T66" i="1"/>
  <c r="R58" i="1"/>
  <c r="P48" i="1"/>
  <c r="N96" i="1"/>
  <c r="O96" i="1"/>
  <c r="M88" i="1"/>
  <c r="E56" i="1"/>
  <c r="L75" i="1"/>
  <c r="M74" i="1" s="1"/>
  <c r="E55" i="1"/>
  <c r="E54" i="1"/>
  <c r="K59" i="1"/>
  <c r="L55" i="1" s="1"/>
  <c r="J52" i="1"/>
  <c r="K47" i="1" s="1"/>
  <c r="I89" i="1"/>
  <c r="J85" i="1" s="1"/>
  <c r="G80" i="1"/>
  <c r="H68" i="1" s="1"/>
  <c r="F65" i="1"/>
  <c r="G64" i="1" s="1"/>
  <c r="D50" i="1"/>
  <c r="U75" i="1" l="1"/>
  <c r="H72" i="1"/>
  <c r="H71" i="1"/>
  <c r="H69" i="1"/>
  <c r="H70" i="1"/>
  <c r="L76" i="1"/>
  <c r="M70" i="1"/>
  <c r="M62" i="1"/>
  <c r="M63" i="1"/>
  <c r="M64" i="1"/>
  <c r="M65" i="1"/>
  <c r="M66" i="1"/>
  <c r="M72" i="1"/>
  <c r="M67" i="1"/>
  <c r="M69" i="1"/>
  <c r="M71" i="1"/>
  <c r="M68" i="1"/>
  <c r="L56" i="1"/>
  <c r="L57" i="1"/>
  <c r="L58" i="1"/>
  <c r="G63" i="1"/>
  <c r="G61" i="1"/>
  <c r="G62" i="1"/>
  <c r="H79" i="1"/>
  <c r="H76" i="1"/>
  <c r="H73" i="1"/>
  <c r="H74" i="1"/>
  <c r="H75" i="1"/>
  <c r="H78" i="1"/>
  <c r="H77" i="1"/>
  <c r="E58" i="1"/>
  <c r="F55" i="1" s="1"/>
  <c r="K46" i="1"/>
  <c r="K51" i="1"/>
  <c r="K50" i="1"/>
  <c r="K49" i="1"/>
  <c r="K48" i="1"/>
  <c r="J87" i="1"/>
  <c r="J83" i="1"/>
  <c r="J84" i="1"/>
  <c r="J88" i="1"/>
  <c r="J86" i="1"/>
  <c r="E47" i="1"/>
  <c r="E48" i="1"/>
  <c r="E49" i="1"/>
  <c r="E50" i="1"/>
  <c r="E46" i="1"/>
  <c r="H80" i="1" l="1"/>
  <c r="F54" i="1"/>
  <c r="L59" i="1"/>
  <c r="M75" i="1"/>
  <c r="F57" i="1"/>
  <c r="F56" i="1"/>
  <c r="F53" i="1"/>
  <c r="G65" i="1"/>
  <c r="K52" i="1"/>
  <c r="J89" i="1"/>
  <c r="F58" i="1" l="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sharedStrings.xml><?xml version="1.0" encoding="utf-8"?>
<sst xmlns="http://schemas.openxmlformats.org/spreadsheetml/2006/main" count="881" uniqueCount="586">
  <si>
    <t>N°Obs</t>
  </si>
  <si>
    <t>NivelProfesional</t>
  </si>
  <si>
    <t>NivelProfesional_Otro</t>
  </si>
  <si>
    <t>ExperienciaDevelopment</t>
  </si>
  <si>
    <t>AplicacionMetodologia</t>
  </si>
  <si>
    <t>MethodologiasUsadas</t>
  </si>
  <si>
    <t>MethodologiasUsadas_Otro</t>
  </si>
  <si>
    <t>DesarrolladorIot</t>
  </si>
  <si>
    <t>Experiencia</t>
  </si>
  <si>
    <t>MetodologiasSistemasIoT</t>
  </si>
  <si>
    <t>TradicionalesParaIoT</t>
  </si>
  <si>
    <t>MethodologiasUsadasParaIoT</t>
  </si>
  <si>
    <t>RelevanciaEtapasTDDM4IoTS</t>
  </si>
  <si>
    <t>EtapasRedundantes</t>
  </si>
  <si>
    <t>AditionalStages</t>
  </si>
  <si>
    <t>RolesTeamMembers</t>
  </si>
  <si>
    <t>AdequacyOfRoles</t>
  </si>
  <si>
    <t>CLE</t>
  </si>
  <si>
    <t>DATE_SAISIE</t>
  </si>
  <si>
    <t/>
  </si>
  <si>
    <t>¿Qué nivel conocimientos posee acerca del desarrollo de sistemas de software y/o sistemas basados en IoT?</t>
  </si>
  <si>
    <t>Otro, por favor, especifique:</t>
  </si>
  <si>
    <t>¿Cuántos años de experiencia posee como desarrollador de sistemas computacionales en general?</t>
  </si>
  <si>
    <t>Al desarrollar sistemas computacionales en general, ¿ha aplicado alguna metodología de manera estricta?</t>
  </si>
  <si>
    <t>¿Cuál/es de las siguientes metodologías de desarrollo de software ha aplicado total o parcialmente? Seleccione en orden de relevancia.</t>
  </si>
  <si>
    <t>Otra/s', por favor, espeficique (si más de una, sepárelas con punto y coma ";")</t>
  </si>
  <si>
    <t>Un sistema IoT está formado por dispositivos y aplicación Web y/o aplicación móvil ¿Ha participado en el desarrollado de algún sistema basado en IoT?</t>
  </si>
  <si>
    <t>¿En cuántos proyectos de desarrollo de sistemas basados en IoT ha participado?</t>
  </si>
  <si>
    <t>Basándose en su experiencia en el desarrollo de sistemas basados en IoT, ¿cree que se puede seguir una de las metodologías tradicionales de desarrollo de sistemas software para desarrollar un sistema basado en IoT?</t>
  </si>
  <si>
    <t>¿Cuál/es de las siguientes metodologías considera que tendría más éxito a la hora de guiar el desarrollo de sistemas basados en IoT? Seleccione en orden de prioridad.</t>
  </si>
  <si>
    <t>Según su experiencia en el desarrollo de sistemas basados en IoT, ¿qué metodologías ha utilizado? Seleccione en orden de relevancia.</t>
  </si>
  <si>
    <t>Si "etapa o fase" se define como un conjunto de actividades que se realiza como parte del desarrollo de un sistema, ¿cuál es su opinión sobre la definición de las etapas de TDDM4IoTS?</t>
  </si>
  <si>
    <t>De las etapas de desarrollo consideradas en TDDM4IoTS, ¿cuál/es es/son redundante/s o no se lleva/n a cabo durante el proceso de desarrollo?</t>
  </si>
  <si>
    <t>¿Considera que TDDM4IoTS CARECE de alguna etapa del proceso de desarrollo de sistemas basados en IoT?</t>
  </si>
  <si>
    <t>Como parte del equipo de proyecto, señale los roles que usted considera importantes o indispensables para un desarrollo exitoso (en orden de importancia):</t>
  </si>
  <si>
    <t>Los roles que deben desempeñar los integrantes del equipo del proyecto al aplicar la metodología TDDM4IoTS, ¿son los adecuados?</t>
  </si>
  <si>
    <t>En términos generales, ¿qué nivel de aceptación le da a TDDM4IoTS como metodología de desarrollo para sistemas basados en IoT?</t>
  </si>
  <si>
    <t>CLE</t>
  </si>
  <si>
    <t>DATE_SAISIE</t>
  </si>
  <si>
    <t>Estudiante de Doctorado en algún campo de Ciencias de la Computación</t>
  </si>
  <si>
    <t>Más de 5 años</t>
  </si>
  <si>
    <t>Ocasionalmente</t>
  </si>
  <si>
    <t>Más de 5</t>
  </si>
  <si>
    <t>Sí, pero con algunos cambios</t>
  </si>
  <si>
    <t>TDDM4IoTS (Test-Driven Development Methodology for IoT-based Systems)</t>
  </si>
  <si>
    <t>De acuerdo</t>
  </si>
  <si>
    <t>Refinamiento de modelos</t>
  </si>
  <si>
    <t>Sí</t>
  </si>
  <si>
    <t>Totalmente de acuerdo</t>
  </si>
  <si>
    <t>MKC2-Z5DH</t>
  </si>
  <si>
    <t>29/03/2022 11:02:37</t>
  </si>
  <si>
    <t>1 a 2 años</t>
  </si>
  <si>
    <t>Muy a menudo</t>
  </si>
  <si>
    <t>Sí, definitivamente</t>
  </si>
  <si>
    <t>Estudiante de alguna carrera de Ciencias de la Computación o afín</t>
  </si>
  <si>
    <t>Raramente</t>
  </si>
  <si>
    <t>Estudiante de alguna carrera de Ciencias de la Computación o afín</t>
  </si>
  <si>
    <t>4 a 5 años</t>
  </si>
  <si>
    <t>A menudo</t>
  </si>
  <si>
    <t>1</t>
  </si>
  <si>
    <t>Sí, pero con algunos cambios</t>
  </si>
  <si>
    <t>TDDM4IoTS (Test-Driven Development Methodology for IoT-based Systems)</t>
  </si>
  <si>
    <t>Ni de acuerdo ni en desacuerdo</t>
  </si>
  <si>
    <t>Sí</t>
  </si>
  <si>
    <t>Imparcial (Ni de acuerdo ni en desacuerdo)</t>
  </si>
  <si>
    <t>6ES7-FBDY</t>
  </si>
  <si>
    <t>29/03/2022 15:15:06</t>
  </si>
  <si>
    <t>Estudiante de alguna carrera de Ciencias de la Computación o afín</t>
  </si>
  <si>
    <t>3 a 4 años</t>
  </si>
  <si>
    <t>A menudo</t>
  </si>
  <si>
    <t>3</t>
  </si>
  <si>
    <t>Sí, pero con algunos cambios</t>
  </si>
  <si>
    <t>TDDM4IoTS (Test-Driven Development Methodology for IoT-based Systems)</t>
  </si>
  <si>
    <t>Ni de acuerdo ni en desacuerdo</t>
  </si>
  <si>
    <t>No</t>
  </si>
  <si>
    <t>Imparcial (Ni de acuerdo ni en desacuerdo)</t>
  </si>
  <si>
    <t>7BJJ-YSVU</t>
  </si>
  <si>
    <t>29/03/2022 15:49:03</t>
  </si>
  <si>
    <t>Estudiante de alguna carrera de Ciencias de la Computación o afín</t>
  </si>
  <si>
    <t>1 a 2 años</t>
  </si>
  <si>
    <t>Ocasionalmente</t>
  </si>
  <si>
    <t>3</t>
  </si>
  <si>
    <t>Sí, pero con algunos cambios</t>
  </si>
  <si>
    <t>TDD (Test-Driven Development)</t>
  </si>
  <si>
    <t>TDDM4IoTS (Test-Driven Development Methodology for IoT-based Systems)</t>
  </si>
  <si>
    <t>Ni de acuerdo ni en desacuerdo</t>
  </si>
  <si>
    <t>Análisis detallado de requisitos</t>
  </si>
  <si>
    <t>No</t>
  </si>
  <si>
    <t>Imparcial (Ni de acuerdo ni en desacuerdo)</t>
  </si>
  <si>
    <t>755A-S6ZZ</t>
  </si>
  <si>
    <t>29/03/2022 17:35:28</t>
  </si>
  <si>
    <t>Estudiante de alguna carrera de Ciencias de la Computación o afín</t>
  </si>
  <si>
    <t>4 a 5 años</t>
  </si>
  <si>
    <t>Raramente</t>
  </si>
  <si>
    <t>2</t>
  </si>
  <si>
    <t>Sí, definitivamente</t>
  </si>
  <si>
    <t>De acuerdo</t>
  </si>
  <si>
    <t>No</t>
  </si>
  <si>
    <t>Imparcial (Ni de acuerdo ni en desacuerdo)</t>
  </si>
  <si>
    <t>Q4SN-LU7V</t>
  </si>
  <si>
    <t>29/03/2022 18:56:02</t>
  </si>
  <si>
    <t>Estudiante de alguna carrera de Ciencias de la Computación o afín</t>
  </si>
  <si>
    <t>3 a 4 años</t>
  </si>
  <si>
    <t>A menudo</t>
  </si>
  <si>
    <t>Más de 5</t>
  </si>
  <si>
    <t>No, definitivamente</t>
  </si>
  <si>
    <t>TDDM4IoTS (Test-Driven Development Methodology for IoT-based Systems)</t>
  </si>
  <si>
    <t>De acuerdo</t>
  </si>
  <si>
    <t>No</t>
  </si>
  <si>
    <t>Más de acuerdo</t>
  </si>
  <si>
    <t>MMKT-YYX7</t>
  </si>
  <si>
    <t>29/03/2022 19:45:15</t>
  </si>
  <si>
    <t>Estudiante de alguna carrera de Ciencias de la Computación o afín</t>
  </si>
  <si>
    <t>4 a 5 años</t>
  </si>
  <si>
    <t>Muy a menudo</t>
  </si>
  <si>
    <t>4</t>
  </si>
  <si>
    <t>Sí, definitivamente</t>
  </si>
  <si>
    <t>Completamente de acuerdo</t>
  </si>
  <si>
    <t>Generación y ajuste de modelos</t>
  </si>
  <si>
    <t>No</t>
  </si>
  <si>
    <t>Totalmente de acuerdo</t>
  </si>
  <si>
    <t>ZPWA-SWT4</t>
  </si>
  <si>
    <t>29/03/2022 19:56:52</t>
  </si>
  <si>
    <t>Estudiante de alguna carrera de Ciencias de la Computación o afín</t>
  </si>
  <si>
    <t>3 a 4 años</t>
  </si>
  <si>
    <t>Ocasionalmente</t>
  </si>
  <si>
    <t>3</t>
  </si>
  <si>
    <t>Completamente de acuerdo</t>
  </si>
  <si>
    <t>Sí</t>
  </si>
  <si>
    <t>Imparcial (Ni de acuerdo ni en desacuerdo)</t>
  </si>
  <si>
    <t>Q6BP-BVLU</t>
  </si>
  <si>
    <t>29/03/2022 19:58:54</t>
  </si>
  <si>
    <t>Estudiante de alguna carrera de Ciencias de la Computación o afín</t>
  </si>
  <si>
    <t>1 a 2 años</t>
  </si>
  <si>
    <t>Ocasionalmente</t>
  </si>
  <si>
    <t>3</t>
  </si>
  <si>
    <t>Sí, definitivamente</t>
  </si>
  <si>
    <t>De acuerdo</t>
  </si>
  <si>
    <t>Sí</t>
  </si>
  <si>
    <t>Totalmente de acuerdo</t>
  </si>
  <si>
    <t>4FQS-QKY9</t>
  </si>
  <si>
    <t>29/03/2022 20:00:27</t>
  </si>
  <si>
    <t>Titulado profesional en algún campo de Ciencias de la Computación</t>
  </si>
  <si>
    <t>3 a 4 años</t>
  </si>
  <si>
    <t>Muy a menudo</t>
  </si>
  <si>
    <t>2</t>
  </si>
  <si>
    <t>Sí, pero con grandes cambios</t>
  </si>
  <si>
    <t>En desacuerdo</t>
  </si>
  <si>
    <t>Mantenimiento (Especificaciones de mantenimiento)</t>
  </si>
  <si>
    <t>No</t>
  </si>
  <si>
    <t>Totalmente de acuerdo</t>
  </si>
  <si>
    <t>EB5W-9JM6</t>
  </si>
  <si>
    <t>29/03/2022 20:13:00</t>
  </si>
  <si>
    <t>Estudiante de alguna carrera de Ciencias de la Computación o afín</t>
  </si>
  <si>
    <t>2 a 3 años</t>
  </si>
  <si>
    <t>Ocasionalmente</t>
  </si>
  <si>
    <t>2</t>
  </si>
  <si>
    <t>No, definitivamente</t>
  </si>
  <si>
    <t>TDDM4IoTS (Test-Driven Development Methodology for IoT-based Systems)</t>
  </si>
  <si>
    <t>De acuerdo</t>
  </si>
  <si>
    <t>No</t>
  </si>
  <si>
    <t>Más de acuerdo</t>
  </si>
  <si>
    <t>YCMS-PPT9</t>
  </si>
  <si>
    <t>29/03/2022 20:12:19</t>
  </si>
  <si>
    <t>Estudiante de alguna carrera de Ciencias de la Computación o afín</t>
  </si>
  <si>
    <t>2 a 3 años</t>
  </si>
  <si>
    <t>A menudo</t>
  </si>
  <si>
    <t>2</t>
  </si>
  <si>
    <t>Sí, pero con algunos cambios</t>
  </si>
  <si>
    <t>De acuerdo</t>
  </si>
  <si>
    <t>Sí</t>
  </si>
  <si>
    <t>Más de acuerdo</t>
  </si>
  <si>
    <t>33RU-8Q6M</t>
  </si>
  <si>
    <t>29/03/2022 20:28:20</t>
  </si>
  <si>
    <t>Estudiante de alguna carrera de Ciencias de la Computación o afín</t>
  </si>
  <si>
    <t>2 a 3 años</t>
  </si>
  <si>
    <t>Ocasionalmente</t>
  </si>
  <si>
    <t>2</t>
  </si>
  <si>
    <t>Scrum</t>
  </si>
  <si>
    <t>TDDM4IoTS (Test-Driven Development Methodology for IoT-based Systems)</t>
  </si>
  <si>
    <t>De acuerdo</t>
  </si>
  <si>
    <t>Generación de test</t>
  </si>
  <si>
    <t>No</t>
  </si>
  <si>
    <t>Más de acuerdo</t>
  </si>
  <si>
    <t>P55J-9L5N</t>
  </si>
  <si>
    <t>29/03/2022 20:42:57</t>
  </si>
  <si>
    <t>Estudiante de alguna carrera de Ciencias de la Computación o afín</t>
  </si>
  <si>
    <t>4 a 5 años</t>
  </si>
  <si>
    <t>Ocasionalmente</t>
  </si>
  <si>
    <t>4</t>
  </si>
  <si>
    <t>Sí, pero con grandes cambios</t>
  </si>
  <si>
    <t>Ni de acuerdo ni en desacuerdo</t>
  </si>
  <si>
    <t>No</t>
  </si>
  <si>
    <t>Imparcial (Ni de acuerdo ni en desacuerdo)</t>
  </si>
  <si>
    <t>QJPF-92UG</t>
  </si>
  <si>
    <t>29/03/2022 20:40:54</t>
  </si>
  <si>
    <t>Estudiante de alguna carrera de Ciencias de la Computación o afín</t>
  </si>
  <si>
    <t>2 a 3 años</t>
  </si>
  <si>
    <t>Ocasionalmente</t>
  </si>
  <si>
    <t>4</t>
  </si>
  <si>
    <t>Sí, pero con algunos cambios</t>
  </si>
  <si>
    <t>Ni de acuerdo ni en desacuerdo</t>
  </si>
  <si>
    <t>Sí</t>
  </si>
  <si>
    <t>Imparcial (Ni de acuerdo ni en desacuerdo)</t>
  </si>
  <si>
    <t>DGCQ-5LLG</t>
  </si>
  <si>
    <t>29/03/2022 21:06:20</t>
  </si>
  <si>
    <t>Estudiante de alguna carrera de Ciencias de la Computación o afín</t>
  </si>
  <si>
    <t>Más de 5 años</t>
  </si>
  <si>
    <t>Muy a menudo</t>
  </si>
  <si>
    <t>Más de 5</t>
  </si>
  <si>
    <t>Sí, pero con algunos cambios</t>
  </si>
  <si>
    <t>Completamente de acuerdo</t>
  </si>
  <si>
    <t>Sí</t>
  </si>
  <si>
    <t>Más de acuerdo</t>
  </si>
  <si>
    <t>GG3Q-TF8M</t>
  </si>
  <si>
    <t>29/03/2022 21:16:20</t>
  </si>
  <si>
    <t>Estudiante de alguna carrera de Ciencias de la Computación o afín</t>
  </si>
  <si>
    <t>2 a 3 años</t>
  </si>
  <si>
    <t>Muy a menudo</t>
  </si>
  <si>
    <t>3</t>
  </si>
  <si>
    <t>Sí, pero con algunos cambios</t>
  </si>
  <si>
    <t>De acuerdo</t>
  </si>
  <si>
    <t>Sí</t>
  </si>
  <si>
    <t>Totalmente de acuerdo</t>
  </si>
  <si>
    <t>B3TT-8E4Q</t>
  </si>
  <si>
    <t>29/03/2022 21:14:33</t>
  </si>
  <si>
    <t>Estudiante de alguna carrera de Ciencias de la Computación o afín</t>
  </si>
  <si>
    <t>1 a 2 años</t>
  </si>
  <si>
    <t>Ocasionalmente</t>
  </si>
  <si>
    <t>1</t>
  </si>
  <si>
    <t>Sí, definitivamente</t>
  </si>
  <si>
    <t>Cascada</t>
  </si>
  <si>
    <t>Ni de acuerdo ni en desacuerdo</t>
  </si>
  <si>
    <t>No</t>
  </si>
  <si>
    <t>Totalmente de acuerdo</t>
  </si>
  <si>
    <t>24AP-FWCJ</t>
  </si>
  <si>
    <t>29/03/2022 21:38:02</t>
  </si>
  <si>
    <t>Estudiante de alguna carrera de Ciencias de la Computación o afín</t>
  </si>
  <si>
    <t>2 a 3 años</t>
  </si>
  <si>
    <t>A menudo</t>
  </si>
  <si>
    <t>3</t>
  </si>
  <si>
    <t>Sí, pero con algunos cambios</t>
  </si>
  <si>
    <t>De acuerdo</t>
  </si>
  <si>
    <t>No</t>
  </si>
  <si>
    <t>Más de acuerdo</t>
  </si>
  <si>
    <t>BR8K-N5T6</t>
  </si>
  <si>
    <t>29/03/2022 22:30:41</t>
  </si>
  <si>
    <t>Estudiante de alguna carrera de Ciencias de la Computación o afín</t>
  </si>
  <si>
    <t>2 a 3 años</t>
  </si>
  <si>
    <t>A menudo</t>
  </si>
  <si>
    <t>Más de 5</t>
  </si>
  <si>
    <t>De acuerdo</t>
  </si>
  <si>
    <t>No</t>
  </si>
  <si>
    <t>Totalmente de acuerdo</t>
  </si>
  <si>
    <t>LHHP-AJQF</t>
  </si>
  <si>
    <t>29/03/2022 22:39:56</t>
  </si>
  <si>
    <t>Estudiante de alguna carrera de Ciencias de la Computación o afín</t>
  </si>
  <si>
    <t>3 a 4 años</t>
  </si>
  <si>
    <t>Muy a menudo</t>
  </si>
  <si>
    <t>3</t>
  </si>
  <si>
    <t>Sí, definitivamente</t>
  </si>
  <si>
    <t>De acuerdo</t>
  </si>
  <si>
    <t>No</t>
  </si>
  <si>
    <t>Más de acuerdo</t>
  </si>
  <si>
    <t>5SDW-WYCM</t>
  </si>
  <si>
    <t>30/03/2022 1:49:37</t>
  </si>
  <si>
    <t>Estudiante de alguna carrera de Ciencias de la Computación o afín</t>
  </si>
  <si>
    <t>1 a 2 años</t>
  </si>
  <si>
    <t>Ocasionalmente</t>
  </si>
  <si>
    <t>3</t>
  </si>
  <si>
    <t>Sí, pero con algunos cambios</t>
  </si>
  <si>
    <t>Ni de acuerdo ni en desacuerdo</t>
  </si>
  <si>
    <t>Generación de test</t>
  </si>
  <si>
    <t>Sí</t>
  </si>
  <si>
    <t>Imparcial (Ni de acuerdo ni en desacuerdo)</t>
  </si>
  <si>
    <t>QGYB-279J</t>
  </si>
  <si>
    <t>30/03/2022 2:32:51</t>
  </si>
  <si>
    <t>Estudiante de alguna carrera de Ciencias de la Computación o afín</t>
  </si>
  <si>
    <t>4 a 5 años</t>
  </si>
  <si>
    <t>Ocasionalmente</t>
  </si>
  <si>
    <t>2</t>
  </si>
  <si>
    <t>Sí, pero con grandes cambios</t>
  </si>
  <si>
    <t>De acuerdo</t>
  </si>
  <si>
    <t>No</t>
  </si>
  <si>
    <t>Más de acuerdo</t>
  </si>
  <si>
    <t>HT5B-SRSW</t>
  </si>
  <si>
    <t>30/03/2022 4:45:50</t>
  </si>
  <si>
    <t>Estudiante de alguna carrera de Ciencias de la Computación o afín</t>
  </si>
  <si>
    <t>2 a 3 años</t>
  </si>
  <si>
    <t>Muy a menudo</t>
  </si>
  <si>
    <t>3</t>
  </si>
  <si>
    <t>Sí, pero con algunos cambios</t>
  </si>
  <si>
    <t>Completamente de acuerdo</t>
  </si>
  <si>
    <t>No</t>
  </si>
  <si>
    <t>Más de acuerdo</t>
  </si>
  <si>
    <t>UY8D-63DP</t>
  </si>
  <si>
    <t>30/03/2022 15:42:20</t>
  </si>
  <si>
    <t>1 a 2 años</t>
  </si>
  <si>
    <t>Ocasionalmente</t>
  </si>
  <si>
    <t>2</t>
  </si>
  <si>
    <t>Sí, pero con algunos cambios</t>
  </si>
  <si>
    <t>Ni de acuerdo ni en desacuerdo</t>
  </si>
  <si>
    <t>Sí</t>
  </si>
  <si>
    <t>Más de acuerdo</t>
  </si>
  <si>
    <t>43CJ-RFTN</t>
  </si>
  <si>
    <t>30/03/2022 16:12:58</t>
  </si>
  <si>
    <t>Información de exportación:</t>
  </si>
  <si>
    <t>Fichero de datos generado por Sphinx iQ</t>
  </si>
  <si>
    <t>© Le Sphinx Développement</t>
  </si>
  <si>
    <t>https://www.lesphinx.es</t>
  </si>
  <si>
    <t>Encuesta</t>
  </si>
  <si>
    <t>Nombre</t>
  </si>
  <si>
    <t>Encuesta 3.0(guardada)</t>
  </si>
  <si>
    <t>Dirección</t>
  </si>
  <si>
    <t>G:\Mi unidad\Doctorado en TIC\Publicaciones\Ñawi\Encuesta\Encuesta 3.0\Encuesta 3.0(guardada)\Encuesta 3.0(guardada).sphx</t>
  </si>
  <si>
    <t>Fecha de creación</t>
  </si>
  <si>
    <t>11/03/2022 4:13:49</t>
  </si>
  <si>
    <t>Número total de observaciones</t>
  </si>
  <si>
    <t>33</t>
  </si>
  <si>
    <t>Exportar</t>
  </si>
  <si>
    <t>Fecha</t>
  </si>
  <si>
    <t>04/04/2022 12:52:33</t>
  </si>
  <si>
    <t>Idioma</t>
  </si>
  <si>
    <t>ES</t>
  </si>
  <si>
    <t>Número de observaciones exportadas</t>
  </si>
  <si>
    <t>Estrato</t>
  </si>
  <si>
    <t>Muestra total</t>
  </si>
  <si>
    <t>Filtro(s)</t>
  </si>
  <si>
    <t>Número de variables</t>
  </si>
  <si>
    <t>19 variables mostradas sobre las 47 de la encuesta</t>
  </si>
  <si>
    <t>Lista de las variables de la exportación</t>
  </si>
  <si>
    <t>V1. NivelProfesional</t>
  </si>
  <si>
    <t>FU</t>
  </si>
  <si>
    <t>Estudiante de alguna carrera de Ciencias de la Computación o afín ; Titulado profesional en algún campo de Ciencias de la Computación ; Estudiante de máster en algún campo de Ciencias de la Computación ; Máster en algún campo de Ciencias de la Computación ; Estudiante de Doctorado en algún campo de Ciencias de la Computación ; Doctor en algún campo de Ciencias de la Computación ; Otro…</t>
  </si>
  <si>
    <t>V2. NivelProfesional_Otro</t>
  </si>
  <si>
    <t>OT</t>
  </si>
  <si>
    <t>V5. ExperienciaDevelopment</t>
  </si>
  <si>
    <t>FE</t>
  </si>
  <si>
    <t>Nunca ; Menos de 1 año ; 1 a 2 años ; 2 a 3 años ; 3 a 4 años ; 4 a 5 años ; Más de 5 años</t>
  </si>
  <si>
    <t>V6. AplicacionMetodologia</t>
  </si>
  <si>
    <t>FE</t>
  </si>
  <si>
    <t>Jamás ; Raramente ; Ocasionalmente ; A menudo ; Muy a menudo</t>
  </si>
  <si>
    <t>V7. MethodologiasUsadas</t>
  </si>
  <si>
    <t>FO</t>
  </si>
  <si>
    <t>Cascada ; Espiral ; Metodologías Orientadas a Objetos ; Model-Driven Architecture ; Model-Driven Development ; Model-Driven Engineering ; Programación Extrema (XP) ; Prototipado ; RAD (Rapid Application Development) ; SCRUM ; TDD (Test-Driven Development) ; Otra/s</t>
  </si>
  <si>
    <t>V8. MethodologiasUsadas_Otro</t>
  </si>
  <si>
    <t>OT</t>
  </si>
  <si>
    <t>V9. DesarrolladorIot</t>
  </si>
  <si>
    <t>FU</t>
  </si>
  <si>
    <t>V10. Experiencia</t>
  </si>
  <si>
    <t>FE</t>
  </si>
  <si>
    <t>1 ; 2 ; 3 ; 4 ; 5 ; Más de 5</t>
  </si>
  <si>
    <t>V11. MetodologiasSistemasIoT</t>
  </si>
  <si>
    <t>FU</t>
  </si>
  <si>
    <t>Sí, definitivamente ; Sí, pero con algunos cambios ; Sí, pero con grandes cambios ; No, definitivamente</t>
  </si>
  <si>
    <t>V12. TradicionalesParaIoT</t>
  </si>
  <si>
    <t>FO</t>
  </si>
  <si>
    <t>Cascada ; Espiral ; Metodología Orientada a Objetos ; MDA (Model-Driven Architecture) ; MDD (Model-Driven Development) ; MDE (Model-Driven Engineering) ; Desarrollo rápido de aplicaciones (RAD) ; Programación extrema (XP) ; Prototipado rápido ; Scrum ; TDD (Test-Driven Development) ; Ninguna ; Otra/s</t>
  </si>
  <si>
    <t>V14. MethodologiasUsadasParaIoT</t>
  </si>
  <si>
    <t>FO</t>
  </si>
  <si>
    <t>Ambient Designer ; Design Thinking ; GAIA Extension ; IADev (IoT Application Development) ; Ingenias ; IoT Design Deck ; K-Model ; MASD (Multi-Agent Systems Development methodology) ; MASDK (Multi-Agent System Development Kit) ; MilNova ; Model-Driven Architecture ; Model-Driven Development ; Model-Driven Engineering ; Modelica-Based Method ; MSDL (Microsoft Security Development Lifecycle) ; MUSIC ; PAwEn (People-Aware Environment) ; Prometheus ; PURE (Practically Useful agent Release Environment) ; Ripple ; ROOD (Resource-Oriented and Ontology-driven Development) ; Scrum (con algun/os cambio/s o sin cambios) ; SEM (Smart Environment Metamodel) ; Tailored Brochures ; TDDM4IoTS (Test-Driven Development Methodology for IoT-based Systems) ; Validation Loop ; Otra/s</t>
  </si>
  <si>
    <t>V17. RelevanciaEtapasTDDM4IoTS</t>
  </si>
  <si>
    <t>FE</t>
  </si>
  <si>
    <t>Completamente en desacuerdo ; En desacuerdo ; Ni de acuerdo ni en desacuerdo ; De acuerdo ; Completamente de acuerdo</t>
  </si>
  <si>
    <t>V18. EtapasRedundantes</t>
  </si>
  <si>
    <t>FM</t>
  </si>
  <si>
    <t>Análisis preliminar de los requisitos ; Diseño de la capa tecnológica ; Análisis detallado de requisitos ; Generación y ajuste de modelos ; Generación de test ; Generación de software ; Refinamiento de modelos ; Refinamiento de software ; Despliegue de software y hardware ; Evaluación del entregable por parte del Cliente/Usuario ; Mantenimiento (Especificaciones de mantenimiento)</t>
  </si>
  <si>
    <t>V30. AditionalStages</t>
  </si>
  <si>
    <t>FU</t>
  </si>
  <si>
    <t>Sí ; No</t>
  </si>
  <si>
    <t>V32. RolesTeamMembers</t>
  </si>
  <si>
    <t>FO</t>
  </si>
  <si>
    <t>Cliente/usuario ; Facilitador del proyecto ; Equipo de desarrollo ; Consejero/mentor/guía</t>
  </si>
  <si>
    <t>V33. AdequacyOfRoles</t>
  </si>
  <si>
    <t>FE</t>
  </si>
  <si>
    <t>Total desacuerdo ; Más en desacuerdo ; Imparcial (Ni de acuerdo ni en desacuerdo) ; Más de acuerdo ; Totalmente de acuerdo</t>
  </si>
  <si>
    <t>V35. acceptanceLevel</t>
  </si>
  <si>
    <t>FE</t>
  </si>
  <si>
    <t>Muy Satisfecho ; Satisfecho ; Ni satisfecho ni insatisfecho ; Insatisfecho ; Muy Insatisfecho</t>
  </si>
  <si>
    <t>V38. CLE</t>
  </si>
  <si>
    <t>OC</t>
  </si>
  <si>
    <t>V39. DATE_SAISIE</t>
  </si>
  <si>
    <t>OD</t>
  </si>
  <si>
    <t>Refinamiento de modelos;
Refinamiento de software</t>
  </si>
  <si>
    <t>Generación y ajuste de modelos;
Refinamiento de modelos;
Refinamiento de software</t>
  </si>
  <si>
    <t>Generación de test;
Mantenimiento (Especificaciones de mantenimiento)</t>
  </si>
  <si>
    <t>Generación de test;
Refinamiento de software</t>
  </si>
  <si>
    <t>Generación de test;
Refinamiento de modelos;
Mantenimiento (Especificaciones de mantenimiento)</t>
  </si>
  <si>
    <t>Generación de test;
Refinamiento de modelos;
Refinamiento de software</t>
  </si>
  <si>
    <t>Diseño de la capa tecnológica;
Generación y ajuste de modelos</t>
  </si>
  <si>
    <t>Cliente/usuario;
Equipo de desarrollo;
Facilitador del proyecto;
Consejero/mentor/guía</t>
  </si>
  <si>
    <t>Cliente/usuario;
Equipo de desarrollo;
Facilitador del proyecto</t>
  </si>
  <si>
    <t>Cliente/usuario;
Facilitador del proyecto;
Equipo de desarrollo</t>
  </si>
  <si>
    <t>Consejero/mentor/guía;
Equipo de desarrollo</t>
  </si>
  <si>
    <t>Equipo de desarrollo;
Cliente/usuario</t>
  </si>
  <si>
    <t>Facilitador del proyecto;
Cliente/usuario;
Consejero/mentor/guía;
Equipo de desarrollo</t>
  </si>
  <si>
    <t>Consejero/mentor/guía;
Facilitador del proyecto;
Equipo de desarrollo;
Cliente/usuario</t>
  </si>
  <si>
    <t>Cliente/usuario;
Consejero/mentor/guía;
Equipo de desarrollo</t>
  </si>
  <si>
    <t>Cliente/usuario;
Equipo de desarrollo;
Consejero/mentor/guía</t>
  </si>
  <si>
    <t>Equipo de desarrollo;
Consejero/mentor/guía;
Facilitador del proyecto;
Cliente/usuario</t>
  </si>
  <si>
    <t>Equipo de desarrollo;
Facilitador del proyecto;
Cliente/usuario;
Consejero/mentor/guía</t>
  </si>
  <si>
    <t>Facilitador del proyecto;
Equipo de desarrollo;
Cliente/usuario;
Consejero/mentor/guía</t>
  </si>
  <si>
    <t>Equipo de desarrollo;
Consejero/mentor/guía;
Cliente/usuario;
Facilitador del proyecto</t>
  </si>
  <si>
    <t>Facilitador del proyecto;
Equipo de desarrollo;
Consejero/mentor/guía;
Cliente/usuario</t>
  </si>
  <si>
    <t>Cliente/usuario;
Facilitador del proyecto;
Equipo de desarrollo;
Consejero/mentor/guía</t>
  </si>
  <si>
    <t>Facilitador del proyecto;
Equipo de desarrollo</t>
  </si>
  <si>
    <t>Consejero/mentor/guía;
Equipo de desarrollo;
Facilitador del proyecto;
Cliente/usuario</t>
  </si>
  <si>
    <t>Cascada;
Scrum;
MDA (Model-Driven Architecture);
Espiral;
MDE (Model-Driven Engineering);
TDD (Test-Driven Development);
Programación extrema (XP)</t>
  </si>
  <si>
    <t>Espiral;
TDD (Test-Driven Development);
Scrum</t>
  </si>
  <si>
    <t>Scrum;
TDD (Test-Driven Development)</t>
  </si>
  <si>
    <t>Cascada;
Scrum</t>
  </si>
  <si>
    <t>TDD (Test-Driven Development);
Scrum;
Programación extrema (XP)</t>
  </si>
  <si>
    <t>TDD (Test-Driven Development);
Scrum;
Programación extrema (XP);
MDD (Model-Driven Development)</t>
  </si>
  <si>
    <t>Scrum;
MDD (Model-Driven Development)</t>
  </si>
  <si>
    <t>Cascada;
Scrum;
MDD (Model-Driven Development);
TDD (Test-Driven Development)</t>
  </si>
  <si>
    <t>Desarrollo rápido de aplicaciones (RAD);
TDD (Test-Driven Development);
Scrum;
Cascada;
Espiral</t>
  </si>
  <si>
    <t>TDD (Test-Driven Development);
Scrum</t>
  </si>
  <si>
    <t>Scrum;
Programación extrema (XP)</t>
  </si>
  <si>
    <t>Cascada;
Scrum;
Programación extrema (XP)</t>
  </si>
  <si>
    <t>TDD (Test-Driven Development);
Programación extrema (XP);
Prototipado rápido;
Scrum</t>
  </si>
  <si>
    <t>Scrum;
TDD (Test-Driven Development);
Cascada;
Espiral;
Programación extrema (XP)</t>
  </si>
  <si>
    <t>Scrum;
TDD (Test-Driven Development);
Metodología Orientada a Objetos;
MDD (Model-Driven Development);
MDE (Model-Driven Engineering)</t>
  </si>
  <si>
    <t>MASD (Multi-Agent Systems Development methodology);
TDDM4IoTS (Test-Driven Development Methodology for IoT-based Systems);
Scrum (con algun/os cambio/s o sin cambios);
IADev (IoT Application Development);
Model-Driven Architecture</t>
  </si>
  <si>
    <t>TDDM4IoTS (Test-Driven Development Methodology for IoT-based Systems);
Scrum (con algun/os cambio/s o sin cambios)</t>
  </si>
  <si>
    <t>Scrum (con algun/os cambio/s o sin cambios);
TDDM4IoTS (Test-Driven Development Methodology for IoT-based Systems)</t>
  </si>
  <si>
    <t>TDDM4IoTS (Test-Driven Development Methodology for IoT-based Systems);
Scrum (con algun/os cambio/s o sin cambios);
Model-Driven Development</t>
  </si>
  <si>
    <t>TDDM4IoTS (Test-Driven Development Methodology for IoT-based Systems);
Scrum (con algun/os cambio/s o sin cambios);
IADev (IoT Application Development)</t>
  </si>
  <si>
    <t>Desarrollo rápido de aplicaciones (RAD);
TDD (Test-Driven Development);
Scrum</t>
  </si>
  <si>
    <t>Scrum (con algun/os cambio/s o sin cambios);
TDDM4IoTS (Test-Driven Development Methodology for IoT-based Systems);
Model-Driven Development;
Model-Driven Engineering</t>
  </si>
  <si>
    <t>Scrum (con algun/os cambio/s o sin cambios);
TDDM4IoTS (Test-Driven Development Methodology for IoT-based Systems);
Model-Driven Architecture;
Model-Driven Development</t>
  </si>
  <si>
    <t>Muy Satisfecho</t>
  </si>
  <si>
    <t>Satisfecho</t>
  </si>
  <si>
    <t>Muy satisfecho</t>
  </si>
  <si>
    <t>Sí (Dispositivo(s) y aplicación(es) para la interacción con el usuario)</t>
  </si>
  <si>
    <t>Solamente como observador</t>
  </si>
  <si>
    <t>Sí, pero sin impotancia</t>
  </si>
  <si>
    <t>Generación de test;Refinamiento de modelos</t>
  </si>
  <si>
    <t>Análisis detallado de requisitos;Refinamiento de modelos</t>
  </si>
  <si>
    <t>Diseño de la capa tecnológica;Refinamiento de modelos</t>
  </si>
  <si>
    <t>Asignación de tareas para los miembros del equipo de desarrollo</t>
  </si>
  <si>
    <t>StagesTDDM4IoTSAditional</t>
  </si>
  <si>
    <t>Liste las etapas que considera que deberán incluirse como parte de la metodología TDDM4IoTS (separar las etapas con punto y como).</t>
  </si>
  <si>
    <t>acceptanceLevel (Methodology)</t>
  </si>
  <si>
    <t>UP9M-9SVB</t>
  </si>
  <si>
    <t>ZA2S-G5E3</t>
  </si>
  <si>
    <t>FJ4Y-7EGA</t>
  </si>
  <si>
    <t>JEJH-VQM3</t>
  </si>
  <si>
    <t>MPBH-XPB8</t>
  </si>
  <si>
    <t>CFXM-FWPD</t>
  </si>
  <si>
    <t>WX5V-8EZY</t>
  </si>
  <si>
    <t>XT68-JY9T</t>
  </si>
  <si>
    <t>T2WK-TV2C</t>
  </si>
  <si>
    <t>QXP3-VFMA</t>
  </si>
  <si>
    <t>EL69-PKGH</t>
  </si>
  <si>
    <t>JXLH-T7NV</t>
  </si>
  <si>
    <t>PN8G-BWVL</t>
  </si>
  <si>
    <t>SAT5-RTX5</t>
  </si>
  <si>
    <t>24/06/2022 18:11:06</t>
  </si>
  <si>
    <t>24/06/2022 18:11:10</t>
  </si>
  <si>
    <t>24/06/2022 18:11:19</t>
  </si>
  <si>
    <t>24/06/2022 18:12:47</t>
  </si>
  <si>
    <t>24/06/2022 18:12:50</t>
  </si>
  <si>
    <t>24/06/2022 18:13:21</t>
  </si>
  <si>
    <t>24/06/2022 18:14:51</t>
  </si>
  <si>
    <t>24/06/2022 18:15:57</t>
  </si>
  <si>
    <t>24/06/2022 18:19:02</t>
  </si>
  <si>
    <t>24/06/2022 18:18:49</t>
  </si>
  <si>
    <t>24/06/2022 18:20:30</t>
  </si>
  <si>
    <t>24/06/2022 18:41:37</t>
  </si>
  <si>
    <t>24/06/2022 18:57:33</t>
  </si>
  <si>
    <t>Scrum;
Cascada;
Espiral;
Prototipado;
Programación Extrema (XP)</t>
  </si>
  <si>
    <t>Cascada;
Prototipado;
Scrum;
TDD (Test-Driven Development)</t>
  </si>
  <si>
    <t>Cascada;
Model-Driven Architecture;
Scrum</t>
  </si>
  <si>
    <t>TDD (Test-Driven Development);
Scrum;
Cascada</t>
  </si>
  <si>
    <t>Cascada;
Scrum;
RAD (Rapid Application Development);
Programación Extrema (XP);
Metodologías Orientadas a Objetos;
TDD (Test-Driven Development)</t>
  </si>
  <si>
    <t>Scrum;
TDD (Test-Driven Development);
Cascada</t>
  </si>
  <si>
    <t>Cascada;
Espiral;
Scrum;
TDD (Test-Driven Development)</t>
  </si>
  <si>
    <t>TDD (Test-Driven Development);
Scrum;
RAD (Rapid Application Development)</t>
  </si>
  <si>
    <t>Programación Extrema (XP);
Scrum;
Cascada</t>
  </si>
  <si>
    <t>Cascada;
Metodologías Orientadas a Objetos;
Model-Driven Development;
TDD (Test-Driven Development);
Scrum;
RAD (Rapid Application Development);
Programación Extrema (XP)</t>
  </si>
  <si>
    <t>Cascada;
Model-Driven Development;
TDD (Test-Driven Development);
Scrum</t>
  </si>
  <si>
    <t>Cascada;
Scrum;
RAD (Rapid Application Development);
TDD (Test-Driven Development)</t>
  </si>
  <si>
    <t>TDD (Test-Driven Development);
Cascada;
Scrum;
Metodologías Orientadas a Objetos</t>
  </si>
  <si>
    <t>Cascada;
Scrum;
Otra/s</t>
  </si>
  <si>
    <t>Cascada;
Scrum;
Espiral;
RAD (Rapid Application Development);
Programación Extrema (XP)</t>
  </si>
  <si>
    <t>Cascada;
Programación Extrema (XP);
Scrum;
TDD (Test-Driven Development)</t>
  </si>
  <si>
    <t>Cascada;
Espiral;
Programación Extrema (XP);
Scrum;
TDD (Test-Driven Development)</t>
  </si>
  <si>
    <t>Cascada;
Metodologías Orientadas a Objetos;
Scrum;
TDD (Test-Driven Development)</t>
  </si>
  <si>
    <t>TDD (Test-Driven Development);
Scrum;
Espiral;
Cascada</t>
  </si>
  <si>
    <t>Cascada;
Scrum;
Programación Extrema (XP);
RAD (Rapid Application Development)</t>
  </si>
  <si>
    <t>Scrum;
Programación Extrema (XP);
TDD (Test-Driven Development)</t>
  </si>
  <si>
    <t>Cascada;
Scrum;
Programación Extrema (XP)</t>
  </si>
  <si>
    <t>Cascada;
Espiral;
Scrum;
Otra</t>
  </si>
  <si>
    <t>Cascada;
RAD (Rapid Application Development);
Scrum;
TDD (Test-Driven Development);
Otra</t>
  </si>
  <si>
    <t>TDD (Test-Driven Development);
Cascada;
Scrum</t>
  </si>
  <si>
    <t>Cascada;
RAD (Rapid Application Development);
Metodologías Orientadas a Objetos;
Scrum</t>
  </si>
  <si>
    <t>Otra;
Model-Driven Development;
TDD (Test-Driven Development);
Scrum;
RAD (Rapid Application Development)</t>
  </si>
  <si>
    <t>Cascada;
Espiral;
Programación Extrema (XP);
Scrum</t>
  </si>
  <si>
    <t>Sí, sólo dispositivos IoT</t>
  </si>
  <si>
    <t>TDD (Test-Driven Development);
MDD (Model-Driven Development);
Scrum</t>
  </si>
  <si>
    <t>TDD (Test-Driven Development);
Scrum;
Metodología Orientada a Objeto;
MDE (Model-Driven Engineering);
Desarrollo rápido de aplicaciones (RAD);
Prototipado rápido</t>
  </si>
  <si>
    <t>TDD (Test-Driven Development);
Programación extrema (XP);
Scrum</t>
  </si>
  <si>
    <t>Otra (Especifique);
TDD (Test-Driven Development);
Prototipado rápido</t>
  </si>
  <si>
    <t>MDE (Model-Driven Engineering);
TDD (Test-Driven Development);
MDD (Model-Driven Development);
MDA (Model-Driven Architecture);
Scrum;
Programación extrema (XP);
Alguna otra metodología ágil</t>
  </si>
  <si>
    <t>TDD (Test-Driven Development);
MDE (Model-Driven Engineering);
MDD (Model-Driven Development);
MDA (Model-Driven Architecture);
Scrum;
Metodología Orientada a Objeto;
Cascada</t>
  </si>
  <si>
    <t>Otra (Especifique);
TDD (Test-Driven Development);
Scrum</t>
  </si>
  <si>
    <t>TDD (Test-Driven Development);
MDD (Model-Driven Development);
Scrum;
Prototipado rápido</t>
  </si>
  <si>
    <t>MDE (Model-Driven Engineering);
TDD (Test-Driven Development);
Scrum;
Programación extrema (XP)</t>
  </si>
  <si>
    <t>TDD (Test-Driven Development);
Scrum;
Programación Extrema (XP);
Otra</t>
  </si>
  <si>
    <t>TDD (Test-Driven Development);
Model-Driven Development;
Scrum;
RAD (Rapid Application Development);
Cascada</t>
  </si>
  <si>
    <t>Cascada;
TDD (Test-Driven Development)</t>
  </si>
  <si>
    <t>https://survey.lesphinx.es/SurveyServer/s/UGR1-egleiston/TDDM4IoTSv1/Cuestionario.htm</t>
  </si>
  <si>
    <t>Nivel profesional</t>
  </si>
  <si>
    <t>Estudiante de máster en algún campo de Ciencias de la Computación</t>
  </si>
  <si>
    <t>Experiencia en desarrollo</t>
  </si>
  <si>
    <t>Frecuencia de uso de alguna metodología</t>
  </si>
  <si>
    <t>Metodologías usadas en el desarrollo (en general)</t>
  </si>
  <si>
    <t>(Primer lugar)</t>
  </si>
  <si>
    <t>(La han usado)</t>
  </si>
  <si>
    <t>Espiral</t>
  </si>
  <si>
    <t>Metodología Orientada a Objetos</t>
  </si>
  <si>
    <t>Prototipado rápido</t>
  </si>
  <si>
    <t>Programación Extrema (XP)</t>
  </si>
  <si>
    <t>Metodologías Orientadas a Objetos</t>
  </si>
  <si>
    <t>Model-Driven Architecture</t>
  </si>
  <si>
    <t>Model-Driven Development</t>
  </si>
  <si>
    <t>Model-Driven Engineering</t>
  </si>
  <si>
    <t>Prototipado</t>
  </si>
  <si>
    <t>RAD (Rapid Application Development)</t>
  </si>
  <si>
    <t>Otra/s</t>
  </si>
  <si>
    <t>Han desarrollado IoTS</t>
  </si>
  <si>
    <t>Sí (Dispositivo(s) y aplicación(es) para la interacción con el usuario) ; Sólo aplicaciones para la interacción con el usuario ; Sí, sólo dispositivos IoT ; Sí, pero sin importancia ; Solamente como observador ; No</t>
  </si>
  <si>
    <t>Sólo aplicaciones para la interacción con el usuario</t>
  </si>
  <si>
    <t>Experiencia - Número de Proyectos</t>
  </si>
  <si>
    <t>Adecuación de metodologías existentes</t>
  </si>
  <si>
    <t>Metodologías para adecuar</t>
  </si>
  <si>
    <t>Apuestan por</t>
  </si>
  <si>
    <t>Apoyan</t>
  </si>
  <si>
    <t>Desarrollo rápido de aplicaciones (RAD)</t>
  </si>
  <si>
    <t>Ninguna de las existentes</t>
  </si>
  <si>
    <t>MDA (Model-Driven Architecture)</t>
  </si>
  <si>
    <t>MDD (Model-Driven Development)</t>
  </si>
  <si>
    <t>MDE (Model-Driven Engineering)</t>
  </si>
  <si>
    <t>Programación extrema (XP)</t>
  </si>
  <si>
    <t>Apuestan por una de las existentes</t>
  </si>
  <si>
    <t>Metodología usada en IoTS</t>
  </si>
  <si>
    <t>Scrum (con algun/os cambio/s o sin cambios)</t>
  </si>
  <si>
    <t>IADev (IoT Application Development)</t>
  </si>
  <si>
    <t>MASD (Multi-Agent Systems Development methodology);</t>
  </si>
  <si>
    <t>K-Model</t>
  </si>
  <si>
    <t>IoT Design Deck</t>
  </si>
  <si>
    <t>TDDM4IoTS (Test-Driven Development Methodology for IoT-based Systems);
Scrum (con algun/os cambio/s o sin cambios);</t>
  </si>
  <si>
    <t>TDDM4IoTS (Test-Driven Development Methodology for IoT-based Systems);
IoT Design Deck</t>
  </si>
  <si>
    <t>TDDM4IoTS (Test-Driven Development Methodology for IoT-based Systems);
IoT Design Deck;
Scrum (con algun/os cambio/s o sin cambios);
K-Model</t>
  </si>
  <si>
    <t>Apuestan en primer lugar</t>
  </si>
  <si>
    <t>Relevancia de las Actividades</t>
  </si>
  <si>
    <t>De Acuerdo</t>
  </si>
  <si>
    <t>Complemantemente de desacuerdo</t>
  </si>
  <si>
    <t>Etapas redundantes de TDDM4IoTS</t>
  </si>
  <si>
    <t>Análisis preliminar de los requisitos</t>
  </si>
  <si>
    <t>Diseño de la capa tecnológica</t>
  </si>
  <si>
    <t>Generación de software</t>
  </si>
  <si>
    <t>Refinamiento de software</t>
  </si>
  <si>
    <t>Despliegue de software y hardware</t>
  </si>
  <si>
    <t>Evaluación del entregable por parte del Cliente/Usuario</t>
  </si>
  <si>
    <t>Ninguna</t>
  </si>
  <si>
    <t>Adicionar etapa a la metodología</t>
  </si>
  <si>
    <t>Etapa Adicional</t>
  </si>
  <si>
    <t>Importancia de los roles</t>
  </si>
  <si>
    <t>Principal</t>
  </si>
  <si>
    <t>Están de acuerdo</t>
  </si>
  <si>
    <t>Cliente/usuario</t>
  </si>
  <si>
    <t>Equipo de desarrollo</t>
  </si>
  <si>
    <t>Facilitador del proyecto</t>
  </si>
  <si>
    <t>Consejero/mentor/guía</t>
  </si>
  <si>
    <t>Equipo de desarrollo;
Cliente/usuario;
Facilitador del proyecto</t>
  </si>
  <si>
    <t>Cliente/usuario;
Equipo de desarrollo</t>
  </si>
  <si>
    <t>Equipo de desarrollo;
Facilitador del proyecto;
Cliente/usuario</t>
  </si>
  <si>
    <t>Facilitador del proyecto;
Cliente/usuario;
Equipo de desarrollo</t>
  </si>
  <si>
    <t>Relevancia de los Roles</t>
  </si>
  <si>
    <t>Total desacuerdo</t>
  </si>
  <si>
    <t>Más en desacuerdo</t>
  </si>
  <si>
    <t>Nivel de aceptación de la metodología</t>
  </si>
  <si>
    <t>Ni satisfecho ni insatisfecho</t>
  </si>
  <si>
    <t>Insatisfecho</t>
  </si>
  <si>
    <t>Muy Insatisfecho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</si>
</sst>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7" x14ac:knownFonts="1">
    <font>
      <sz val="11"/>
      <color theme="1"/>
      <name val="Calibri"/>
      <family val="2"/>
      <scheme val="minor"/>
    </font>
    <font>
      <b/>
      <sz val="11"/>
      <color theme="1"/>
      <name val="Calibri"/>
      <family val="2"/>
      <scheme val="minor"/>
    </font>
    <font>
      <u/>
      <sz val="11"/>
      <color theme="10"/>
      <name val="Calibri"/>
      <family val="2"/>
      <scheme val="minor"/>
    </font>
    <font>
      <u/>
      <sz val="20"/>
      <color theme="10"/>
      <name val="Calibri"/>
      <family val="2"/>
      <scheme val="minor"/>
    </font>
    <font>
      <sz val="11"/>
      <color theme="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4" fillId="0" borderId="0" applyFont="0" applyFill="0" applyBorder="0" applyAlignment="0" applyProtection="0"/>
  </cellStyleXfs>
  <cellXfs count="44">
    <xf numFmtId="0" fontId="0" fillId="0" borderId="0" xfId="0"/>
    <xf numFmtId="0" fontId="1"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xf numFmtId="0" fontId="3" fillId="0" borderId="0" xfId="1" applyFont="1" applyAlignment="1">
      <alignment vertical="center"/>
    </xf>
    <xf numFmtId="0" fontId="0" fillId="0" borderId="0" xfId="0" applyAlignment="1">
      <alignment horizontal="left"/>
    </xf>
    <xf numFmtId="0" fontId="1" fillId="0" borderId="1"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10" fontId="0" fillId="0" borderId="6" xfId="2" applyNumberFormat="1"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10" fontId="0" fillId="0" borderId="9" xfId="0" applyNumberFormat="1" applyBorder="1" applyAlignment="1">
      <alignment vertical="center"/>
    </xf>
    <xf numFmtId="10" fontId="0" fillId="0" borderId="10" xfId="2" applyNumberFormat="1" applyFont="1" applyBorder="1" applyAlignment="1">
      <alignment vertical="center"/>
    </xf>
    <xf numFmtId="10" fontId="0" fillId="0" borderId="11" xfId="2" applyNumberFormat="1" applyFont="1" applyBorder="1" applyAlignment="1">
      <alignment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0" borderId="4" xfId="0" applyBorder="1"/>
    <xf numFmtId="0" fontId="1" fillId="0" borderId="2" xfId="0" applyFont="1" applyBorder="1" applyAlignment="1">
      <alignment vertical="center"/>
    </xf>
    <xf numFmtId="10" fontId="0" fillId="0" borderId="5" xfId="2" applyNumberFormat="1" applyFont="1" applyBorder="1" applyAlignment="1">
      <alignment vertical="center"/>
    </xf>
    <xf numFmtId="0" fontId="0" fillId="0" borderId="15" xfId="0" applyBorder="1" applyAlignment="1">
      <alignment vertical="center"/>
    </xf>
    <xf numFmtId="0" fontId="0" fillId="0" borderId="16" xfId="0" applyBorder="1" applyAlignment="1">
      <alignment vertical="center"/>
    </xf>
    <xf numFmtId="10" fontId="0" fillId="0" borderId="8" xfId="0" applyNumberFormat="1" applyBorder="1" applyAlignment="1">
      <alignment vertical="center"/>
    </xf>
    <xf numFmtId="0" fontId="0" fillId="0" borderId="11" xfId="0" applyBorder="1" applyAlignment="1">
      <alignment vertical="center"/>
    </xf>
    <xf numFmtId="0" fontId="0" fillId="0" borderId="10" xfId="0" applyBorder="1" applyAlignment="1">
      <alignment vertical="center"/>
    </xf>
    <xf numFmtId="0" fontId="0" fillId="0" borderId="17" xfId="0" applyBorder="1" applyAlignment="1">
      <alignment vertical="center"/>
    </xf>
    <xf numFmtId="10" fontId="0" fillId="0" borderId="11" xfId="0" applyNumberFormat="1" applyBorder="1" applyAlignment="1">
      <alignment vertical="center"/>
    </xf>
    <xf numFmtId="0" fontId="0" fillId="0" borderId="7" xfId="0" applyBorder="1"/>
    <xf numFmtId="0" fontId="5" fillId="0" borderId="0" xfId="0" applyFont="1" applyAlignment="1">
      <alignment vertical="center"/>
    </xf>
    <xf numFmtId="0" fontId="5" fillId="0" borderId="4" xfId="0" applyFont="1" applyBorder="1" applyAlignment="1">
      <alignment vertical="center"/>
    </xf>
    <xf numFmtId="0" fontId="5" fillId="0" borderId="15" xfId="0" applyFont="1" applyBorder="1" applyAlignment="1">
      <alignment vertical="center"/>
    </xf>
    <xf numFmtId="0" fontId="1" fillId="0" borderId="3" xfId="0" applyFont="1" applyBorder="1" applyAlignment="1">
      <alignment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8" xfId="0" applyFont="1" applyBorder="1" applyAlignment="1">
      <alignment vertical="center"/>
    </xf>
    <xf numFmtId="0" fontId="0" fillId="0" borderId="4" xfId="0" applyBorder="1" applyAlignment="1">
      <alignment vertical="center" wrapText="1"/>
    </xf>
    <xf numFmtId="168" fontId="0" fillId="0" borderId="10" xfId="2" applyNumberFormat="1" applyFont="1" applyBorder="1" applyAlignment="1">
      <alignment vertical="center"/>
    </xf>
    <xf numFmtId="168" fontId="0" fillId="0" borderId="11" xfId="0" applyNumberFormat="1" applyBorder="1" applyAlignment="1">
      <alignment vertical="center"/>
    </xf>
    <xf numFmtId="0" fontId="6" fillId="0" borderId="20" xfId="0" applyFont="1" applyBorder="1" applyAlignment="1">
      <alignment vertical="center"/>
    </xf>
    <xf numFmtId="0" fontId="0" fillId="0" borderId="21" xfId="0" applyBorder="1" applyAlignment="1">
      <alignment vertical="center" wrapText="1"/>
    </xf>
  </cellXfs>
  <cellStyles count="3">
    <cellStyle name="Hipervínculo" xfId="1" builtinId="8"/>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urvey.lesphinx.es/SurveyServer/s/UGR1-egleiston/TDDM4IoTSv1/Cuestionario.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2"/>
  <sheetViews>
    <sheetView tabSelected="1" topLeftCell="N1" workbookViewId="0">
      <pane ySplit="1" topLeftCell="A40" activePane="bottomLeft" state="frozen"/>
      <selection pane="bottomLeft" activeCell="S70" sqref="S70"/>
    </sheetView>
  </sheetViews>
  <sheetFormatPr baseColWidth="10" defaultRowHeight="14.4" x14ac:dyDescent="0.3"/>
  <cols>
    <col min="1" max="1" width="11.44140625" style="2" bestFit="1" customWidth="1"/>
    <col min="2" max="2" width="47" style="2" customWidth="1"/>
    <col min="3" max="3" width="22.109375" style="2" hidden="1" customWidth="1"/>
    <col min="4" max="4" width="25" style="2" customWidth="1"/>
    <col min="5" max="5" width="20.88671875" style="2" customWidth="1"/>
    <col min="6" max="6" width="31.77734375" style="2" customWidth="1"/>
    <col min="7" max="7" width="26.109375" style="2" customWidth="1"/>
    <col min="8" max="8" width="31.109375" style="2" customWidth="1"/>
    <col min="9" max="9" width="14.109375" style="2" customWidth="1"/>
    <col min="10" max="10" width="23.5546875" style="2" customWidth="1"/>
    <col min="11" max="11" width="37.109375" style="2" customWidth="1"/>
    <col min="12" max="12" width="63.6640625" style="2" customWidth="1"/>
    <col min="13" max="13" width="28.44140625" style="2" customWidth="1"/>
    <col min="14" max="14" width="49.33203125" style="2" customWidth="1"/>
    <col min="15" max="15" width="27" style="2" customWidth="1"/>
    <col min="16" max="16" width="28.109375" style="2" customWidth="1"/>
    <col min="17" max="17" width="35.44140625" style="2" customWidth="1"/>
    <col min="18" max="18" width="23.33203125" style="2" customWidth="1"/>
    <col min="19" max="19" width="16" style="2" customWidth="1"/>
    <col min="20" max="16384" width="11.5546875" style="2"/>
  </cols>
  <sheetData>
    <row r="1" spans="1:21"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4" t="s">
        <v>440</v>
      </c>
      <c r="Q1" s="1" t="s">
        <v>15</v>
      </c>
      <c r="R1" s="1" t="s">
        <v>16</v>
      </c>
      <c r="S1" s="1" t="s">
        <v>442</v>
      </c>
      <c r="T1" s="1" t="s">
        <v>17</v>
      </c>
      <c r="U1" s="1" t="s">
        <v>18</v>
      </c>
    </row>
    <row r="2" spans="1:21" s="3" customFormat="1" ht="129.6" x14ac:dyDescent="0.3">
      <c r="A2" s="3" t="s">
        <v>19</v>
      </c>
      <c r="B2" s="3" t="s">
        <v>20</v>
      </c>
      <c r="C2" s="3" t="s">
        <v>21</v>
      </c>
      <c r="D2" s="3" t="s">
        <v>22</v>
      </c>
      <c r="E2" s="3" t="s">
        <v>23</v>
      </c>
      <c r="F2" s="3" t="s">
        <v>24</v>
      </c>
      <c r="G2" s="3" t="s">
        <v>25</v>
      </c>
      <c r="H2" s="3" t="s">
        <v>26</v>
      </c>
      <c r="I2" s="3" t="s">
        <v>27</v>
      </c>
      <c r="J2" s="3" t="s">
        <v>28</v>
      </c>
      <c r="K2" s="3" t="s">
        <v>29</v>
      </c>
      <c r="L2" s="3" t="s">
        <v>30</v>
      </c>
      <c r="M2" s="3" t="s">
        <v>31</v>
      </c>
      <c r="N2" s="3" t="s">
        <v>32</v>
      </c>
      <c r="O2" s="3" t="s">
        <v>33</v>
      </c>
      <c r="P2" s="3" t="s">
        <v>441</v>
      </c>
      <c r="Q2" s="3" t="s">
        <v>34</v>
      </c>
      <c r="R2" s="3" t="s">
        <v>35</v>
      </c>
      <c r="S2" s="3" t="s">
        <v>36</v>
      </c>
      <c r="T2" s="3" t="s">
        <v>37</v>
      </c>
      <c r="U2" s="3" t="s">
        <v>38</v>
      </c>
    </row>
    <row r="3" spans="1:21" s="3" customFormat="1" ht="100.8" x14ac:dyDescent="0.3">
      <c r="A3" s="3">
        <v>1</v>
      </c>
      <c r="B3" s="3" t="s">
        <v>39</v>
      </c>
      <c r="D3" s="3" t="s">
        <v>40</v>
      </c>
      <c r="E3" s="3" t="s">
        <v>41</v>
      </c>
      <c r="F3" s="3" t="s">
        <v>470</v>
      </c>
      <c r="H3" s="3" t="s">
        <v>433</v>
      </c>
      <c r="I3" s="3" t="s">
        <v>42</v>
      </c>
      <c r="J3" s="3" t="s">
        <v>43</v>
      </c>
      <c r="K3" s="3" t="s">
        <v>407</v>
      </c>
      <c r="L3" s="3" t="s">
        <v>44</v>
      </c>
      <c r="M3" s="3" t="s">
        <v>45</v>
      </c>
      <c r="N3" s="3" t="s">
        <v>46</v>
      </c>
      <c r="O3" s="3" t="s">
        <v>47</v>
      </c>
      <c r="Q3" s="3" t="s">
        <v>390</v>
      </c>
      <c r="R3" s="3" t="s">
        <v>48</v>
      </c>
      <c r="S3" s="3" t="s">
        <v>431</v>
      </c>
      <c r="T3" s="3" t="s">
        <v>49</v>
      </c>
      <c r="U3" s="3" t="s">
        <v>50</v>
      </c>
    </row>
    <row r="4" spans="1:21" s="3" customFormat="1" ht="57.6" x14ac:dyDescent="0.3">
      <c r="A4" s="3">
        <f>A3+1</f>
        <v>2</v>
      </c>
      <c r="B4" s="3" t="s">
        <v>56</v>
      </c>
      <c r="D4" s="3" t="s">
        <v>57</v>
      </c>
      <c r="E4" s="3" t="s">
        <v>58</v>
      </c>
      <c r="F4" s="3" t="s">
        <v>471</v>
      </c>
      <c r="H4" s="3" t="s">
        <v>433</v>
      </c>
      <c r="I4" s="3" t="s">
        <v>59</v>
      </c>
      <c r="J4" s="3" t="s">
        <v>60</v>
      </c>
      <c r="K4" s="3" t="s">
        <v>408</v>
      </c>
      <c r="L4" s="3" t="s">
        <v>61</v>
      </c>
      <c r="M4" s="3" t="s">
        <v>62</v>
      </c>
      <c r="N4" s="3" t="s">
        <v>383</v>
      </c>
      <c r="O4" s="3" t="s">
        <v>63</v>
      </c>
      <c r="Q4" s="3" t="s">
        <v>391</v>
      </c>
      <c r="R4" s="3" t="s">
        <v>64</v>
      </c>
      <c r="S4" s="3" t="s">
        <v>431</v>
      </c>
      <c r="T4" s="3" t="s">
        <v>65</v>
      </c>
      <c r="U4" s="3" t="s">
        <v>66</v>
      </c>
    </row>
    <row r="5" spans="1:21" s="3" customFormat="1" ht="43.2" x14ac:dyDescent="0.3">
      <c r="A5" s="3">
        <f t="shared" ref="A5:A41" si="0">A4+1</f>
        <v>3</v>
      </c>
      <c r="B5" s="3" t="s">
        <v>67</v>
      </c>
      <c r="D5" s="3" t="s">
        <v>68</v>
      </c>
      <c r="E5" s="3" t="s">
        <v>69</v>
      </c>
      <c r="F5" s="3" t="s">
        <v>472</v>
      </c>
      <c r="H5" s="3" t="s">
        <v>433</v>
      </c>
      <c r="I5" s="3" t="s">
        <v>70</v>
      </c>
      <c r="J5" s="3" t="s">
        <v>71</v>
      </c>
      <c r="K5" s="3" t="s">
        <v>409</v>
      </c>
      <c r="L5" s="3" t="s">
        <v>72</v>
      </c>
      <c r="M5" s="3" t="s">
        <v>73</v>
      </c>
      <c r="N5" s="3" t="s">
        <v>384</v>
      </c>
      <c r="O5" s="3" t="s">
        <v>74</v>
      </c>
      <c r="Q5" s="3" t="s">
        <v>392</v>
      </c>
      <c r="R5" s="3" t="s">
        <v>75</v>
      </c>
      <c r="S5" s="3" t="s">
        <v>431</v>
      </c>
      <c r="T5" s="3" t="s">
        <v>76</v>
      </c>
      <c r="U5" s="3" t="s">
        <v>77</v>
      </c>
    </row>
    <row r="6" spans="1:21" s="3" customFormat="1" ht="43.2" x14ac:dyDescent="0.3">
      <c r="A6" s="3">
        <f t="shared" si="0"/>
        <v>4</v>
      </c>
      <c r="B6" s="3" t="s">
        <v>78</v>
      </c>
      <c r="D6" s="3" t="s">
        <v>79</v>
      </c>
      <c r="E6" s="3" t="s">
        <v>80</v>
      </c>
      <c r="F6" s="3" t="s">
        <v>473</v>
      </c>
      <c r="H6" s="3" t="s">
        <v>433</v>
      </c>
      <c r="I6" s="3" t="s">
        <v>81</v>
      </c>
      <c r="J6" s="3" t="s">
        <v>82</v>
      </c>
      <c r="K6" s="3" t="s">
        <v>83</v>
      </c>
      <c r="L6" s="3" t="s">
        <v>84</v>
      </c>
      <c r="M6" s="3" t="s">
        <v>85</v>
      </c>
      <c r="N6" s="3" t="s">
        <v>86</v>
      </c>
      <c r="O6" s="3" t="s">
        <v>87</v>
      </c>
      <c r="Q6" s="3" t="s">
        <v>393</v>
      </c>
      <c r="R6" s="3" t="s">
        <v>88</v>
      </c>
      <c r="S6" s="3" t="s">
        <v>431</v>
      </c>
      <c r="T6" s="3" t="s">
        <v>89</v>
      </c>
      <c r="U6" s="3" t="s">
        <v>90</v>
      </c>
    </row>
    <row r="7" spans="1:21" s="3" customFormat="1" ht="100.8" x14ac:dyDescent="0.3">
      <c r="A7" s="3">
        <f t="shared" si="0"/>
        <v>5</v>
      </c>
      <c r="B7" s="3" t="s">
        <v>91</v>
      </c>
      <c r="D7" s="3" t="s">
        <v>92</v>
      </c>
      <c r="E7" s="3" t="s">
        <v>93</v>
      </c>
      <c r="F7" s="3" t="s">
        <v>474</v>
      </c>
      <c r="H7" s="3" t="s">
        <v>433</v>
      </c>
      <c r="I7" s="3" t="s">
        <v>94</v>
      </c>
      <c r="J7" s="3" t="s">
        <v>95</v>
      </c>
      <c r="K7" s="3" t="s">
        <v>427</v>
      </c>
      <c r="L7" s="3" t="s">
        <v>422</v>
      </c>
      <c r="M7" s="3" t="s">
        <v>96</v>
      </c>
      <c r="O7" s="3" t="s">
        <v>97</v>
      </c>
      <c r="Q7" s="3" t="s">
        <v>391</v>
      </c>
      <c r="R7" s="3" t="s">
        <v>98</v>
      </c>
      <c r="S7" s="3" t="s">
        <v>64</v>
      </c>
      <c r="T7" s="3" t="s">
        <v>99</v>
      </c>
      <c r="U7" s="3" t="s">
        <v>100</v>
      </c>
    </row>
    <row r="8" spans="1:21" s="3" customFormat="1" ht="57.6" x14ac:dyDescent="0.3">
      <c r="A8" s="3">
        <f t="shared" si="0"/>
        <v>6</v>
      </c>
      <c r="B8" s="3" t="s">
        <v>101</v>
      </c>
      <c r="D8" s="3" t="s">
        <v>102</v>
      </c>
      <c r="E8" s="3" t="s">
        <v>103</v>
      </c>
      <c r="F8" s="3" t="s">
        <v>409</v>
      </c>
      <c r="H8" s="3" t="s">
        <v>433</v>
      </c>
      <c r="I8" s="3" t="s">
        <v>104</v>
      </c>
      <c r="J8" s="3" t="s">
        <v>105</v>
      </c>
      <c r="L8" s="3" t="s">
        <v>106</v>
      </c>
      <c r="M8" s="3" t="s">
        <v>107</v>
      </c>
      <c r="O8" s="3" t="s">
        <v>108</v>
      </c>
      <c r="Q8" s="3" t="s">
        <v>390</v>
      </c>
      <c r="R8" s="3" t="s">
        <v>109</v>
      </c>
      <c r="S8" s="3" t="s">
        <v>431</v>
      </c>
      <c r="T8" s="3" t="s">
        <v>110</v>
      </c>
      <c r="U8" s="3" t="s">
        <v>111</v>
      </c>
    </row>
    <row r="9" spans="1:21" s="3" customFormat="1" ht="57.6" x14ac:dyDescent="0.3">
      <c r="A9" s="3">
        <f t="shared" si="0"/>
        <v>7</v>
      </c>
      <c r="B9" s="3" t="s">
        <v>112</v>
      </c>
      <c r="D9" s="3" t="s">
        <v>113</v>
      </c>
      <c r="E9" s="3" t="s">
        <v>114</v>
      </c>
      <c r="F9" s="3" t="s">
        <v>475</v>
      </c>
      <c r="H9" s="3" t="s">
        <v>433</v>
      </c>
      <c r="I9" s="3" t="s">
        <v>115</v>
      </c>
      <c r="J9" s="3" t="s">
        <v>116</v>
      </c>
      <c r="K9" s="3" t="s">
        <v>410</v>
      </c>
      <c r="L9" s="3" t="s">
        <v>423</v>
      </c>
      <c r="M9" s="3" t="s">
        <v>117</v>
      </c>
      <c r="N9" s="3" t="s">
        <v>118</v>
      </c>
      <c r="O9" s="3" t="s">
        <v>119</v>
      </c>
      <c r="Q9" s="3" t="s">
        <v>390</v>
      </c>
      <c r="R9" s="3" t="s">
        <v>120</v>
      </c>
      <c r="S9" s="3" t="s">
        <v>431</v>
      </c>
      <c r="T9" s="3" t="s">
        <v>121</v>
      </c>
      <c r="U9" s="3" t="s">
        <v>122</v>
      </c>
    </row>
    <row r="10" spans="1:21" s="3" customFormat="1" ht="57.6" x14ac:dyDescent="0.3">
      <c r="A10" s="3">
        <f t="shared" si="0"/>
        <v>8</v>
      </c>
      <c r="B10" s="3" t="s">
        <v>123</v>
      </c>
      <c r="D10" s="3" t="s">
        <v>124</v>
      </c>
      <c r="E10" s="3" t="s">
        <v>125</v>
      </c>
      <c r="F10" s="3" t="s">
        <v>476</v>
      </c>
      <c r="H10" s="3" t="s">
        <v>433</v>
      </c>
      <c r="I10" s="3" t="s">
        <v>126</v>
      </c>
      <c r="J10" s="3" t="s">
        <v>105</v>
      </c>
      <c r="L10" s="3" t="s">
        <v>424</v>
      </c>
      <c r="M10" s="3" t="s">
        <v>127</v>
      </c>
      <c r="N10" s="3" t="s">
        <v>385</v>
      </c>
      <c r="O10" s="3" t="s">
        <v>128</v>
      </c>
      <c r="Q10" s="3" t="s">
        <v>394</v>
      </c>
      <c r="R10" s="3" t="s">
        <v>129</v>
      </c>
      <c r="S10" s="3" t="s">
        <v>430</v>
      </c>
      <c r="T10" s="3" t="s">
        <v>130</v>
      </c>
      <c r="U10" s="3" t="s">
        <v>131</v>
      </c>
    </row>
    <row r="11" spans="1:21" s="3" customFormat="1" ht="57.6" x14ac:dyDescent="0.3">
      <c r="A11" s="3">
        <f t="shared" si="0"/>
        <v>9</v>
      </c>
      <c r="B11" s="3" t="s">
        <v>132</v>
      </c>
      <c r="D11" s="3" t="s">
        <v>133</v>
      </c>
      <c r="E11" s="3" t="s">
        <v>134</v>
      </c>
      <c r="F11" s="3" t="s">
        <v>477</v>
      </c>
      <c r="H11" s="3" t="s">
        <v>433</v>
      </c>
      <c r="I11" s="3" t="s">
        <v>135</v>
      </c>
      <c r="J11" s="3" t="s">
        <v>136</v>
      </c>
      <c r="K11" s="3" t="s">
        <v>411</v>
      </c>
      <c r="L11" s="3" t="s">
        <v>423</v>
      </c>
      <c r="M11" s="3" t="s">
        <v>137</v>
      </c>
      <c r="O11" s="3" t="s">
        <v>138</v>
      </c>
      <c r="Q11" s="3" t="s">
        <v>395</v>
      </c>
      <c r="R11" s="3" t="s">
        <v>139</v>
      </c>
      <c r="S11" s="3" t="s">
        <v>430</v>
      </c>
      <c r="T11" s="3" t="s">
        <v>140</v>
      </c>
      <c r="U11" s="3" t="s">
        <v>141</v>
      </c>
    </row>
    <row r="12" spans="1:21" s="3" customFormat="1" ht="57.6" x14ac:dyDescent="0.3">
      <c r="A12" s="3">
        <f t="shared" si="0"/>
        <v>10</v>
      </c>
      <c r="B12" s="3" t="s">
        <v>142</v>
      </c>
      <c r="D12" s="3" t="s">
        <v>143</v>
      </c>
      <c r="E12" s="3" t="s">
        <v>144</v>
      </c>
      <c r="F12" s="3" t="s">
        <v>473</v>
      </c>
      <c r="H12" s="3" t="s">
        <v>433</v>
      </c>
      <c r="I12" s="3" t="s">
        <v>145</v>
      </c>
      <c r="J12" s="3" t="s">
        <v>146</v>
      </c>
      <c r="K12" s="3" t="s">
        <v>412</v>
      </c>
      <c r="L12" s="3" t="s">
        <v>423</v>
      </c>
      <c r="M12" s="3" t="s">
        <v>147</v>
      </c>
      <c r="N12" s="3" t="s">
        <v>148</v>
      </c>
      <c r="O12" s="3" t="s">
        <v>149</v>
      </c>
      <c r="Q12" s="3" t="s">
        <v>396</v>
      </c>
      <c r="R12" s="3" t="s">
        <v>150</v>
      </c>
      <c r="S12" s="3" t="s">
        <v>430</v>
      </c>
      <c r="T12" s="3" t="s">
        <v>151</v>
      </c>
      <c r="U12" s="3" t="s">
        <v>152</v>
      </c>
    </row>
    <row r="13" spans="1:21" s="3" customFormat="1" ht="43.2" x14ac:dyDescent="0.3">
      <c r="A13" s="3">
        <f t="shared" si="0"/>
        <v>11</v>
      </c>
      <c r="B13" s="3" t="s">
        <v>153</v>
      </c>
      <c r="D13" s="3" t="s">
        <v>154</v>
      </c>
      <c r="E13" s="3" t="s">
        <v>155</v>
      </c>
      <c r="F13" s="3" t="s">
        <v>478</v>
      </c>
      <c r="H13" s="3" t="s">
        <v>433</v>
      </c>
      <c r="I13" s="3" t="s">
        <v>156</v>
      </c>
      <c r="J13" s="3" t="s">
        <v>157</v>
      </c>
      <c r="L13" s="3" t="s">
        <v>158</v>
      </c>
      <c r="M13" s="3" t="s">
        <v>159</v>
      </c>
      <c r="N13" s="3" t="s">
        <v>386</v>
      </c>
      <c r="O13" s="3" t="s">
        <v>160</v>
      </c>
      <c r="Q13" s="3" t="s">
        <v>397</v>
      </c>
      <c r="R13" s="3" t="s">
        <v>161</v>
      </c>
      <c r="S13" s="3" t="s">
        <v>431</v>
      </c>
      <c r="T13" s="3" t="s">
        <v>162</v>
      </c>
      <c r="U13" s="3" t="s">
        <v>163</v>
      </c>
    </row>
    <row r="14" spans="1:21" s="3" customFormat="1" ht="72" x14ac:dyDescent="0.3">
      <c r="A14" s="3">
        <f t="shared" si="0"/>
        <v>12</v>
      </c>
      <c r="B14" s="3" t="s">
        <v>164</v>
      </c>
      <c r="D14" s="3" t="s">
        <v>165</v>
      </c>
      <c r="E14" s="3" t="s">
        <v>166</v>
      </c>
      <c r="F14" s="3" t="s">
        <v>497</v>
      </c>
      <c r="H14" s="3" t="s">
        <v>433</v>
      </c>
      <c r="I14" s="3" t="s">
        <v>167</v>
      </c>
      <c r="J14" s="3" t="s">
        <v>168</v>
      </c>
      <c r="K14" s="3" t="s">
        <v>413</v>
      </c>
      <c r="L14" s="3" t="s">
        <v>429</v>
      </c>
      <c r="M14" s="3" t="s">
        <v>169</v>
      </c>
      <c r="N14" s="3" t="s">
        <v>384</v>
      </c>
      <c r="O14" s="3" t="s">
        <v>170</v>
      </c>
      <c r="Q14" s="3" t="s">
        <v>398</v>
      </c>
      <c r="R14" s="3" t="s">
        <v>171</v>
      </c>
      <c r="S14" s="3" t="s">
        <v>431</v>
      </c>
      <c r="T14" s="3" t="s">
        <v>172</v>
      </c>
      <c r="U14" s="3" t="s">
        <v>173</v>
      </c>
    </row>
    <row r="15" spans="1:21" s="3" customFormat="1" ht="57.6" x14ac:dyDescent="0.3">
      <c r="A15" s="3">
        <f t="shared" si="0"/>
        <v>13</v>
      </c>
      <c r="B15" s="3" t="s">
        <v>174</v>
      </c>
      <c r="D15" s="3" t="s">
        <v>175</v>
      </c>
      <c r="E15" s="3" t="s">
        <v>176</v>
      </c>
      <c r="F15" s="3" t="s">
        <v>473</v>
      </c>
      <c r="H15" s="3" t="s">
        <v>433</v>
      </c>
      <c r="I15" s="3" t="s">
        <v>177</v>
      </c>
      <c r="J15" s="3" t="s">
        <v>146</v>
      </c>
      <c r="K15" s="3" t="s">
        <v>178</v>
      </c>
      <c r="L15" s="3" t="s">
        <v>179</v>
      </c>
      <c r="M15" s="3" t="s">
        <v>180</v>
      </c>
      <c r="N15" s="3" t="s">
        <v>181</v>
      </c>
      <c r="O15" s="3" t="s">
        <v>182</v>
      </c>
      <c r="Q15" s="3" t="s">
        <v>399</v>
      </c>
      <c r="R15" s="3" t="s">
        <v>183</v>
      </c>
      <c r="S15" s="3" t="s">
        <v>431</v>
      </c>
      <c r="T15" s="3" t="s">
        <v>184</v>
      </c>
      <c r="U15" s="3" t="s">
        <v>185</v>
      </c>
    </row>
    <row r="16" spans="1:21" s="3" customFormat="1" ht="115.2" x14ac:dyDescent="0.3">
      <c r="A16" s="3">
        <f t="shared" si="0"/>
        <v>14</v>
      </c>
      <c r="B16" s="3" t="s">
        <v>186</v>
      </c>
      <c r="D16" s="3" t="s">
        <v>187</v>
      </c>
      <c r="E16" s="3" t="s">
        <v>188</v>
      </c>
      <c r="F16" s="3" t="s">
        <v>479</v>
      </c>
      <c r="H16" s="3" t="s">
        <v>433</v>
      </c>
      <c r="I16" s="3" t="s">
        <v>189</v>
      </c>
      <c r="J16" s="3" t="s">
        <v>190</v>
      </c>
      <c r="K16" s="3" t="s">
        <v>83</v>
      </c>
      <c r="L16" s="3" t="s">
        <v>425</v>
      </c>
      <c r="M16" s="3" t="s">
        <v>191</v>
      </c>
      <c r="N16" s="3" t="s">
        <v>181</v>
      </c>
      <c r="O16" s="3" t="s">
        <v>192</v>
      </c>
      <c r="Q16" s="3" t="s">
        <v>390</v>
      </c>
      <c r="R16" s="3" t="s">
        <v>193</v>
      </c>
      <c r="S16" s="3" t="s">
        <v>64</v>
      </c>
      <c r="T16" s="3" t="s">
        <v>194</v>
      </c>
      <c r="U16" s="3" t="s">
        <v>195</v>
      </c>
    </row>
    <row r="17" spans="1:21" s="3" customFormat="1" ht="72" x14ac:dyDescent="0.3">
      <c r="A17" s="3">
        <f t="shared" si="0"/>
        <v>15</v>
      </c>
      <c r="B17" s="3" t="s">
        <v>196</v>
      </c>
      <c r="D17" s="3" t="s">
        <v>197</v>
      </c>
      <c r="E17" s="3" t="s">
        <v>198</v>
      </c>
      <c r="F17" s="3" t="s">
        <v>480</v>
      </c>
      <c r="H17" s="3" t="s">
        <v>433</v>
      </c>
      <c r="I17" s="3" t="s">
        <v>199</v>
      </c>
      <c r="J17" s="3" t="s">
        <v>200</v>
      </c>
      <c r="K17" s="3" t="s">
        <v>414</v>
      </c>
      <c r="L17" s="3" t="s">
        <v>428</v>
      </c>
      <c r="M17" s="3" t="s">
        <v>201</v>
      </c>
      <c r="N17" s="3" t="s">
        <v>387</v>
      </c>
      <c r="O17" s="3" t="s">
        <v>202</v>
      </c>
      <c r="Q17" s="3" t="s">
        <v>400</v>
      </c>
      <c r="R17" s="3" t="s">
        <v>203</v>
      </c>
      <c r="S17" s="3" t="s">
        <v>431</v>
      </c>
      <c r="T17" s="3" t="s">
        <v>204</v>
      </c>
      <c r="U17" s="3" t="s">
        <v>205</v>
      </c>
    </row>
    <row r="18" spans="1:21" s="3" customFormat="1" ht="72" x14ac:dyDescent="0.3">
      <c r="A18" s="3">
        <f t="shared" si="0"/>
        <v>16</v>
      </c>
      <c r="B18" s="3" t="s">
        <v>206</v>
      </c>
      <c r="D18" s="3" t="s">
        <v>207</v>
      </c>
      <c r="E18" s="3" t="s">
        <v>208</v>
      </c>
      <c r="F18" s="3" t="s">
        <v>481</v>
      </c>
      <c r="H18" s="3" t="s">
        <v>433</v>
      </c>
      <c r="I18" s="3" t="s">
        <v>209</v>
      </c>
      <c r="J18" s="3" t="s">
        <v>210</v>
      </c>
      <c r="K18" s="3" t="s">
        <v>415</v>
      </c>
      <c r="L18" s="3" t="s">
        <v>424</v>
      </c>
      <c r="M18" s="3" t="s">
        <v>211</v>
      </c>
      <c r="O18" s="3" t="s">
        <v>212</v>
      </c>
      <c r="Q18" s="3" t="s">
        <v>401</v>
      </c>
      <c r="R18" s="3" t="s">
        <v>213</v>
      </c>
      <c r="S18" s="3" t="s">
        <v>431</v>
      </c>
      <c r="T18" s="3" t="s">
        <v>214</v>
      </c>
      <c r="U18" s="3" t="s">
        <v>215</v>
      </c>
    </row>
    <row r="19" spans="1:21" s="3" customFormat="1" ht="57.6" x14ac:dyDescent="0.3">
      <c r="A19" s="3">
        <f t="shared" si="0"/>
        <v>17</v>
      </c>
      <c r="B19" s="3" t="s">
        <v>216</v>
      </c>
      <c r="D19" s="3" t="s">
        <v>217</v>
      </c>
      <c r="E19" s="3" t="s">
        <v>218</v>
      </c>
      <c r="F19" s="3" t="s">
        <v>482</v>
      </c>
      <c r="H19" s="3" t="s">
        <v>433</v>
      </c>
      <c r="I19" s="3" t="s">
        <v>219</v>
      </c>
      <c r="J19" s="3" t="s">
        <v>220</v>
      </c>
      <c r="K19" s="3" t="s">
        <v>83</v>
      </c>
      <c r="L19" s="3" t="s">
        <v>426</v>
      </c>
      <c r="M19" s="3" t="s">
        <v>221</v>
      </c>
      <c r="O19" s="3" t="s">
        <v>222</v>
      </c>
      <c r="Q19" s="3" t="s">
        <v>402</v>
      </c>
      <c r="R19" s="3" t="s">
        <v>223</v>
      </c>
      <c r="S19" s="3" t="s">
        <v>432</v>
      </c>
      <c r="T19" s="3" t="s">
        <v>224</v>
      </c>
      <c r="U19" s="3" t="s">
        <v>225</v>
      </c>
    </row>
    <row r="20" spans="1:21" s="3" customFormat="1" ht="57.6" x14ac:dyDescent="0.3">
      <c r="A20" s="3">
        <f t="shared" si="0"/>
        <v>18</v>
      </c>
      <c r="B20" s="3" t="s">
        <v>226</v>
      </c>
      <c r="D20" s="3" t="s">
        <v>227</v>
      </c>
      <c r="E20" s="3" t="s">
        <v>228</v>
      </c>
      <c r="F20" s="3" t="s">
        <v>483</v>
      </c>
      <c r="H20" s="3" t="s">
        <v>433</v>
      </c>
      <c r="I20" s="3" t="s">
        <v>229</v>
      </c>
      <c r="J20" s="3" t="s">
        <v>230</v>
      </c>
      <c r="K20" s="3" t="s">
        <v>231</v>
      </c>
      <c r="L20" s="3" t="s">
        <v>44</v>
      </c>
      <c r="M20" s="3" t="s">
        <v>232</v>
      </c>
      <c r="N20" s="3" t="s">
        <v>388</v>
      </c>
      <c r="O20" s="3" t="s">
        <v>233</v>
      </c>
      <c r="Q20" s="3" t="s">
        <v>390</v>
      </c>
      <c r="R20" s="3" t="s">
        <v>234</v>
      </c>
      <c r="S20" s="3" t="s">
        <v>432</v>
      </c>
      <c r="T20" s="3" t="s">
        <v>235</v>
      </c>
      <c r="U20" s="3" t="s">
        <v>236</v>
      </c>
    </row>
    <row r="21" spans="1:21" s="3" customFormat="1" ht="57.6" x14ac:dyDescent="0.3">
      <c r="A21" s="3">
        <f t="shared" si="0"/>
        <v>19</v>
      </c>
      <c r="B21" s="3" t="s">
        <v>237</v>
      </c>
      <c r="D21" s="3" t="s">
        <v>238</v>
      </c>
      <c r="E21" s="3" t="s">
        <v>239</v>
      </c>
      <c r="F21" s="3" t="s">
        <v>473</v>
      </c>
      <c r="H21" s="3" t="s">
        <v>433</v>
      </c>
      <c r="I21" s="3" t="s">
        <v>240</v>
      </c>
      <c r="J21" s="3" t="s">
        <v>241</v>
      </c>
      <c r="K21" s="3" t="s">
        <v>416</v>
      </c>
      <c r="L21" s="3" t="s">
        <v>423</v>
      </c>
      <c r="M21" s="3" t="s">
        <v>242</v>
      </c>
      <c r="O21" s="3" t="s">
        <v>243</v>
      </c>
      <c r="Q21" s="3" t="s">
        <v>399</v>
      </c>
      <c r="R21" s="3" t="s">
        <v>244</v>
      </c>
      <c r="S21" s="3" t="s">
        <v>432</v>
      </c>
      <c r="T21" s="3" t="s">
        <v>245</v>
      </c>
      <c r="U21" s="3" t="s">
        <v>246</v>
      </c>
    </row>
    <row r="22" spans="1:21" s="3" customFormat="1" ht="43.2" x14ac:dyDescent="0.3">
      <c r="A22" s="3">
        <f t="shared" si="0"/>
        <v>20</v>
      </c>
      <c r="B22" s="3" t="s">
        <v>247</v>
      </c>
      <c r="D22" s="3" t="s">
        <v>248</v>
      </c>
      <c r="E22" s="3" t="s">
        <v>249</v>
      </c>
      <c r="F22" s="3" t="s">
        <v>409</v>
      </c>
      <c r="H22" s="3" t="s">
        <v>433</v>
      </c>
      <c r="I22" s="3" t="s">
        <v>250</v>
      </c>
      <c r="J22" s="3" t="s">
        <v>53</v>
      </c>
      <c r="K22" s="3" t="s">
        <v>417</v>
      </c>
      <c r="L22" s="3" t="s">
        <v>423</v>
      </c>
      <c r="M22" s="3" t="s">
        <v>251</v>
      </c>
      <c r="N22" s="3" t="s">
        <v>383</v>
      </c>
      <c r="O22" s="3" t="s">
        <v>252</v>
      </c>
      <c r="Q22" s="3" t="s">
        <v>391</v>
      </c>
      <c r="R22" s="3" t="s">
        <v>253</v>
      </c>
      <c r="S22" s="3" t="s">
        <v>432</v>
      </c>
      <c r="T22" s="3" t="s">
        <v>254</v>
      </c>
      <c r="U22" s="3" t="s">
        <v>255</v>
      </c>
    </row>
    <row r="23" spans="1:21" s="3" customFormat="1" ht="86.4" x14ac:dyDescent="0.3">
      <c r="A23" s="3">
        <f t="shared" si="0"/>
        <v>21</v>
      </c>
      <c r="B23" s="3" t="s">
        <v>256</v>
      </c>
      <c r="D23" s="3" t="s">
        <v>257</v>
      </c>
      <c r="E23" s="3" t="s">
        <v>258</v>
      </c>
      <c r="F23" s="3" t="s">
        <v>484</v>
      </c>
      <c r="H23" s="3" t="s">
        <v>433</v>
      </c>
      <c r="I23" s="3" t="s">
        <v>259</v>
      </c>
      <c r="J23" s="3" t="s">
        <v>260</v>
      </c>
      <c r="K23" s="3" t="s">
        <v>418</v>
      </c>
      <c r="L23" s="3" t="s">
        <v>424</v>
      </c>
      <c r="M23" s="3" t="s">
        <v>261</v>
      </c>
      <c r="N23" s="3" t="s">
        <v>181</v>
      </c>
      <c r="O23" s="3" t="s">
        <v>262</v>
      </c>
      <c r="Q23" s="3" t="s">
        <v>403</v>
      </c>
      <c r="R23" s="3" t="s">
        <v>263</v>
      </c>
      <c r="S23" s="3" t="s">
        <v>431</v>
      </c>
      <c r="T23" s="3" t="s">
        <v>264</v>
      </c>
      <c r="U23" s="3" t="s">
        <v>265</v>
      </c>
    </row>
    <row r="24" spans="1:21" s="3" customFormat="1" ht="57.6" x14ac:dyDescent="0.3">
      <c r="A24" s="3">
        <f t="shared" si="0"/>
        <v>22</v>
      </c>
      <c r="B24" s="3" t="s">
        <v>266</v>
      </c>
      <c r="D24" s="3" t="s">
        <v>267</v>
      </c>
      <c r="E24" s="3" t="s">
        <v>268</v>
      </c>
      <c r="F24" s="3" t="s">
        <v>485</v>
      </c>
      <c r="H24" s="3" t="s">
        <v>433</v>
      </c>
      <c r="I24" s="3" t="s">
        <v>269</v>
      </c>
      <c r="J24" s="3" t="s">
        <v>270</v>
      </c>
      <c r="K24" s="3" t="s">
        <v>419</v>
      </c>
      <c r="L24" s="3" t="s">
        <v>423</v>
      </c>
      <c r="M24" s="3" t="s">
        <v>271</v>
      </c>
      <c r="N24" s="3" t="s">
        <v>272</v>
      </c>
      <c r="O24" s="3" t="s">
        <v>273</v>
      </c>
      <c r="Q24" s="3" t="s">
        <v>390</v>
      </c>
      <c r="R24" s="3" t="s">
        <v>274</v>
      </c>
      <c r="S24" s="3" t="s">
        <v>64</v>
      </c>
      <c r="T24" s="3" t="s">
        <v>275</v>
      </c>
      <c r="U24" s="3" t="s">
        <v>276</v>
      </c>
    </row>
    <row r="25" spans="1:21" s="3" customFormat="1" ht="72" x14ac:dyDescent="0.3">
      <c r="A25" s="3">
        <f t="shared" si="0"/>
        <v>23</v>
      </c>
      <c r="B25" s="3" t="s">
        <v>277</v>
      </c>
      <c r="D25" s="3" t="s">
        <v>278</v>
      </c>
      <c r="E25" s="3" t="s">
        <v>279</v>
      </c>
      <c r="F25" s="3" t="s">
        <v>486</v>
      </c>
      <c r="H25" s="3" t="s">
        <v>433</v>
      </c>
      <c r="I25" s="3" t="s">
        <v>280</v>
      </c>
      <c r="J25" s="3" t="s">
        <v>281</v>
      </c>
      <c r="K25" s="3" t="s">
        <v>420</v>
      </c>
      <c r="L25" s="3" t="s">
        <v>424</v>
      </c>
      <c r="M25" s="3" t="s">
        <v>282</v>
      </c>
      <c r="N25" s="3" t="s">
        <v>383</v>
      </c>
      <c r="O25" s="3" t="s">
        <v>283</v>
      </c>
      <c r="Q25" s="3" t="s">
        <v>404</v>
      </c>
      <c r="R25" s="3" t="s">
        <v>284</v>
      </c>
      <c r="S25" s="3" t="s">
        <v>430</v>
      </c>
      <c r="T25" s="3" t="s">
        <v>285</v>
      </c>
      <c r="U25" s="3" t="s">
        <v>286</v>
      </c>
    </row>
    <row r="26" spans="1:21" s="3" customFormat="1" ht="57.6" x14ac:dyDescent="0.3">
      <c r="A26" s="3">
        <f t="shared" si="0"/>
        <v>24</v>
      </c>
      <c r="B26" s="3" t="s">
        <v>287</v>
      </c>
      <c r="D26" s="3" t="s">
        <v>288</v>
      </c>
      <c r="E26" s="3" t="s">
        <v>289</v>
      </c>
      <c r="F26" s="3" t="s">
        <v>485</v>
      </c>
      <c r="H26" s="3" t="s">
        <v>433</v>
      </c>
      <c r="I26" s="3" t="s">
        <v>290</v>
      </c>
      <c r="J26" s="3" t="s">
        <v>291</v>
      </c>
      <c r="K26" s="3" t="s">
        <v>416</v>
      </c>
      <c r="L26" s="3" t="s">
        <v>424</v>
      </c>
      <c r="M26" s="3" t="s">
        <v>292</v>
      </c>
      <c r="N26" s="3" t="s">
        <v>389</v>
      </c>
      <c r="O26" s="3" t="s">
        <v>293</v>
      </c>
      <c r="Q26" s="3" t="s">
        <v>405</v>
      </c>
      <c r="R26" s="3" t="s">
        <v>294</v>
      </c>
      <c r="S26" s="3" t="s">
        <v>431</v>
      </c>
      <c r="T26" s="3" t="s">
        <v>295</v>
      </c>
      <c r="U26" s="3" t="s">
        <v>296</v>
      </c>
    </row>
    <row r="27" spans="1:21" s="3" customFormat="1" ht="72" x14ac:dyDescent="0.3">
      <c r="A27" s="3">
        <f t="shared" si="0"/>
        <v>25</v>
      </c>
      <c r="B27" s="3" t="s">
        <v>54</v>
      </c>
      <c r="D27" s="3" t="s">
        <v>297</v>
      </c>
      <c r="E27" s="3" t="s">
        <v>298</v>
      </c>
      <c r="F27" s="3" t="s">
        <v>487</v>
      </c>
      <c r="H27" s="3" t="s">
        <v>433</v>
      </c>
      <c r="I27" s="3" t="s">
        <v>299</v>
      </c>
      <c r="J27" s="3" t="s">
        <v>300</v>
      </c>
      <c r="K27" s="3" t="s">
        <v>421</v>
      </c>
      <c r="L27" s="3" t="s">
        <v>424</v>
      </c>
      <c r="M27" s="3" t="s">
        <v>301</v>
      </c>
      <c r="N27" s="3" t="s">
        <v>118</v>
      </c>
      <c r="O27" s="3" t="s">
        <v>302</v>
      </c>
      <c r="Q27" s="3" t="s">
        <v>406</v>
      </c>
      <c r="R27" s="3" t="s">
        <v>303</v>
      </c>
      <c r="S27" s="3" t="s">
        <v>431</v>
      </c>
      <c r="T27" s="3" t="s">
        <v>304</v>
      </c>
      <c r="U27" s="3" t="s">
        <v>305</v>
      </c>
    </row>
    <row r="28" spans="1:21" s="3" customFormat="1" ht="57.6" x14ac:dyDescent="0.3">
      <c r="A28" s="3">
        <f>A27+1</f>
        <v>26</v>
      </c>
      <c r="B28" s="3" t="s">
        <v>54</v>
      </c>
      <c r="D28" s="3" t="s">
        <v>68</v>
      </c>
      <c r="E28" s="3" t="s">
        <v>58</v>
      </c>
      <c r="F28" s="3" t="s">
        <v>488</v>
      </c>
      <c r="H28" s="3" t="s">
        <v>433</v>
      </c>
      <c r="I28" s="3">
        <v>3</v>
      </c>
      <c r="J28" s="3" t="s">
        <v>43</v>
      </c>
      <c r="K28" s="3" t="s">
        <v>499</v>
      </c>
      <c r="L28" s="3" t="s">
        <v>44</v>
      </c>
      <c r="M28" s="3" t="s">
        <v>117</v>
      </c>
      <c r="N28" s="3" t="s">
        <v>436</v>
      </c>
      <c r="O28" s="3" t="s">
        <v>74</v>
      </c>
      <c r="Q28" s="3" t="s">
        <v>392</v>
      </c>
      <c r="R28" s="3" t="s">
        <v>109</v>
      </c>
      <c r="S28" s="3" t="s">
        <v>430</v>
      </c>
      <c r="T28" s="3" t="s">
        <v>443</v>
      </c>
      <c r="U28" s="3" t="s">
        <v>457</v>
      </c>
    </row>
    <row r="29" spans="1:21" s="3" customFormat="1" ht="86.4" x14ac:dyDescent="0.3">
      <c r="A29" s="3">
        <f t="shared" si="0"/>
        <v>27</v>
      </c>
      <c r="B29" s="3" t="s">
        <v>54</v>
      </c>
      <c r="D29" s="3" t="s">
        <v>68</v>
      </c>
      <c r="E29" s="3" t="s">
        <v>41</v>
      </c>
      <c r="F29" s="3" t="s">
        <v>489</v>
      </c>
      <c r="H29" s="3" t="s">
        <v>434</v>
      </c>
      <c r="I29" s="3">
        <v>1</v>
      </c>
      <c r="J29" s="3" t="s">
        <v>43</v>
      </c>
      <c r="K29" s="3" t="s">
        <v>500</v>
      </c>
      <c r="L29" s="3" t="s">
        <v>44</v>
      </c>
      <c r="M29" s="3" t="s">
        <v>45</v>
      </c>
      <c r="N29" s="3" t="s">
        <v>437</v>
      </c>
      <c r="O29" s="3" t="s">
        <v>74</v>
      </c>
      <c r="Q29" s="3" t="s">
        <v>575</v>
      </c>
      <c r="R29" s="3" t="s">
        <v>109</v>
      </c>
      <c r="S29" s="3" t="s">
        <v>431</v>
      </c>
      <c r="T29" s="3" t="s">
        <v>444</v>
      </c>
      <c r="U29" s="3" t="s">
        <v>458</v>
      </c>
    </row>
    <row r="30" spans="1:21" s="3" customFormat="1" ht="57.6" x14ac:dyDescent="0.3">
      <c r="A30" s="3">
        <f t="shared" si="0"/>
        <v>28</v>
      </c>
      <c r="B30" s="3" t="s">
        <v>54</v>
      </c>
      <c r="D30" s="3" t="s">
        <v>51</v>
      </c>
      <c r="E30" s="3" t="s">
        <v>58</v>
      </c>
      <c r="F30" s="3" t="s">
        <v>490</v>
      </c>
      <c r="H30" s="3" t="s">
        <v>498</v>
      </c>
      <c r="I30" s="3">
        <v>3</v>
      </c>
      <c r="J30" s="3" t="s">
        <v>43</v>
      </c>
      <c r="K30" s="3" t="s">
        <v>501</v>
      </c>
      <c r="L30" s="3" t="s">
        <v>551</v>
      </c>
      <c r="M30" s="3" t="s">
        <v>45</v>
      </c>
      <c r="N30" s="3" t="s">
        <v>46</v>
      </c>
      <c r="O30" s="3" t="s">
        <v>47</v>
      </c>
      <c r="P30" s="3" t="s">
        <v>439</v>
      </c>
      <c r="Q30" s="3" t="s">
        <v>404</v>
      </c>
      <c r="R30" s="3" t="s">
        <v>109</v>
      </c>
      <c r="S30" s="3" t="s">
        <v>430</v>
      </c>
      <c r="T30" s="3" t="s">
        <v>445</v>
      </c>
      <c r="U30" s="3" t="s">
        <v>459</v>
      </c>
    </row>
    <row r="31" spans="1:21" s="3" customFormat="1" ht="57.6" x14ac:dyDescent="0.3">
      <c r="A31" s="3">
        <f t="shared" si="0"/>
        <v>29</v>
      </c>
      <c r="B31" s="3" t="s">
        <v>54</v>
      </c>
      <c r="D31" s="3" t="s">
        <v>68</v>
      </c>
      <c r="E31" s="3" t="s">
        <v>41</v>
      </c>
      <c r="F31" s="3" t="s">
        <v>491</v>
      </c>
      <c r="H31" s="3" t="s">
        <v>433</v>
      </c>
      <c r="I31" s="3">
        <v>3</v>
      </c>
      <c r="J31" s="3" t="s">
        <v>43</v>
      </c>
      <c r="K31" s="3" t="s">
        <v>410</v>
      </c>
      <c r="L31" s="3" t="s">
        <v>44</v>
      </c>
      <c r="M31" s="3" t="s">
        <v>117</v>
      </c>
      <c r="N31" s="3" t="s">
        <v>46</v>
      </c>
      <c r="O31" s="3" t="s">
        <v>74</v>
      </c>
      <c r="Q31" s="3" t="s">
        <v>400</v>
      </c>
      <c r="R31" s="3" t="s">
        <v>48</v>
      </c>
      <c r="S31" s="3" t="s">
        <v>430</v>
      </c>
      <c r="T31" s="3" t="s">
        <v>446</v>
      </c>
      <c r="U31" s="3" t="s">
        <v>457</v>
      </c>
    </row>
    <row r="32" spans="1:21" s="3" customFormat="1" ht="57.6" x14ac:dyDescent="0.3">
      <c r="A32" s="3">
        <f t="shared" si="0"/>
        <v>30</v>
      </c>
      <c r="B32" s="3" t="s">
        <v>54</v>
      </c>
      <c r="D32" s="3" t="s">
        <v>51</v>
      </c>
      <c r="E32" s="3" t="s">
        <v>41</v>
      </c>
      <c r="F32" s="3" t="s">
        <v>492</v>
      </c>
      <c r="H32" s="3" t="s">
        <v>433</v>
      </c>
      <c r="I32" s="3">
        <v>2</v>
      </c>
      <c r="J32" s="3" t="s">
        <v>146</v>
      </c>
      <c r="K32" s="3" t="s">
        <v>502</v>
      </c>
      <c r="L32" s="3" t="s">
        <v>551</v>
      </c>
      <c r="M32" s="3" t="s">
        <v>117</v>
      </c>
      <c r="N32" s="3" t="s">
        <v>46</v>
      </c>
      <c r="O32" s="3" t="s">
        <v>74</v>
      </c>
      <c r="Q32" s="3" t="s">
        <v>392</v>
      </c>
      <c r="R32" s="3" t="s">
        <v>109</v>
      </c>
      <c r="S32" s="3" t="s">
        <v>430</v>
      </c>
      <c r="T32" s="3" t="s">
        <v>447</v>
      </c>
      <c r="U32" s="3" t="s">
        <v>460</v>
      </c>
    </row>
    <row r="33" spans="1:21" s="3" customFormat="1" ht="43.2" x14ac:dyDescent="0.3">
      <c r="A33" s="3">
        <f t="shared" si="0"/>
        <v>31</v>
      </c>
      <c r="B33" s="3" t="s">
        <v>54</v>
      </c>
      <c r="D33" s="3" t="s">
        <v>154</v>
      </c>
      <c r="E33" s="3" t="s">
        <v>41</v>
      </c>
      <c r="F33" s="3" t="s">
        <v>490</v>
      </c>
      <c r="H33" s="3" t="s">
        <v>433</v>
      </c>
      <c r="I33" s="3">
        <v>3</v>
      </c>
      <c r="J33" s="3" t="s">
        <v>146</v>
      </c>
      <c r="K33" s="3" t="s">
        <v>409</v>
      </c>
      <c r="L33" s="3" t="s">
        <v>551</v>
      </c>
      <c r="M33" s="3" t="s">
        <v>45</v>
      </c>
      <c r="N33" s="3" t="s">
        <v>438</v>
      </c>
      <c r="O33" s="3" t="s">
        <v>74</v>
      </c>
      <c r="Q33" s="3" t="s">
        <v>576</v>
      </c>
      <c r="R33" s="3" t="s">
        <v>109</v>
      </c>
      <c r="S33" s="3" t="s">
        <v>431</v>
      </c>
      <c r="T33" s="3" t="s">
        <v>448</v>
      </c>
      <c r="U33" s="3" t="s">
        <v>461</v>
      </c>
    </row>
    <row r="34" spans="1:21" s="3" customFormat="1" ht="100.8" x14ac:dyDescent="0.3">
      <c r="A34" s="3">
        <f t="shared" si="0"/>
        <v>32</v>
      </c>
      <c r="B34" s="3" t="s">
        <v>54</v>
      </c>
      <c r="D34" s="3" t="s">
        <v>57</v>
      </c>
      <c r="E34" s="3" t="s">
        <v>52</v>
      </c>
      <c r="F34" s="3" t="s">
        <v>493</v>
      </c>
      <c r="H34" s="3" t="s">
        <v>433</v>
      </c>
      <c r="I34" s="3">
        <v>3</v>
      </c>
      <c r="J34" s="3" t="s">
        <v>43</v>
      </c>
      <c r="K34" s="3" t="s">
        <v>503</v>
      </c>
      <c r="L34" s="3" t="s">
        <v>551</v>
      </c>
      <c r="M34" s="3" t="s">
        <v>117</v>
      </c>
      <c r="N34" s="3" t="s">
        <v>46</v>
      </c>
      <c r="O34" s="3" t="s">
        <v>74</v>
      </c>
      <c r="Q34" s="3" t="s">
        <v>390</v>
      </c>
      <c r="R34" s="3" t="s">
        <v>48</v>
      </c>
      <c r="S34" s="3" t="s">
        <v>430</v>
      </c>
      <c r="T34" s="3" t="s">
        <v>449</v>
      </c>
      <c r="U34" s="3" t="s">
        <v>462</v>
      </c>
    </row>
    <row r="35" spans="1:21" s="3" customFormat="1" ht="43.2" x14ac:dyDescent="0.3">
      <c r="A35" s="3">
        <f t="shared" si="0"/>
        <v>33</v>
      </c>
      <c r="B35" s="3" t="s">
        <v>54</v>
      </c>
      <c r="D35" s="3" t="s">
        <v>154</v>
      </c>
      <c r="E35" s="3" t="s">
        <v>58</v>
      </c>
      <c r="F35" s="3" t="s">
        <v>494</v>
      </c>
      <c r="H35" s="3" t="s">
        <v>433</v>
      </c>
      <c r="I35" s="3" t="s">
        <v>42</v>
      </c>
      <c r="J35" s="3" t="s">
        <v>53</v>
      </c>
      <c r="K35" s="3" t="s">
        <v>416</v>
      </c>
      <c r="L35" s="3" t="s">
        <v>551</v>
      </c>
      <c r="M35" s="3" t="s">
        <v>45</v>
      </c>
      <c r="N35" s="3" t="s">
        <v>46</v>
      </c>
      <c r="O35" s="3" t="s">
        <v>74</v>
      </c>
      <c r="Q35" s="3" t="s">
        <v>392</v>
      </c>
      <c r="R35" s="3" t="s">
        <v>109</v>
      </c>
      <c r="S35" s="3" t="s">
        <v>430</v>
      </c>
      <c r="T35" s="3" t="s">
        <v>450</v>
      </c>
      <c r="U35" s="3" t="s">
        <v>463</v>
      </c>
    </row>
    <row r="36" spans="1:21" s="3" customFormat="1" ht="100.8" x14ac:dyDescent="0.3">
      <c r="A36" s="3">
        <f t="shared" si="0"/>
        <v>34</v>
      </c>
      <c r="B36" s="3" t="s">
        <v>54</v>
      </c>
      <c r="D36" s="3" t="s">
        <v>154</v>
      </c>
      <c r="E36" s="3" t="s">
        <v>58</v>
      </c>
      <c r="F36" s="3" t="s">
        <v>495</v>
      </c>
      <c r="H36" s="3" t="s">
        <v>435</v>
      </c>
      <c r="I36" s="3">
        <v>2</v>
      </c>
      <c r="J36" s="3" t="s">
        <v>43</v>
      </c>
      <c r="K36" s="3" t="s">
        <v>504</v>
      </c>
      <c r="L36" s="3" t="s">
        <v>553</v>
      </c>
      <c r="M36" s="3" t="s">
        <v>62</v>
      </c>
      <c r="N36" s="3" t="s">
        <v>46</v>
      </c>
      <c r="O36" s="3" t="s">
        <v>74</v>
      </c>
      <c r="Q36" s="3" t="s">
        <v>575</v>
      </c>
      <c r="R36" s="3" t="s">
        <v>48</v>
      </c>
      <c r="S36" s="3" t="s">
        <v>431</v>
      </c>
      <c r="T36" s="3" t="s">
        <v>451</v>
      </c>
      <c r="U36" s="3" t="s">
        <v>464</v>
      </c>
    </row>
    <row r="37" spans="1:21" s="3" customFormat="1" ht="86.4" x14ac:dyDescent="0.3">
      <c r="A37" s="3">
        <f t="shared" si="0"/>
        <v>35</v>
      </c>
      <c r="B37" s="3" t="s">
        <v>54</v>
      </c>
      <c r="D37" s="3" t="s">
        <v>40</v>
      </c>
      <c r="E37" s="3" t="s">
        <v>58</v>
      </c>
      <c r="F37" s="3" t="s">
        <v>496</v>
      </c>
      <c r="H37" s="3" t="s">
        <v>433</v>
      </c>
      <c r="I37" s="3" t="s">
        <v>42</v>
      </c>
      <c r="J37" s="3" t="s">
        <v>43</v>
      </c>
      <c r="K37" s="3" t="s">
        <v>505</v>
      </c>
      <c r="L37" s="3" t="s">
        <v>552</v>
      </c>
      <c r="M37" s="3" t="s">
        <v>45</v>
      </c>
      <c r="N37" s="3" t="s">
        <v>46</v>
      </c>
      <c r="O37" s="3" t="s">
        <v>74</v>
      </c>
      <c r="Q37" s="3" t="s">
        <v>404</v>
      </c>
      <c r="R37" s="3" t="s">
        <v>109</v>
      </c>
      <c r="S37" s="3" t="s">
        <v>431</v>
      </c>
      <c r="T37" s="3" t="s">
        <v>452</v>
      </c>
      <c r="U37" s="3" t="s">
        <v>465</v>
      </c>
    </row>
    <row r="38" spans="1:21" s="3" customFormat="1" ht="57.6" x14ac:dyDescent="0.3">
      <c r="A38" s="3">
        <f t="shared" si="0"/>
        <v>36</v>
      </c>
      <c r="B38" s="3" t="s">
        <v>142</v>
      </c>
      <c r="D38" s="3" t="s">
        <v>51</v>
      </c>
      <c r="E38" s="3" t="s">
        <v>52</v>
      </c>
      <c r="F38" s="3" t="s">
        <v>508</v>
      </c>
      <c r="H38" s="3" t="s">
        <v>433</v>
      </c>
      <c r="I38" s="3">
        <v>3</v>
      </c>
      <c r="J38" s="3" t="s">
        <v>146</v>
      </c>
      <c r="K38" s="3" t="s">
        <v>411</v>
      </c>
      <c r="L38" s="3" t="s">
        <v>551</v>
      </c>
      <c r="M38" s="3" t="s">
        <v>117</v>
      </c>
      <c r="N38" s="3" t="s">
        <v>46</v>
      </c>
      <c r="O38" s="3" t="s">
        <v>74</v>
      </c>
      <c r="Q38" s="3" t="s">
        <v>391</v>
      </c>
      <c r="R38" s="3" t="s">
        <v>48</v>
      </c>
      <c r="S38" s="3" t="s">
        <v>430</v>
      </c>
      <c r="T38" s="3" t="s">
        <v>453</v>
      </c>
      <c r="U38" s="3" t="s">
        <v>466</v>
      </c>
    </row>
    <row r="39" spans="1:21" s="3" customFormat="1" ht="86.4" x14ac:dyDescent="0.3">
      <c r="A39" s="3">
        <f t="shared" si="0"/>
        <v>37</v>
      </c>
      <c r="B39" s="3" t="s">
        <v>54</v>
      </c>
      <c r="D39" s="3" t="s">
        <v>154</v>
      </c>
      <c r="E39" s="3" t="s">
        <v>58</v>
      </c>
      <c r="F39" s="3" t="s">
        <v>509</v>
      </c>
      <c r="H39" s="3" t="s">
        <v>433</v>
      </c>
      <c r="I39" s="3">
        <v>3</v>
      </c>
      <c r="J39" s="3" t="s">
        <v>146</v>
      </c>
      <c r="K39" s="3" t="s">
        <v>506</v>
      </c>
      <c r="L39" s="3" t="s">
        <v>551</v>
      </c>
      <c r="M39" s="3" t="s">
        <v>45</v>
      </c>
      <c r="N39" s="3" t="s">
        <v>46</v>
      </c>
      <c r="O39" s="3" t="s">
        <v>74</v>
      </c>
      <c r="Q39" s="3" t="s">
        <v>577</v>
      </c>
      <c r="R39" s="3" t="s">
        <v>48</v>
      </c>
      <c r="S39" s="3" t="s">
        <v>431</v>
      </c>
      <c r="T39" s="3" t="s">
        <v>454</v>
      </c>
      <c r="U39" s="3" t="s">
        <v>467</v>
      </c>
    </row>
    <row r="40" spans="1:21" s="3" customFormat="1" ht="57.6" x14ac:dyDescent="0.3">
      <c r="A40" s="3">
        <f t="shared" si="0"/>
        <v>38</v>
      </c>
      <c r="B40" s="3" t="s">
        <v>54</v>
      </c>
      <c r="D40" s="3" t="s">
        <v>51</v>
      </c>
      <c r="E40" s="3" t="s">
        <v>58</v>
      </c>
      <c r="F40" s="3" t="s">
        <v>510</v>
      </c>
      <c r="H40" s="3" t="s">
        <v>433</v>
      </c>
      <c r="I40" s="3">
        <v>3</v>
      </c>
      <c r="J40" s="3" t="s">
        <v>146</v>
      </c>
      <c r="K40" s="3" t="s">
        <v>507</v>
      </c>
      <c r="L40" s="3" t="s">
        <v>44</v>
      </c>
      <c r="M40" s="3" t="s">
        <v>117</v>
      </c>
      <c r="N40" s="3" t="s">
        <v>46</v>
      </c>
      <c r="O40" s="3" t="s">
        <v>74</v>
      </c>
      <c r="Q40" s="3" t="s">
        <v>578</v>
      </c>
      <c r="R40" s="3" t="s">
        <v>48</v>
      </c>
      <c r="S40" s="3" t="s">
        <v>430</v>
      </c>
      <c r="T40" s="3" t="s">
        <v>455</v>
      </c>
      <c r="U40" s="3" t="s">
        <v>468</v>
      </c>
    </row>
    <row r="41" spans="1:21" s="3" customFormat="1" ht="57.6" x14ac:dyDescent="0.3">
      <c r="A41" s="3">
        <f t="shared" si="0"/>
        <v>39</v>
      </c>
      <c r="B41" s="3" t="s">
        <v>54</v>
      </c>
      <c r="D41" s="3" t="s">
        <v>154</v>
      </c>
      <c r="E41" s="3" t="s">
        <v>55</v>
      </c>
      <c r="F41" s="3" t="s">
        <v>178</v>
      </c>
      <c r="H41" s="3" t="s">
        <v>433</v>
      </c>
      <c r="I41" s="3">
        <v>3</v>
      </c>
      <c r="J41" s="3" t="s">
        <v>146</v>
      </c>
      <c r="K41" s="3" t="s">
        <v>83</v>
      </c>
      <c r="L41" s="3" t="s">
        <v>424</v>
      </c>
      <c r="M41" s="3" t="s">
        <v>45</v>
      </c>
      <c r="N41" s="3" t="s">
        <v>46</v>
      </c>
      <c r="O41" s="3" t="s">
        <v>74</v>
      </c>
      <c r="Q41" s="3" t="s">
        <v>390</v>
      </c>
      <c r="R41" s="3" t="s">
        <v>48</v>
      </c>
      <c r="S41" s="3" t="s">
        <v>430</v>
      </c>
      <c r="T41" s="3" t="s">
        <v>456</v>
      </c>
      <c r="U41" s="3" t="s">
        <v>469</v>
      </c>
    </row>
    <row r="42" spans="1:21" ht="25.8" x14ac:dyDescent="0.3">
      <c r="B42" s="5" t="s">
        <v>511</v>
      </c>
      <c r="F42" s="3"/>
      <c r="K42" s="3"/>
      <c r="L42" s="3"/>
      <c r="Q42" s="3"/>
    </row>
    <row r="44" spans="1:21" ht="15" thickBot="1" x14ac:dyDescent="0.35"/>
    <row r="45" spans="1:21" x14ac:dyDescent="0.3">
      <c r="B45" s="18" t="s">
        <v>512</v>
      </c>
      <c r="C45" s="19"/>
      <c r="D45" s="19"/>
      <c r="E45" s="20"/>
      <c r="I45" s="7" t="s">
        <v>533</v>
      </c>
      <c r="J45" s="8"/>
      <c r="K45" s="9"/>
      <c r="O45" s="7" t="s">
        <v>566</v>
      </c>
      <c r="P45" s="9"/>
    </row>
    <row r="46" spans="1:21" x14ac:dyDescent="0.3">
      <c r="B46" s="10" t="s">
        <v>39</v>
      </c>
      <c r="C46" s="11"/>
      <c r="D46" s="11">
        <f>COUNTIF($B$3:$B$41,B46)</f>
        <v>1</v>
      </c>
      <c r="E46" s="16">
        <f>D46/$D$50</f>
        <v>2.564102564102564E-2</v>
      </c>
      <c r="I46" s="10">
        <v>1</v>
      </c>
      <c r="J46" s="11">
        <f>COUNTIF($I$3:I$41,I46)</f>
        <v>3</v>
      </c>
      <c r="K46" s="16">
        <f>J46/$J$52</f>
        <v>7.6923076923076927E-2</v>
      </c>
      <c r="O46" s="10" t="s">
        <v>47</v>
      </c>
      <c r="P46" s="28">
        <f>COUNTIF($O$3:$O$41,O46)</f>
        <v>11</v>
      </c>
    </row>
    <row r="47" spans="1:21" x14ac:dyDescent="0.3">
      <c r="B47" s="10" t="s">
        <v>513</v>
      </c>
      <c r="C47" s="11"/>
      <c r="D47" s="11">
        <f t="shared" ref="D47:D49" si="1">COUNTIF($B$3:$B$41,B47)</f>
        <v>0</v>
      </c>
      <c r="E47" s="16">
        <f t="shared" ref="E47:E50" si="2">D47/$D$50</f>
        <v>0</v>
      </c>
      <c r="I47" s="10">
        <v>2</v>
      </c>
      <c r="J47" s="11">
        <f>COUNTIF($I$3:I$41,I47)</f>
        <v>9</v>
      </c>
      <c r="K47" s="16">
        <f>J47/$J$52</f>
        <v>0.23076923076923078</v>
      </c>
      <c r="O47" s="10" t="s">
        <v>74</v>
      </c>
      <c r="P47" s="28">
        <f>COUNTIF($O$3:$O$41,O47)</f>
        <v>28</v>
      </c>
    </row>
    <row r="48" spans="1:21" ht="15" thickBot="1" x14ac:dyDescent="0.35">
      <c r="B48" s="10" t="s">
        <v>54</v>
      </c>
      <c r="C48" s="11"/>
      <c r="D48" s="11">
        <f t="shared" si="1"/>
        <v>36</v>
      </c>
      <c r="E48" s="16">
        <f t="shared" si="2"/>
        <v>0.92307692307692313</v>
      </c>
      <c r="I48" s="10">
        <v>3</v>
      </c>
      <c r="J48" s="11">
        <f>COUNTIF($I$3:I$41,I48)</f>
        <v>18</v>
      </c>
      <c r="K48" s="16">
        <f>J48/$J$52</f>
        <v>0.46153846153846156</v>
      </c>
      <c r="O48" s="13"/>
      <c r="P48" s="27">
        <f>SUM(P46:P47)</f>
        <v>39</v>
      </c>
    </row>
    <row r="49" spans="2:21" ht="15" thickBot="1" x14ac:dyDescent="0.35">
      <c r="B49" s="10" t="s">
        <v>142</v>
      </c>
      <c r="C49" s="11"/>
      <c r="D49" s="11">
        <f t="shared" si="1"/>
        <v>2</v>
      </c>
      <c r="E49" s="16">
        <f t="shared" si="2"/>
        <v>5.128205128205128E-2</v>
      </c>
      <c r="I49" s="10">
        <v>4</v>
      </c>
      <c r="J49" s="11">
        <f>COUNTIF($I$3:I$41,I49)</f>
        <v>3</v>
      </c>
      <c r="K49" s="16">
        <f>J49/$J$52</f>
        <v>7.6923076923076927E-2</v>
      </c>
      <c r="P49" s="32"/>
    </row>
    <row r="50" spans="2:21" ht="15" thickBot="1" x14ac:dyDescent="0.35">
      <c r="B50" s="13"/>
      <c r="C50" s="14"/>
      <c r="D50" s="14">
        <f>SUM(D46:D49)</f>
        <v>39</v>
      </c>
      <c r="E50" s="17">
        <f t="shared" si="2"/>
        <v>1</v>
      </c>
      <c r="I50" s="10">
        <v>5</v>
      </c>
      <c r="J50" s="11">
        <f>COUNTIF($I$3:I$41,I50)</f>
        <v>0</v>
      </c>
      <c r="K50" s="16">
        <f>J50/$J$52</f>
        <v>0</v>
      </c>
      <c r="P50" s="42" t="s">
        <v>567</v>
      </c>
    </row>
    <row r="51" spans="2:21" ht="43.8" thickBot="1" x14ac:dyDescent="0.35">
      <c r="I51" s="10" t="s">
        <v>42</v>
      </c>
      <c r="J51" s="11">
        <f>COUNTIF($I$3:I$41,I51)</f>
        <v>6</v>
      </c>
      <c r="K51" s="16">
        <f>J51/$J$52</f>
        <v>0.15384615384615385</v>
      </c>
      <c r="P51" s="43" t="s">
        <v>439</v>
      </c>
    </row>
    <row r="52" spans="2:21" ht="15" thickBot="1" x14ac:dyDescent="0.35">
      <c r="D52" s="18" t="s">
        <v>514</v>
      </c>
      <c r="E52" s="19"/>
      <c r="F52" s="20"/>
      <c r="I52" s="13"/>
      <c r="J52" s="14">
        <f>SUM(J46:J51)</f>
        <v>39</v>
      </c>
      <c r="K52" s="30">
        <f>SUM(K46:K51)</f>
        <v>1</v>
      </c>
      <c r="P52" s="32"/>
    </row>
    <row r="53" spans="2:21" ht="15" thickBot="1" x14ac:dyDescent="0.35">
      <c r="D53" s="10" t="s">
        <v>51</v>
      </c>
      <c r="E53" s="11">
        <f>COUNTIF($D$3:$D$41,D53)</f>
        <v>9</v>
      </c>
      <c r="F53" s="16">
        <f>E53/$E$58</f>
        <v>0.23076923076923078</v>
      </c>
      <c r="P53" s="32"/>
      <c r="Q53" s="7" t="s">
        <v>568</v>
      </c>
      <c r="R53" s="22" t="s">
        <v>569</v>
      </c>
      <c r="S53" s="22"/>
      <c r="T53" s="22" t="s">
        <v>570</v>
      </c>
      <c r="U53" s="9"/>
    </row>
    <row r="54" spans="2:21" x14ac:dyDescent="0.3">
      <c r="D54" s="10" t="s">
        <v>154</v>
      </c>
      <c r="E54" s="11">
        <f t="shared" ref="E54:E57" si="3">COUNTIF($D$3:$D$49,D54)</f>
        <v>13</v>
      </c>
      <c r="F54" s="16">
        <f t="shared" ref="F54:F57" si="4">E54/$E$58</f>
        <v>0.33333333333333331</v>
      </c>
      <c r="J54" s="7" t="s">
        <v>534</v>
      </c>
      <c r="K54" s="8"/>
      <c r="L54" s="9"/>
      <c r="P54" s="32"/>
      <c r="Q54" s="10" t="s">
        <v>571</v>
      </c>
      <c r="R54" s="11">
        <f>COUNTIF($Q$3:$Q$41,"Cliente/usuario*")</f>
        <v>22</v>
      </c>
      <c r="S54" s="23">
        <f>R54/$R$58</f>
        <v>0.5641025641025641</v>
      </c>
      <c r="T54" s="11">
        <f>COUNTIF($Q$3:$Q$41,"*Cliente/usuario*")</f>
        <v>37</v>
      </c>
      <c r="U54" s="16">
        <f>T54/$R$58</f>
        <v>0.94871794871794868</v>
      </c>
    </row>
    <row r="55" spans="2:21" x14ac:dyDescent="0.3">
      <c r="D55" s="10" t="s">
        <v>68</v>
      </c>
      <c r="E55" s="11">
        <f t="shared" si="3"/>
        <v>8</v>
      </c>
      <c r="F55" s="16">
        <f t="shared" si="4"/>
        <v>0.20512820512820512</v>
      </c>
      <c r="J55" s="10" t="s">
        <v>105</v>
      </c>
      <c r="K55" s="11">
        <f>COUNTIF($J$1:$J$41,J55)</f>
        <v>3</v>
      </c>
      <c r="L55" s="16">
        <f>K55/$K$59</f>
        <v>7.6923076923076927E-2</v>
      </c>
      <c r="P55" s="32"/>
      <c r="Q55" s="10" t="s">
        <v>572</v>
      </c>
      <c r="R55" s="11">
        <f>COUNTIF($Q$3:$Q$41,"Equipo de desarrollo*")</f>
        <v>9</v>
      </c>
      <c r="S55" s="23">
        <f t="shared" ref="S55:T57" si="5">R55/$R$58</f>
        <v>0.23076923076923078</v>
      </c>
      <c r="T55" s="11">
        <f>COUNTIF($Q$3:$Q$41,"*Equipo de desarrollo*")</f>
        <v>39</v>
      </c>
      <c r="U55" s="16">
        <f t="shared" ref="U55:U57" si="6">T55/$R$58</f>
        <v>1</v>
      </c>
    </row>
    <row r="56" spans="2:21" x14ac:dyDescent="0.3">
      <c r="D56" s="21" t="s">
        <v>57</v>
      </c>
      <c r="E56" s="11">
        <f t="shared" si="3"/>
        <v>6</v>
      </c>
      <c r="F56" s="16">
        <f t="shared" si="4"/>
        <v>0.15384615384615385</v>
      </c>
      <c r="J56" s="10" t="s">
        <v>53</v>
      </c>
      <c r="K56" s="11">
        <f t="shared" ref="K56:K58" si="7">COUNTIF($J$1:$J$41,J56)</f>
        <v>7</v>
      </c>
      <c r="L56" s="16">
        <f t="shared" ref="L56:L58" si="8">K56/$K$59</f>
        <v>0.17948717948717949</v>
      </c>
      <c r="P56" s="32"/>
      <c r="Q56" s="10" t="s">
        <v>573</v>
      </c>
      <c r="R56" s="11">
        <f>COUNTIF($Q$3:$Q$41,"Facilitador del proyecto*")</f>
        <v>5</v>
      </c>
      <c r="S56" s="23">
        <f t="shared" si="5"/>
        <v>0.12820512820512819</v>
      </c>
      <c r="T56" s="11">
        <f>COUNTIF($Q$3:$Q$41,"*Facilitador del proyecto*")</f>
        <v>34</v>
      </c>
      <c r="U56" s="16">
        <f t="shared" si="6"/>
        <v>0.87179487179487181</v>
      </c>
    </row>
    <row r="57" spans="2:21" x14ac:dyDescent="0.3">
      <c r="D57" s="21" t="s">
        <v>40</v>
      </c>
      <c r="E57" s="11">
        <f t="shared" si="3"/>
        <v>3</v>
      </c>
      <c r="F57" s="16">
        <f t="shared" si="4"/>
        <v>7.6923076923076927E-2</v>
      </c>
      <c r="J57" s="10" t="s">
        <v>43</v>
      </c>
      <c r="K57" s="11">
        <f t="shared" si="7"/>
        <v>19</v>
      </c>
      <c r="L57" s="16">
        <f t="shared" si="8"/>
        <v>0.48717948717948717</v>
      </c>
      <c r="P57" s="32"/>
      <c r="Q57" s="10" t="s">
        <v>574</v>
      </c>
      <c r="R57" s="11">
        <f>COUNTIF($Q$3:$Q$41,"Consejero/mentor/guía*")</f>
        <v>3</v>
      </c>
      <c r="S57" s="23">
        <f t="shared" si="5"/>
        <v>7.6923076923076927E-2</v>
      </c>
      <c r="T57" s="11">
        <f>COUNTIF($Q$3:$Q$41,"*Consejero/mentor/guía*")</f>
        <v>24</v>
      </c>
      <c r="U57" s="16">
        <f t="shared" si="6"/>
        <v>0.61538461538461542</v>
      </c>
    </row>
    <row r="58" spans="2:21" ht="15" thickBot="1" x14ac:dyDescent="0.35">
      <c r="D58" s="13"/>
      <c r="E58" s="14">
        <f>SUM(E53:E57)</f>
        <v>39</v>
      </c>
      <c r="F58" s="17">
        <f>SUM(F53:F57)</f>
        <v>1</v>
      </c>
      <c r="J58" s="10" t="s">
        <v>146</v>
      </c>
      <c r="K58" s="11">
        <f t="shared" si="7"/>
        <v>10</v>
      </c>
      <c r="L58" s="16">
        <f t="shared" si="8"/>
        <v>0.25641025641025639</v>
      </c>
      <c r="P58" s="32"/>
      <c r="Q58" s="13"/>
      <c r="R58" s="14">
        <f>SUM(R54:R57)</f>
        <v>39</v>
      </c>
      <c r="S58" s="26">
        <f>SUM(S54:S57)</f>
        <v>1</v>
      </c>
      <c r="T58" s="14"/>
      <c r="U58" s="27"/>
    </row>
    <row r="59" spans="2:21" ht="15" thickBot="1" x14ac:dyDescent="0.35">
      <c r="J59" s="13"/>
      <c r="K59" s="14">
        <f>SUM(K55:K58)</f>
        <v>39</v>
      </c>
      <c r="L59" s="30">
        <f>SUM(L55:L58)</f>
        <v>1</v>
      </c>
      <c r="P59" s="32"/>
    </row>
    <row r="60" spans="2:21" ht="15" thickBot="1" x14ac:dyDescent="0.35">
      <c r="E60" s="7" t="s">
        <v>515</v>
      </c>
      <c r="F60" s="8"/>
      <c r="G60" s="9"/>
      <c r="P60" s="32"/>
      <c r="R60" s="7" t="s">
        <v>579</v>
      </c>
      <c r="S60" s="8"/>
      <c r="T60" s="9"/>
    </row>
    <row r="61" spans="2:21" x14ac:dyDescent="0.3">
      <c r="E61" s="10" t="s">
        <v>52</v>
      </c>
      <c r="F61" s="11">
        <f>COUNTIF($E$3:$E$41,E61)</f>
        <v>8</v>
      </c>
      <c r="G61" s="16">
        <f>F61/$F$65</f>
        <v>0.20512820512820512</v>
      </c>
      <c r="K61" s="7" t="s">
        <v>535</v>
      </c>
      <c r="L61" s="36" t="s">
        <v>536</v>
      </c>
      <c r="M61" s="37"/>
      <c r="N61" s="22" t="s">
        <v>537</v>
      </c>
      <c r="P61" s="32"/>
      <c r="R61" s="10" t="s">
        <v>580</v>
      </c>
      <c r="S61" s="11">
        <f>COUNTIF($R$3:$R$41,R61)</f>
        <v>0</v>
      </c>
      <c r="T61" s="40">
        <f>S61/$S$66</f>
        <v>0</v>
      </c>
    </row>
    <row r="62" spans="2:21" x14ac:dyDescent="0.3">
      <c r="E62" s="21" t="s">
        <v>58</v>
      </c>
      <c r="F62" s="11">
        <f t="shared" ref="F62:F64" si="9">COUNTIF($E$3:$E$41,E62)</f>
        <v>13</v>
      </c>
      <c r="G62" s="16">
        <f t="shared" ref="G62:G64" si="10">F62/$F$65</f>
        <v>0.33333333333333331</v>
      </c>
      <c r="K62" s="10" t="s">
        <v>231</v>
      </c>
      <c r="L62" s="11">
        <f>COUNTIF($K$3:$K$41,"Cascada*")</f>
        <v>6</v>
      </c>
      <c r="M62" s="23">
        <f>L62/$L$75</f>
        <v>0.16666666666666666</v>
      </c>
      <c r="N62" s="11">
        <f>COUNTIF($K$3:$K$41,"*Cascada*")</f>
        <v>9</v>
      </c>
      <c r="P62" s="32"/>
      <c r="R62" s="10" t="s">
        <v>581</v>
      </c>
      <c r="S62" s="11">
        <f t="shared" ref="S62:S65" si="11">COUNTIF($R$3:$R$41,R62)</f>
        <v>0</v>
      </c>
      <c r="T62" s="40">
        <f t="shared" ref="T62:T65" si="12">S62/$S$66</f>
        <v>0</v>
      </c>
    </row>
    <row r="63" spans="2:21" x14ac:dyDescent="0.3">
      <c r="E63" s="10" t="s">
        <v>41</v>
      </c>
      <c r="F63" s="11">
        <f t="shared" si="9"/>
        <v>16</v>
      </c>
      <c r="G63" s="16">
        <f t="shared" si="10"/>
        <v>0.41025641025641024</v>
      </c>
      <c r="K63" s="10" t="s">
        <v>519</v>
      </c>
      <c r="L63" s="11">
        <f>COUNTIF($K$3:$K$41,"Espiral*")</f>
        <v>1</v>
      </c>
      <c r="M63" s="23">
        <f t="shared" ref="M63:M74" si="13">L63/$L$75</f>
        <v>2.7777777777777776E-2</v>
      </c>
      <c r="N63" s="11">
        <f>COUNTIF($K$3:$K$41,"*Espiral*")</f>
        <v>4</v>
      </c>
      <c r="P63" s="32"/>
      <c r="R63" s="10" t="s">
        <v>64</v>
      </c>
      <c r="S63" s="11">
        <f t="shared" si="11"/>
        <v>8</v>
      </c>
      <c r="T63" s="40">
        <f t="shared" si="12"/>
        <v>0.20512820512820512</v>
      </c>
    </row>
    <row r="64" spans="2:21" x14ac:dyDescent="0.3">
      <c r="E64" s="10" t="s">
        <v>55</v>
      </c>
      <c r="F64" s="11">
        <f t="shared" si="9"/>
        <v>2</v>
      </c>
      <c r="G64" s="16">
        <f t="shared" si="10"/>
        <v>5.128205128205128E-2</v>
      </c>
      <c r="K64" s="10" t="s">
        <v>520</v>
      </c>
      <c r="L64" s="11">
        <f>COUNTIF($K$3:$K$41,"Metodología Orientada a Objetos*")</f>
        <v>0</v>
      </c>
      <c r="M64" s="23">
        <f t="shared" si="13"/>
        <v>0</v>
      </c>
      <c r="N64" s="11">
        <f>COUNTIF($K$3:$K$41,"*Metodología Orientada a Objetos*")</f>
        <v>1</v>
      </c>
      <c r="P64" s="32"/>
      <c r="R64" s="10" t="s">
        <v>109</v>
      </c>
      <c r="S64" s="11">
        <f t="shared" si="11"/>
        <v>17</v>
      </c>
      <c r="T64" s="40">
        <f t="shared" si="12"/>
        <v>0.4358974358974359</v>
      </c>
    </row>
    <row r="65" spans="5:21" ht="15" thickBot="1" x14ac:dyDescent="0.35">
      <c r="E65" s="13"/>
      <c r="F65" s="14">
        <f>SUM(F60:F64)</f>
        <v>39</v>
      </c>
      <c r="G65" s="17">
        <f>SUM(G61:G64)</f>
        <v>1</v>
      </c>
      <c r="K65" s="10" t="s">
        <v>540</v>
      </c>
      <c r="L65" s="11">
        <f>COUNTIF($K$3:$K$41,"MDA*")</f>
        <v>0</v>
      </c>
      <c r="M65" s="23">
        <f t="shared" si="13"/>
        <v>0</v>
      </c>
      <c r="N65" s="11">
        <f>COUNTIF($K$3:$K$41,"*MDA*")</f>
        <v>3</v>
      </c>
      <c r="P65" s="32"/>
      <c r="R65" s="10" t="s">
        <v>48</v>
      </c>
      <c r="S65" s="11">
        <f t="shared" si="11"/>
        <v>14</v>
      </c>
      <c r="T65" s="40">
        <f t="shared" si="12"/>
        <v>0.35897435897435898</v>
      </c>
    </row>
    <row r="66" spans="5:21" ht="15" thickBot="1" x14ac:dyDescent="0.35">
      <c r="K66" s="10" t="s">
        <v>541</v>
      </c>
      <c r="L66" s="11">
        <f>COUNTIF($K$3:$K$41,"MDD*")</f>
        <v>0</v>
      </c>
      <c r="M66" s="23">
        <f t="shared" si="13"/>
        <v>0</v>
      </c>
      <c r="N66" s="11">
        <f>COUNTIF($K$3:$K$41,"*MDD*")</f>
        <v>8</v>
      </c>
      <c r="P66" s="32"/>
      <c r="R66" s="13"/>
      <c r="S66" s="14">
        <f>SUM(S63:S65)</f>
        <v>39</v>
      </c>
      <c r="T66" s="41">
        <f>SUM(T61:T65)</f>
        <v>1</v>
      </c>
    </row>
    <row r="67" spans="5:21" x14ac:dyDescent="0.3">
      <c r="F67" s="7" t="s">
        <v>516</v>
      </c>
      <c r="G67" s="22"/>
      <c r="H67" s="8" t="s">
        <v>517</v>
      </c>
      <c r="I67" s="9" t="s">
        <v>518</v>
      </c>
      <c r="J67"/>
      <c r="K67" s="10" t="s">
        <v>542</v>
      </c>
      <c r="L67" s="11">
        <f>COUNTIF($K$3:$K$41,"MDE*")</f>
        <v>2</v>
      </c>
      <c r="M67" s="23">
        <f t="shared" si="13"/>
        <v>5.5555555555555552E-2</v>
      </c>
      <c r="N67" s="11">
        <f>COUNTIF($K$3:$K$41,"*MDE*")</f>
        <v>6</v>
      </c>
      <c r="P67" s="32"/>
    </row>
    <row r="68" spans="5:21" ht="15" thickBot="1" x14ac:dyDescent="0.35">
      <c r="F68" s="10" t="s">
        <v>231</v>
      </c>
      <c r="G68" s="11">
        <f>COUNTIF($F$3:$F$41,"Cascada*")</f>
        <v>20</v>
      </c>
      <c r="H68" s="23">
        <f>G68/$G$80</f>
        <v>0.51282051282051277</v>
      </c>
      <c r="I68" s="28">
        <f>COUNTIF($F$2:$F$49,"*Cascada*")</f>
        <v>31</v>
      </c>
      <c r="J68"/>
      <c r="K68" s="10" t="s">
        <v>538</v>
      </c>
      <c r="L68" s="11">
        <f>COUNTIF($K$3:$K$41,"Desarrollo rápido de aplicaciones (RAD)*")</f>
        <v>2</v>
      </c>
      <c r="M68" s="23">
        <f t="shared" si="13"/>
        <v>5.5555555555555552E-2</v>
      </c>
      <c r="N68" s="11">
        <f>COUNTIF($K$3:$K$41,"*Desarrollo rápido de aplicaciones (RAD)*")</f>
        <v>3</v>
      </c>
      <c r="P68" s="32"/>
    </row>
    <row r="69" spans="5:21" x14ac:dyDescent="0.3">
      <c r="F69" s="10" t="s">
        <v>519</v>
      </c>
      <c r="G69" s="11">
        <f>COUNTIF($F$3:$F$41,"Espiral*")</f>
        <v>0</v>
      </c>
      <c r="H69" s="23">
        <f t="shared" ref="H69:H79" si="14">G69/$G$80</f>
        <v>0</v>
      </c>
      <c r="I69" s="28">
        <f>COUNTIF($F$2:$F$49,"*Espiral*")</f>
        <v>7</v>
      </c>
      <c r="J69"/>
      <c r="K69" s="10" t="s">
        <v>543</v>
      </c>
      <c r="L69" s="11">
        <f>COUNTIF($K$3:$K$41,"Programación extrema (XP)*")</f>
        <v>0</v>
      </c>
      <c r="M69" s="23">
        <f t="shared" si="13"/>
        <v>0</v>
      </c>
      <c r="N69" s="11">
        <f>COUNTIF($K$3:$K$41,"*Programación extrema (XP)*")</f>
        <v>11</v>
      </c>
      <c r="P69" s="32"/>
      <c r="S69" s="7" t="s">
        <v>582</v>
      </c>
      <c r="T69" s="8"/>
      <c r="U69" s="9"/>
    </row>
    <row r="70" spans="5:21" x14ac:dyDescent="0.3">
      <c r="F70" s="10" t="s">
        <v>523</v>
      </c>
      <c r="G70" s="11">
        <f>COUNTIF($F$3:$F$41,"Metodologías Orientadas a Objetos*")</f>
        <v>0</v>
      </c>
      <c r="H70" s="23">
        <f t="shared" si="14"/>
        <v>0</v>
      </c>
      <c r="I70" s="28">
        <f>COUNTIF($F$2:$F$49,"*Metodologías Orientadas a Objetos*")</f>
        <v>5</v>
      </c>
      <c r="J70"/>
      <c r="K70" s="10" t="s">
        <v>521</v>
      </c>
      <c r="L70" s="11">
        <f>COUNTIF($K$3:$K$41,"Prototipado rápido*")</f>
        <v>0</v>
      </c>
      <c r="M70" s="23">
        <f t="shared" si="13"/>
        <v>0</v>
      </c>
      <c r="N70" s="11">
        <f>COUNTIF($K$3:$K$41,"*Prototipado rápido*")</f>
        <v>4</v>
      </c>
      <c r="P70" s="32"/>
      <c r="S70" s="10" t="s">
        <v>430</v>
      </c>
      <c r="T70" s="11">
        <f>COUNTIF($S$3:$S$41,S70)</f>
        <v>17</v>
      </c>
      <c r="U70" s="40">
        <f>T70/$S$66</f>
        <v>0.4358974358974359</v>
      </c>
    </row>
    <row r="71" spans="5:21" x14ac:dyDescent="0.3">
      <c r="F71" s="10" t="s">
        <v>524</v>
      </c>
      <c r="G71" s="11">
        <f>COUNTIF($F$3:$F$41,"Model-Driven Architecture*")</f>
        <v>0</v>
      </c>
      <c r="H71" s="23">
        <f t="shared" si="14"/>
        <v>0</v>
      </c>
      <c r="I71" s="28">
        <f>COUNTIF($F$2:$F$49,"*Model-Driven Architecture*")</f>
        <v>1</v>
      </c>
      <c r="J71"/>
      <c r="K71" s="10" t="s">
        <v>178</v>
      </c>
      <c r="L71" s="11">
        <f>COUNTIF($K$3:$K$41,"scrum*")</f>
        <v>7</v>
      </c>
      <c r="M71" s="23">
        <f t="shared" si="13"/>
        <v>0.19444444444444445</v>
      </c>
      <c r="N71" s="11">
        <f>COUNTIF($K$3:$K$41,"*scrum*")</f>
        <v>30</v>
      </c>
      <c r="P71" s="32"/>
      <c r="S71" s="10" t="s">
        <v>431</v>
      </c>
      <c r="T71" s="11">
        <f t="shared" ref="T71:T74" si="15">COUNTIF($S$3:$S$41,S71)</f>
        <v>19</v>
      </c>
      <c r="U71" s="40">
        <f t="shared" ref="U71:U74" si="16">T71/$S$66</f>
        <v>0.48717948717948717</v>
      </c>
    </row>
    <row r="72" spans="5:21" x14ac:dyDescent="0.3">
      <c r="F72" s="10" t="s">
        <v>525</v>
      </c>
      <c r="G72" s="11">
        <f>COUNTIF($F$3:$F$41,"Model-Driven Development*")</f>
        <v>0</v>
      </c>
      <c r="H72" s="23">
        <f t="shared" si="14"/>
        <v>0</v>
      </c>
      <c r="I72" s="28">
        <f>COUNTIF($F$2:$F$49,"*Model-Driven Development*")</f>
        <v>4</v>
      </c>
      <c r="J72"/>
      <c r="K72" s="10" t="s">
        <v>83</v>
      </c>
      <c r="L72" s="11">
        <f>COUNTIF($K$3:$K$41,"TDD*")</f>
        <v>16</v>
      </c>
      <c r="M72" s="23">
        <f t="shared" si="13"/>
        <v>0.44444444444444442</v>
      </c>
      <c r="N72" s="11">
        <f>COUNTIF($K$3:$K$41,"*TDD*")</f>
        <v>29</v>
      </c>
      <c r="P72" s="32"/>
      <c r="S72" s="10" t="s">
        <v>583</v>
      </c>
      <c r="T72" s="11">
        <f t="shared" si="15"/>
        <v>0</v>
      </c>
      <c r="U72" s="40">
        <f t="shared" si="16"/>
        <v>0</v>
      </c>
    </row>
    <row r="73" spans="5:21" x14ac:dyDescent="0.3">
      <c r="F73" s="10" t="s">
        <v>526</v>
      </c>
      <c r="G73" s="11">
        <f>COUNTIF($F$3:$F$41,"Model-Driven Engineering*")</f>
        <v>0</v>
      </c>
      <c r="H73" s="23">
        <f t="shared" si="14"/>
        <v>0</v>
      </c>
      <c r="I73" s="28">
        <f>COUNTIF($F$2:$F$49,"*Model-Driven Engineering*")</f>
        <v>0</v>
      </c>
      <c r="J73"/>
      <c r="K73" s="24" t="s">
        <v>539</v>
      </c>
      <c r="L73" s="11">
        <f>COUNTBLANK($K$3:$K$41)</f>
        <v>3</v>
      </c>
      <c r="M73" s="23"/>
      <c r="N73" s="11">
        <f>COUNTBLANK($K$3:$K$41)</f>
        <v>3</v>
      </c>
      <c r="P73" s="32"/>
      <c r="S73" s="10" t="s">
        <v>584</v>
      </c>
      <c r="T73" s="11">
        <f t="shared" si="15"/>
        <v>0</v>
      </c>
      <c r="U73" s="40">
        <f t="shared" si="16"/>
        <v>0</v>
      </c>
    </row>
    <row r="74" spans="5:21" x14ac:dyDescent="0.3">
      <c r="F74" s="10" t="s">
        <v>522</v>
      </c>
      <c r="G74" s="11">
        <f>COUNTIF($F$3:$F$41,"Programación Extrema (XP)*")</f>
        <v>1</v>
      </c>
      <c r="H74" s="23">
        <f t="shared" si="14"/>
        <v>2.564102564102564E-2</v>
      </c>
      <c r="I74" s="28">
        <f>COUNTIF($F$2:$F$49,"*Programación Extrema (XP)*")</f>
        <v>14</v>
      </c>
      <c r="J74"/>
      <c r="K74" s="24" t="s">
        <v>529</v>
      </c>
      <c r="L74" s="11">
        <f>COUNTIF($K$32:$K$41,"Otra*")</f>
        <v>2</v>
      </c>
      <c r="M74" s="23">
        <f t="shared" si="13"/>
        <v>5.5555555555555552E-2</v>
      </c>
      <c r="N74" s="11">
        <f>COUNTIF($K$32:$K$41,"*Otra*")</f>
        <v>3</v>
      </c>
      <c r="P74" s="32"/>
      <c r="S74" s="10" t="s">
        <v>585</v>
      </c>
      <c r="T74" s="11">
        <f t="shared" si="15"/>
        <v>0</v>
      </c>
      <c r="U74" s="40">
        <f t="shared" si="16"/>
        <v>0</v>
      </c>
    </row>
    <row r="75" spans="5:21" ht="15" thickBot="1" x14ac:dyDescent="0.35">
      <c r="F75" s="10" t="s">
        <v>527</v>
      </c>
      <c r="G75" s="11">
        <f>COUNTIF($F$3:$F$41,"Prototipado*")</f>
        <v>0</v>
      </c>
      <c r="H75" s="23">
        <f t="shared" si="14"/>
        <v>0</v>
      </c>
      <c r="I75" s="28">
        <f>COUNTIF($F$2:$F$49,"*Prototipado*")</f>
        <v>2</v>
      </c>
      <c r="J75"/>
      <c r="K75" s="24" t="s">
        <v>544</v>
      </c>
      <c r="L75" s="25">
        <f>SUM(L62:L72,L74)</f>
        <v>36</v>
      </c>
      <c r="M75" s="23">
        <f>SUM(M62:M74)</f>
        <v>1</v>
      </c>
      <c r="N75" s="25"/>
      <c r="P75" s="32"/>
      <c r="S75" s="13"/>
      <c r="T75" s="14">
        <f>SUM(T70:T74)</f>
        <v>36</v>
      </c>
      <c r="U75" s="41">
        <f>SUM(U70:U74)</f>
        <v>0.92307692307692313</v>
      </c>
    </row>
    <row r="76" spans="5:21" ht="15" thickBot="1" x14ac:dyDescent="0.35">
      <c r="F76" s="10" t="s">
        <v>528</v>
      </c>
      <c r="G76" s="11">
        <f>COUNTIF($F$3:$F$41,"RAD (Rapid Application Development)*")</f>
        <v>0</v>
      </c>
      <c r="H76" s="23">
        <f t="shared" si="14"/>
        <v>0</v>
      </c>
      <c r="I76" s="28">
        <f>COUNTIF($F$2:$F$49,"*RAD (Rapid Application Development)*")</f>
        <v>10</v>
      </c>
      <c r="J76"/>
      <c r="K76" s="13"/>
      <c r="L76" s="14">
        <f>SUM(L75,L73)</f>
        <v>39</v>
      </c>
      <c r="M76" s="26"/>
      <c r="N76" s="14"/>
      <c r="P76" s="32"/>
    </row>
    <row r="77" spans="5:21" ht="15" thickBot="1" x14ac:dyDescent="0.35">
      <c r="F77" s="10" t="s">
        <v>178</v>
      </c>
      <c r="G77" s="11">
        <f>COUNTIF($F$3:$F$41,"Scrum*")</f>
        <v>7</v>
      </c>
      <c r="H77" s="23">
        <f t="shared" si="14"/>
        <v>0.17948717948717949</v>
      </c>
      <c r="I77" s="28">
        <f>COUNTIF($F$2:$F$49,"*Scrum*")</f>
        <v>38</v>
      </c>
      <c r="J77"/>
      <c r="P77" s="32"/>
    </row>
    <row r="78" spans="5:21" x14ac:dyDescent="0.3">
      <c r="F78" s="10" t="s">
        <v>83</v>
      </c>
      <c r="G78" s="11">
        <f>COUNTIF($F$3:$F$41,"TDD (Test-Driven Development)*")</f>
        <v>10</v>
      </c>
      <c r="H78" s="23">
        <f t="shared" si="14"/>
        <v>0.25641025641025639</v>
      </c>
      <c r="I78" s="28">
        <f>COUNTIF($F$2:$F$49,"*TDD (Test-Driven Development)*")</f>
        <v>28</v>
      </c>
      <c r="J78"/>
      <c r="L78" s="7" t="s">
        <v>545</v>
      </c>
      <c r="M78" s="22" t="s">
        <v>554</v>
      </c>
      <c r="N78" s="38"/>
      <c r="O78" s="35" t="s">
        <v>537</v>
      </c>
      <c r="Q78" s="32"/>
    </row>
    <row r="79" spans="5:21" x14ac:dyDescent="0.3">
      <c r="F79" s="24" t="s">
        <v>529</v>
      </c>
      <c r="G79" s="25">
        <f>COUNTIF($F$3:$F$41,"Otra*")</f>
        <v>1</v>
      </c>
      <c r="H79" s="23">
        <f t="shared" si="14"/>
        <v>2.564102564102564E-2</v>
      </c>
      <c r="I79" s="29">
        <f>COUNTIF($F$2:$F$49,"*Otra/s*")</f>
        <v>1</v>
      </c>
      <c r="J79"/>
      <c r="L79" s="33" t="s">
        <v>547</v>
      </c>
      <c r="M79" s="11">
        <f>COUNTIF($L$3:$L$41,"IADev (IoT Application Development)*")</f>
        <v>0</v>
      </c>
      <c r="N79" s="12">
        <f>M79/$M$88</f>
        <v>0</v>
      </c>
      <c r="O79" s="28">
        <f>COUNTIF($L$3:$L$49,"*IADev (IoT Application Development)*")</f>
        <v>2</v>
      </c>
      <c r="Q79" s="32"/>
    </row>
    <row r="80" spans="5:21" ht="15" thickBot="1" x14ac:dyDescent="0.35">
      <c r="F80" s="13"/>
      <c r="G80" s="14">
        <f>SUM(G68:G79)</f>
        <v>39</v>
      </c>
      <c r="H80" s="26">
        <f>SUM(H68:H79)</f>
        <v>1</v>
      </c>
      <c r="I80" s="27"/>
      <c r="J80"/>
      <c r="L80" s="33" t="s">
        <v>550</v>
      </c>
      <c r="M80" s="11">
        <f>COUNTIF($L$3:$L$41,"IoT Design Deck*")</f>
        <v>0</v>
      </c>
      <c r="N80" s="12">
        <f t="shared" ref="N80:N87" si="17">M80/$M$88</f>
        <v>0</v>
      </c>
      <c r="O80" s="28">
        <f>COUNTIF($L$3:$L$49,"*IoT Design Deck*")</f>
        <v>2</v>
      </c>
      <c r="Q80" s="32"/>
    </row>
    <row r="81" spans="8:17" ht="15" thickBot="1" x14ac:dyDescent="0.35">
      <c r="L81" s="33" t="s">
        <v>549</v>
      </c>
      <c r="M81" s="11">
        <f>COUNTIF($L$3:$L$41,"K-Model*")</f>
        <v>0</v>
      </c>
      <c r="N81" s="12">
        <f t="shared" si="17"/>
        <v>0</v>
      </c>
      <c r="O81" s="28">
        <f>COUNTIF($L$3:$L$49,"*K-Model*")</f>
        <v>1</v>
      </c>
      <c r="Q81" s="32"/>
    </row>
    <row r="82" spans="8:17" x14ac:dyDescent="0.3">
      <c r="H82" s="7" t="s">
        <v>530</v>
      </c>
      <c r="I82" s="8"/>
      <c r="J82" s="9"/>
      <c r="L82" s="33" t="s">
        <v>548</v>
      </c>
      <c r="M82" s="11">
        <f>COUNTIF($L$3:$L$41,"MASD (Multi-Agent Systems Development methodology);*")</f>
        <v>1</v>
      </c>
      <c r="N82" s="12">
        <f t="shared" si="17"/>
        <v>2.564102564102564E-2</v>
      </c>
      <c r="O82" s="28">
        <f>COUNTIF($L$3:$L$49,"*MASD (Multi-Agent Systems Development methodology);*")</f>
        <v>1</v>
      </c>
      <c r="Q82" s="32"/>
    </row>
    <row r="83" spans="8:17" x14ac:dyDescent="0.3">
      <c r="H83" s="21" t="s">
        <v>433</v>
      </c>
      <c r="I83" s="11">
        <f>COUNTIF($H$3:$H$41,H83)</f>
        <v>36</v>
      </c>
      <c r="J83" s="16">
        <f>I83/$I$89</f>
        <v>0.92307692307692313</v>
      </c>
      <c r="L83" s="33" t="s">
        <v>524</v>
      </c>
      <c r="M83" s="11">
        <f>COUNTIF($L$3:$L$41,"Model-Driven Architecture*")</f>
        <v>0</v>
      </c>
      <c r="N83" s="12">
        <f t="shared" si="17"/>
        <v>0</v>
      </c>
      <c r="O83" s="28">
        <f>COUNTIF($L$3:$L$49,"*Model-Driven Architecture*")</f>
        <v>2</v>
      </c>
      <c r="Q83" s="32"/>
    </row>
    <row r="84" spans="8:17" x14ac:dyDescent="0.3">
      <c r="H84" s="21" t="s">
        <v>532</v>
      </c>
      <c r="I84" s="11">
        <f t="shared" ref="I84:I88" si="18">COUNTIF($H$3:$H$41,H84)</f>
        <v>0</v>
      </c>
      <c r="J84" s="16">
        <f>I84/$I$89</f>
        <v>0</v>
      </c>
      <c r="L84" s="33" t="s">
        <v>525</v>
      </c>
      <c r="M84" s="11">
        <f>COUNTIF($L$3:$L$41,"Model-Driven Development*")</f>
        <v>0</v>
      </c>
      <c r="N84" s="12">
        <f t="shared" si="17"/>
        <v>0</v>
      </c>
      <c r="O84" s="28">
        <f>COUNTIF($L$3:$L$49,"*Model-Driven Development*")</f>
        <v>3</v>
      </c>
      <c r="Q84" s="32"/>
    </row>
    <row r="85" spans="8:17" x14ac:dyDescent="0.3">
      <c r="H85" s="21" t="s">
        <v>498</v>
      </c>
      <c r="I85" s="11">
        <f t="shared" si="18"/>
        <v>1</v>
      </c>
      <c r="J85" s="16">
        <f>I85/$I$89</f>
        <v>2.564102564102564E-2</v>
      </c>
      <c r="L85" s="33" t="s">
        <v>526</v>
      </c>
      <c r="M85" s="11">
        <f>COUNTIF($L$3:$L$41,"Model-Driven Engineering*")</f>
        <v>0</v>
      </c>
      <c r="N85" s="12">
        <f t="shared" si="17"/>
        <v>0</v>
      </c>
      <c r="O85" s="28">
        <f>COUNTIF($L$3:$L$49,"*Model-Driven Engineering*")</f>
        <v>1</v>
      </c>
      <c r="Q85" s="32"/>
    </row>
    <row r="86" spans="8:17" x14ac:dyDescent="0.3">
      <c r="H86" s="21" t="s">
        <v>435</v>
      </c>
      <c r="I86" s="11">
        <f t="shared" si="18"/>
        <v>1</v>
      </c>
      <c r="J86" s="16">
        <f>I86/$I$89</f>
        <v>2.564102564102564E-2</v>
      </c>
      <c r="L86" s="33" t="s">
        <v>546</v>
      </c>
      <c r="M86" s="11">
        <f>COUNTIF($L$3:$L$41,"Scrum (con algun/os cambio/s o sin cambios)*")</f>
        <v>9</v>
      </c>
      <c r="N86" s="12">
        <f t="shared" si="17"/>
        <v>0.23076923076923078</v>
      </c>
      <c r="O86" s="28">
        <f>COUNTIF($L$3:$L$49,"*Scrum (con algun/os cambio/s o sin cambios)*")</f>
        <v>26</v>
      </c>
      <c r="Q86" s="32"/>
    </row>
    <row r="87" spans="8:17" x14ac:dyDescent="0.3">
      <c r="H87" s="21" t="s">
        <v>434</v>
      </c>
      <c r="I87" s="11">
        <f t="shared" si="18"/>
        <v>1</v>
      </c>
      <c r="J87" s="16">
        <f>I87/$I$89</f>
        <v>2.564102564102564E-2</v>
      </c>
      <c r="L87" s="34" t="s">
        <v>44</v>
      </c>
      <c r="M87" s="11">
        <f>COUNTIF($L$3:$L$41,"TDDM4IoTS (Test-Driven Development Methodology for IoT-based Systems)*")</f>
        <v>29</v>
      </c>
      <c r="N87" s="12">
        <f t="shared" si="17"/>
        <v>0.74358974358974361</v>
      </c>
      <c r="O87" s="11">
        <f>COUNTIF($L$3:$L$41,"*TDDM4IoTS (Test-Driven Development Methodology for IoT-based Systems)*")</f>
        <v>39</v>
      </c>
      <c r="Q87" s="32"/>
    </row>
    <row r="88" spans="8:17" ht="15" thickBot="1" x14ac:dyDescent="0.35">
      <c r="H88" s="10" t="s">
        <v>74</v>
      </c>
      <c r="I88" s="11">
        <f t="shared" si="18"/>
        <v>0</v>
      </c>
      <c r="J88" s="16">
        <f>I88/$I$89</f>
        <v>0</v>
      </c>
      <c r="L88" s="31"/>
      <c r="M88" s="14">
        <f>SUM(M78:M87)</f>
        <v>39</v>
      </c>
      <c r="N88" s="15">
        <f>SUM(N79:N87)</f>
        <v>1</v>
      </c>
      <c r="O88" s="27"/>
    </row>
    <row r="89" spans="8:17" ht="15" thickBot="1" x14ac:dyDescent="0.35">
      <c r="H89" s="13"/>
      <c r="I89" s="14">
        <f>SUM(I83:I87)</f>
        <v>39</v>
      </c>
      <c r="J89" s="30">
        <f>SUM(J83:J87)</f>
        <v>1</v>
      </c>
      <c r="P89" s="32"/>
    </row>
    <row r="90" spans="8:17" x14ac:dyDescent="0.3">
      <c r="M90" s="7" t="s">
        <v>555</v>
      </c>
      <c r="N90" s="8"/>
      <c r="O90" s="9"/>
      <c r="P90" s="32"/>
    </row>
    <row r="91" spans="8:17" x14ac:dyDescent="0.3">
      <c r="M91" s="10" t="s">
        <v>117</v>
      </c>
      <c r="N91" s="11">
        <f>COUNTIF($M$3:$M$41,M91)</f>
        <v>10</v>
      </c>
      <c r="O91" s="16">
        <f>N91/$N$96</f>
        <v>0.25641025641025639</v>
      </c>
      <c r="P91" s="32"/>
    </row>
    <row r="92" spans="8:17" x14ac:dyDescent="0.3">
      <c r="M92" s="10" t="s">
        <v>556</v>
      </c>
      <c r="N92" s="11">
        <f>COUNTIF($M$3:$M$41,M92)</f>
        <v>19</v>
      </c>
      <c r="O92" s="16">
        <f t="shared" ref="O92:O95" si="19">N92/$N$96</f>
        <v>0.48717948717948717</v>
      </c>
      <c r="P92" s="32"/>
    </row>
    <row r="93" spans="8:17" x14ac:dyDescent="0.3">
      <c r="M93" s="10" t="s">
        <v>62</v>
      </c>
      <c r="N93" s="11">
        <f>COUNTIF($M$3:$M$41,M93)</f>
        <v>9</v>
      </c>
      <c r="O93" s="16">
        <f t="shared" si="19"/>
        <v>0.23076923076923078</v>
      </c>
      <c r="P93" s="32"/>
    </row>
    <row r="94" spans="8:17" x14ac:dyDescent="0.3">
      <c r="M94" s="10" t="s">
        <v>147</v>
      </c>
      <c r="N94" s="11">
        <f>COUNTIF($M$3:$M$41,M94)</f>
        <v>1</v>
      </c>
      <c r="O94" s="16">
        <f t="shared" si="19"/>
        <v>2.564102564102564E-2</v>
      </c>
      <c r="P94" s="32"/>
    </row>
    <row r="95" spans="8:17" x14ac:dyDescent="0.3">
      <c r="M95" s="10" t="s">
        <v>557</v>
      </c>
      <c r="N95" s="11">
        <f>COUNTIF($M$3:$M$41,M95)</f>
        <v>0</v>
      </c>
      <c r="O95" s="16">
        <f t="shared" si="19"/>
        <v>0</v>
      </c>
      <c r="P95" s="32"/>
    </row>
    <row r="96" spans="8:17" ht="15" thickBot="1" x14ac:dyDescent="0.35">
      <c r="M96" s="13"/>
      <c r="N96" s="14">
        <f>SUM(N91:N95)</f>
        <v>39</v>
      </c>
      <c r="O96" s="17">
        <f>SUM(O91:O95)</f>
        <v>1</v>
      </c>
      <c r="P96" s="32"/>
    </row>
    <row r="97" spans="14:16" ht="15" thickBot="1" x14ac:dyDescent="0.35">
      <c r="P97" s="32"/>
    </row>
    <row r="98" spans="14:16" x14ac:dyDescent="0.3">
      <c r="N98" s="7" t="s">
        <v>558</v>
      </c>
      <c r="O98" s="9"/>
      <c r="P98" s="32"/>
    </row>
    <row r="99" spans="14:16" x14ac:dyDescent="0.3">
      <c r="N99" s="10" t="s">
        <v>559</v>
      </c>
      <c r="O99" s="28">
        <f>COUNTIF($N$3:$N$49,"*Análisis preliminar de los requisitos*")</f>
        <v>0</v>
      </c>
      <c r="P99" s="32"/>
    </row>
    <row r="100" spans="14:16" x14ac:dyDescent="0.3">
      <c r="N100" s="39" t="s">
        <v>560</v>
      </c>
      <c r="O100" s="28">
        <f>COUNTIF($N$3:$N$49,"*Diseño de la capa tecnológica*")</f>
        <v>2</v>
      </c>
      <c r="P100" s="32"/>
    </row>
    <row r="101" spans="14:16" x14ac:dyDescent="0.3">
      <c r="N101" s="10" t="s">
        <v>86</v>
      </c>
      <c r="O101" s="28">
        <f>COUNTIF($N$3:$N$49,"*Análisis detallado de requisitos*")</f>
        <v>2</v>
      </c>
      <c r="P101" s="32"/>
    </row>
    <row r="102" spans="14:16" x14ac:dyDescent="0.3">
      <c r="N102" s="10" t="s">
        <v>118</v>
      </c>
      <c r="O102" s="28">
        <f>COUNTIF($N$3:$N$49,"*Generación y ajuste de modelos*")</f>
        <v>5</v>
      </c>
      <c r="P102" s="32"/>
    </row>
    <row r="103" spans="14:16" x14ac:dyDescent="0.3">
      <c r="N103" s="10" t="s">
        <v>181</v>
      </c>
      <c r="O103" s="28">
        <f>COUNTIF($N$3:$N$49,"*Generación de test*")</f>
        <v>9</v>
      </c>
      <c r="P103" s="32"/>
    </row>
    <row r="104" spans="14:16" x14ac:dyDescent="0.3">
      <c r="N104" s="10" t="s">
        <v>561</v>
      </c>
      <c r="O104" s="28">
        <f>COUNTIF($N$3:$N$49,"*Generación de software*")</f>
        <v>0</v>
      </c>
      <c r="P104" s="32"/>
    </row>
    <row r="105" spans="14:16" x14ac:dyDescent="0.3">
      <c r="N105" s="10" t="s">
        <v>46</v>
      </c>
      <c r="O105" s="28">
        <f>COUNTIF($N$3:$N$49,"*Refinamiento de modelos*")</f>
        <v>22</v>
      </c>
      <c r="P105" s="32"/>
    </row>
    <row r="106" spans="14:16" x14ac:dyDescent="0.3">
      <c r="N106" s="10" t="s">
        <v>562</v>
      </c>
      <c r="O106" s="28">
        <f>COUNTIF($N$3:$N$49,"*Refinamiento de software*")</f>
        <v>7</v>
      </c>
      <c r="P106" s="32"/>
    </row>
    <row r="107" spans="14:16" x14ac:dyDescent="0.3">
      <c r="N107" s="10" t="s">
        <v>563</v>
      </c>
      <c r="O107" s="28">
        <f>COUNTIF($N$3:$N$49,"*Despliegue de software y hardware*")</f>
        <v>0</v>
      </c>
      <c r="P107" s="32"/>
    </row>
    <row r="108" spans="14:16" x14ac:dyDescent="0.3">
      <c r="N108" s="10" t="s">
        <v>564</v>
      </c>
      <c r="O108" s="28">
        <f>COUNTIF($N$3:$N$49,"*Evaluación del entregable por parte del Cliente/Usuario*")</f>
        <v>0</v>
      </c>
      <c r="P108" s="32"/>
    </row>
    <row r="109" spans="14:16" x14ac:dyDescent="0.3">
      <c r="N109" s="10" t="s">
        <v>148</v>
      </c>
      <c r="O109" s="28">
        <f>COUNTIF($N$3:$N$49,"*Mantenimiento (Especificaciones de mantenimiento)*")</f>
        <v>3</v>
      </c>
      <c r="P109" s="32"/>
    </row>
    <row r="110" spans="14:16" ht="15" thickBot="1" x14ac:dyDescent="0.35">
      <c r="N110" s="13" t="s">
        <v>565</v>
      </c>
      <c r="O110" s="27">
        <f>COUNTBLANK($N$3:$N$41)</f>
        <v>6</v>
      </c>
      <c r="P110" s="32"/>
    </row>
    <row r="111" spans="14:16" x14ac:dyDescent="0.3">
      <c r="P111" s="32"/>
    </row>
    <row r="112" spans="14:16" x14ac:dyDescent="0.3">
      <c r="P112" s="32"/>
    </row>
    <row r="113" spans="16:16" x14ac:dyDescent="0.3">
      <c r="P113" s="32"/>
    </row>
    <row r="114" spans="16:16" x14ac:dyDescent="0.3">
      <c r="P114" s="32"/>
    </row>
    <row r="115" spans="16:16" x14ac:dyDescent="0.3">
      <c r="P115" s="32"/>
    </row>
    <row r="116" spans="16:16" x14ac:dyDescent="0.3">
      <c r="P116" s="32"/>
    </row>
    <row r="117" spans="16:16" x14ac:dyDescent="0.3">
      <c r="P117" s="32"/>
    </row>
    <row r="118" spans="16:16" x14ac:dyDescent="0.3">
      <c r="P118" s="32"/>
    </row>
    <row r="119" spans="16:16" x14ac:dyDescent="0.3">
      <c r="P119" s="32"/>
    </row>
    <row r="120" spans="16:16" x14ac:dyDescent="0.3">
      <c r="P120" s="32"/>
    </row>
    <row r="121" spans="16:16" x14ac:dyDescent="0.3">
      <c r="P121" s="32"/>
    </row>
    <row r="122" spans="16:16" x14ac:dyDescent="0.3">
      <c r="P122" s="32"/>
    </row>
  </sheetData>
  <sortState xmlns:xlrd2="http://schemas.microsoft.com/office/spreadsheetml/2017/richdata2" ref="P46:P122">
    <sortCondition ref="P46:P122"/>
  </sortState>
  <mergeCells count="3">
    <mergeCell ref="B45:E45"/>
    <mergeCell ref="D52:F52"/>
    <mergeCell ref="L61:M61"/>
  </mergeCells>
  <hyperlinks>
    <hyperlink ref="B42" r:id="rId1" xr:uid="{6F80221B-157C-4CA0-AFBF-0E94790FB0B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3"/>
  <sheetViews>
    <sheetView topLeftCell="A13" workbookViewId="0">
      <selection activeCell="D29" sqref="D29"/>
    </sheetView>
  </sheetViews>
  <sheetFormatPr baseColWidth="10" defaultRowHeight="14.4" x14ac:dyDescent="0.3"/>
  <cols>
    <col min="1" max="1" width="28.6640625" bestFit="1" customWidth="1"/>
    <col min="2" max="2" width="41" bestFit="1" customWidth="1"/>
    <col min="3" max="3" width="43.88671875" bestFit="1" customWidth="1"/>
    <col min="4" max="4" width="110.109375" bestFit="1" customWidth="1"/>
  </cols>
  <sheetData>
    <row r="1" spans="1:4" x14ac:dyDescent="0.3">
      <c r="A1" t="s">
        <v>306</v>
      </c>
      <c r="B1" t="s">
        <v>307</v>
      </c>
      <c r="C1" t="s">
        <v>308</v>
      </c>
      <c r="D1" t="s">
        <v>309</v>
      </c>
    </row>
    <row r="3" spans="1:4" x14ac:dyDescent="0.3">
      <c r="A3" t="s">
        <v>310</v>
      </c>
      <c r="B3" t="s">
        <v>311</v>
      </c>
      <c r="C3" t="s">
        <v>312</v>
      </c>
    </row>
    <row r="4" spans="1:4" x14ac:dyDescent="0.3">
      <c r="B4" t="s">
        <v>313</v>
      </c>
      <c r="C4" t="s">
        <v>314</v>
      </c>
    </row>
    <row r="5" spans="1:4" x14ac:dyDescent="0.3">
      <c r="B5" t="s">
        <v>315</v>
      </c>
      <c r="C5" t="s">
        <v>316</v>
      </c>
    </row>
    <row r="6" spans="1:4" x14ac:dyDescent="0.3">
      <c r="B6" t="s">
        <v>317</v>
      </c>
      <c r="C6" t="s">
        <v>318</v>
      </c>
    </row>
    <row r="8" spans="1:4" x14ac:dyDescent="0.3">
      <c r="A8" t="s">
        <v>319</v>
      </c>
      <c r="B8" t="s">
        <v>320</v>
      </c>
      <c r="C8" t="s">
        <v>321</v>
      </c>
    </row>
    <row r="9" spans="1:4" x14ac:dyDescent="0.3">
      <c r="B9" t="s">
        <v>322</v>
      </c>
      <c r="C9" t="s">
        <v>323</v>
      </c>
    </row>
    <row r="10" spans="1:4" x14ac:dyDescent="0.3">
      <c r="B10" t="s">
        <v>324</v>
      </c>
      <c r="C10" s="6">
        <v>39</v>
      </c>
    </row>
    <row r="11" spans="1:4" x14ac:dyDescent="0.3">
      <c r="B11" t="s">
        <v>325</v>
      </c>
      <c r="C11" t="s">
        <v>326</v>
      </c>
    </row>
    <row r="12" spans="1:4" x14ac:dyDescent="0.3">
      <c r="B12" t="s">
        <v>327</v>
      </c>
    </row>
    <row r="13" spans="1:4" x14ac:dyDescent="0.3">
      <c r="B13" t="s">
        <v>328</v>
      </c>
      <c r="C13" t="s">
        <v>329</v>
      </c>
    </row>
    <row r="15" spans="1:4" x14ac:dyDescent="0.3">
      <c r="A15" t="s">
        <v>330</v>
      </c>
      <c r="B15" t="s">
        <v>331</v>
      </c>
      <c r="C15" t="s">
        <v>332</v>
      </c>
      <c r="D15" t="s">
        <v>333</v>
      </c>
    </row>
    <row r="16" spans="1:4" x14ac:dyDescent="0.3">
      <c r="B16" t="s">
        <v>334</v>
      </c>
      <c r="C16" t="s">
        <v>335</v>
      </c>
    </row>
    <row r="17" spans="2:4" x14ac:dyDescent="0.3">
      <c r="B17" t="s">
        <v>336</v>
      </c>
      <c r="C17" t="s">
        <v>337</v>
      </c>
      <c r="D17" t="s">
        <v>338</v>
      </c>
    </row>
    <row r="18" spans="2:4" x14ac:dyDescent="0.3">
      <c r="B18" t="s">
        <v>339</v>
      </c>
      <c r="C18" t="s">
        <v>340</v>
      </c>
      <c r="D18" t="s">
        <v>341</v>
      </c>
    </row>
    <row r="19" spans="2:4" x14ac:dyDescent="0.3">
      <c r="B19" t="s">
        <v>342</v>
      </c>
      <c r="C19" t="s">
        <v>343</v>
      </c>
      <c r="D19" t="s">
        <v>344</v>
      </c>
    </row>
    <row r="20" spans="2:4" x14ac:dyDescent="0.3">
      <c r="B20" t="s">
        <v>345</v>
      </c>
      <c r="C20" t="s">
        <v>346</v>
      </c>
    </row>
    <row r="21" spans="2:4" x14ac:dyDescent="0.3">
      <c r="B21" t="s">
        <v>347</v>
      </c>
      <c r="C21" t="s">
        <v>348</v>
      </c>
      <c r="D21" t="s">
        <v>531</v>
      </c>
    </row>
    <row r="22" spans="2:4" x14ac:dyDescent="0.3">
      <c r="B22" t="s">
        <v>349</v>
      </c>
      <c r="C22" t="s">
        <v>350</v>
      </c>
      <c r="D22" t="s">
        <v>351</v>
      </c>
    </row>
    <row r="23" spans="2:4" x14ac:dyDescent="0.3">
      <c r="B23" t="s">
        <v>352</v>
      </c>
      <c r="C23" t="s">
        <v>353</v>
      </c>
      <c r="D23" t="s">
        <v>354</v>
      </c>
    </row>
    <row r="24" spans="2:4" x14ac:dyDescent="0.3">
      <c r="B24" t="s">
        <v>355</v>
      </c>
      <c r="C24" t="s">
        <v>356</v>
      </c>
      <c r="D24" t="s">
        <v>357</v>
      </c>
    </row>
    <row r="25" spans="2:4" x14ac:dyDescent="0.3">
      <c r="B25" t="s">
        <v>358</v>
      </c>
      <c r="C25" t="s">
        <v>359</v>
      </c>
      <c r="D25" t="s">
        <v>360</v>
      </c>
    </row>
    <row r="26" spans="2:4" x14ac:dyDescent="0.3">
      <c r="B26" t="s">
        <v>361</v>
      </c>
      <c r="C26" t="s">
        <v>362</v>
      </c>
      <c r="D26" t="s">
        <v>363</v>
      </c>
    </row>
    <row r="27" spans="2:4" x14ac:dyDescent="0.3">
      <c r="B27" t="s">
        <v>364</v>
      </c>
      <c r="C27" t="s">
        <v>365</v>
      </c>
      <c r="D27" t="s">
        <v>366</v>
      </c>
    </row>
    <row r="28" spans="2:4" x14ac:dyDescent="0.3">
      <c r="B28" t="s">
        <v>367</v>
      </c>
      <c r="C28" t="s">
        <v>368</v>
      </c>
      <c r="D28" t="s">
        <v>369</v>
      </c>
    </row>
    <row r="29" spans="2:4" x14ac:dyDescent="0.3">
      <c r="B29" t="s">
        <v>370</v>
      </c>
      <c r="C29" t="s">
        <v>371</v>
      </c>
      <c r="D29" t="s">
        <v>372</v>
      </c>
    </row>
    <row r="30" spans="2:4" x14ac:dyDescent="0.3">
      <c r="B30" t="s">
        <v>373</v>
      </c>
      <c r="C30" t="s">
        <v>374</v>
      </c>
      <c r="D30" t="s">
        <v>375</v>
      </c>
    </row>
    <row r="31" spans="2:4" x14ac:dyDescent="0.3">
      <c r="B31" t="s">
        <v>376</v>
      </c>
      <c r="C31" t="s">
        <v>377</v>
      </c>
      <c r="D31" t="s">
        <v>378</v>
      </c>
    </row>
    <row r="32" spans="2:4" x14ac:dyDescent="0.3">
      <c r="B32" t="s">
        <v>379</v>
      </c>
      <c r="C32" t="s">
        <v>380</v>
      </c>
    </row>
    <row r="33" spans="2:3" x14ac:dyDescent="0.3">
      <c r="B33" t="s">
        <v>381</v>
      </c>
      <c r="C33"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Encuesta 3.0(guardada)</vt:lpstr>
      <vt:lpstr>Información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Gleinstong</dc:creator>
  <cp:lastModifiedBy>Gleiston C. Guerrero Ulloa</cp:lastModifiedBy>
  <dcterms:created xsi:type="dcterms:W3CDTF">2022-04-25T20:25:27Z</dcterms:created>
  <dcterms:modified xsi:type="dcterms:W3CDTF">2023-01-20T03:55:02Z</dcterms:modified>
</cp:coreProperties>
</file>