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johnf\Desktop\Data\"/>
    </mc:Choice>
  </mc:AlternateContent>
  <xr:revisionPtr revIDLastSave="0" documentId="13_ncr:1_{2607B90A-4E73-4529-92BD-62C8ED562ED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aw_Annotations" sheetId="1" r:id="rId1"/>
    <sheet name="Vehicle_Params" sheetId="2" r:id="rId2"/>
    <sheet name="Aggregates" sheetId="3" r:id="rId3"/>
    <sheet name="GUIDE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8" roundtripDataChecksum="lfIdA2yX/+c3OUoknRSdB3kgB6fIZ20Ygj/u5b1ZPk8="/>
    </ext>
  </extLst>
</workbook>
</file>

<file path=xl/calcChain.xml><?xml version="1.0" encoding="utf-8"?>
<calcChain xmlns="http://schemas.openxmlformats.org/spreadsheetml/2006/main">
  <c r="D4" i="3" l="1"/>
  <c r="F4" i="3" s="1"/>
  <c r="D3" i="3"/>
  <c r="F3" i="3" s="1"/>
  <c r="D2" i="3"/>
  <c r="F2" i="3" s="1"/>
  <c r="K19" i="1"/>
  <c r="H19" i="1"/>
  <c r="I19" i="1" s="1"/>
  <c r="G19" i="1"/>
  <c r="J19" i="1" s="1"/>
  <c r="F19" i="1"/>
  <c r="K18" i="1"/>
  <c r="H18" i="1"/>
  <c r="I18" i="1" s="1"/>
  <c r="F18" i="1"/>
  <c r="G18" i="1" s="1"/>
  <c r="J18" i="1" s="1"/>
  <c r="K17" i="1"/>
  <c r="H17" i="1"/>
  <c r="I17" i="1" s="1"/>
  <c r="F17" i="1"/>
  <c r="G17" i="1" s="1"/>
  <c r="J17" i="1" s="1"/>
  <c r="K16" i="1"/>
  <c r="I16" i="1"/>
  <c r="H16" i="1"/>
  <c r="F16" i="1"/>
  <c r="G16" i="1" s="1"/>
  <c r="K15" i="1"/>
  <c r="H15" i="1"/>
  <c r="I15" i="1" s="1"/>
  <c r="F15" i="1"/>
  <c r="G15" i="1" s="1"/>
  <c r="K14" i="1"/>
  <c r="H14" i="1"/>
  <c r="I14" i="1" s="1"/>
  <c r="E4" i="3" s="1"/>
  <c r="K4" i="3" s="1"/>
  <c r="G14" i="1"/>
  <c r="J14" i="1" s="1"/>
  <c r="F14" i="1"/>
  <c r="K13" i="1"/>
  <c r="H13" i="1"/>
  <c r="I13" i="1" s="1"/>
  <c r="F13" i="1"/>
  <c r="G13" i="1" s="1"/>
  <c r="J13" i="1" s="1"/>
  <c r="K12" i="1"/>
  <c r="H12" i="1"/>
  <c r="I12" i="1" s="1"/>
  <c r="F12" i="1"/>
  <c r="G12" i="1" s="1"/>
  <c r="J12" i="1" s="1"/>
  <c r="K11" i="1"/>
  <c r="H11" i="1"/>
  <c r="I11" i="1" s="1"/>
  <c r="G11" i="1"/>
  <c r="J11" i="1" s="1"/>
  <c r="F11" i="1"/>
  <c r="K10" i="1"/>
  <c r="H10" i="1"/>
  <c r="I10" i="1" s="1"/>
  <c r="F10" i="1"/>
  <c r="G10" i="1" s="1"/>
  <c r="K9" i="1"/>
  <c r="H9" i="1"/>
  <c r="I9" i="1" s="1"/>
  <c r="E3" i="3" s="1"/>
  <c r="K3" i="3" s="1"/>
  <c r="F9" i="1"/>
  <c r="G9" i="1" s="1"/>
  <c r="J9" i="1" s="1"/>
  <c r="K8" i="1"/>
  <c r="I8" i="1"/>
  <c r="H8" i="1"/>
  <c r="F8" i="1"/>
  <c r="G8" i="1" s="1"/>
  <c r="K7" i="1"/>
  <c r="H7" i="1"/>
  <c r="I7" i="1" s="1"/>
  <c r="F7" i="1"/>
  <c r="G7" i="1" s="1"/>
  <c r="J7" i="1" s="1"/>
  <c r="K6" i="1"/>
  <c r="H6" i="1"/>
  <c r="I6" i="1" s="1"/>
  <c r="F6" i="1"/>
  <c r="G6" i="1" s="1"/>
  <c r="J6" i="1" s="1"/>
  <c r="K5" i="1"/>
  <c r="H5" i="1"/>
  <c r="I5" i="1" s="1"/>
  <c r="F5" i="1"/>
  <c r="G5" i="1" s="1"/>
  <c r="J5" i="1" s="1"/>
  <c r="K4" i="1"/>
  <c r="H4" i="1"/>
  <c r="I4" i="1" s="1"/>
  <c r="F4" i="1"/>
  <c r="G4" i="1" s="1"/>
  <c r="K3" i="1"/>
  <c r="H3" i="1"/>
  <c r="I3" i="1" s="1"/>
  <c r="G3" i="1"/>
  <c r="J3" i="1" s="1"/>
  <c r="F3" i="1"/>
  <c r="K2" i="1"/>
  <c r="H2" i="1"/>
  <c r="I2" i="1" s="1"/>
  <c r="F2" i="1"/>
  <c r="G2" i="1" s="1"/>
  <c r="E2" i="3" l="1"/>
  <c r="K2" i="3" s="1"/>
  <c r="I2" i="3"/>
  <c r="J4" i="1"/>
  <c r="I3" i="3"/>
  <c r="J10" i="1"/>
  <c r="J15" i="1"/>
  <c r="G4" i="3"/>
  <c r="J2" i="1"/>
  <c r="G2" i="3"/>
  <c r="J8" i="1"/>
  <c r="G3" i="3"/>
  <c r="I4" i="3"/>
  <c r="J16" i="1"/>
  <c r="J3" i="3" l="1"/>
  <c r="H3" i="3"/>
  <c r="J4" i="3"/>
  <c r="H4" i="3"/>
  <c r="J2" i="3"/>
  <c r="H2" i="3"/>
</calcChain>
</file>

<file path=xl/sharedStrings.xml><?xml version="1.0" encoding="utf-8"?>
<sst xmlns="http://schemas.openxmlformats.org/spreadsheetml/2006/main" count="77" uniqueCount="35">
  <si>
    <t>CycleID</t>
  </si>
  <si>
    <t>LaneID</t>
  </si>
  <si>
    <t>VehicleType</t>
  </si>
  <si>
    <t>Count</t>
  </si>
  <si>
    <t>CycleTime_s</t>
  </si>
  <si>
    <t>AvgPassengers</t>
  </si>
  <si>
    <t>PassengerEquivalent</t>
  </si>
  <si>
    <t>Vehicle Size Factor</t>
  </si>
  <si>
    <t>Vehicle Size Equivalent</t>
  </si>
  <si>
    <t>Pass throughput per hr</t>
  </si>
  <si>
    <t>Veh Throughput per hr</t>
  </si>
  <si>
    <t>SD_W</t>
  </si>
  <si>
    <t>Car</t>
  </si>
  <si>
    <t>Motorcycle</t>
  </si>
  <si>
    <t>Jeepney</t>
  </si>
  <si>
    <t>Bus</t>
  </si>
  <si>
    <t>Truck</t>
  </si>
  <si>
    <t>Tricycle</t>
  </si>
  <si>
    <t>SD_S</t>
  </si>
  <si>
    <t>SD_E</t>
  </si>
  <si>
    <t>TotalCount</t>
  </si>
  <si>
    <t>TotalPCU</t>
  </si>
  <si>
    <t>Flow_vehph</t>
  </si>
  <si>
    <t>TotalPassengers</t>
  </si>
  <si>
    <t>PassengerFlow_perHour</t>
  </si>
  <si>
    <t>PT_passengers</t>
  </si>
  <si>
    <t>PTR_by_passengers</t>
  </si>
  <si>
    <t>PTR_by_PCU</t>
  </si>
  <si>
    <t>GUIDE</t>
  </si>
  <si>
    <t>Purpose: One-cycle template to collect video-based vehicle counts and convert to passenger throughput.</t>
  </si>
  <si>
    <t>How to use:</t>
  </si>
  <si>
    <t xml:space="preserve"> - Raw_Annotations: for each approach &amp; vehicle type, enter COUNT (vehicles that crossed during the cycle).</t>
  </si>
  <si>
    <t xml:space="preserve"> - Vehicle_Params: edit AvgPassengers to calibrate.</t>
  </si>
  <si>
    <t xml:space="preserve"> - Aggregates auto-calculates totals and passenger throughput (do not edit formulas).</t>
  </si>
  <si>
    <t>File naming: after filling, save using pattern: &lt;INTERSECTION&gt;_YYYYMMDD_cycleN.xlsx.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</si>
</sst>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00"/>
  <sheetViews>
    <sheetView tabSelected="1" workbookViewId="0">
      <selection activeCell="F22" sqref="F22"/>
    </sheetView>
  </sheetViews>
  <sheetFormatPr defaultColWidth="14.42578125" defaultRowHeight="15" customHeight="1" x14ac:dyDescent="0.25"/>
  <cols>
    <col min="1" max="1" width="8.85546875" customWidth="1"/>
    <col min="2" max="2" width="9" customWidth="1"/>
    <col min="3" max="3" width="19" customWidth="1"/>
    <col min="4" max="4" width="9.140625" customWidth="1"/>
    <col min="5" max="5" width="13.42578125" customWidth="1"/>
    <col min="6" max="6" width="16.42578125" customWidth="1"/>
    <col min="7" max="11" width="25.140625" customWidth="1"/>
    <col min="12" max="26" width="8.7109375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s="2">
        <v>2</v>
      </c>
      <c r="B2" s="2" t="s">
        <v>11</v>
      </c>
      <c r="C2" s="2" t="s">
        <v>12</v>
      </c>
      <c r="D2" s="2">
        <v>65</v>
      </c>
      <c r="E2" s="2">
        <v>300</v>
      </c>
      <c r="F2" s="2">
        <f>VLOOKUP(C2,Vehicle_Params!$A:$C,3,FALSE)</f>
        <v>1.5</v>
      </c>
      <c r="G2" s="2">
        <f t="shared" ref="G2:G19" si="0">IF(D2="",0,D2*F2)</f>
        <v>97.5</v>
      </c>
      <c r="H2" s="2">
        <f>VLOOKUP(C2,Vehicle_Params!$A:$B,2,FALSE)</f>
        <v>1</v>
      </c>
      <c r="I2" s="2">
        <f t="shared" ref="I2:I19" si="1">IF(D2="",0,D2*H2)</f>
        <v>65</v>
      </c>
      <c r="J2" s="2">
        <f t="shared" ref="J2:J19" si="2">IF(E2=0,0,G2*3600/E2)</f>
        <v>1170</v>
      </c>
      <c r="K2" s="2">
        <f t="shared" ref="K2:K19" si="3">IF(E2=0,0,IF(D2="",0,D2*3600/E2))</f>
        <v>780</v>
      </c>
    </row>
    <row r="3" spans="1:11" x14ac:dyDescent="0.25">
      <c r="A3" s="2">
        <v>2</v>
      </c>
      <c r="B3" s="2" t="s">
        <v>11</v>
      </c>
      <c r="C3" s="2" t="s">
        <v>13</v>
      </c>
      <c r="D3" s="2">
        <v>39</v>
      </c>
      <c r="E3" s="2">
        <v>300</v>
      </c>
      <c r="F3" s="2">
        <f>VLOOKUP(C3,Vehicle_Params!$A:$C,3,FALSE)</f>
        <v>1.2</v>
      </c>
      <c r="G3" s="2">
        <f t="shared" si="0"/>
        <v>46.8</v>
      </c>
      <c r="H3" s="2">
        <f>VLOOKUP(C3,Vehicle_Params!$A:$B,2,FALSE)</f>
        <v>0.35</v>
      </c>
      <c r="I3" s="2">
        <f t="shared" si="1"/>
        <v>13.649999999999999</v>
      </c>
      <c r="J3" s="2">
        <f t="shared" si="2"/>
        <v>561.6</v>
      </c>
      <c r="K3" s="2">
        <f t="shared" si="3"/>
        <v>468</v>
      </c>
    </row>
    <row r="4" spans="1:11" x14ac:dyDescent="0.25">
      <c r="A4" s="2">
        <v>2</v>
      </c>
      <c r="B4" s="2" t="s">
        <v>11</v>
      </c>
      <c r="C4" s="2" t="s">
        <v>14</v>
      </c>
      <c r="D4" s="2">
        <v>19</v>
      </c>
      <c r="E4" s="2">
        <v>300</v>
      </c>
      <c r="F4" s="2">
        <f>VLOOKUP(C4,Vehicle_Params!$A:$C,3,FALSE)</f>
        <v>10</v>
      </c>
      <c r="G4" s="2">
        <f t="shared" si="0"/>
        <v>190</v>
      </c>
      <c r="H4" s="2">
        <f>VLOOKUP(C4,Vehicle_Params!$A:$B,2,FALSE)</f>
        <v>1.8</v>
      </c>
      <c r="I4" s="2">
        <f t="shared" si="1"/>
        <v>34.200000000000003</v>
      </c>
      <c r="J4" s="2">
        <f t="shared" si="2"/>
        <v>2280</v>
      </c>
      <c r="K4" s="2">
        <f t="shared" si="3"/>
        <v>228</v>
      </c>
    </row>
    <row r="5" spans="1:11" x14ac:dyDescent="0.25">
      <c r="A5" s="2">
        <v>2</v>
      </c>
      <c r="B5" s="2" t="s">
        <v>11</v>
      </c>
      <c r="C5" s="2" t="s">
        <v>15</v>
      </c>
      <c r="D5" s="2">
        <v>2</v>
      </c>
      <c r="E5" s="2">
        <v>300</v>
      </c>
      <c r="F5" s="2">
        <f>VLOOKUP(C5,Vehicle_Params!$A:$C,3,FALSE)</f>
        <v>30</v>
      </c>
      <c r="G5" s="2">
        <f t="shared" si="0"/>
        <v>60</v>
      </c>
      <c r="H5" s="2">
        <f>VLOOKUP(C5,Vehicle_Params!$A:$B,2,FALSE)</f>
        <v>2.8</v>
      </c>
      <c r="I5" s="2">
        <f t="shared" si="1"/>
        <v>5.6</v>
      </c>
      <c r="J5" s="2">
        <f t="shared" si="2"/>
        <v>720</v>
      </c>
      <c r="K5" s="2">
        <f t="shared" si="3"/>
        <v>24</v>
      </c>
    </row>
    <row r="6" spans="1:11" x14ac:dyDescent="0.25">
      <c r="A6" s="2">
        <v>2</v>
      </c>
      <c r="B6" s="2" t="s">
        <v>11</v>
      </c>
      <c r="C6" s="2" t="s">
        <v>16</v>
      </c>
      <c r="D6" s="2">
        <v>2</v>
      </c>
      <c r="E6" s="2">
        <v>300</v>
      </c>
      <c r="F6" s="2">
        <f>VLOOKUP(C6,Vehicle_Params!$A:$C,3,FALSE)</f>
        <v>1</v>
      </c>
      <c r="G6" s="2">
        <f t="shared" si="0"/>
        <v>2</v>
      </c>
      <c r="H6" s="2">
        <f>VLOOKUP(C6,Vehicle_Params!$A:$B,2,FALSE)</f>
        <v>2.6</v>
      </c>
      <c r="I6" s="2">
        <f t="shared" si="1"/>
        <v>5.2</v>
      </c>
      <c r="J6" s="2">
        <f t="shared" si="2"/>
        <v>24</v>
      </c>
      <c r="K6" s="2">
        <f t="shared" si="3"/>
        <v>24</v>
      </c>
    </row>
    <row r="7" spans="1:11" x14ac:dyDescent="0.25">
      <c r="A7" s="2">
        <v>2</v>
      </c>
      <c r="B7" s="2" t="s">
        <v>11</v>
      </c>
      <c r="C7" s="2" t="s">
        <v>17</v>
      </c>
      <c r="D7" s="2">
        <v>3</v>
      </c>
      <c r="E7" s="2">
        <v>300</v>
      </c>
      <c r="F7" s="2">
        <f>VLOOKUP(C7,Vehicle_Params!$A:$C,3,FALSE)</f>
        <v>2</v>
      </c>
      <c r="G7" s="2">
        <f t="shared" si="0"/>
        <v>6</v>
      </c>
      <c r="H7" s="2">
        <f>VLOOKUP(C7,Vehicle_Params!$A:$B,2,FALSE)</f>
        <v>0.6</v>
      </c>
      <c r="I7" s="2">
        <f t="shared" si="1"/>
        <v>1.7999999999999998</v>
      </c>
      <c r="J7" s="2">
        <f t="shared" si="2"/>
        <v>72</v>
      </c>
      <c r="K7" s="2">
        <f t="shared" si="3"/>
        <v>36</v>
      </c>
    </row>
    <row r="8" spans="1:11" x14ac:dyDescent="0.25">
      <c r="A8" s="2">
        <v>2</v>
      </c>
      <c r="B8" s="2" t="s">
        <v>18</v>
      </c>
      <c r="C8" s="2" t="s">
        <v>12</v>
      </c>
      <c r="D8" s="2">
        <v>71</v>
      </c>
      <c r="E8" s="2">
        <v>300</v>
      </c>
      <c r="F8" s="2">
        <f>VLOOKUP(C8,Vehicle_Params!$A:$C,3,FALSE)</f>
        <v>1.5</v>
      </c>
      <c r="G8" s="2">
        <f t="shared" si="0"/>
        <v>106.5</v>
      </c>
      <c r="H8" s="2">
        <f>VLOOKUP(C8,Vehicle_Params!$A:$B,2,FALSE)</f>
        <v>1</v>
      </c>
      <c r="I8" s="2">
        <f t="shared" si="1"/>
        <v>71</v>
      </c>
      <c r="J8" s="2">
        <f t="shared" si="2"/>
        <v>1278</v>
      </c>
      <c r="K8" s="2">
        <f t="shared" si="3"/>
        <v>852</v>
      </c>
    </row>
    <row r="9" spans="1:11" x14ac:dyDescent="0.25">
      <c r="A9" s="2">
        <v>2</v>
      </c>
      <c r="B9" s="2" t="s">
        <v>18</v>
      </c>
      <c r="C9" s="2" t="s">
        <v>13</v>
      </c>
      <c r="D9" s="2">
        <v>29</v>
      </c>
      <c r="E9" s="2">
        <v>300</v>
      </c>
      <c r="F9" s="2">
        <f>VLOOKUP(C9,Vehicle_Params!$A:$C,3,FALSE)</f>
        <v>1.2</v>
      </c>
      <c r="G9" s="2">
        <f t="shared" si="0"/>
        <v>34.799999999999997</v>
      </c>
      <c r="H9" s="2">
        <f>VLOOKUP(C9,Vehicle_Params!$A:$B,2,FALSE)</f>
        <v>0.35</v>
      </c>
      <c r="I9" s="2">
        <f t="shared" si="1"/>
        <v>10.149999999999999</v>
      </c>
      <c r="J9" s="2">
        <f t="shared" si="2"/>
        <v>417.59999999999997</v>
      </c>
      <c r="K9" s="2">
        <f t="shared" si="3"/>
        <v>348</v>
      </c>
    </row>
    <row r="10" spans="1:11" x14ac:dyDescent="0.25">
      <c r="A10" s="2">
        <v>2</v>
      </c>
      <c r="B10" s="2" t="s">
        <v>18</v>
      </c>
      <c r="C10" s="2" t="s">
        <v>14</v>
      </c>
      <c r="D10" s="2">
        <v>16</v>
      </c>
      <c r="E10" s="2">
        <v>300</v>
      </c>
      <c r="F10" s="2">
        <f>VLOOKUP(C10,Vehicle_Params!$A:$C,3,FALSE)</f>
        <v>10</v>
      </c>
      <c r="G10" s="2">
        <f t="shared" si="0"/>
        <v>160</v>
      </c>
      <c r="H10" s="2">
        <f>VLOOKUP(C10,Vehicle_Params!$A:$B,2,FALSE)</f>
        <v>1.8</v>
      </c>
      <c r="I10" s="2">
        <f t="shared" si="1"/>
        <v>28.8</v>
      </c>
      <c r="J10" s="2">
        <f t="shared" si="2"/>
        <v>1920</v>
      </c>
      <c r="K10" s="2">
        <f t="shared" si="3"/>
        <v>192</v>
      </c>
    </row>
    <row r="11" spans="1:11" x14ac:dyDescent="0.25">
      <c r="A11" s="2">
        <v>2</v>
      </c>
      <c r="B11" s="2" t="s">
        <v>18</v>
      </c>
      <c r="C11" s="2" t="s">
        <v>15</v>
      </c>
      <c r="D11" s="2">
        <v>2</v>
      </c>
      <c r="E11" s="2">
        <v>300</v>
      </c>
      <c r="F11" s="2">
        <f>VLOOKUP(C11,Vehicle_Params!$A:$C,3,FALSE)</f>
        <v>30</v>
      </c>
      <c r="G11" s="2">
        <f t="shared" si="0"/>
        <v>60</v>
      </c>
      <c r="H11" s="2">
        <f>VLOOKUP(C11,Vehicle_Params!$A:$B,2,FALSE)</f>
        <v>2.8</v>
      </c>
      <c r="I11" s="2">
        <f t="shared" si="1"/>
        <v>5.6</v>
      </c>
      <c r="J11" s="2">
        <f t="shared" si="2"/>
        <v>720</v>
      </c>
      <c r="K11" s="2">
        <f t="shared" si="3"/>
        <v>24</v>
      </c>
    </row>
    <row r="12" spans="1:11" x14ac:dyDescent="0.25">
      <c r="A12" s="2">
        <v>2</v>
      </c>
      <c r="B12" s="2" t="s">
        <v>18</v>
      </c>
      <c r="C12" s="2" t="s">
        <v>16</v>
      </c>
      <c r="D12" s="2">
        <v>1</v>
      </c>
      <c r="E12" s="2">
        <v>300</v>
      </c>
      <c r="F12" s="2">
        <f>VLOOKUP(C12,Vehicle_Params!$A:$C,3,FALSE)</f>
        <v>1</v>
      </c>
      <c r="G12" s="2">
        <f t="shared" si="0"/>
        <v>1</v>
      </c>
      <c r="H12" s="2">
        <f>VLOOKUP(C12,Vehicle_Params!$A:$B,2,FALSE)</f>
        <v>2.6</v>
      </c>
      <c r="I12" s="2">
        <f t="shared" si="1"/>
        <v>2.6</v>
      </c>
      <c r="J12" s="2">
        <f t="shared" si="2"/>
        <v>12</v>
      </c>
      <c r="K12" s="2">
        <f t="shared" si="3"/>
        <v>12</v>
      </c>
    </row>
    <row r="13" spans="1:11" x14ac:dyDescent="0.25">
      <c r="A13" s="2">
        <v>2</v>
      </c>
      <c r="B13" s="2" t="s">
        <v>18</v>
      </c>
      <c r="C13" s="2" t="s">
        <v>17</v>
      </c>
      <c r="D13" s="2">
        <v>0</v>
      </c>
      <c r="E13" s="2">
        <v>300</v>
      </c>
      <c r="F13" s="2">
        <f>VLOOKUP(C13,Vehicle_Params!$A:$C,3,FALSE)</f>
        <v>2</v>
      </c>
      <c r="G13" s="2">
        <f t="shared" si="0"/>
        <v>0</v>
      </c>
      <c r="H13" s="2">
        <f>VLOOKUP(C13,Vehicle_Params!$A:$B,2,FALSE)</f>
        <v>0.6</v>
      </c>
      <c r="I13" s="2">
        <f t="shared" si="1"/>
        <v>0</v>
      </c>
      <c r="J13" s="2">
        <f t="shared" si="2"/>
        <v>0</v>
      </c>
      <c r="K13" s="2">
        <f t="shared" si="3"/>
        <v>0</v>
      </c>
    </row>
    <row r="14" spans="1:11" x14ac:dyDescent="0.25">
      <c r="A14" s="2">
        <v>2</v>
      </c>
      <c r="B14" s="2" t="s">
        <v>19</v>
      </c>
      <c r="C14" s="2" t="s">
        <v>12</v>
      </c>
      <c r="D14" s="2">
        <v>44</v>
      </c>
      <c r="E14" s="2">
        <v>300</v>
      </c>
      <c r="F14" s="2">
        <f>VLOOKUP(C14,Vehicle_Params!$A:$C,3,FALSE)</f>
        <v>1.5</v>
      </c>
      <c r="G14" s="2">
        <f t="shared" si="0"/>
        <v>66</v>
      </c>
      <c r="H14" s="2">
        <f>VLOOKUP(C14,Vehicle_Params!$A:$B,2,FALSE)</f>
        <v>1</v>
      </c>
      <c r="I14" s="2">
        <f t="shared" si="1"/>
        <v>44</v>
      </c>
      <c r="J14" s="2">
        <f t="shared" si="2"/>
        <v>792</v>
      </c>
      <c r="K14" s="2">
        <f t="shared" si="3"/>
        <v>528</v>
      </c>
    </row>
    <row r="15" spans="1:11" x14ac:dyDescent="0.25">
      <c r="A15" s="2">
        <v>2</v>
      </c>
      <c r="B15" s="2" t="s">
        <v>19</v>
      </c>
      <c r="C15" s="2" t="s">
        <v>13</v>
      </c>
      <c r="D15" s="2">
        <v>29</v>
      </c>
      <c r="E15" s="2">
        <v>300</v>
      </c>
      <c r="F15" s="2">
        <f>VLOOKUP(C15,Vehicle_Params!$A:$C,3,FALSE)</f>
        <v>1.2</v>
      </c>
      <c r="G15" s="2">
        <f t="shared" si="0"/>
        <v>34.799999999999997</v>
      </c>
      <c r="H15" s="2">
        <f>VLOOKUP(C15,Vehicle_Params!$A:$B,2,FALSE)</f>
        <v>0.35</v>
      </c>
      <c r="I15" s="2">
        <f t="shared" si="1"/>
        <v>10.149999999999999</v>
      </c>
      <c r="J15" s="2">
        <f t="shared" si="2"/>
        <v>417.59999999999997</v>
      </c>
      <c r="K15" s="2">
        <f t="shared" si="3"/>
        <v>348</v>
      </c>
    </row>
    <row r="16" spans="1:11" x14ac:dyDescent="0.25">
      <c r="A16" s="2">
        <v>2</v>
      </c>
      <c r="B16" s="2" t="s">
        <v>19</v>
      </c>
      <c r="C16" s="2" t="s">
        <v>14</v>
      </c>
      <c r="D16" s="2">
        <v>18</v>
      </c>
      <c r="E16" s="2">
        <v>300</v>
      </c>
      <c r="F16" s="2">
        <f>VLOOKUP(C16,Vehicle_Params!$A:$C,3,FALSE)</f>
        <v>10</v>
      </c>
      <c r="G16" s="2">
        <f t="shared" si="0"/>
        <v>180</v>
      </c>
      <c r="H16" s="2">
        <f>VLOOKUP(C16,Vehicle_Params!$A:$B,2,FALSE)</f>
        <v>1.8</v>
      </c>
      <c r="I16" s="2">
        <f t="shared" si="1"/>
        <v>32.4</v>
      </c>
      <c r="J16" s="2">
        <f t="shared" si="2"/>
        <v>2160</v>
      </c>
      <c r="K16" s="2">
        <f t="shared" si="3"/>
        <v>216</v>
      </c>
    </row>
    <row r="17" spans="1:11" x14ac:dyDescent="0.25">
      <c r="A17" s="2">
        <v>2</v>
      </c>
      <c r="B17" s="2" t="s">
        <v>19</v>
      </c>
      <c r="C17" s="2" t="s">
        <v>15</v>
      </c>
      <c r="D17" s="2">
        <v>2</v>
      </c>
      <c r="E17" s="2">
        <v>300</v>
      </c>
      <c r="F17" s="2">
        <f>VLOOKUP(C17,Vehicle_Params!$A:$C,3,FALSE)</f>
        <v>30</v>
      </c>
      <c r="G17" s="2">
        <f t="shared" si="0"/>
        <v>60</v>
      </c>
      <c r="H17" s="2">
        <f>VLOOKUP(C17,Vehicle_Params!$A:$B,2,FALSE)</f>
        <v>2.8</v>
      </c>
      <c r="I17" s="2">
        <f t="shared" si="1"/>
        <v>5.6</v>
      </c>
      <c r="J17" s="2">
        <f t="shared" si="2"/>
        <v>720</v>
      </c>
      <c r="K17" s="2">
        <f t="shared" si="3"/>
        <v>24</v>
      </c>
    </row>
    <row r="18" spans="1:11" x14ac:dyDescent="0.25">
      <c r="A18" s="2">
        <v>2</v>
      </c>
      <c r="B18" s="2" t="s">
        <v>19</v>
      </c>
      <c r="C18" s="2" t="s">
        <v>16</v>
      </c>
      <c r="D18" s="2">
        <v>1</v>
      </c>
      <c r="E18" s="2">
        <v>300</v>
      </c>
      <c r="F18" s="2">
        <f>VLOOKUP(C18,Vehicle_Params!$A:$C,3,FALSE)</f>
        <v>1</v>
      </c>
      <c r="G18" s="2">
        <f t="shared" si="0"/>
        <v>1</v>
      </c>
      <c r="H18" s="2">
        <f>VLOOKUP(C18,Vehicle_Params!$A:$B,2,FALSE)</f>
        <v>2.6</v>
      </c>
      <c r="I18" s="2">
        <f t="shared" si="1"/>
        <v>2.6</v>
      </c>
      <c r="J18" s="2">
        <f t="shared" si="2"/>
        <v>12</v>
      </c>
      <c r="K18" s="2">
        <f t="shared" si="3"/>
        <v>12</v>
      </c>
    </row>
    <row r="19" spans="1:11" x14ac:dyDescent="0.25">
      <c r="A19" s="2">
        <v>2</v>
      </c>
      <c r="B19" s="2" t="s">
        <v>19</v>
      </c>
      <c r="C19" s="2" t="s">
        <v>17</v>
      </c>
      <c r="D19" s="2">
        <v>4</v>
      </c>
      <c r="E19" s="2">
        <v>300</v>
      </c>
      <c r="F19" s="2">
        <f>VLOOKUP(C19,Vehicle_Params!$A:$C,3,FALSE)</f>
        <v>2</v>
      </c>
      <c r="G19" s="2">
        <f t="shared" si="0"/>
        <v>8</v>
      </c>
      <c r="H19" s="2">
        <f>VLOOKUP(C19,Vehicle_Params!$A:$B,2,FALSE)</f>
        <v>0.6</v>
      </c>
      <c r="I19" s="2">
        <f t="shared" si="1"/>
        <v>2.4</v>
      </c>
      <c r="J19" s="2">
        <f t="shared" si="2"/>
        <v>96</v>
      </c>
      <c r="K19" s="2">
        <f t="shared" si="3"/>
        <v>48</v>
      </c>
    </row>
    <row r="21" spans="1:11" ht="15.75" customHeight="1" x14ac:dyDescent="0.25"/>
    <row r="22" spans="1:11" ht="15.75" customHeight="1" x14ac:dyDescent="0.25"/>
    <row r="23" spans="1:11" ht="15.75" customHeight="1" x14ac:dyDescent="0.25"/>
    <row r="24" spans="1:11" ht="15.75" customHeight="1" x14ac:dyDescent="0.25"/>
    <row r="25" spans="1:11" ht="15.75" customHeight="1" x14ac:dyDescent="0.25"/>
    <row r="26" spans="1:11" ht="15.75" customHeight="1" x14ac:dyDescent="0.25"/>
    <row r="27" spans="1:11" ht="15.75" customHeight="1" x14ac:dyDescent="0.25"/>
    <row r="28" spans="1:11" ht="15.75" customHeight="1" x14ac:dyDescent="0.25"/>
    <row r="29" spans="1:11" ht="15.75" customHeight="1" x14ac:dyDescent="0.25"/>
    <row r="30" spans="1:11" ht="15.75" customHeight="1" x14ac:dyDescent="0.25"/>
    <row r="31" spans="1:11" ht="15.75" customHeight="1" x14ac:dyDescent="0.25"/>
    <row r="32" spans="1:11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dataValidations count="1">
    <dataValidation type="list" allowBlank="1" sqref="C2:C19" xr:uid="{00000000-0002-0000-0000-000000000000}">
      <formula1>"Car,Motorcycle,Jeepney,Bus,Truck,Tricycle"</formula1>
    </dataValidation>
  </dataValidations>
  <pageMargins left="0.75" right="0.75" top="1" bottom="1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00"/>
  <sheetViews>
    <sheetView workbookViewId="0">
      <selection activeCell="D35" sqref="D35"/>
    </sheetView>
  </sheetViews>
  <sheetFormatPr defaultColWidth="14.42578125" defaultRowHeight="15" customHeight="1" x14ac:dyDescent="0.25"/>
  <cols>
    <col min="1" max="1" width="15.85546875" customWidth="1"/>
    <col min="2" max="2" width="20.140625" customWidth="1"/>
    <col min="3" max="3" width="15.85546875" customWidth="1"/>
    <col min="4" max="26" width="8.7109375" customWidth="1"/>
  </cols>
  <sheetData>
    <row r="1" spans="1:3" x14ac:dyDescent="0.25">
      <c r="A1" s="1" t="s">
        <v>2</v>
      </c>
      <c r="B1" s="1" t="s">
        <v>7</v>
      </c>
      <c r="C1" s="1" t="s">
        <v>5</v>
      </c>
    </row>
    <row r="2" spans="1:3" x14ac:dyDescent="0.25">
      <c r="A2" s="2" t="s">
        <v>12</v>
      </c>
      <c r="B2" s="2">
        <v>1</v>
      </c>
      <c r="C2" s="2">
        <v>1.5</v>
      </c>
    </row>
    <row r="3" spans="1:3" x14ac:dyDescent="0.25">
      <c r="A3" s="2" t="s">
        <v>13</v>
      </c>
      <c r="B3" s="2">
        <v>0.35</v>
      </c>
      <c r="C3" s="2">
        <v>1.2</v>
      </c>
    </row>
    <row r="4" spans="1:3" x14ac:dyDescent="0.25">
      <c r="A4" s="2" t="s">
        <v>14</v>
      </c>
      <c r="B4" s="2">
        <v>1.8</v>
      </c>
      <c r="C4" s="2">
        <v>10</v>
      </c>
    </row>
    <row r="5" spans="1:3" x14ac:dyDescent="0.25">
      <c r="A5" s="2" t="s">
        <v>15</v>
      </c>
      <c r="B5" s="2">
        <v>2.8</v>
      </c>
      <c r="C5" s="2">
        <v>30</v>
      </c>
    </row>
    <row r="6" spans="1:3" x14ac:dyDescent="0.25">
      <c r="A6" s="2" t="s">
        <v>16</v>
      </c>
      <c r="B6" s="2">
        <v>2.6</v>
      </c>
      <c r="C6" s="2">
        <v>1</v>
      </c>
    </row>
    <row r="7" spans="1:3" x14ac:dyDescent="0.25">
      <c r="A7" s="2" t="s">
        <v>17</v>
      </c>
      <c r="B7" s="2">
        <v>0.6</v>
      </c>
      <c r="C7" s="2">
        <v>2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000"/>
  <sheetViews>
    <sheetView workbookViewId="0">
      <selection activeCell="E28" sqref="E28"/>
    </sheetView>
  </sheetViews>
  <sheetFormatPr defaultColWidth="14.42578125" defaultRowHeight="15" customHeight="1" x14ac:dyDescent="0.25"/>
  <cols>
    <col min="1" max="3" width="8.7109375" customWidth="1"/>
    <col min="4" max="6" width="20.140625" customWidth="1"/>
    <col min="7" max="8" width="22.7109375" customWidth="1"/>
    <col min="9" max="11" width="20.140625" customWidth="1"/>
    <col min="12" max="26" width="8.7109375" customWidth="1"/>
  </cols>
  <sheetData>
    <row r="1" spans="1:11" x14ac:dyDescent="0.25">
      <c r="A1" s="1" t="s">
        <v>0</v>
      </c>
      <c r="B1" s="1" t="s">
        <v>1</v>
      </c>
      <c r="C1" s="1" t="s">
        <v>4</v>
      </c>
      <c r="D1" s="1" t="s">
        <v>20</v>
      </c>
      <c r="E1" s="1" t="s">
        <v>21</v>
      </c>
      <c r="F1" s="1" t="s">
        <v>22</v>
      </c>
      <c r="G1" s="1" t="s">
        <v>23</v>
      </c>
      <c r="H1" s="1" t="s">
        <v>24</v>
      </c>
      <c r="I1" s="1" t="s">
        <v>25</v>
      </c>
      <c r="J1" s="1" t="s">
        <v>26</v>
      </c>
      <c r="K1" s="1" t="s">
        <v>27</v>
      </c>
    </row>
    <row r="2" spans="1:11" x14ac:dyDescent="0.25">
      <c r="A2" s="2">
        <v>2</v>
      </c>
      <c r="B2" s="2" t="s">
        <v>11</v>
      </c>
      <c r="C2" s="2">
        <v>300</v>
      </c>
      <c r="D2" s="2">
        <f>SUMIFS(Raw_Annotations!$D:$D,Raw_Annotations!$A:$A,$A2,Raw_Annotations!$B:$B,$B2)</f>
        <v>130</v>
      </c>
      <c r="E2" s="2">
        <f>SUMIFS(Raw_Annotations!$I:$I,Raw_Annotations!$A:$A,$A2,Raw_Annotations!$B:$B,$B2)</f>
        <v>125.45</v>
      </c>
      <c r="F2" s="2">
        <f t="shared" ref="F2:F4" si="0">IF(C2=0,0,D2*3600/C2)</f>
        <v>1560</v>
      </c>
      <c r="G2" s="2">
        <f>SUMIFS(Raw_Annotations!$G:$G,Raw_Annotations!$A:$A,$A2,Raw_Annotations!$B:$B,$B2)</f>
        <v>402.3</v>
      </c>
      <c r="H2" s="2">
        <f t="shared" ref="H2:H4" si="1">IF(C2=0,0,G2*3600/C2)</f>
        <v>4827.6000000000004</v>
      </c>
      <c r="I2" s="2">
        <f>SUMIFS(Raw_Annotations!$G:$G,Raw_Annotations!$A:$A,$A2,Raw_Annotations!$B:$B,$B2,Raw_Annotations!$C:$C,"Jeepney")+SUMIFS(Raw_Annotations!$G:$G,Raw_Annotations!$A:$A,$A2,Raw_Annotations!$B:$B,$B2,Raw_Annotations!$C:$C,"Bus")</f>
        <v>250</v>
      </c>
      <c r="J2" s="2">
        <f t="shared" ref="J2:J4" si="2">IF(G2=0,0,I2/G2)</f>
        <v>0.62142679592344019</v>
      </c>
      <c r="K2" s="2">
        <f>IF(E2=0,0,(SUMIFS(Raw_Annotations!$I:$I,Raw_Annotations!$A:$A,$A2,Raw_Annotations!$B:$B,$B2,Raw_Annotations!$C:$C,"Jeepney")+SUMIFS(Raw_Annotations!$I:$I,Raw_Annotations!$A:$A,$A2,Raw_Annotations!$B:$B,$B2,Raw_Annotations!$C:$C,"Bus"))/E2)</f>
        <v>0.31725787166201674</v>
      </c>
    </row>
    <row r="3" spans="1:11" x14ac:dyDescent="0.25">
      <c r="A3" s="2">
        <v>2</v>
      </c>
      <c r="B3" s="2" t="s">
        <v>18</v>
      </c>
      <c r="C3" s="2">
        <v>300</v>
      </c>
      <c r="D3" s="2">
        <f>SUMIFS(Raw_Annotations!$D:$D,Raw_Annotations!$A:$A,$A3,Raw_Annotations!$B:$B,$B3)</f>
        <v>119</v>
      </c>
      <c r="E3" s="2">
        <f>SUMIFS(Raw_Annotations!$I:$I,Raw_Annotations!$A:$A,$A3,Raw_Annotations!$B:$B,$B3)</f>
        <v>118.14999999999999</v>
      </c>
      <c r="F3" s="2">
        <f t="shared" si="0"/>
        <v>1428</v>
      </c>
      <c r="G3" s="2">
        <f>SUMIFS(Raw_Annotations!$G:$G,Raw_Annotations!$A:$A,$A3,Raw_Annotations!$B:$B,$B3)</f>
        <v>362.3</v>
      </c>
      <c r="H3" s="2">
        <f t="shared" si="1"/>
        <v>4347.6000000000004</v>
      </c>
      <c r="I3" s="2">
        <f>SUMIFS(Raw_Annotations!$G:$G,Raw_Annotations!$A:$A,$A3,Raw_Annotations!$B:$B,$B3,Raw_Annotations!$C:$C,"Jeepney")+SUMIFS(Raw_Annotations!$G:$G,Raw_Annotations!$A:$A,$A3,Raw_Annotations!$B:$B,$B3,Raw_Annotations!$C:$C,"Bus")</f>
        <v>220</v>
      </c>
      <c r="J3" s="2">
        <f t="shared" si="2"/>
        <v>0.60723157604195421</v>
      </c>
      <c r="K3" s="2">
        <f>IF(E3=0,0,(SUMIFS(Raw_Annotations!$I:$I,Raw_Annotations!$A:$A,$A3,Raw_Annotations!$B:$B,$B3,Raw_Annotations!$C:$C,"Jeepney")+SUMIFS(Raw_Annotations!$I:$I,Raw_Annotations!$A:$A,$A3,Raw_Annotations!$B:$B,$B3,Raw_Annotations!$C:$C,"Bus"))/E3)</f>
        <v>0.29115531104528142</v>
      </c>
    </row>
    <row r="4" spans="1:11" x14ac:dyDescent="0.25">
      <c r="A4" s="2">
        <v>2</v>
      </c>
      <c r="B4" s="2" t="s">
        <v>19</v>
      </c>
      <c r="C4" s="2">
        <v>300</v>
      </c>
      <c r="D4" s="2">
        <f>SUMIFS(Raw_Annotations!$D:$D,Raw_Annotations!$A:$A,$A4,Raw_Annotations!$B:$B,$B4)</f>
        <v>98</v>
      </c>
      <c r="E4" s="2">
        <f>SUMIFS(Raw_Annotations!$I:$I,Raw_Annotations!$A:$A,$A4,Raw_Annotations!$B:$B,$B4)</f>
        <v>97.149999999999991</v>
      </c>
      <c r="F4" s="2">
        <f t="shared" si="0"/>
        <v>1176</v>
      </c>
      <c r="G4" s="2">
        <f>SUMIFS(Raw_Annotations!$G:$G,Raw_Annotations!$A:$A,$A4,Raw_Annotations!$B:$B,$B4)</f>
        <v>349.8</v>
      </c>
      <c r="H4" s="2">
        <f t="shared" si="1"/>
        <v>4197.6000000000004</v>
      </c>
      <c r="I4" s="2">
        <f>SUMIFS(Raw_Annotations!$G:$G,Raw_Annotations!$A:$A,$A4,Raw_Annotations!$B:$B,$B4,Raw_Annotations!$C:$C,"Jeepney")+SUMIFS(Raw_Annotations!$G:$G,Raw_Annotations!$A:$A,$A4,Raw_Annotations!$B:$B,$B4,Raw_Annotations!$C:$C,"Bus")</f>
        <v>240</v>
      </c>
      <c r="J4" s="2">
        <f t="shared" si="2"/>
        <v>0.68610634648370494</v>
      </c>
      <c r="K4" s="2">
        <f>IF(E4=0,0,(SUMIFS(Raw_Annotations!$I:$I,Raw_Annotations!$A:$A,$A4,Raw_Annotations!$B:$B,$B4,Raw_Annotations!$C:$C,"Jeepney")+SUMIFS(Raw_Annotations!$I:$I,Raw_Annotations!$A:$A,$A4,Raw_Annotations!$B:$B,$B4,Raw_Annotations!$C:$C,"Bus"))/E4)</f>
        <v>0.39114770972722596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1000"/>
  <sheetViews>
    <sheetView workbookViewId="0"/>
  </sheetViews>
  <sheetFormatPr defaultColWidth="14.42578125" defaultRowHeight="15" customHeight="1" x14ac:dyDescent="0.25"/>
  <cols>
    <col min="1" max="26" width="8.7109375" customWidth="1"/>
  </cols>
  <sheetData>
    <row r="1" spans="1:1" x14ac:dyDescent="0.25">
      <c r="A1" s="2" t="s">
        <v>28</v>
      </c>
    </row>
    <row r="3" spans="1:1" x14ac:dyDescent="0.25">
      <c r="A3" s="2" t="s">
        <v>29</v>
      </c>
    </row>
    <row r="4" spans="1:1" x14ac:dyDescent="0.25">
      <c r="A4" s="2" t="s">
        <v>30</v>
      </c>
    </row>
    <row r="5" spans="1:1" x14ac:dyDescent="0.25">
      <c r="A5" s="2" t="s">
        <v>31</v>
      </c>
    </row>
    <row r="6" spans="1:1" x14ac:dyDescent="0.25">
      <c r="A6" s="2" t="s">
        <v>32</v>
      </c>
    </row>
    <row r="7" spans="1:1" x14ac:dyDescent="0.25">
      <c r="A7" s="2" t="s">
        <v>33</v>
      </c>
    </row>
    <row r="9" spans="1:1" x14ac:dyDescent="0.25">
      <c r="A9" s="2" t="s">
        <v>34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Raw_Annotations</vt:lpstr>
      <vt:lpstr>Vehicle_Params</vt:lpstr>
      <vt:lpstr>Aggregates</vt:lpstr>
      <vt:lpstr>GUIDE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Jhon Fabul</cp:lastModifiedBy>
  <dcterms:created xsi:type="dcterms:W3CDTF">2025-08-28T10:27:28Z</dcterms:created>
  <dcterms:modified xsi:type="dcterms:W3CDTF">2025-09-26T01:49:00Z</dcterms:modified>
</cp:coreProperties>
</file>