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User\Documents\Teaching\IDC\Finance 1\Lecture 1\"/>
    </mc:Choice>
  </mc:AlternateContent>
  <xr:revisionPtr revIDLastSave="0" documentId="8_{4D97CF0C-B3B9-4F75-B52F-A8C15FE768BB}" xr6:coauthVersionLast="45" xr6:coauthVersionMax="45" xr10:uidLastSave="{00000000-0000-0000-0000-000000000000}"/>
  <bookViews>
    <workbookView xWindow="-108" yWindow="-108" windowWidth="23256" windowHeight="12576" firstSheet="1" activeTab="11" xr2:uid="{7B44BAF0-5656-49E5-A319-E888E1D9E2CA}"/>
  </bookViews>
  <sheets>
    <sheet name="General" sheetId="8" r:id="rId1"/>
    <sheet name="Q1" sheetId="1" r:id="rId2"/>
    <sheet name="Q2" sheetId="7" r:id="rId3"/>
    <sheet name="Q3" sheetId="5" r:id="rId4"/>
    <sheet name="Q4" sheetId="2" r:id="rId5"/>
    <sheet name="Q5" sheetId="3" r:id="rId6"/>
    <sheet name="Q6" sheetId="4" r:id="rId7"/>
    <sheet name="Q7" sheetId="6" r:id="rId8"/>
    <sheet name="Q8" sheetId="9" r:id="rId9"/>
    <sheet name="Q9" sheetId="10" r:id="rId10"/>
    <sheet name="Q10" sheetId="14" r:id="rId11"/>
    <sheet name="Q11" sheetId="15"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5" l="1"/>
  <c r="B14" i="15"/>
  <c r="E17" i="15"/>
  <c r="B12" i="15"/>
  <c r="B11" i="15"/>
  <c r="B6" i="15"/>
  <c r="B27" i="14"/>
  <c r="B25" i="14"/>
  <c r="B24" i="14"/>
  <c r="C19" i="14"/>
  <c r="B14" i="14"/>
  <c r="C17" i="14"/>
  <c r="B11" i="14"/>
  <c r="B9" i="14"/>
  <c r="B7" i="14"/>
  <c r="B26" i="10" l="1"/>
  <c r="B27" i="10" s="1"/>
  <c r="F30" i="10" s="1"/>
  <c r="B20" i="10"/>
  <c r="B21" i="10" s="1"/>
  <c r="E29" i="10" s="1"/>
  <c r="B19" i="10"/>
  <c r="B18" i="10"/>
  <c r="B14" i="10"/>
  <c r="B5" i="9"/>
  <c r="B6" i="9"/>
  <c r="C10" i="6"/>
  <c r="B5" i="4"/>
  <c r="C5" i="4" s="1"/>
  <c r="D5" i="4" s="1"/>
  <c r="E5" i="4" s="1"/>
  <c r="F5" i="4" s="1"/>
  <c r="G5" i="4" s="1"/>
  <c r="H5" i="4" s="1"/>
  <c r="I5" i="4" s="1"/>
  <c r="J5" i="4" s="1"/>
  <c r="K5" i="4" s="1"/>
  <c r="L5" i="4" s="1"/>
  <c r="M5" i="4" s="1"/>
  <c r="B4" i="4"/>
  <c r="A4" i="4"/>
  <c r="C10" i="3"/>
  <c r="D5" i="3" s="1"/>
  <c r="C50" i="2"/>
  <c r="C46" i="2"/>
  <c r="C42" i="2"/>
  <c r="C38" i="2"/>
  <c r="C34" i="2"/>
  <c r="C30" i="2"/>
  <c r="C26" i="2"/>
  <c r="A41" i="2"/>
  <c r="A42" i="2" s="1"/>
  <c r="A43" i="2" s="1"/>
  <c r="A44" i="2" s="1"/>
  <c r="A45" i="2" s="1"/>
  <c r="A46" i="2" s="1"/>
  <c r="A47" i="2" s="1"/>
  <c r="A48" i="2" s="1"/>
  <c r="A49" i="2" s="1"/>
  <c r="A50" i="2" s="1"/>
  <c r="A51" i="2" s="1"/>
  <c r="A52" i="2" s="1"/>
  <c r="A53" i="2" s="1"/>
  <c r="A25" i="2"/>
  <c r="A26" i="2" s="1"/>
  <c r="A27" i="2" s="1"/>
  <c r="A28" i="2" s="1"/>
  <c r="A29" i="2" s="1"/>
  <c r="A30" i="2" s="1"/>
  <c r="A31" i="2" s="1"/>
  <c r="A32" i="2" s="1"/>
  <c r="A33" i="2" s="1"/>
  <c r="A34" i="2" s="1"/>
  <c r="A35" i="2" s="1"/>
  <c r="A36" i="2" s="1"/>
  <c r="A37" i="2" s="1"/>
  <c r="A38" i="2" s="1"/>
  <c r="A39" i="2" s="1"/>
  <c r="A40" i="2" s="1"/>
  <c r="B16" i="2"/>
  <c r="F57" i="2" s="1"/>
  <c r="G12" i="2"/>
  <c r="E12" i="2"/>
  <c r="D12" i="2"/>
  <c r="C12" i="2"/>
  <c r="B17" i="5"/>
  <c r="B21" i="5" s="1"/>
  <c r="B24" i="5" s="1"/>
  <c r="F6" i="5"/>
  <c r="G6" i="5"/>
  <c r="H6" i="5"/>
  <c r="J6" i="5"/>
  <c r="B24" i="7"/>
  <c r="B16" i="7"/>
  <c r="B15" i="1"/>
  <c r="B12" i="1"/>
  <c r="B17" i="1" s="1"/>
  <c r="L6" i="1"/>
  <c r="E5" i="3" l="1"/>
  <c r="F5" i="3" s="1"/>
  <c r="G5" i="3" s="1"/>
  <c r="H5" i="3" s="1"/>
  <c r="I5" i="3" s="1"/>
  <c r="J5" i="3" s="1"/>
  <c r="K5" i="3" s="1"/>
  <c r="L5" i="3" s="1"/>
  <c r="M5" i="3" s="1"/>
  <c r="N5" i="3" s="1"/>
  <c r="O5" i="3" s="1"/>
  <c r="P5" i="3" s="1"/>
  <c r="Q5" i="3" s="1"/>
  <c r="R5" i="3" s="1"/>
  <c r="S5" i="3" s="1"/>
  <c r="B20" i="2"/>
  <c r="B24" i="2" s="1"/>
  <c r="C24" i="2"/>
  <c r="C28" i="2"/>
  <c r="C32" i="2"/>
  <c r="C36" i="2"/>
  <c r="C40" i="2"/>
  <c r="C44" i="2"/>
  <c r="C48" i="2"/>
  <c r="C52" i="2"/>
  <c r="K18" i="3"/>
  <c r="C25" i="2"/>
  <c r="C29" i="2"/>
  <c r="C33" i="2"/>
  <c r="C37" i="2"/>
  <c r="C41" i="2"/>
  <c r="C45" i="2"/>
  <c r="C49" i="2"/>
  <c r="C53" i="2"/>
  <c r="C27" i="2"/>
  <c r="C31" i="2"/>
  <c r="C35" i="2"/>
  <c r="C39" i="2"/>
  <c r="C43" i="2"/>
  <c r="C47" i="2"/>
  <c r="C51" i="2"/>
  <c r="C4" i="4"/>
  <c r="D4" i="4" s="1"/>
  <c r="E4" i="4" s="1"/>
  <c r="F4" i="4" s="1"/>
  <c r="G4" i="4" s="1"/>
  <c r="H4" i="4" s="1"/>
  <c r="I4" i="4" s="1"/>
  <c r="J4" i="4" s="1"/>
  <c r="K4" i="4" s="1"/>
  <c r="L4" i="4" s="1"/>
  <c r="M4" i="4" s="1"/>
  <c r="D24" i="2" l="1"/>
  <c r="E24" i="2" s="1"/>
  <c r="F24" i="2" s="1"/>
  <c r="B25" i="2" s="1"/>
  <c r="D15" i="3"/>
  <c r="C9" i="4"/>
  <c r="D25" i="2" l="1"/>
  <c r="E25" i="2" s="1"/>
  <c r="F25" i="2" s="1"/>
  <c r="B26" i="2" s="1"/>
  <c r="D26" i="2" l="1"/>
  <c r="E26" i="2" s="1"/>
  <c r="F26" i="2" s="1"/>
  <c r="B27" i="2" s="1"/>
  <c r="D27" i="2" s="1"/>
  <c r="E27" i="2" s="1"/>
  <c r="F27" i="2" s="1"/>
  <c r="B28" i="2" s="1"/>
  <c r="D28" i="2" s="1"/>
  <c r="E28" i="2" s="1"/>
  <c r="F28" i="2" s="1"/>
  <c r="B29" i="2" s="1"/>
  <c r="D29" i="2" s="1"/>
  <c r="E29" i="2" s="1"/>
  <c r="F29" i="2" s="1"/>
  <c r="B30" i="2" s="1"/>
  <c r="D30" i="2" l="1"/>
  <c r="E30" i="2" s="1"/>
  <c r="F30" i="2" s="1"/>
  <c r="B31" i="2" s="1"/>
  <c r="D31" i="2" l="1"/>
  <c r="E31" i="2" s="1"/>
  <c r="F31" i="2" s="1"/>
  <c r="B32" i="2" s="1"/>
  <c r="D32" i="2" l="1"/>
  <c r="E32" i="2" s="1"/>
  <c r="F32" i="2" s="1"/>
  <c r="B33" i="2" s="1"/>
  <c r="D33" i="2" l="1"/>
  <c r="E33" i="2" s="1"/>
  <c r="F33" i="2" s="1"/>
  <c r="B34" i="2" s="1"/>
  <c r="D34" i="2" l="1"/>
  <c r="E34" i="2" s="1"/>
  <c r="F34" i="2" s="1"/>
  <c r="B35" i="2" s="1"/>
  <c r="D35" i="2" l="1"/>
  <c r="E35" i="2" s="1"/>
  <c r="F35" i="2" s="1"/>
  <c r="B36" i="2" l="1"/>
  <c r="C56" i="2"/>
  <c r="D36" i="2"/>
  <c r="E36" i="2" s="1"/>
  <c r="F36" i="2" s="1"/>
  <c r="B37" i="2" s="1"/>
  <c r="D37" i="2" l="1"/>
  <c r="E37" i="2" s="1"/>
  <c r="F37" i="2" s="1"/>
  <c r="B38" i="2" s="1"/>
  <c r="D38" i="2" l="1"/>
  <c r="E38" i="2" s="1"/>
  <c r="F38" i="2" s="1"/>
  <c r="B39" i="2" s="1"/>
  <c r="D39" i="2" l="1"/>
  <c r="E39" i="2" s="1"/>
  <c r="F39" i="2" s="1"/>
  <c r="B40" i="2" s="1"/>
  <c r="D40" i="2" l="1"/>
  <c r="E40" i="2" s="1"/>
  <c r="F40" i="2" s="1"/>
  <c r="B41" i="2" s="1"/>
  <c r="D41" i="2" l="1"/>
  <c r="E41" i="2" s="1"/>
  <c r="F41" i="2" s="1"/>
  <c r="B42" i="2" s="1"/>
  <c r="D42" i="2" l="1"/>
  <c r="E42" i="2" s="1"/>
  <c r="F42" i="2" s="1"/>
  <c r="B43" i="2" s="1"/>
  <c r="D43" i="2" l="1"/>
  <c r="E43" i="2" s="1"/>
  <c r="F43" i="2" s="1"/>
  <c r="B44" i="2" s="1"/>
  <c r="D44" i="2" l="1"/>
  <c r="E44" i="2" s="1"/>
  <c r="F44" i="2" s="1"/>
  <c r="B45" i="2" s="1"/>
  <c r="D45" i="2" l="1"/>
  <c r="E45" i="2" s="1"/>
  <c r="F45" i="2" s="1"/>
  <c r="B46" i="2" s="1"/>
  <c r="D46" i="2" l="1"/>
  <c r="E46" i="2" s="1"/>
  <c r="F46" i="2" s="1"/>
  <c r="B47" i="2" s="1"/>
  <c r="D47" i="2" l="1"/>
  <c r="E47" i="2" s="1"/>
  <c r="F47" i="2" s="1"/>
  <c r="B48" i="2" s="1"/>
  <c r="D48" i="2" l="1"/>
  <c r="E48" i="2" s="1"/>
  <c r="F48" i="2" s="1"/>
  <c r="B49" i="2" s="1"/>
  <c r="D49" i="2" l="1"/>
  <c r="E49" i="2" s="1"/>
  <c r="F49" i="2" s="1"/>
  <c r="B50" i="2" s="1"/>
  <c r="D50" i="2" l="1"/>
  <c r="E50" i="2" s="1"/>
  <c r="F50" i="2" s="1"/>
  <c r="B51" i="2" s="1"/>
  <c r="D51" i="2" l="1"/>
  <c r="E51" i="2" s="1"/>
  <c r="F51" i="2"/>
  <c r="B52" i="2" s="1"/>
  <c r="D52" i="2" l="1"/>
  <c r="E52" i="2" s="1"/>
  <c r="F52" i="2" s="1"/>
  <c r="B53" i="2" s="1"/>
  <c r="D53" i="2" l="1"/>
  <c r="E53" i="2" s="1"/>
  <c r="F53" i="2" s="1"/>
</calcChain>
</file>

<file path=xl/sharedStrings.xml><?xml version="1.0" encoding="utf-8"?>
<sst xmlns="http://schemas.openxmlformats.org/spreadsheetml/2006/main" count="168" uniqueCount="110">
  <si>
    <t> Your daughter is currently eight years old. You anticipate that she will be going to college in 10 years.
 You would like to have $100,000 in a savings account to fund her education at that time. If the account promises to pay a fixed interest rate of 3% per year, how much money do you need to put into the account today to ensure that you will have $100,000 in 10 years?</t>
  </si>
  <si>
    <t xml:space="preserve">When you purchased your house, you took out a 30-year annual-payment mortgage with an interest rate of 6% per year. 
The annual payment on the mortgage is $12,000. 
</t>
  </si>
  <si>
    <t>a. What was the amount of the original loan that you took?</t>
  </si>
  <si>
    <t>b. Prepare an amortization table for the loan</t>
  </si>
  <si>
    <t>What is your outstanding balance?</t>
  </si>
  <si>
    <t>You work for a pharmaceutical company that has developed a new drug. The patent on the drug will last 17 years.
 You expect that the drug’s profits will be $2 million in its first year and that this amount will grow at a rate of 5% per year for the next 17 years. Once the patent expires, other pharmaceutical companies will be able to produce the same drug and competition will likely drive profits to zero. What is the present value of the new drug if the interest rate is 10% per year?</t>
  </si>
  <si>
    <t>You have just turned 30 years old, have just received your MBA, and have accepted your first job. Now you must decide how much money to put into your retirement plan. The plan works as follows: Every dollar in the plan earns 7% per year. You cannot make withdrawals until you retire on your sixty-fifth birthday. 
After that point, you can make withdrawals as you see fit. You decide that you will plan to live to 100 and work until you turn 65. You estimate that to live comfortably in retirement, you will need $100,000 per year starting at the end of the first year of retirement and ending on your 100th birthday. You will contribute the same amount to the plan at the end of every year that you work. How much do you need to contribute each year to fund your retirement?</t>
  </si>
  <si>
    <t xml:space="preserve"> You are 25 years old and decide to start saving for your retirement. You plan to save $5000 at the end of each year (so the first deposit will be one year from now), and will make the last deposit when you retire at age 65. Suppose you earn 8% per year on your retirement savings.
How much will you have saved for retirement?
How much will you have saved if you wait until age 35 to start saving (again, with your first deposit at the end of the year)?</t>
  </si>
  <si>
    <t>Name:</t>
  </si>
  <si>
    <t>Assignment 1. Managerial Finance</t>
  </si>
  <si>
    <t>Please solve the questions in this excel file and upload it to the portal when you are done.</t>
  </si>
  <si>
    <t>A credit card company charges and APR of 12% compounded daily on balance not paid. 
Suppose that you have a balance of $1000 and you plan to pay this balance only a year from today. What amount will you need to pay next year? What is your effective annual rate (EAR)?</t>
  </si>
  <si>
    <t>You plan to take a ten-year loan for $100,000. You wish to repay the loan in semiannaul equal installments. The bank charges a rate of 6% APR compounded monthly on your loan. 
a. What should be your semiannual payment?
b. Repeat part (a) assuming that you will pay the loan in annual installments.
c. Compare your two answers. Why isn't it the case that your answer in part (a) is simply half of your answer in part (b)?</t>
  </si>
  <si>
    <t>Solution:</t>
  </si>
  <si>
    <t>Timeline:</t>
  </si>
  <si>
    <t>Need to find the present value as of date 0 (age 8 of your daughter) of $100,000</t>
  </si>
  <si>
    <t xml:space="preserve">FV = </t>
  </si>
  <si>
    <t>r</t>
  </si>
  <si>
    <t>r=</t>
  </si>
  <si>
    <t>N</t>
  </si>
  <si>
    <t>N=</t>
  </si>
  <si>
    <t xml:space="preserve">PV = </t>
  </si>
  <si>
    <t>Alternatively, use the PV formula</t>
  </si>
  <si>
    <t>PV=</t>
  </si>
  <si>
    <t>Age 25</t>
  </si>
  <si>
    <t>…</t>
  </si>
  <si>
    <t>Age 65</t>
  </si>
  <si>
    <t>Need to find the future value of an annuity</t>
  </si>
  <si>
    <t>PMT=</t>
  </si>
  <si>
    <t>FV=</t>
  </si>
  <si>
    <t>If start at age 35 then:</t>
  </si>
  <si>
    <t>Timeline</t>
  </si>
  <si>
    <t>Age 30</t>
  </si>
  <si>
    <t>..</t>
  </si>
  <si>
    <t>-C</t>
  </si>
  <si>
    <t>Step 1:</t>
  </si>
  <si>
    <t>Find how much needs to be in the account at age 65:</t>
  </si>
  <si>
    <t>Payment</t>
  </si>
  <si>
    <t>PV</t>
  </si>
  <si>
    <t>Need to calculate the present value of the annuity:</t>
  </si>
  <si>
    <t>Step 2:</t>
  </si>
  <si>
    <t>Find the annual payment:</t>
  </si>
  <si>
    <t>Future value</t>
  </si>
  <si>
    <t xml:space="preserve">c. You have lived in the house for 12 years (so there are 18 years left on the mortgage) </t>
  </si>
  <si>
    <t>and you wish to pay off the mortgage by repaying the outstanding balance.</t>
  </si>
  <si>
    <t>Solution</t>
  </si>
  <si>
    <t>a.</t>
  </si>
  <si>
    <t>Loan amt:</t>
  </si>
  <si>
    <t>b.</t>
  </si>
  <si>
    <t>Beginning balance</t>
  </si>
  <si>
    <t>Interest</t>
  </si>
  <si>
    <t xml:space="preserve">Principal </t>
  </si>
  <si>
    <t>Ending balance</t>
  </si>
  <si>
    <t>c.</t>
  </si>
  <si>
    <t>The outstanding balance is:</t>
  </si>
  <si>
    <t>This can be found also by taking the present value of the remaining payment:</t>
  </si>
  <si>
    <t>Growth</t>
  </si>
  <si>
    <t>Annual growth</t>
  </si>
  <si>
    <t>C1</t>
  </si>
  <si>
    <t>Method 1:</t>
  </si>
  <si>
    <t>Use the NPV formula:</t>
  </si>
  <si>
    <t>million</t>
  </si>
  <si>
    <t>Method 2:</t>
  </si>
  <si>
    <t>Use the formula for growing annuity (not shown in class. Appears in the book. Not required for exam):</t>
  </si>
  <si>
    <t>Present value:</t>
  </si>
  <si>
    <t>Note that since the interest rate is 5% and the growth is 5%, the present value of each cash flow stays 10000. Therefore, 13*10000=130000</t>
  </si>
  <si>
    <r>
      <t>Your oldest daughter is about to start kindergarten at a private school. Tuition is $10,000 per year, payable at the </t>
    </r>
    <r>
      <rPr>
        <i/>
        <sz val="14"/>
        <color rgb="FF000000"/>
        <rFont val="Arial"/>
        <family val="2"/>
      </rPr>
      <t>beginning</t>
    </r>
    <r>
      <rPr>
        <sz val="14"/>
        <color rgb="FF000000"/>
        <rFont val="Arial"/>
        <family val="2"/>
      </rPr>
      <t> of the school year.
You expect to keep your daughter in private school through high school. You expect tuition to increase at a rate of 5% per year over the 13 years of her schooling. What is the present value of the tuition payments if the interest rate is 5% per year? How much would you need to have in the bank now to fund all 13 years of tuition? (Hint: You can solve by setting the cash flows and finding PV directly)</t>
    </r>
  </si>
  <si>
    <t>Using the Gordon Growth Model:</t>
  </si>
  <si>
    <t xml:space="preserve">C1 = </t>
  </si>
  <si>
    <t>g=</t>
  </si>
  <si>
    <t>A firm pays a dividend of $1 per share next year. The dividend is expected to grow at an annual rate of 2%. What is the value of the firm (per share) if the interest rate in the economy is 5%?</t>
  </si>
  <si>
    <t>Value (per share):</t>
  </si>
  <si>
    <t>EAR=</t>
  </si>
  <si>
    <t>APR=</t>
  </si>
  <si>
    <t>K=</t>
  </si>
  <si>
    <t xml:space="preserve"> Step 1 - determine time interval:</t>
  </si>
  <si>
    <t>Semi Annual</t>
  </si>
  <si>
    <t>Number of periods:</t>
  </si>
  <si>
    <t xml:space="preserve">10 years * 2 times a year = </t>
  </si>
  <si>
    <t>Semi annual interest rate:</t>
  </si>
  <si>
    <t>k=</t>
  </si>
  <si>
    <t>m=</t>
  </si>
  <si>
    <t>r_eff=</t>
  </si>
  <si>
    <t>Step 2: determine number of periods and interest rate:</t>
  </si>
  <si>
    <t>Step 3:</t>
  </si>
  <si>
    <t>Find payment:</t>
  </si>
  <si>
    <t>b</t>
  </si>
  <si>
    <t>Twice the semi-annual payments are:</t>
  </si>
  <si>
    <t>This amount is indeed smaller than the annual payment:</t>
  </si>
  <si>
    <t>The reason for this difference is that when you make semi annual payments, one payment is after six month and the other payment is after a year..</t>
  </si>
  <si>
    <t>In contrast when you make annual payment, the entire amount is in a year. Therefore, the payment after six months worth more to the bank (because it is</t>
  </si>
  <si>
    <t>relatively earlier). Therefore, the payment is less than half of the annual payment.</t>
  </si>
  <si>
    <t xml:space="preserve">You wish to take a loan of $500,000 for 3 years. The loan will be repaid monthly in equal installments starting a month from today. 
The APR on the loan is 4%, compounded monthly. 
i. What should be the monthly payment on the loan?
ii. Of the first payment, how much of it is paid towards interest and how much of it is paid towards principal?
iii. After two years of payments, you received a large bonus and you wish to close the loan. What is your outstanding balance?
</t>
  </si>
  <si>
    <t>Step 1: timeline</t>
  </si>
  <si>
    <t>r (monthly)</t>
  </si>
  <si>
    <t>Payment:</t>
  </si>
  <si>
    <t>i.</t>
  </si>
  <si>
    <t>ii.</t>
  </si>
  <si>
    <t xml:space="preserve">interest: r*PV = </t>
  </si>
  <si>
    <t>Principal:</t>
  </si>
  <si>
    <t>iii</t>
  </si>
  <si>
    <t>This can be done by using an amortization table, or by realizing that the outstanding balance at any point is the present value of the remaining payments. Therefore:</t>
  </si>
  <si>
    <t>PMT</t>
  </si>
  <si>
    <t>You are about to take a $100,000 loan from the bank. You will have to repay the loan in four equal installments where the first payment 
is in two years. The second payment is in three years, the third payment is in four years and the last payment is in five years.
The APR on the loan is 4%, compounded monthly. 
i.  What is the annual payment?
ii. Of the first payment, how much of it is towards principal and how much of it is towards interest?</t>
  </si>
  <si>
    <t xml:space="preserve">The present value of the payments should equal to the amount borrowed. </t>
  </si>
  <si>
    <t>We can move the payment to year 1 and then use the PMT formula to find C.</t>
  </si>
  <si>
    <t>r (EAR)</t>
  </si>
  <si>
    <t>PV(1)</t>
  </si>
  <si>
    <t>Accumulated interest over two years:</t>
  </si>
  <si>
    <t>Therefore, the rest is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</si>
</sst>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0.000%"/>
    <numFmt numFmtId="166" formatCode="_(* #,##0.0000_);_(* \(#,##0.0000\);_(* &quot;-&quot;??_);_(@_)"/>
  </numFmts>
  <fonts count="9" x14ac:knownFonts="1">
    <font>
      <sz val="12"/>
      <color theme="1"/>
      <name val="Calibri"/>
      <family val="2"/>
      <charset val="177"/>
      <scheme val="minor"/>
    </font>
    <font>
      <sz val="14"/>
      <color rgb="FF000000"/>
      <name val="Arial"/>
      <family val="2"/>
    </font>
    <font>
      <sz val="14"/>
      <color theme="1"/>
      <name val="Arial"/>
      <family val="2"/>
    </font>
    <font>
      <i/>
      <sz val="14"/>
      <color rgb="FF000000"/>
      <name val="Arial"/>
      <family val="2"/>
    </font>
    <font>
      <sz val="16"/>
      <color theme="1"/>
      <name val="Calibri"/>
      <family val="2"/>
      <charset val="177"/>
      <scheme val="minor"/>
    </font>
    <font>
      <b/>
      <u/>
      <sz val="16"/>
      <color theme="1"/>
      <name val="Calibri"/>
      <family val="2"/>
      <scheme val="minor"/>
    </font>
    <font>
      <b/>
      <u/>
      <sz val="12"/>
      <color theme="1"/>
      <name val="Calibri"/>
      <family val="2"/>
      <scheme val="minor"/>
    </font>
    <font>
      <sz val="12"/>
      <color theme="1"/>
      <name val="Calibri"/>
      <family val="2"/>
      <charset val="177"/>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4">
    <xf numFmtId="0" fontId="0" fillId="0" borderId="0"/>
    <xf numFmtId="9"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cellStyleXfs>
  <cellXfs count="65">
    <xf numFmtId="0" fontId="0" fillId="0" borderId="0" xfId="0"/>
    <xf numFmtId="0" fontId="2" fillId="0" borderId="0" xfId="0" applyFont="1"/>
    <xf numFmtId="0" fontId="1" fillId="0" borderId="0" xfId="0" applyFont="1" applyBorder="1" applyAlignment="1">
      <alignment horizontal="left" vertical="top" wrapText="1"/>
    </xf>
    <xf numFmtId="0" fontId="1" fillId="0" borderId="8" xfId="0" applyFont="1" applyBorder="1" applyAlignment="1">
      <alignment horizontal="left" vertical="top" wrapText="1"/>
    </xf>
    <xf numFmtId="0" fontId="2" fillId="0" borderId="7" xfId="0" applyFont="1" applyBorder="1"/>
    <xf numFmtId="0" fontId="2" fillId="0" borderId="0" xfId="0" applyFont="1" applyBorder="1"/>
    <xf numFmtId="0" fontId="2" fillId="0" borderId="8" xfId="0" applyFont="1" applyBorder="1"/>
    <xf numFmtId="0" fontId="2" fillId="0" borderId="10" xfId="0" applyFont="1" applyBorder="1"/>
    <xf numFmtId="0" fontId="2" fillId="0" borderId="11" xfId="0" applyFont="1" applyBorder="1"/>
    <xf numFmtId="0" fontId="4" fillId="0" borderId="0" xfId="0" applyFont="1"/>
    <xf numFmtId="0" fontId="5" fillId="0" borderId="0" xfId="0" applyFont="1"/>
    <xf numFmtId="0" fontId="6" fillId="0" borderId="0" xfId="0" applyFont="1"/>
    <xf numFmtId="10" fontId="0" fillId="0" borderId="0" xfId="1" applyNumberFormat="1" applyFont="1"/>
    <xf numFmtId="0" fontId="0" fillId="0" borderId="12" xfId="0" applyBorder="1"/>
    <xf numFmtId="44" fontId="0" fillId="0" borderId="0" xfId="3" applyFont="1"/>
    <xf numFmtId="9" fontId="0" fillId="0" borderId="0" xfId="0" applyNumberFormat="1"/>
    <xf numFmtId="0" fontId="0" fillId="2" borderId="0" xfId="0" applyFill="1"/>
    <xf numFmtId="8" fontId="0" fillId="0" borderId="0" xfId="0" applyNumberFormat="1"/>
    <xf numFmtId="44" fontId="0" fillId="2" borderId="0" xfId="3" applyFont="1" applyFill="1"/>
    <xf numFmtId="8" fontId="0" fillId="2" borderId="0" xfId="0" applyNumberFormat="1" applyFill="1"/>
    <xf numFmtId="0" fontId="0" fillId="0" borderId="0" xfId="0" applyAlignment="1">
      <alignment horizontal="center"/>
    </xf>
    <xf numFmtId="0" fontId="0" fillId="0" borderId="12" xfId="0" applyBorder="1" applyAlignment="1">
      <alignment horizontal="center"/>
    </xf>
    <xf numFmtId="0" fontId="0" fillId="0" borderId="12" xfId="0" quotePrefix="1" applyBorder="1" applyAlignment="1">
      <alignment horizontal="center"/>
    </xf>
    <xf numFmtId="0" fontId="0" fillId="0" borderId="0" xfId="0" applyAlignment="1">
      <alignment horizontal="left"/>
    </xf>
    <xf numFmtId="0" fontId="0" fillId="0" borderId="0" xfId="0" applyFill="1"/>
    <xf numFmtId="8" fontId="0" fillId="0" borderId="0" xfId="0" applyNumberFormat="1" applyFill="1"/>
    <xf numFmtId="0" fontId="2" fillId="0" borderId="12" xfId="0" applyFont="1" applyBorder="1"/>
    <xf numFmtId="0" fontId="2" fillId="0" borderId="12" xfId="0" applyFont="1" applyBorder="1" applyAlignment="1">
      <alignment horizontal="center"/>
    </xf>
    <xf numFmtId="0" fontId="2" fillId="0" borderId="0" xfId="0" applyFont="1" applyAlignment="1">
      <alignment horizontal="center"/>
    </xf>
    <xf numFmtId="9" fontId="2" fillId="0" borderId="0" xfId="0" applyNumberFormat="1" applyFont="1"/>
    <xf numFmtId="8" fontId="2" fillId="0" borderId="0" xfId="0" applyNumberFormat="1" applyFont="1"/>
    <xf numFmtId="0" fontId="2" fillId="2" borderId="0" xfId="0" applyFont="1" applyFill="1"/>
    <xf numFmtId="8" fontId="2" fillId="2" borderId="0" xfId="0" applyNumberFormat="1" applyFont="1" applyFill="1"/>
    <xf numFmtId="43" fontId="0" fillId="0" borderId="12" xfId="2" applyFont="1" applyBorder="1"/>
    <xf numFmtId="43" fontId="0" fillId="2" borderId="0" xfId="2" applyFont="1" applyFill="1"/>
    <xf numFmtId="43" fontId="0" fillId="2" borderId="0" xfId="0" applyNumberFormat="1" applyFill="1"/>
    <xf numFmtId="2" fontId="0" fillId="2" borderId="0" xfId="0" applyNumberFormat="1" applyFill="1"/>
    <xf numFmtId="10" fontId="0" fillId="2" borderId="0" xfId="1" applyNumberFormat="1" applyFont="1" applyFill="1"/>
    <xf numFmtId="16" fontId="0" fillId="0" borderId="0" xfId="0" applyNumberFormat="1"/>
    <xf numFmtId="164" fontId="0" fillId="0" borderId="0" xfId="1" applyNumberFormat="1" applyFont="1"/>
    <xf numFmtId="164" fontId="0" fillId="0" borderId="0" xfId="0" applyNumberFormat="1"/>
    <xf numFmtId="0" fontId="0" fillId="0" borderId="0" xfId="0" quotePrefix="1" applyAlignment="1">
      <alignment horizontal="center"/>
    </xf>
    <xf numFmtId="0" fontId="8" fillId="0" borderId="0" xfId="0" applyFont="1"/>
    <xf numFmtId="44" fontId="0" fillId="0" borderId="0" xfId="0" applyNumberFormat="1"/>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applyAlignment="1">
      <alignment horizontal="center" vertical="center" wrapText="1"/>
    </xf>
    <xf numFmtId="0" fontId="1" fillId="0" borderId="7" xfId="0" applyFont="1" applyBorder="1" applyAlignment="1">
      <alignment horizontal="left" vertical="top" wrapText="1"/>
    </xf>
    <xf numFmtId="0" fontId="1" fillId="0" borderId="0" xfId="0" applyFont="1" applyBorder="1" applyAlignment="1">
      <alignment horizontal="left" vertical="top" wrapText="1"/>
    </xf>
    <xf numFmtId="0" fontId="1" fillId="0" borderId="1" xfId="0" applyFont="1" applyBorder="1" applyAlignment="1">
      <alignment wrapText="1"/>
    </xf>
    <xf numFmtId="0" fontId="1" fillId="0" borderId="2" xfId="0" applyFont="1" applyBorder="1" applyAlignment="1"/>
    <xf numFmtId="0" fontId="1" fillId="0" borderId="3" xfId="0" applyFont="1" applyBorder="1" applyAlignment="1"/>
    <xf numFmtId="166" fontId="0" fillId="0" borderId="0" xfId="2" applyNumberFormat="1" applyFont="1"/>
  </cellXfs>
  <cellStyles count="4">
    <cellStyle name="Comma" xfId="2" builtinId="3"/>
    <cellStyle name="Currency" xfId="3"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21E4-FDB7-4B56-A120-2AA06A1B63B1}">
  <dimension ref="A1:E4"/>
  <sheetViews>
    <sheetView showGridLines="0" workbookViewId="0">
      <selection activeCell="A3" sqref="A3"/>
    </sheetView>
  </sheetViews>
  <sheetFormatPr defaultRowHeight="15.6" x14ac:dyDescent="0.3"/>
  <sheetData>
    <row r="1" spans="1:5" ht="21" x14ac:dyDescent="0.4">
      <c r="A1" s="10" t="s">
        <v>9</v>
      </c>
      <c r="B1" s="10"/>
      <c r="C1" s="11"/>
      <c r="D1" s="11"/>
      <c r="E1" s="11"/>
    </row>
    <row r="2" spans="1:5" ht="21" x14ac:dyDescent="0.4">
      <c r="A2" s="9" t="s">
        <v>10</v>
      </c>
      <c r="B2" s="9"/>
    </row>
    <row r="3" spans="1:5" ht="21" x14ac:dyDescent="0.4">
      <c r="A3" s="9"/>
      <c r="B3" s="9"/>
    </row>
    <row r="4" spans="1:5" ht="21" x14ac:dyDescent="0.4">
      <c r="A4" s="9" t="s">
        <v>8</v>
      </c>
      <c r="B4"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878CC-EA61-4A26-9424-6C0F95270883}">
  <dimension ref="A1:N33"/>
  <sheetViews>
    <sheetView showGridLines="0" workbookViewId="0">
      <selection sqref="A1:N1"/>
    </sheetView>
  </sheetViews>
  <sheetFormatPr defaultRowHeight="15.6" x14ac:dyDescent="0.3"/>
  <cols>
    <col min="2" max="2" width="10.8984375" bestFit="1" customWidth="1"/>
    <col min="5" max="6" width="10.8984375" bestFit="1" customWidth="1"/>
  </cols>
  <sheetData>
    <row r="1" spans="1:14" ht="112.95" customHeight="1" thickBot="1" x14ac:dyDescent="0.35">
      <c r="A1" s="47" t="s">
        <v>12</v>
      </c>
      <c r="B1" s="48"/>
      <c r="C1" s="48"/>
      <c r="D1" s="48"/>
      <c r="E1" s="48"/>
      <c r="F1" s="48"/>
      <c r="G1" s="48"/>
      <c r="H1" s="48"/>
      <c r="I1" s="48"/>
      <c r="J1" s="48"/>
      <c r="K1" s="48"/>
      <c r="L1" s="48"/>
      <c r="M1" s="48"/>
      <c r="N1" s="49"/>
    </row>
    <row r="5" spans="1:14" x14ac:dyDescent="0.3">
      <c r="A5" t="s">
        <v>46</v>
      </c>
    </row>
    <row r="6" spans="1:14" x14ac:dyDescent="0.3">
      <c r="A6" t="s">
        <v>75</v>
      </c>
      <c r="E6" t="s">
        <v>76</v>
      </c>
    </row>
    <row r="8" spans="1:14" x14ac:dyDescent="0.3">
      <c r="A8" t="s">
        <v>83</v>
      </c>
    </row>
    <row r="9" spans="1:14" x14ac:dyDescent="0.3">
      <c r="A9" t="s">
        <v>77</v>
      </c>
      <c r="C9" t="s">
        <v>78</v>
      </c>
      <c r="F9">
        <v>20</v>
      </c>
    </row>
    <row r="10" spans="1:14" x14ac:dyDescent="0.3">
      <c r="A10" t="s">
        <v>79</v>
      </c>
    </row>
    <row r="11" spans="1:14" x14ac:dyDescent="0.3">
      <c r="A11" s="38" t="s">
        <v>73</v>
      </c>
      <c r="B11" s="15">
        <v>0.06</v>
      </c>
    </row>
    <row r="12" spans="1:14" x14ac:dyDescent="0.3">
      <c r="A12" t="s">
        <v>80</v>
      </c>
      <c r="B12">
        <v>12</v>
      </c>
    </row>
    <row r="13" spans="1:14" x14ac:dyDescent="0.3">
      <c r="A13" t="s">
        <v>81</v>
      </c>
      <c r="B13">
        <v>2</v>
      </c>
    </row>
    <row r="14" spans="1:14" x14ac:dyDescent="0.3">
      <c r="A14" t="s">
        <v>82</v>
      </c>
      <c r="B14" s="39">
        <f>(1+B11/B12)^(B12/B13)-1</f>
        <v>3.0377509393764601E-2</v>
      </c>
    </row>
    <row r="16" spans="1:14" x14ac:dyDescent="0.3">
      <c r="A16" t="s">
        <v>84</v>
      </c>
    </row>
    <row r="17" spans="1:6" x14ac:dyDescent="0.3">
      <c r="A17" t="s">
        <v>85</v>
      </c>
    </row>
    <row r="18" spans="1:6" x14ac:dyDescent="0.3">
      <c r="A18" t="s">
        <v>20</v>
      </c>
      <c r="B18">
        <f>F9</f>
        <v>20</v>
      </c>
    </row>
    <row r="19" spans="1:6" x14ac:dyDescent="0.3">
      <c r="A19" t="s">
        <v>38</v>
      </c>
      <c r="B19">
        <f>100000</f>
        <v>100000</v>
      </c>
    </row>
    <row r="20" spans="1:6" x14ac:dyDescent="0.3">
      <c r="A20" t="s">
        <v>17</v>
      </c>
      <c r="B20" s="40">
        <f>B14</f>
        <v>3.0377509393764601E-2</v>
      </c>
    </row>
    <row r="21" spans="1:6" x14ac:dyDescent="0.3">
      <c r="A21" s="16" t="s">
        <v>28</v>
      </c>
      <c r="B21" s="19">
        <f>-PMT(B20,B18,B19)</f>
        <v>6745.0526812659991</v>
      </c>
    </row>
    <row r="23" spans="1:6" x14ac:dyDescent="0.3">
      <c r="A23" t="s">
        <v>86</v>
      </c>
    </row>
    <row r="24" spans="1:6" x14ac:dyDescent="0.3">
      <c r="A24" t="s">
        <v>20</v>
      </c>
      <c r="B24">
        <v>10</v>
      </c>
    </row>
    <row r="25" spans="1:6" x14ac:dyDescent="0.3">
      <c r="A25" t="s">
        <v>23</v>
      </c>
      <c r="B25">
        <v>100000</v>
      </c>
    </row>
    <row r="26" spans="1:6" x14ac:dyDescent="0.3">
      <c r="A26" t="s">
        <v>82</v>
      </c>
      <c r="B26" s="12">
        <f>(1+B11/12)^B12-1</f>
        <v>6.1677811864497611E-2</v>
      </c>
    </row>
    <row r="27" spans="1:6" x14ac:dyDescent="0.3">
      <c r="A27" t="s">
        <v>28</v>
      </c>
      <c r="B27" s="17">
        <f>-PMT(B26,B24,B25)</f>
        <v>13695.003263718607</v>
      </c>
    </row>
    <row r="29" spans="1:6" x14ac:dyDescent="0.3">
      <c r="A29" t="s">
        <v>87</v>
      </c>
      <c r="E29" s="17">
        <f>B21*2</f>
        <v>13490.105362531998</v>
      </c>
    </row>
    <row r="30" spans="1:6" x14ac:dyDescent="0.3">
      <c r="A30" t="s">
        <v>88</v>
      </c>
      <c r="F30" s="17">
        <f>B27</f>
        <v>13695.003263718607</v>
      </c>
    </row>
    <row r="31" spans="1:6" x14ac:dyDescent="0.3">
      <c r="A31" t="s">
        <v>89</v>
      </c>
    </row>
    <row r="32" spans="1:6" x14ac:dyDescent="0.3">
      <c r="A32" t="s">
        <v>90</v>
      </c>
    </row>
    <row r="33" spans="1:1" x14ac:dyDescent="0.3">
      <c r="A33" t="s">
        <v>91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56DA-46FB-484D-A219-C572A8A54E22}">
  <dimension ref="A1:M27"/>
  <sheetViews>
    <sheetView showGridLines="0" workbookViewId="0">
      <selection activeCell="E4" sqref="E4"/>
    </sheetView>
  </sheetViews>
  <sheetFormatPr defaultRowHeight="15.6" x14ac:dyDescent="0.3"/>
  <cols>
    <col min="2" max="2" width="12.09765625" bestFit="1" customWidth="1"/>
    <col min="3" max="3" width="10.5" bestFit="1" customWidth="1"/>
    <col min="13" max="13" width="16.8984375" customWidth="1"/>
  </cols>
  <sheetData>
    <row r="1" spans="1:13" ht="108.75" customHeight="1" thickBot="1" x14ac:dyDescent="0.35">
      <c r="A1" s="47" t="s">
        <v>92</v>
      </c>
      <c r="B1" s="48"/>
      <c r="C1" s="48"/>
      <c r="D1" s="48"/>
      <c r="E1" s="48"/>
      <c r="F1" s="48"/>
      <c r="G1" s="48"/>
      <c r="H1" s="48"/>
      <c r="I1" s="48"/>
      <c r="J1" s="48"/>
      <c r="K1" s="48"/>
      <c r="L1" s="48"/>
      <c r="M1" s="49"/>
    </row>
    <row r="3" spans="1:13" x14ac:dyDescent="0.3">
      <c r="A3" t="s">
        <v>46</v>
      </c>
    </row>
    <row r="4" spans="1:13" x14ac:dyDescent="0.3">
      <c r="A4" t="s">
        <v>93</v>
      </c>
    </row>
    <row r="5" spans="1:13" x14ac:dyDescent="0.3">
      <c r="B5" s="20"/>
      <c r="C5" s="41" t="s">
        <v>34</v>
      </c>
      <c r="D5" s="41" t="s">
        <v>34</v>
      </c>
      <c r="E5" s="41" t="s">
        <v>34</v>
      </c>
      <c r="F5" s="41" t="s">
        <v>34</v>
      </c>
      <c r="G5" s="41" t="s">
        <v>34</v>
      </c>
    </row>
    <row r="6" spans="1:13" x14ac:dyDescent="0.3">
      <c r="B6" s="20">
        <v>0</v>
      </c>
      <c r="C6" s="20">
        <v>1</v>
      </c>
      <c r="D6" s="20">
        <v>2</v>
      </c>
      <c r="E6" s="20">
        <v>3</v>
      </c>
      <c r="F6" s="20" t="s">
        <v>25</v>
      </c>
      <c r="G6" s="20">
        <v>36</v>
      </c>
    </row>
    <row r="7" spans="1:13" x14ac:dyDescent="0.3">
      <c r="B7">
        <f>500000</f>
        <v>500000</v>
      </c>
    </row>
    <row r="9" spans="1:13" x14ac:dyDescent="0.3">
      <c r="A9" t="s">
        <v>94</v>
      </c>
      <c r="B9">
        <f>4%/12</f>
        <v>3.3333333333333335E-3</v>
      </c>
    </row>
    <row r="10" spans="1:13" x14ac:dyDescent="0.3">
      <c r="A10" t="s">
        <v>19</v>
      </c>
      <c r="B10">
        <v>36</v>
      </c>
    </row>
    <row r="11" spans="1:13" x14ac:dyDescent="0.3">
      <c r="A11" t="s">
        <v>38</v>
      </c>
      <c r="B11">
        <f>500000</f>
        <v>500000</v>
      </c>
    </row>
    <row r="13" spans="1:13" x14ac:dyDescent="0.3">
      <c r="A13" s="42" t="s">
        <v>96</v>
      </c>
    </row>
    <row r="14" spans="1:13" x14ac:dyDescent="0.3">
      <c r="A14" t="s">
        <v>95</v>
      </c>
      <c r="B14" s="17">
        <f>-PMT(B9,B10,B11)</f>
        <v>14761.992503421841</v>
      </c>
    </row>
    <row r="16" spans="1:13" x14ac:dyDescent="0.3">
      <c r="A16" s="42" t="s">
        <v>97</v>
      </c>
    </row>
    <row r="17" spans="1:3" x14ac:dyDescent="0.3">
      <c r="A17" t="s">
        <v>98</v>
      </c>
      <c r="C17">
        <f>B9*B11</f>
        <v>1666.6666666666667</v>
      </c>
    </row>
    <row r="19" spans="1:3" x14ac:dyDescent="0.3">
      <c r="A19" t="s">
        <v>99</v>
      </c>
      <c r="C19" s="17">
        <f>B14-C17</f>
        <v>13095.325836755175</v>
      </c>
    </row>
    <row r="21" spans="1:3" x14ac:dyDescent="0.3">
      <c r="A21" t="s">
        <v>100</v>
      </c>
    </row>
    <row r="22" spans="1:3" x14ac:dyDescent="0.3">
      <c r="A22" t="s">
        <v>101</v>
      </c>
    </row>
    <row r="23" spans="1:3" x14ac:dyDescent="0.3">
      <c r="A23" t="s">
        <v>19</v>
      </c>
      <c r="B23">
        <v>12</v>
      </c>
    </row>
    <row r="24" spans="1:3" x14ac:dyDescent="0.3">
      <c r="A24" t="s">
        <v>102</v>
      </c>
      <c r="B24" s="17">
        <f>B14</f>
        <v>14761.992503421841</v>
      </c>
    </row>
    <row r="25" spans="1:3" x14ac:dyDescent="0.3">
      <c r="A25" t="s">
        <v>17</v>
      </c>
      <c r="B25">
        <f>B9</f>
        <v>3.3333333333333335E-3</v>
      </c>
    </row>
    <row r="27" spans="1:3" x14ac:dyDescent="0.3">
      <c r="A27" t="s">
        <v>38</v>
      </c>
      <c r="B27" s="17">
        <f>PV(B25,B23,B24)</f>
        <v>-173364.75763401214</v>
      </c>
    </row>
  </sheetData>
  <mergeCells count="1">
    <mergeCell ref="A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CBD6-6F98-44DA-A1AD-A756362D8644}">
  <dimension ref="A1:H18"/>
  <sheetViews>
    <sheetView showGridLines="0" tabSelected="1" workbookViewId="0">
      <selection activeCell="J1" sqref="J1"/>
    </sheetView>
  </sheetViews>
  <sheetFormatPr defaultRowHeight="15.6" x14ac:dyDescent="0.3"/>
  <cols>
    <col min="2" max="2" width="12.09765625" bestFit="1" customWidth="1"/>
    <col min="5" max="5" width="10.5" bestFit="1" customWidth="1"/>
    <col min="8" max="8" width="16.69921875" customWidth="1"/>
  </cols>
  <sheetData>
    <row r="1" spans="1:8" ht="163.5" customHeight="1" thickBot="1" x14ac:dyDescent="0.35">
      <c r="A1" s="47" t="s">
        <v>103</v>
      </c>
      <c r="B1" s="48"/>
      <c r="C1" s="48"/>
      <c r="D1" s="48"/>
      <c r="E1" s="48"/>
      <c r="F1" s="48"/>
      <c r="G1" s="48"/>
      <c r="H1" s="49"/>
    </row>
    <row r="2" spans="1:8" x14ac:dyDescent="0.3">
      <c r="B2" s="20"/>
      <c r="C2" s="20"/>
      <c r="D2" s="41" t="s">
        <v>34</v>
      </c>
      <c r="E2" s="41" t="s">
        <v>34</v>
      </c>
      <c r="F2" s="41" t="s">
        <v>34</v>
      </c>
    </row>
    <row r="3" spans="1:8" x14ac:dyDescent="0.3">
      <c r="B3" s="20">
        <v>0</v>
      </c>
      <c r="C3" s="20">
        <v>1</v>
      </c>
      <c r="D3" s="20">
        <v>2</v>
      </c>
      <c r="E3" s="20">
        <v>3</v>
      </c>
      <c r="F3" s="20">
        <v>4</v>
      </c>
    </row>
    <row r="4" spans="1:8" x14ac:dyDescent="0.3">
      <c r="B4">
        <v>100000</v>
      </c>
    </row>
    <row r="5" spans="1:8" x14ac:dyDescent="0.3">
      <c r="A5" t="s">
        <v>96</v>
      </c>
    </row>
    <row r="6" spans="1:8" x14ac:dyDescent="0.3">
      <c r="A6" t="s">
        <v>38</v>
      </c>
      <c r="B6" s="14">
        <f>100000</f>
        <v>100000</v>
      </c>
    </row>
    <row r="8" spans="1:8" x14ac:dyDescent="0.3">
      <c r="A8" t="s">
        <v>104</v>
      </c>
    </row>
    <row r="9" spans="1:8" x14ac:dyDescent="0.3">
      <c r="A9" t="s">
        <v>105</v>
      </c>
    </row>
    <row r="11" spans="1:8" x14ac:dyDescent="0.3">
      <c r="A11" t="s">
        <v>106</v>
      </c>
      <c r="B11" s="64">
        <f>(1+4%/12)^12-1</f>
        <v>4.0741542919790819E-2</v>
      </c>
    </row>
    <row r="12" spans="1:8" x14ac:dyDescent="0.3">
      <c r="A12" t="s">
        <v>107</v>
      </c>
      <c r="B12" s="43">
        <f>B6*(1+B11)</f>
        <v>104074.15429197908</v>
      </c>
    </row>
    <row r="13" spans="1:8" x14ac:dyDescent="0.3">
      <c r="A13" t="s">
        <v>19</v>
      </c>
      <c r="B13">
        <v>3</v>
      </c>
    </row>
    <row r="14" spans="1:8" x14ac:dyDescent="0.3">
      <c r="A14" t="s">
        <v>102</v>
      </c>
      <c r="B14" s="17">
        <f>-PMT(B11,B13,B12)</f>
        <v>37555.763319518657</v>
      </c>
    </row>
    <row r="16" spans="1:8" x14ac:dyDescent="0.3">
      <c r="A16" t="s">
        <v>97</v>
      </c>
    </row>
    <row r="17" spans="1:5" x14ac:dyDescent="0.3">
      <c r="A17" t="s">
        <v>108</v>
      </c>
      <c r="E17">
        <f>100000*(1+B11)^2-100000</f>
        <v>8314.2959159066959</v>
      </c>
    </row>
    <row r="18" spans="1:5" x14ac:dyDescent="0.3">
      <c r="A18" t="s">
        <v>109</v>
      </c>
      <c r="E18" s="17">
        <f>B14-E17</f>
        <v>29241.467403611961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40BF8-7742-4B8D-AFDB-7A4B177B68B8}">
  <dimension ref="A1:L17"/>
  <sheetViews>
    <sheetView showGridLines="0" zoomScaleNormal="100" workbookViewId="0">
      <selection sqref="A1:K1"/>
    </sheetView>
  </sheetViews>
  <sheetFormatPr defaultRowHeight="15.6" x14ac:dyDescent="0.3"/>
  <cols>
    <col min="2" max="2" width="11.8984375" bestFit="1" customWidth="1"/>
    <col min="11" max="11" width="19.69921875" customWidth="1"/>
    <col min="12" max="12" width="11.8984375" bestFit="1" customWidth="1"/>
  </cols>
  <sheetData>
    <row r="1" spans="1:12" ht="77.7" customHeight="1" thickBot="1" x14ac:dyDescent="0.35">
      <c r="A1" s="44" t="s">
        <v>0</v>
      </c>
      <c r="B1" s="45"/>
      <c r="C1" s="45"/>
      <c r="D1" s="45"/>
      <c r="E1" s="45"/>
      <c r="F1" s="45"/>
      <c r="G1" s="45"/>
      <c r="H1" s="45"/>
      <c r="I1" s="45"/>
      <c r="J1" s="45"/>
      <c r="K1" s="46"/>
    </row>
    <row r="4" spans="1:12" x14ac:dyDescent="0.3">
      <c r="A4" t="s">
        <v>13</v>
      </c>
    </row>
    <row r="6" spans="1:12" x14ac:dyDescent="0.3">
      <c r="A6" t="s">
        <v>14</v>
      </c>
      <c r="L6" s="14">
        <f>100000</f>
        <v>100000</v>
      </c>
    </row>
    <row r="7" spans="1:12" x14ac:dyDescent="0.3">
      <c r="B7" s="13"/>
      <c r="C7" s="13"/>
      <c r="D7" s="13"/>
      <c r="E7" s="13"/>
      <c r="F7" s="13"/>
      <c r="G7" s="13"/>
      <c r="H7" s="13"/>
      <c r="I7" s="13"/>
      <c r="J7" s="13"/>
      <c r="K7" s="13"/>
      <c r="L7" s="13"/>
    </row>
    <row r="8" spans="1:12" x14ac:dyDescent="0.3">
      <c r="B8">
        <v>0</v>
      </c>
      <c r="C8">
        <v>1</v>
      </c>
      <c r="D8">
        <v>2</v>
      </c>
      <c r="E8">
        <v>3</v>
      </c>
      <c r="F8">
        <v>4</v>
      </c>
      <c r="G8">
        <v>5</v>
      </c>
      <c r="H8">
        <v>6</v>
      </c>
      <c r="I8">
        <v>7</v>
      </c>
      <c r="J8">
        <v>8</v>
      </c>
      <c r="K8">
        <v>9</v>
      </c>
      <c r="L8">
        <v>10</v>
      </c>
    </row>
    <row r="10" spans="1:12" x14ac:dyDescent="0.3">
      <c r="A10" t="s">
        <v>15</v>
      </c>
    </row>
    <row r="12" spans="1:12" x14ac:dyDescent="0.3">
      <c r="A12" t="s">
        <v>16</v>
      </c>
      <c r="B12" s="14">
        <f>100000</f>
        <v>100000</v>
      </c>
    </row>
    <row r="13" spans="1:12" x14ac:dyDescent="0.3">
      <c r="A13" t="s">
        <v>18</v>
      </c>
      <c r="B13" s="15">
        <v>0.03</v>
      </c>
    </row>
    <row r="14" spans="1:12" x14ac:dyDescent="0.3">
      <c r="A14" t="s">
        <v>20</v>
      </c>
      <c r="B14">
        <v>10</v>
      </c>
    </row>
    <row r="15" spans="1:12" x14ac:dyDescent="0.3">
      <c r="A15" s="16" t="s">
        <v>21</v>
      </c>
      <c r="B15" s="18">
        <f>B12/(1+B13)^B14</f>
        <v>74409.391489672518</v>
      </c>
    </row>
    <row r="16" spans="1:12" x14ac:dyDescent="0.3">
      <c r="A16" t="s">
        <v>22</v>
      </c>
    </row>
    <row r="17" spans="1:2" x14ac:dyDescent="0.3">
      <c r="A17" s="16" t="s">
        <v>23</v>
      </c>
      <c r="B17" s="19">
        <f>-PV(B13,B14,0,B12)</f>
        <v>74409.391489672518</v>
      </c>
    </row>
  </sheetData>
  <mergeCells count="1">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24A55-52FA-4B8A-9439-B7A3E8DEBC35}">
  <dimension ref="A1:N24"/>
  <sheetViews>
    <sheetView showGridLines="0" zoomScaleNormal="100" workbookViewId="0">
      <selection activeCell="A12" sqref="A12"/>
    </sheetView>
  </sheetViews>
  <sheetFormatPr defaultRowHeight="15.6" x14ac:dyDescent="0.3"/>
  <cols>
    <col min="2" max="2" width="12.8984375" bestFit="1" customWidth="1"/>
  </cols>
  <sheetData>
    <row r="1" spans="1:14" ht="141" customHeight="1" thickBot="1" x14ac:dyDescent="0.35">
      <c r="A1" s="47" t="s">
        <v>7</v>
      </c>
      <c r="B1" s="48"/>
      <c r="C1" s="48"/>
      <c r="D1" s="48"/>
      <c r="E1" s="48"/>
      <c r="F1" s="48"/>
      <c r="G1" s="48"/>
      <c r="H1" s="48"/>
      <c r="I1" s="48"/>
      <c r="J1" s="48"/>
      <c r="K1" s="48"/>
      <c r="L1" s="48"/>
      <c r="M1" s="48"/>
      <c r="N1" s="49"/>
    </row>
    <row r="4" spans="1:14" x14ac:dyDescent="0.3">
      <c r="A4" t="s">
        <v>14</v>
      </c>
    </row>
    <row r="6" spans="1:14" x14ac:dyDescent="0.3">
      <c r="B6" s="13"/>
      <c r="C6" s="13">
        <v>5000</v>
      </c>
      <c r="D6" s="13">
        <v>5000</v>
      </c>
      <c r="E6" s="13"/>
      <c r="F6" s="13">
        <v>5000</v>
      </c>
      <c r="G6" s="13"/>
      <c r="H6" s="13"/>
      <c r="I6" s="13"/>
      <c r="J6" s="13"/>
      <c r="K6" s="13"/>
      <c r="L6" s="13"/>
      <c r="M6" s="13"/>
      <c r="N6" s="13"/>
    </row>
    <row r="7" spans="1:14" x14ac:dyDescent="0.3">
      <c r="B7" s="20">
        <v>0</v>
      </c>
      <c r="C7">
        <v>1</v>
      </c>
      <c r="D7">
        <v>2</v>
      </c>
      <c r="E7" t="s">
        <v>25</v>
      </c>
      <c r="F7" s="20">
        <v>40</v>
      </c>
    </row>
    <row r="8" spans="1:14" x14ac:dyDescent="0.3">
      <c r="B8" s="20" t="s">
        <v>24</v>
      </c>
      <c r="F8" s="20" t="s">
        <v>26</v>
      </c>
    </row>
    <row r="10" spans="1:14" x14ac:dyDescent="0.3">
      <c r="A10" t="s">
        <v>13</v>
      </c>
    </row>
    <row r="11" spans="1:14" x14ac:dyDescent="0.3">
      <c r="A11" t="s">
        <v>27</v>
      </c>
    </row>
    <row r="12" spans="1:14" x14ac:dyDescent="0.3">
      <c r="A12" t="s">
        <v>20</v>
      </c>
      <c r="B12">
        <v>40</v>
      </c>
    </row>
    <row r="13" spans="1:14" x14ac:dyDescent="0.3">
      <c r="A13" t="s">
        <v>28</v>
      </c>
      <c r="B13">
        <v>5000</v>
      </c>
    </row>
    <row r="14" spans="1:14" x14ac:dyDescent="0.3">
      <c r="A14" t="s">
        <v>18</v>
      </c>
      <c r="B14" s="15">
        <v>0.08</v>
      </c>
    </row>
    <row r="16" spans="1:14" x14ac:dyDescent="0.3">
      <c r="A16" s="16" t="s">
        <v>29</v>
      </c>
      <c r="B16" s="19">
        <f>-FV(B14,B12,B13)</f>
        <v>1295282.5935499931</v>
      </c>
    </row>
    <row r="18" spans="1:2" x14ac:dyDescent="0.3">
      <c r="A18" t="s">
        <v>30</v>
      </c>
    </row>
    <row r="20" spans="1:2" x14ac:dyDescent="0.3">
      <c r="A20" t="s">
        <v>20</v>
      </c>
      <c r="B20">
        <v>30</v>
      </c>
    </row>
    <row r="21" spans="1:2" x14ac:dyDescent="0.3">
      <c r="A21" t="s">
        <v>28</v>
      </c>
      <c r="B21">
        <v>5000</v>
      </c>
    </row>
    <row r="22" spans="1:2" x14ac:dyDescent="0.3">
      <c r="A22" t="s">
        <v>18</v>
      </c>
      <c r="B22" s="15">
        <v>0.08</v>
      </c>
    </row>
    <row r="24" spans="1:2" x14ac:dyDescent="0.3">
      <c r="A24" s="16" t="s">
        <v>29</v>
      </c>
      <c r="B24" s="19">
        <f>-FV(B22,B20,B21)</f>
        <v>566416.05556709028</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CD67-583A-4A59-AE1D-9BE3631D8069}">
  <dimension ref="A1:P24"/>
  <sheetViews>
    <sheetView showGridLines="0" workbookViewId="0">
      <selection activeCell="A13" sqref="A13"/>
    </sheetView>
  </sheetViews>
  <sheetFormatPr defaultRowHeight="15.6" x14ac:dyDescent="0.3"/>
  <cols>
    <col min="1" max="1" width="18.19921875" customWidth="1"/>
    <col min="2" max="2" width="13.5" bestFit="1" customWidth="1"/>
    <col min="5" max="5" width="11.19921875" customWidth="1"/>
  </cols>
  <sheetData>
    <row r="1" spans="1:16" ht="135.6" customHeight="1" thickBot="1" x14ac:dyDescent="0.35">
      <c r="A1" s="44" t="s">
        <v>6</v>
      </c>
      <c r="B1" s="50"/>
      <c r="C1" s="50"/>
      <c r="D1" s="50"/>
      <c r="E1" s="50"/>
      <c r="F1" s="50"/>
      <c r="G1" s="50"/>
      <c r="H1" s="50"/>
      <c r="I1" s="50"/>
      <c r="J1" s="50"/>
      <c r="K1" s="50"/>
      <c r="L1" s="50"/>
      <c r="M1" s="50"/>
      <c r="N1" s="50"/>
      <c r="O1" s="50"/>
      <c r="P1" s="51"/>
    </row>
    <row r="4" spans="1:16" x14ac:dyDescent="0.3">
      <c r="A4" t="s">
        <v>31</v>
      </c>
    </row>
    <row r="6" spans="1:16" x14ac:dyDescent="0.3">
      <c r="B6" s="13"/>
      <c r="C6" s="22" t="s">
        <v>34</v>
      </c>
      <c r="D6" s="13" t="s">
        <v>33</v>
      </c>
      <c r="E6" s="22" t="s">
        <v>34</v>
      </c>
      <c r="F6" s="21">
        <f>100000</f>
        <v>100000</v>
      </c>
      <c r="G6" s="21">
        <f>100000</f>
        <v>100000</v>
      </c>
      <c r="H6" s="21">
        <f>100000</f>
        <v>100000</v>
      </c>
      <c r="I6" s="21"/>
      <c r="J6" s="21">
        <f>100000</f>
        <v>100000</v>
      </c>
      <c r="K6" s="13"/>
    </row>
    <row r="7" spans="1:16" x14ac:dyDescent="0.3">
      <c r="E7" s="20"/>
      <c r="F7" s="20"/>
      <c r="G7" s="20"/>
      <c r="H7" s="20"/>
      <c r="I7" s="20"/>
      <c r="J7" s="20"/>
    </row>
    <row r="8" spans="1:16" x14ac:dyDescent="0.3">
      <c r="B8" t="s">
        <v>32</v>
      </c>
      <c r="C8" s="20">
        <v>31</v>
      </c>
      <c r="D8" t="s">
        <v>25</v>
      </c>
      <c r="E8" s="20">
        <v>65</v>
      </c>
      <c r="F8" s="20">
        <v>66</v>
      </c>
      <c r="G8" s="20">
        <v>67</v>
      </c>
      <c r="H8" s="20">
        <v>68</v>
      </c>
      <c r="I8" s="20" t="s">
        <v>25</v>
      </c>
      <c r="J8" s="20">
        <v>100</v>
      </c>
    </row>
    <row r="10" spans="1:16" x14ac:dyDescent="0.3">
      <c r="A10" t="s">
        <v>35</v>
      </c>
    </row>
    <row r="11" spans="1:16" x14ac:dyDescent="0.3">
      <c r="A11" t="s">
        <v>36</v>
      </c>
    </row>
    <row r="12" spans="1:16" x14ac:dyDescent="0.3">
      <c r="A12" s="23" t="s">
        <v>39</v>
      </c>
    </row>
    <row r="13" spans="1:16" x14ac:dyDescent="0.3">
      <c r="A13" t="s">
        <v>37</v>
      </c>
      <c r="B13">
        <v>100000</v>
      </c>
    </row>
    <row r="14" spans="1:16" x14ac:dyDescent="0.3">
      <c r="A14" t="s">
        <v>19</v>
      </c>
      <c r="B14">
        <v>35</v>
      </c>
    </row>
    <row r="15" spans="1:16" x14ac:dyDescent="0.3">
      <c r="A15" t="s">
        <v>17</v>
      </c>
      <c r="B15" s="15">
        <v>7.0000000000000007E-2</v>
      </c>
    </row>
    <row r="17" spans="1:2" x14ac:dyDescent="0.3">
      <c r="A17" s="24" t="s">
        <v>38</v>
      </c>
      <c r="B17" s="25">
        <f>-PV(B15,B14,B13)</f>
        <v>1294767.2300430934</v>
      </c>
    </row>
    <row r="19" spans="1:2" x14ac:dyDescent="0.3">
      <c r="A19" t="s">
        <v>40</v>
      </c>
    </row>
    <row r="20" spans="1:2" x14ac:dyDescent="0.3">
      <c r="A20" t="s">
        <v>41</v>
      </c>
    </row>
    <row r="21" spans="1:2" x14ac:dyDescent="0.3">
      <c r="A21" t="s">
        <v>42</v>
      </c>
      <c r="B21" s="17">
        <f>B17</f>
        <v>1294767.2300430934</v>
      </c>
    </row>
    <row r="22" spans="1:2" x14ac:dyDescent="0.3">
      <c r="A22" t="s">
        <v>19</v>
      </c>
      <c r="B22">
        <v>35</v>
      </c>
    </row>
    <row r="23" spans="1:2" x14ac:dyDescent="0.3">
      <c r="A23" t="s">
        <v>17</v>
      </c>
      <c r="B23" s="15">
        <v>7.0000000000000007E-2</v>
      </c>
    </row>
    <row r="24" spans="1:2" x14ac:dyDescent="0.3">
      <c r="A24" s="16" t="s">
        <v>37</v>
      </c>
      <c r="B24" s="19">
        <f>-PMT(B23,B22,0,B21)</f>
        <v>9366.2938969834486</v>
      </c>
    </row>
  </sheetData>
  <mergeCells count="1">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2AD0-7937-4BB2-91D2-1E74240F6FCE}">
  <dimension ref="A1:J57"/>
  <sheetViews>
    <sheetView showGridLines="0" topLeftCell="A22" zoomScaleNormal="100" workbookViewId="0">
      <selection activeCell="B53" sqref="B53"/>
    </sheetView>
  </sheetViews>
  <sheetFormatPr defaultColWidth="23.69921875" defaultRowHeight="17.399999999999999" x14ac:dyDescent="0.3"/>
  <cols>
    <col min="1" max="1" width="13.69921875" style="1" customWidth="1"/>
    <col min="2" max="2" width="16.59765625" style="1" customWidth="1"/>
    <col min="3" max="3" width="19" style="1" customWidth="1"/>
    <col min="4" max="4" width="19.69921875" style="1" customWidth="1"/>
    <col min="5" max="5" width="13.69921875" style="1" customWidth="1"/>
    <col min="6" max="6" width="15.8984375" style="1" customWidth="1"/>
    <col min="7" max="7" width="13.69921875" style="1" customWidth="1"/>
    <col min="8" max="8" width="3.69921875" style="1" customWidth="1"/>
    <col min="9" max="9" width="6.09765625" style="1" customWidth="1"/>
    <col min="10" max="10" width="5.59765625" style="1" customWidth="1"/>
    <col min="11" max="16384" width="23.69921875" style="1"/>
  </cols>
  <sheetData>
    <row r="1" spans="1:10" ht="43.5" customHeight="1" x14ac:dyDescent="0.3">
      <c r="A1" s="52" t="s">
        <v>1</v>
      </c>
      <c r="B1" s="53"/>
      <c r="C1" s="53"/>
      <c r="D1" s="53"/>
      <c r="E1" s="53"/>
      <c r="F1" s="53"/>
      <c r="G1" s="53"/>
      <c r="H1" s="53"/>
      <c r="I1" s="53"/>
      <c r="J1" s="54"/>
    </row>
    <row r="2" spans="1:10" ht="30.6" customHeight="1" x14ac:dyDescent="0.3">
      <c r="A2" s="59" t="s">
        <v>2</v>
      </c>
      <c r="B2" s="60"/>
      <c r="C2" s="60"/>
      <c r="D2" s="60"/>
      <c r="E2" s="2"/>
      <c r="F2" s="2"/>
      <c r="G2" s="2"/>
      <c r="H2" s="2"/>
      <c r="I2" s="2"/>
      <c r="J2" s="3"/>
    </row>
    <row r="3" spans="1:10" ht="36" customHeight="1" x14ac:dyDescent="0.3">
      <c r="A3" s="59" t="s">
        <v>3</v>
      </c>
      <c r="B3" s="60"/>
      <c r="C3" s="60"/>
      <c r="D3" s="2"/>
      <c r="E3" s="2"/>
      <c r="F3" s="2"/>
      <c r="G3" s="2"/>
      <c r="H3" s="2"/>
      <c r="I3" s="2"/>
      <c r="J3" s="3"/>
    </row>
    <row r="4" spans="1:10" ht="21.6" customHeight="1" x14ac:dyDescent="0.3">
      <c r="A4" s="4" t="s">
        <v>43</v>
      </c>
      <c r="B4" s="5"/>
      <c r="C4" s="5"/>
      <c r="D4" s="5"/>
      <c r="E4" s="5"/>
      <c r="F4" s="5"/>
      <c r="G4" s="5"/>
      <c r="H4" s="5"/>
      <c r="I4" s="5"/>
      <c r="J4" s="6"/>
    </row>
    <row r="5" spans="1:10" ht="21.6" customHeight="1" x14ac:dyDescent="0.3">
      <c r="A5" s="4" t="s">
        <v>44</v>
      </c>
      <c r="B5" s="5"/>
      <c r="C5" s="5"/>
      <c r="D5" s="5"/>
      <c r="E5" s="5"/>
      <c r="F5" s="5"/>
      <c r="G5" s="5"/>
      <c r="H5" s="5"/>
      <c r="I5" s="5"/>
      <c r="J5" s="6"/>
    </row>
    <row r="6" spans="1:10" ht="33" customHeight="1" thickBot="1" x14ac:dyDescent="0.35">
      <c r="A6" s="56" t="s">
        <v>4</v>
      </c>
      <c r="B6" s="57"/>
      <c r="C6" s="57"/>
      <c r="D6" s="57"/>
      <c r="E6" s="7"/>
      <c r="F6" s="7"/>
      <c r="G6" s="7"/>
      <c r="H6" s="7"/>
      <c r="I6" s="7"/>
      <c r="J6" s="8"/>
    </row>
    <row r="7" spans="1:10" ht="31.95" customHeight="1" x14ac:dyDescent="0.3">
      <c r="A7" s="58"/>
      <c r="B7" s="58"/>
      <c r="C7" s="58"/>
      <c r="D7" s="58"/>
    </row>
    <row r="8" spans="1:10" x14ac:dyDescent="0.3">
      <c r="A8" s="55" t="s">
        <v>45</v>
      </c>
      <c r="B8" s="55"/>
      <c r="C8" s="55"/>
      <c r="D8" s="55"/>
    </row>
    <row r="10" spans="1:10" x14ac:dyDescent="0.3">
      <c r="A10" s="1" t="s">
        <v>14</v>
      </c>
    </row>
    <row r="12" spans="1:10" x14ac:dyDescent="0.3">
      <c r="B12" s="27"/>
      <c r="C12" s="27">
        <f>12000</f>
        <v>12000</v>
      </c>
      <c r="D12" s="27">
        <f>12000</f>
        <v>12000</v>
      </c>
      <c r="E12" s="27">
        <f>12000</f>
        <v>12000</v>
      </c>
      <c r="F12" s="27"/>
      <c r="G12" s="27">
        <f>12000</f>
        <v>12000</v>
      </c>
      <c r="H12" s="26"/>
      <c r="I12" s="26"/>
      <c r="J12" s="26"/>
    </row>
    <row r="13" spans="1:10" x14ac:dyDescent="0.3">
      <c r="B13" s="28">
        <v>0</v>
      </c>
      <c r="C13" s="28">
        <v>1</v>
      </c>
      <c r="D13" s="28">
        <v>2</v>
      </c>
      <c r="E13" s="28">
        <v>3</v>
      </c>
      <c r="F13" s="28" t="s">
        <v>25</v>
      </c>
      <c r="G13" s="28">
        <v>30</v>
      </c>
    </row>
    <row r="15" spans="1:10" x14ac:dyDescent="0.3">
      <c r="A15" s="1" t="s">
        <v>46</v>
      </c>
    </row>
    <row r="16" spans="1:10" x14ac:dyDescent="0.3">
      <c r="A16" s="1" t="s">
        <v>37</v>
      </c>
      <c r="B16" s="1">
        <f>12000</f>
        <v>12000</v>
      </c>
    </row>
    <row r="17" spans="1:6" x14ac:dyDescent="0.3">
      <c r="A17" s="1" t="s">
        <v>17</v>
      </c>
      <c r="B17" s="29">
        <v>0.06</v>
      </c>
    </row>
    <row r="18" spans="1:6" x14ac:dyDescent="0.3">
      <c r="A18" s="1" t="s">
        <v>19</v>
      </c>
      <c r="B18" s="1">
        <v>30</v>
      </c>
    </row>
    <row r="20" spans="1:6" x14ac:dyDescent="0.3">
      <c r="A20" s="31" t="s">
        <v>47</v>
      </c>
      <c r="B20" s="32">
        <f>-PV(B17,B18,B16)</f>
        <v>165177.97381787316</v>
      </c>
    </row>
    <row r="22" spans="1:6" x14ac:dyDescent="0.3">
      <c r="A22" s="1" t="s">
        <v>48</v>
      </c>
    </row>
    <row r="23" spans="1:6" x14ac:dyDescent="0.3">
      <c r="B23" s="1" t="s">
        <v>49</v>
      </c>
      <c r="C23" s="1" t="s">
        <v>37</v>
      </c>
      <c r="D23" s="1" t="s">
        <v>50</v>
      </c>
      <c r="E23" s="1" t="s">
        <v>51</v>
      </c>
      <c r="F23" s="1" t="s">
        <v>52</v>
      </c>
    </row>
    <row r="24" spans="1:6" x14ac:dyDescent="0.3">
      <c r="A24" s="1">
        <v>1</v>
      </c>
      <c r="B24" s="30">
        <f>B20</f>
        <v>165177.97381787316</v>
      </c>
      <c r="C24" s="1">
        <f>$B$16</f>
        <v>12000</v>
      </c>
      <c r="D24" s="30">
        <f>B24*$B$17</f>
        <v>9910.6784290723899</v>
      </c>
      <c r="E24" s="30">
        <f>C24-D24</f>
        <v>2089.3215709276101</v>
      </c>
      <c r="F24" s="30">
        <f>B24-E24</f>
        <v>163088.65224694557</v>
      </c>
    </row>
    <row r="25" spans="1:6" x14ac:dyDescent="0.3">
      <c r="A25" s="1">
        <f t="shared" ref="A25:A30" si="0">A24+1</f>
        <v>2</v>
      </c>
      <c r="B25" s="30">
        <f>F24</f>
        <v>163088.65224694557</v>
      </c>
      <c r="C25" s="1">
        <f>$B$16</f>
        <v>12000</v>
      </c>
      <c r="D25" s="30">
        <f>B25*$B$17</f>
        <v>9785.3191348167329</v>
      </c>
      <c r="E25" s="30">
        <f>C25-D25</f>
        <v>2214.6808651832671</v>
      </c>
      <c r="F25" s="30">
        <f>B25-E25</f>
        <v>160873.9713817623</v>
      </c>
    </row>
    <row r="26" spans="1:6" x14ac:dyDescent="0.3">
      <c r="A26" s="1">
        <f t="shared" si="0"/>
        <v>3</v>
      </c>
      <c r="B26" s="30">
        <f t="shared" ref="B26:B53" si="1">F25</f>
        <v>160873.9713817623</v>
      </c>
      <c r="C26" s="1">
        <f t="shared" ref="C26:C53" si="2">$B$16</f>
        <v>12000</v>
      </c>
      <c r="D26" s="30">
        <f t="shared" ref="D26:D53" si="3">B26*$B$17</f>
        <v>9652.4382829057377</v>
      </c>
      <c r="E26" s="30">
        <f t="shared" ref="E26:E53" si="4">C26-D26</f>
        <v>2347.5617170942623</v>
      </c>
      <c r="F26" s="30">
        <f t="shared" ref="F26:F53" si="5">B26-E26</f>
        <v>158526.40966466803</v>
      </c>
    </row>
    <row r="27" spans="1:6" x14ac:dyDescent="0.3">
      <c r="A27" s="1">
        <f t="shared" si="0"/>
        <v>4</v>
      </c>
      <c r="B27" s="30">
        <f t="shared" si="1"/>
        <v>158526.40966466803</v>
      </c>
      <c r="C27" s="1">
        <f t="shared" si="2"/>
        <v>12000</v>
      </c>
      <c r="D27" s="30">
        <f t="shared" si="3"/>
        <v>9511.5845798800819</v>
      </c>
      <c r="E27" s="30">
        <f t="shared" si="4"/>
        <v>2488.4154201199181</v>
      </c>
      <c r="F27" s="30">
        <f t="shared" si="5"/>
        <v>156037.99424454811</v>
      </c>
    </row>
    <row r="28" spans="1:6" x14ac:dyDescent="0.3">
      <c r="A28" s="1">
        <f t="shared" si="0"/>
        <v>5</v>
      </c>
      <c r="B28" s="30">
        <f t="shared" si="1"/>
        <v>156037.99424454811</v>
      </c>
      <c r="C28" s="1">
        <f t="shared" si="2"/>
        <v>12000</v>
      </c>
      <c r="D28" s="30">
        <f t="shared" si="3"/>
        <v>9362.279654672886</v>
      </c>
      <c r="E28" s="30">
        <f t="shared" si="4"/>
        <v>2637.720345327114</v>
      </c>
      <c r="F28" s="30">
        <f t="shared" si="5"/>
        <v>153400.27389922101</v>
      </c>
    </row>
    <row r="29" spans="1:6" x14ac:dyDescent="0.3">
      <c r="A29" s="1">
        <f t="shared" si="0"/>
        <v>6</v>
      </c>
      <c r="B29" s="30">
        <f t="shared" si="1"/>
        <v>153400.27389922101</v>
      </c>
      <c r="C29" s="1">
        <f t="shared" si="2"/>
        <v>12000</v>
      </c>
      <c r="D29" s="30">
        <f t="shared" si="3"/>
        <v>9204.0164339532603</v>
      </c>
      <c r="E29" s="30">
        <f t="shared" si="4"/>
        <v>2795.9835660467397</v>
      </c>
      <c r="F29" s="30">
        <f t="shared" si="5"/>
        <v>150604.29033317426</v>
      </c>
    </row>
    <row r="30" spans="1:6" x14ac:dyDescent="0.3">
      <c r="A30" s="1">
        <f t="shared" si="0"/>
        <v>7</v>
      </c>
      <c r="B30" s="30">
        <f t="shared" si="1"/>
        <v>150604.29033317426</v>
      </c>
      <c r="C30" s="1">
        <f t="shared" si="2"/>
        <v>12000</v>
      </c>
      <c r="D30" s="30">
        <f t="shared" si="3"/>
        <v>9036.2574199904557</v>
      </c>
      <c r="E30" s="30">
        <f t="shared" si="4"/>
        <v>2963.7425800095443</v>
      </c>
      <c r="F30" s="30">
        <f t="shared" si="5"/>
        <v>147640.54775316472</v>
      </c>
    </row>
    <row r="31" spans="1:6" x14ac:dyDescent="0.3">
      <c r="A31" s="1">
        <f>A30+1</f>
        <v>8</v>
      </c>
      <c r="B31" s="30">
        <f t="shared" si="1"/>
        <v>147640.54775316472</v>
      </c>
      <c r="C31" s="1">
        <f t="shared" si="2"/>
        <v>12000</v>
      </c>
      <c r="D31" s="30">
        <f t="shared" si="3"/>
        <v>8858.4328651898832</v>
      </c>
      <c r="E31" s="30">
        <f t="shared" si="4"/>
        <v>3141.5671348101168</v>
      </c>
      <c r="F31" s="30">
        <f t="shared" si="5"/>
        <v>144498.9806183546</v>
      </c>
    </row>
    <row r="32" spans="1:6" x14ac:dyDescent="0.3">
      <c r="A32" s="1">
        <f t="shared" ref="A32:A53" si="6">A31+1</f>
        <v>9</v>
      </c>
      <c r="B32" s="30">
        <f t="shared" si="1"/>
        <v>144498.9806183546</v>
      </c>
      <c r="C32" s="1">
        <f t="shared" si="2"/>
        <v>12000</v>
      </c>
      <c r="D32" s="30">
        <f t="shared" si="3"/>
        <v>8669.9388371012756</v>
      </c>
      <c r="E32" s="30">
        <f t="shared" si="4"/>
        <v>3330.0611628987244</v>
      </c>
      <c r="F32" s="30">
        <f t="shared" si="5"/>
        <v>141168.91945545588</v>
      </c>
    </row>
    <row r="33" spans="1:6" x14ac:dyDescent="0.3">
      <c r="A33" s="1">
        <f t="shared" si="6"/>
        <v>10</v>
      </c>
      <c r="B33" s="30">
        <f t="shared" si="1"/>
        <v>141168.91945545588</v>
      </c>
      <c r="C33" s="1">
        <f t="shared" si="2"/>
        <v>12000</v>
      </c>
      <c r="D33" s="30">
        <f t="shared" si="3"/>
        <v>8470.135167327353</v>
      </c>
      <c r="E33" s="30">
        <f t="shared" si="4"/>
        <v>3529.864832672647</v>
      </c>
      <c r="F33" s="30">
        <f t="shared" si="5"/>
        <v>137639.05462278324</v>
      </c>
    </row>
    <row r="34" spans="1:6" x14ac:dyDescent="0.3">
      <c r="A34" s="1">
        <f t="shared" si="6"/>
        <v>11</v>
      </c>
      <c r="B34" s="30">
        <f t="shared" si="1"/>
        <v>137639.05462278324</v>
      </c>
      <c r="C34" s="1">
        <f t="shared" si="2"/>
        <v>12000</v>
      </c>
      <c r="D34" s="30">
        <f t="shared" si="3"/>
        <v>8258.3432773669938</v>
      </c>
      <c r="E34" s="30">
        <f t="shared" si="4"/>
        <v>3741.6567226330062</v>
      </c>
      <c r="F34" s="30">
        <f t="shared" si="5"/>
        <v>133897.39790015024</v>
      </c>
    </row>
    <row r="35" spans="1:6" x14ac:dyDescent="0.3">
      <c r="A35" s="1">
        <f t="shared" si="6"/>
        <v>12</v>
      </c>
      <c r="B35" s="30">
        <f t="shared" si="1"/>
        <v>133897.39790015024</v>
      </c>
      <c r="C35" s="1">
        <f t="shared" si="2"/>
        <v>12000</v>
      </c>
      <c r="D35" s="30">
        <f t="shared" si="3"/>
        <v>8033.8438740090141</v>
      </c>
      <c r="E35" s="30">
        <f t="shared" si="4"/>
        <v>3966.1561259909859</v>
      </c>
      <c r="F35" s="32">
        <f t="shared" si="5"/>
        <v>129931.24177415927</v>
      </c>
    </row>
    <row r="36" spans="1:6" x14ac:dyDescent="0.3">
      <c r="A36" s="1">
        <f t="shared" si="6"/>
        <v>13</v>
      </c>
      <c r="B36" s="30">
        <f t="shared" si="1"/>
        <v>129931.24177415927</v>
      </c>
      <c r="C36" s="1">
        <f t="shared" si="2"/>
        <v>12000</v>
      </c>
      <c r="D36" s="30">
        <f t="shared" si="3"/>
        <v>7795.8745064495561</v>
      </c>
      <c r="E36" s="30">
        <f t="shared" si="4"/>
        <v>4204.1254935504439</v>
      </c>
      <c r="F36" s="30">
        <f t="shared" si="5"/>
        <v>125727.11628060883</v>
      </c>
    </row>
    <row r="37" spans="1:6" x14ac:dyDescent="0.3">
      <c r="A37" s="1">
        <f t="shared" si="6"/>
        <v>14</v>
      </c>
      <c r="B37" s="30">
        <f t="shared" si="1"/>
        <v>125727.11628060883</v>
      </c>
      <c r="C37" s="1">
        <f t="shared" si="2"/>
        <v>12000</v>
      </c>
      <c r="D37" s="30">
        <f t="shared" si="3"/>
        <v>7543.6269768365291</v>
      </c>
      <c r="E37" s="30">
        <f t="shared" si="4"/>
        <v>4456.3730231634709</v>
      </c>
      <c r="F37" s="30">
        <f t="shared" si="5"/>
        <v>121270.74325744536</v>
      </c>
    </row>
    <row r="38" spans="1:6" x14ac:dyDescent="0.3">
      <c r="A38" s="1">
        <f t="shared" si="6"/>
        <v>15</v>
      </c>
      <c r="B38" s="30">
        <f t="shared" si="1"/>
        <v>121270.74325744536</v>
      </c>
      <c r="C38" s="1">
        <f t="shared" si="2"/>
        <v>12000</v>
      </c>
      <c r="D38" s="30">
        <f t="shared" si="3"/>
        <v>7276.2445954467212</v>
      </c>
      <c r="E38" s="30">
        <f t="shared" si="4"/>
        <v>4723.7554045532788</v>
      </c>
      <c r="F38" s="30">
        <f t="shared" si="5"/>
        <v>116546.98785289208</v>
      </c>
    </row>
    <row r="39" spans="1:6" x14ac:dyDescent="0.3">
      <c r="A39" s="1">
        <f t="shared" si="6"/>
        <v>16</v>
      </c>
      <c r="B39" s="30">
        <f t="shared" si="1"/>
        <v>116546.98785289208</v>
      </c>
      <c r="C39" s="1">
        <f t="shared" si="2"/>
        <v>12000</v>
      </c>
      <c r="D39" s="30">
        <f t="shared" si="3"/>
        <v>6992.8192711735246</v>
      </c>
      <c r="E39" s="30">
        <f t="shared" si="4"/>
        <v>5007.1807288264754</v>
      </c>
      <c r="F39" s="30">
        <f t="shared" si="5"/>
        <v>111539.80712406561</v>
      </c>
    </row>
    <row r="40" spans="1:6" x14ac:dyDescent="0.3">
      <c r="A40" s="1">
        <f t="shared" si="6"/>
        <v>17</v>
      </c>
      <c r="B40" s="30">
        <f t="shared" si="1"/>
        <v>111539.80712406561</v>
      </c>
      <c r="C40" s="1">
        <f t="shared" si="2"/>
        <v>12000</v>
      </c>
      <c r="D40" s="30">
        <f t="shared" si="3"/>
        <v>6692.388427443937</v>
      </c>
      <c r="E40" s="30">
        <f t="shared" si="4"/>
        <v>5307.611572556063</v>
      </c>
      <c r="F40" s="30">
        <f t="shared" si="5"/>
        <v>106232.19555150955</v>
      </c>
    </row>
    <row r="41" spans="1:6" x14ac:dyDescent="0.3">
      <c r="A41" s="1">
        <f t="shared" si="6"/>
        <v>18</v>
      </c>
      <c r="B41" s="30">
        <f t="shared" si="1"/>
        <v>106232.19555150955</v>
      </c>
      <c r="C41" s="1">
        <f t="shared" si="2"/>
        <v>12000</v>
      </c>
      <c r="D41" s="30">
        <f t="shared" si="3"/>
        <v>6373.9317330905724</v>
      </c>
      <c r="E41" s="30">
        <f t="shared" si="4"/>
        <v>5626.0682669094276</v>
      </c>
      <c r="F41" s="30">
        <f t="shared" si="5"/>
        <v>100606.12728460012</v>
      </c>
    </row>
    <row r="42" spans="1:6" x14ac:dyDescent="0.3">
      <c r="A42" s="1">
        <f t="shared" si="6"/>
        <v>19</v>
      </c>
      <c r="B42" s="30">
        <f t="shared" si="1"/>
        <v>100606.12728460012</v>
      </c>
      <c r="C42" s="1">
        <f t="shared" si="2"/>
        <v>12000</v>
      </c>
      <c r="D42" s="30">
        <f t="shared" si="3"/>
        <v>6036.3676370760068</v>
      </c>
      <c r="E42" s="30">
        <f t="shared" si="4"/>
        <v>5963.6323629239932</v>
      </c>
      <c r="F42" s="30">
        <f t="shared" si="5"/>
        <v>94642.494921676131</v>
      </c>
    </row>
    <row r="43" spans="1:6" x14ac:dyDescent="0.3">
      <c r="A43" s="1">
        <f t="shared" si="6"/>
        <v>20</v>
      </c>
      <c r="B43" s="30">
        <f t="shared" si="1"/>
        <v>94642.494921676131</v>
      </c>
      <c r="C43" s="1">
        <f t="shared" si="2"/>
        <v>12000</v>
      </c>
      <c r="D43" s="30">
        <f t="shared" si="3"/>
        <v>5678.5496953005677</v>
      </c>
      <c r="E43" s="30">
        <f t="shared" si="4"/>
        <v>6321.4503046994323</v>
      </c>
      <c r="F43" s="30">
        <f t="shared" si="5"/>
        <v>88321.044616976695</v>
      </c>
    </row>
    <row r="44" spans="1:6" x14ac:dyDescent="0.3">
      <c r="A44" s="1">
        <f t="shared" si="6"/>
        <v>21</v>
      </c>
      <c r="B44" s="30">
        <f t="shared" si="1"/>
        <v>88321.044616976695</v>
      </c>
      <c r="C44" s="1">
        <f t="shared" si="2"/>
        <v>12000</v>
      </c>
      <c r="D44" s="30">
        <f t="shared" si="3"/>
        <v>5299.2626770186016</v>
      </c>
      <c r="E44" s="30">
        <f t="shared" si="4"/>
        <v>6700.7373229813984</v>
      </c>
      <c r="F44" s="30">
        <f t="shared" si="5"/>
        <v>81620.307293995298</v>
      </c>
    </row>
    <row r="45" spans="1:6" x14ac:dyDescent="0.3">
      <c r="A45" s="1">
        <f t="shared" si="6"/>
        <v>22</v>
      </c>
      <c r="B45" s="30">
        <f t="shared" si="1"/>
        <v>81620.307293995298</v>
      </c>
      <c r="C45" s="1">
        <f t="shared" si="2"/>
        <v>12000</v>
      </c>
      <c r="D45" s="30">
        <f t="shared" si="3"/>
        <v>4897.2184376397181</v>
      </c>
      <c r="E45" s="30">
        <f t="shared" si="4"/>
        <v>7102.7815623602819</v>
      </c>
      <c r="F45" s="30">
        <f t="shared" si="5"/>
        <v>74517.525731635018</v>
      </c>
    </row>
    <row r="46" spans="1:6" x14ac:dyDescent="0.3">
      <c r="A46" s="1">
        <f t="shared" si="6"/>
        <v>23</v>
      </c>
      <c r="B46" s="30">
        <f t="shared" si="1"/>
        <v>74517.525731635018</v>
      </c>
      <c r="C46" s="1">
        <f t="shared" si="2"/>
        <v>12000</v>
      </c>
      <c r="D46" s="30">
        <f t="shared" si="3"/>
        <v>4471.051543898101</v>
      </c>
      <c r="E46" s="30">
        <f t="shared" si="4"/>
        <v>7528.948456101899</v>
      </c>
      <c r="F46" s="30">
        <f t="shared" si="5"/>
        <v>66988.577275533113</v>
      </c>
    </row>
    <row r="47" spans="1:6" x14ac:dyDescent="0.3">
      <c r="A47" s="1">
        <f t="shared" si="6"/>
        <v>24</v>
      </c>
      <c r="B47" s="30">
        <f t="shared" si="1"/>
        <v>66988.577275533113</v>
      </c>
      <c r="C47" s="1">
        <f t="shared" si="2"/>
        <v>12000</v>
      </c>
      <c r="D47" s="30">
        <f t="shared" si="3"/>
        <v>4019.3146365319867</v>
      </c>
      <c r="E47" s="30">
        <f t="shared" si="4"/>
        <v>7980.6853634680137</v>
      </c>
      <c r="F47" s="30">
        <f t="shared" si="5"/>
        <v>59007.891912065097</v>
      </c>
    </row>
    <row r="48" spans="1:6" x14ac:dyDescent="0.3">
      <c r="A48" s="1">
        <f t="shared" si="6"/>
        <v>25</v>
      </c>
      <c r="B48" s="30">
        <f t="shared" si="1"/>
        <v>59007.891912065097</v>
      </c>
      <c r="C48" s="1">
        <f t="shared" si="2"/>
        <v>12000</v>
      </c>
      <c r="D48" s="30">
        <f t="shared" si="3"/>
        <v>3540.4735147239057</v>
      </c>
      <c r="E48" s="30">
        <f t="shared" si="4"/>
        <v>8459.5264852760938</v>
      </c>
      <c r="F48" s="30">
        <f t="shared" si="5"/>
        <v>50548.365426789002</v>
      </c>
    </row>
    <row r="49" spans="1:6" x14ac:dyDescent="0.3">
      <c r="A49" s="1">
        <f t="shared" si="6"/>
        <v>26</v>
      </c>
      <c r="B49" s="30">
        <f t="shared" si="1"/>
        <v>50548.365426789002</v>
      </c>
      <c r="C49" s="1">
        <f t="shared" si="2"/>
        <v>12000</v>
      </c>
      <c r="D49" s="30">
        <f t="shared" si="3"/>
        <v>3032.9019256073398</v>
      </c>
      <c r="E49" s="30">
        <f t="shared" si="4"/>
        <v>8967.0980743926593</v>
      </c>
      <c r="F49" s="30">
        <f t="shared" si="5"/>
        <v>41581.267352396346</v>
      </c>
    </row>
    <row r="50" spans="1:6" x14ac:dyDescent="0.3">
      <c r="A50" s="1">
        <f t="shared" si="6"/>
        <v>27</v>
      </c>
      <c r="B50" s="30">
        <f t="shared" si="1"/>
        <v>41581.267352396346</v>
      </c>
      <c r="C50" s="1">
        <f t="shared" si="2"/>
        <v>12000</v>
      </c>
      <c r="D50" s="30">
        <f t="shared" si="3"/>
        <v>2494.8760411437806</v>
      </c>
      <c r="E50" s="30">
        <f t="shared" si="4"/>
        <v>9505.1239588562203</v>
      </c>
      <c r="F50" s="30">
        <f t="shared" si="5"/>
        <v>32076.143393540126</v>
      </c>
    </row>
    <row r="51" spans="1:6" x14ac:dyDescent="0.3">
      <c r="A51" s="1">
        <f t="shared" si="6"/>
        <v>28</v>
      </c>
      <c r="B51" s="30">
        <f t="shared" si="1"/>
        <v>32076.143393540126</v>
      </c>
      <c r="C51" s="1">
        <f t="shared" si="2"/>
        <v>12000</v>
      </c>
      <c r="D51" s="30">
        <f t="shared" si="3"/>
        <v>1924.5686036124075</v>
      </c>
      <c r="E51" s="30">
        <f t="shared" si="4"/>
        <v>10075.431396387592</v>
      </c>
      <c r="F51" s="30">
        <f t="shared" si="5"/>
        <v>22000.711997152532</v>
      </c>
    </row>
    <row r="52" spans="1:6" x14ac:dyDescent="0.3">
      <c r="A52" s="1">
        <f t="shared" si="6"/>
        <v>29</v>
      </c>
      <c r="B52" s="30">
        <f t="shared" si="1"/>
        <v>22000.711997152532</v>
      </c>
      <c r="C52" s="1">
        <f t="shared" si="2"/>
        <v>12000</v>
      </c>
      <c r="D52" s="30">
        <f t="shared" si="3"/>
        <v>1320.0427198291518</v>
      </c>
      <c r="E52" s="30">
        <f t="shared" si="4"/>
        <v>10679.957280170849</v>
      </c>
      <c r="F52" s="30">
        <f t="shared" si="5"/>
        <v>11320.754716981683</v>
      </c>
    </row>
    <row r="53" spans="1:6" x14ac:dyDescent="0.3">
      <c r="A53" s="1">
        <f t="shared" si="6"/>
        <v>30</v>
      </c>
      <c r="B53" s="30">
        <f t="shared" si="1"/>
        <v>11320.754716981683</v>
      </c>
      <c r="C53" s="1">
        <f t="shared" si="2"/>
        <v>12000</v>
      </c>
      <c r="D53" s="30">
        <f t="shared" si="3"/>
        <v>679.24528301890098</v>
      </c>
      <c r="E53" s="30">
        <f t="shared" si="4"/>
        <v>11320.754716981099</v>
      </c>
      <c r="F53" s="30">
        <f t="shared" si="5"/>
        <v>5.8389559853821993E-10</v>
      </c>
    </row>
    <row r="55" spans="1:6" x14ac:dyDescent="0.3">
      <c r="A55" s="1" t="s">
        <v>53</v>
      </c>
    </row>
    <row r="56" spans="1:6" x14ac:dyDescent="0.3">
      <c r="A56" s="1" t="s">
        <v>54</v>
      </c>
      <c r="C56" s="32">
        <f>F35</f>
        <v>129931.24177415927</v>
      </c>
    </row>
    <row r="57" spans="1:6" x14ac:dyDescent="0.3">
      <c r="A57" s="1" t="s">
        <v>55</v>
      </c>
      <c r="F57" s="32">
        <f>-PV(B17,18,B16)</f>
        <v>129931.24177415913</v>
      </c>
    </row>
  </sheetData>
  <mergeCells count="6">
    <mergeCell ref="A1:J1"/>
    <mergeCell ref="A8:D8"/>
    <mergeCell ref="A6:D6"/>
    <mergeCell ref="A7:D7"/>
    <mergeCell ref="A2:D2"/>
    <mergeCell ref="A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89AE9-9805-4671-8EA3-75F10DD98CD4}">
  <dimension ref="A1:S18"/>
  <sheetViews>
    <sheetView showGridLines="0" workbookViewId="0">
      <selection activeCell="C20" sqref="C20"/>
    </sheetView>
  </sheetViews>
  <sheetFormatPr defaultRowHeight="15.6" x14ac:dyDescent="0.3"/>
  <sheetData>
    <row r="1" spans="1:19" ht="79.2" customHeight="1" thickBot="1" x14ac:dyDescent="0.35">
      <c r="A1" s="61" t="s">
        <v>5</v>
      </c>
      <c r="B1" s="62"/>
      <c r="C1" s="62"/>
      <c r="D1" s="62"/>
      <c r="E1" s="62"/>
      <c r="F1" s="62"/>
      <c r="G1" s="62"/>
      <c r="H1" s="62"/>
      <c r="I1" s="62"/>
      <c r="J1" s="62"/>
      <c r="K1" s="62"/>
      <c r="L1" s="62"/>
      <c r="M1" s="62"/>
      <c r="N1" s="62"/>
      <c r="O1" s="63"/>
    </row>
    <row r="4" spans="1:19" x14ac:dyDescent="0.3">
      <c r="A4" t="s">
        <v>31</v>
      </c>
    </row>
    <row r="5" spans="1:19" x14ac:dyDescent="0.3">
      <c r="B5" s="13"/>
      <c r="C5" s="33">
        <v>2</v>
      </c>
      <c r="D5" s="33">
        <f>C5*(1+$C$10)</f>
        <v>2.1</v>
      </c>
      <c r="E5" s="33">
        <f t="shared" ref="E5:S5" si="0">D5*(1+$C$10)</f>
        <v>2.2050000000000001</v>
      </c>
      <c r="F5" s="33">
        <f t="shared" si="0"/>
        <v>2.3152500000000003</v>
      </c>
      <c r="G5" s="33">
        <f t="shared" si="0"/>
        <v>2.4310125000000005</v>
      </c>
      <c r="H5" s="33">
        <f t="shared" si="0"/>
        <v>2.5525631250000007</v>
      </c>
      <c r="I5" s="33">
        <f t="shared" si="0"/>
        <v>2.6801912812500008</v>
      </c>
      <c r="J5" s="33">
        <f t="shared" si="0"/>
        <v>2.8142008453125009</v>
      </c>
      <c r="K5" s="33">
        <f t="shared" si="0"/>
        <v>2.954910887578126</v>
      </c>
      <c r="L5" s="33">
        <f t="shared" si="0"/>
        <v>3.1026564319570324</v>
      </c>
      <c r="M5" s="33">
        <f t="shared" si="0"/>
        <v>3.257789253554884</v>
      </c>
      <c r="N5" s="33">
        <f t="shared" si="0"/>
        <v>3.4206787162326284</v>
      </c>
      <c r="O5" s="33">
        <f t="shared" si="0"/>
        <v>3.5917126520442602</v>
      </c>
      <c r="P5" s="33">
        <f t="shared" si="0"/>
        <v>3.7712982846464733</v>
      </c>
      <c r="Q5" s="33">
        <f t="shared" si="0"/>
        <v>3.9598631988787973</v>
      </c>
      <c r="R5" s="33">
        <f t="shared" si="0"/>
        <v>4.1578563588227375</v>
      </c>
      <c r="S5" s="33">
        <f t="shared" si="0"/>
        <v>4.3657491767638748</v>
      </c>
    </row>
    <row r="7" spans="1:19" x14ac:dyDescent="0.3">
      <c r="B7">
        <v>0</v>
      </c>
      <c r="C7">
        <v>1</v>
      </c>
      <c r="D7">
        <v>2</v>
      </c>
      <c r="E7">
        <v>3</v>
      </c>
      <c r="F7">
        <v>4</v>
      </c>
      <c r="G7">
        <v>5</v>
      </c>
      <c r="H7">
        <v>6</v>
      </c>
      <c r="I7">
        <v>7</v>
      </c>
      <c r="J7">
        <v>8</v>
      </c>
      <c r="K7">
        <v>9</v>
      </c>
      <c r="L7">
        <v>10</v>
      </c>
      <c r="M7">
        <v>11</v>
      </c>
      <c r="N7">
        <v>12</v>
      </c>
      <c r="O7">
        <v>13</v>
      </c>
      <c r="P7">
        <v>14</v>
      </c>
      <c r="Q7">
        <v>15</v>
      </c>
      <c r="R7">
        <v>16</v>
      </c>
      <c r="S7">
        <v>17</v>
      </c>
    </row>
    <row r="10" spans="1:19" x14ac:dyDescent="0.3">
      <c r="A10" t="s">
        <v>57</v>
      </c>
      <c r="C10">
        <f>5%</f>
        <v>0.05</v>
      </c>
    </row>
    <row r="11" spans="1:19" x14ac:dyDescent="0.3">
      <c r="A11" t="s">
        <v>19</v>
      </c>
      <c r="C11">
        <v>17</v>
      </c>
    </row>
    <row r="12" spans="1:19" x14ac:dyDescent="0.3">
      <c r="A12" t="s">
        <v>58</v>
      </c>
      <c r="C12">
        <v>2</v>
      </c>
    </row>
    <row r="13" spans="1:19" x14ac:dyDescent="0.3">
      <c r="A13" t="s">
        <v>17</v>
      </c>
      <c r="C13" s="15">
        <v>0.1</v>
      </c>
    </row>
    <row r="14" spans="1:19" x14ac:dyDescent="0.3">
      <c r="A14" t="s">
        <v>59</v>
      </c>
    </row>
    <row r="15" spans="1:19" x14ac:dyDescent="0.3">
      <c r="A15" t="s">
        <v>60</v>
      </c>
      <c r="D15" s="19">
        <f>NPV(C13,C5:S5)</f>
        <v>21.86145579206439</v>
      </c>
      <c r="E15" s="16" t="s">
        <v>61</v>
      </c>
    </row>
    <row r="17" spans="1:11" x14ac:dyDescent="0.3">
      <c r="A17" t="s">
        <v>62</v>
      </c>
    </row>
    <row r="18" spans="1:11" x14ac:dyDescent="0.3">
      <c r="A18" t="s">
        <v>63</v>
      </c>
      <c r="K18" s="34">
        <f>C12/(C13-C10)*(1-(1+C10)^C11/(1+C13)^C11)</f>
        <v>21.861455792064408</v>
      </c>
    </row>
  </sheetData>
  <mergeCells count="1">
    <mergeCell ref="A1:O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CCF2-E704-4008-969E-995F088F023F}">
  <dimension ref="A1:M10"/>
  <sheetViews>
    <sheetView showGridLines="0" workbookViewId="0">
      <selection activeCell="A2" sqref="A2"/>
    </sheetView>
  </sheetViews>
  <sheetFormatPr defaultRowHeight="15.6" x14ac:dyDescent="0.3"/>
  <cols>
    <col min="1" max="2" width="9.8984375" bestFit="1" customWidth="1"/>
    <col min="3" max="3" width="10.8984375" bestFit="1" customWidth="1"/>
    <col min="4" max="13" width="9.8984375" bestFit="1" customWidth="1"/>
  </cols>
  <sheetData>
    <row r="1" spans="1:13" ht="141.75" customHeight="1" thickBot="1" x14ac:dyDescent="0.35">
      <c r="A1" s="44" t="s">
        <v>66</v>
      </c>
      <c r="B1" s="45"/>
      <c r="C1" s="45"/>
      <c r="D1" s="45"/>
      <c r="E1" s="45"/>
      <c r="F1" s="45"/>
      <c r="G1" s="45"/>
      <c r="H1" s="45"/>
      <c r="I1" s="45"/>
      <c r="J1" s="45"/>
      <c r="K1" s="45"/>
      <c r="L1" s="46"/>
    </row>
    <row r="3" spans="1:13" x14ac:dyDescent="0.3">
      <c r="A3" t="s">
        <v>14</v>
      </c>
    </row>
    <row r="4" spans="1:13" x14ac:dyDescent="0.3">
      <c r="A4" s="33">
        <f>10000</f>
        <v>10000</v>
      </c>
      <c r="B4" s="33">
        <f>A4*(1+$B$7)</f>
        <v>10500</v>
      </c>
      <c r="C4" s="33">
        <f t="shared" ref="C4:K4" si="0">B4*(1+$B$7)</f>
        <v>11025</v>
      </c>
      <c r="D4" s="33">
        <f t="shared" si="0"/>
        <v>11576.25</v>
      </c>
      <c r="E4" s="33">
        <f t="shared" si="0"/>
        <v>12155.0625</v>
      </c>
      <c r="F4" s="33">
        <f t="shared" si="0"/>
        <v>12762.815625000001</v>
      </c>
      <c r="G4" s="33">
        <f t="shared" si="0"/>
        <v>13400.956406250001</v>
      </c>
      <c r="H4" s="33">
        <f t="shared" si="0"/>
        <v>14071.004226562502</v>
      </c>
      <c r="I4" s="33">
        <f t="shared" si="0"/>
        <v>14774.554437890627</v>
      </c>
      <c r="J4" s="33">
        <f t="shared" si="0"/>
        <v>15513.28215978516</v>
      </c>
      <c r="K4" s="33">
        <f t="shared" si="0"/>
        <v>16288.946267774418</v>
      </c>
      <c r="L4" s="33">
        <f t="shared" ref="L4:M4" si="1">K4*(1+$B$7)</f>
        <v>17103.393581163138</v>
      </c>
      <c r="M4" s="33">
        <f t="shared" si="1"/>
        <v>17958.563260221297</v>
      </c>
    </row>
    <row r="5" spans="1:13" x14ac:dyDescent="0.3">
      <c r="A5">
        <v>0</v>
      </c>
      <c r="B5">
        <f>A5+1</f>
        <v>1</v>
      </c>
      <c r="C5">
        <f t="shared" ref="C5:K5" si="2">B5+1</f>
        <v>2</v>
      </c>
      <c r="D5">
        <f t="shared" si="2"/>
        <v>3</v>
      </c>
      <c r="E5">
        <f t="shared" si="2"/>
        <v>4</v>
      </c>
      <c r="F5">
        <f t="shared" si="2"/>
        <v>5</v>
      </c>
      <c r="G5">
        <f t="shared" si="2"/>
        <v>6</v>
      </c>
      <c r="H5">
        <f t="shared" si="2"/>
        <v>7</v>
      </c>
      <c r="I5">
        <f t="shared" si="2"/>
        <v>8</v>
      </c>
      <c r="J5">
        <f t="shared" si="2"/>
        <v>9</v>
      </c>
      <c r="K5">
        <f t="shared" si="2"/>
        <v>10</v>
      </c>
      <c r="L5">
        <f t="shared" ref="L5:M5" si="3">K5+1</f>
        <v>11</v>
      </c>
      <c r="M5">
        <f t="shared" si="3"/>
        <v>12</v>
      </c>
    </row>
    <row r="7" spans="1:13" x14ac:dyDescent="0.3">
      <c r="A7" t="s">
        <v>56</v>
      </c>
      <c r="B7" s="15">
        <v>0.05</v>
      </c>
    </row>
    <row r="8" spans="1:13" x14ac:dyDescent="0.3">
      <c r="A8" t="s">
        <v>17</v>
      </c>
      <c r="B8" s="15">
        <v>0.05</v>
      </c>
    </row>
    <row r="9" spans="1:13" x14ac:dyDescent="0.3">
      <c r="A9" s="16" t="s">
        <v>64</v>
      </c>
      <c r="B9" s="16"/>
      <c r="C9" s="35">
        <f>NPV(B8,B4:M4)+A4</f>
        <v>130000</v>
      </c>
    </row>
    <row r="10" spans="1:13" x14ac:dyDescent="0.3">
      <c r="A10" t="s">
        <v>65</v>
      </c>
    </row>
  </sheetData>
  <mergeCells count="1">
    <mergeCell ref="A1: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4698-58DB-447C-804E-89BBAB0F0942}">
  <dimension ref="A1:O10"/>
  <sheetViews>
    <sheetView showGridLines="0" zoomScaleNormal="100" workbookViewId="0">
      <selection sqref="A1:O1"/>
    </sheetView>
  </sheetViews>
  <sheetFormatPr defaultRowHeight="15.6" x14ac:dyDescent="0.3"/>
  <cols>
    <col min="15" max="15" width="13" customWidth="1"/>
  </cols>
  <sheetData>
    <row r="1" spans="1:15" ht="60.75" customHeight="1" thickBot="1" x14ac:dyDescent="0.35">
      <c r="A1" s="44" t="s">
        <v>70</v>
      </c>
      <c r="B1" s="45"/>
      <c r="C1" s="45"/>
      <c r="D1" s="45"/>
      <c r="E1" s="45"/>
      <c r="F1" s="45"/>
      <c r="G1" s="45"/>
      <c r="H1" s="45"/>
      <c r="I1" s="45"/>
      <c r="J1" s="45"/>
      <c r="K1" s="45"/>
      <c r="L1" s="45"/>
      <c r="M1" s="45"/>
      <c r="N1" s="45"/>
      <c r="O1" s="46"/>
    </row>
    <row r="3" spans="1:15" x14ac:dyDescent="0.3">
      <c r="A3" t="s">
        <v>45</v>
      </c>
    </row>
    <row r="4" spans="1:15" x14ac:dyDescent="0.3">
      <c r="A4" t="s">
        <v>67</v>
      </c>
    </row>
    <row r="6" spans="1:15" x14ac:dyDescent="0.3">
      <c r="A6" t="s">
        <v>68</v>
      </c>
      <c r="B6">
        <v>1</v>
      </c>
    </row>
    <row r="7" spans="1:15" x14ac:dyDescent="0.3">
      <c r="A7" t="s">
        <v>17</v>
      </c>
      <c r="B7" s="15">
        <v>0.05</v>
      </c>
    </row>
    <row r="8" spans="1:15" x14ac:dyDescent="0.3">
      <c r="A8" t="s">
        <v>69</v>
      </c>
      <c r="B8" s="15">
        <v>0.02</v>
      </c>
    </row>
    <row r="10" spans="1:15" x14ac:dyDescent="0.3">
      <c r="A10" s="16" t="s">
        <v>71</v>
      </c>
      <c r="B10" s="16"/>
      <c r="C10" s="36">
        <f>1/(B7-B8)</f>
        <v>33.333333333333329</v>
      </c>
    </row>
  </sheetData>
  <mergeCells count="1">
    <mergeCell ref="A1:O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30415-7B58-4EDB-BE2F-D89028CB71D0}">
  <dimension ref="A1:K6"/>
  <sheetViews>
    <sheetView showGridLines="0" workbookViewId="0">
      <selection sqref="A1:K1"/>
    </sheetView>
  </sheetViews>
  <sheetFormatPr defaultRowHeight="74.25" customHeight="1" x14ac:dyDescent="0.3"/>
  <cols>
    <col min="2" max="2" width="8.8984375" bestFit="1" customWidth="1"/>
    <col min="11" max="11" width="19.69921875" customWidth="1"/>
  </cols>
  <sheetData>
    <row r="1" spans="1:11" ht="74.25" customHeight="1" thickBot="1" x14ac:dyDescent="0.35">
      <c r="A1" s="44" t="s">
        <v>11</v>
      </c>
      <c r="B1" s="45"/>
      <c r="C1" s="45"/>
      <c r="D1" s="45"/>
      <c r="E1" s="45"/>
      <c r="F1" s="45"/>
      <c r="G1" s="45"/>
      <c r="H1" s="45"/>
      <c r="I1" s="45"/>
      <c r="J1" s="45"/>
      <c r="K1" s="46"/>
    </row>
    <row r="3" spans="1:11" ht="74.25" customHeight="1" x14ac:dyDescent="0.3">
      <c r="A3" t="s">
        <v>73</v>
      </c>
      <c r="B3" s="15">
        <v>0.12</v>
      </c>
    </row>
    <row r="4" spans="1:11" ht="74.25" customHeight="1" x14ac:dyDescent="0.3">
      <c r="A4" t="s">
        <v>74</v>
      </c>
      <c r="B4">
        <v>365</v>
      </c>
    </row>
    <row r="5" spans="1:11" ht="74.25" customHeight="1" x14ac:dyDescent="0.3">
      <c r="A5" t="s">
        <v>29</v>
      </c>
      <c r="B5" s="34">
        <f>1000*(1+B3/B4)^B4</f>
        <v>1127.4746156383942</v>
      </c>
    </row>
    <row r="6" spans="1:11" ht="74.25" customHeight="1" x14ac:dyDescent="0.3">
      <c r="A6" t="s">
        <v>72</v>
      </c>
      <c r="B6" s="37">
        <f>(1+B3/B4)^B4-1</f>
        <v>0.12747461563839413</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vt:lpstr>
      <vt:lpstr>Q1</vt:lpstr>
      <vt:lpstr>Q2</vt:lpstr>
      <vt:lpstr>Q3</vt:lpstr>
      <vt:lpstr>Q4</vt:lpstr>
      <vt:lpstr>Q5</vt:lpstr>
      <vt:lpstr>Q6</vt:lpstr>
      <vt:lpstr>Q7</vt:lpstr>
      <vt:lpstr>Q8</vt:lpstr>
      <vt:lpstr>Q9</vt:lpstr>
      <vt:lpstr>Q10</vt:lpstr>
      <vt:lpstr>Q11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2018-09-17T01:44:23Z</dcterms:created>
  <dcterms:modified xsi:type="dcterms:W3CDTF">2020-11-09T16:42:38Z</dcterms:modified>
</cp:coreProperties>
</file>