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Deaths of Dispair Project\Regression\Before 1960\40 and Up\"/>
    </mc:Choice>
  </mc:AlternateContent>
  <xr:revisionPtr revIDLastSave="0" documentId="13_ncr:1_{39049857-5A32-4567-89E3-238D4AC65ED4}" xr6:coauthVersionLast="36" xr6:coauthVersionMax="36" xr10:uidLastSave="{00000000-0000-0000-0000-000000000000}"/>
  <bookViews>
    <workbookView xWindow="0" yWindow="0" windowWidth="28800" windowHeight="11625" xr2:uid="{2725BD67-0502-4BA0-8039-8CBC4BFB7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1" l="1"/>
  <c r="M39" i="1"/>
  <c r="M38" i="1"/>
  <c r="M37" i="1"/>
  <c r="M35" i="1"/>
  <c r="M34" i="1"/>
  <c r="M33" i="1"/>
  <c r="M32" i="1"/>
  <c r="M31" i="1"/>
  <c r="M30" i="1"/>
  <c r="M29" i="1"/>
  <c r="M28" i="1"/>
  <c r="M27" i="1"/>
  <c r="M26" i="1"/>
  <c r="M25" i="1"/>
  <c r="W40" i="1"/>
  <c r="V40" i="1"/>
  <c r="U40" i="1"/>
  <c r="T40" i="1"/>
  <c r="S40" i="1"/>
  <c r="R40" i="1"/>
  <c r="Q40" i="1"/>
  <c r="W39" i="1"/>
  <c r="V39" i="1"/>
  <c r="U39" i="1"/>
  <c r="T39" i="1"/>
  <c r="S39" i="1"/>
  <c r="R39" i="1"/>
  <c r="Q39" i="1"/>
  <c r="P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K40" i="1"/>
  <c r="J40" i="1"/>
  <c r="I40" i="1"/>
  <c r="H40" i="1"/>
  <c r="G40" i="1"/>
  <c r="F40" i="1"/>
  <c r="E40" i="1"/>
  <c r="K39" i="1"/>
  <c r="J39" i="1"/>
  <c r="I39" i="1"/>
  <c r="H39" i="1"/>
  <c r="G39" i="1"/>
  <c r="F39" i="1"/>
  <c r="E39" i="1"/>
  <c r="D39" i="1"/>
  <c r="K38" i="1"/>
  <c r="J38" i="1"/>
  <c r="I38" i="1"/>
  <c r="H38" i="1"/>
  <c r="G38" i="1"/>
  <c r="F38" i="1"/>
  <c r="E38" i="1"/>
  <c r="D38" i="1"/>
  <c r="C38" i="1"/>
  <c r="K37" i="1"/>
  <c r="J37" i="1"/>
  <c r="I37" i="1"/>
  <c r="H37" i="1"/>
  <c r="G37" i="1"/>
  <c r="F37" i="1"/>
  <c r="E37" i="1"/>
  <c r="D37" i="1"/>
  <c r="C37" i="1"/>
  <c r="B37" i="1"/>
  <c r="K35" i="1"/>
  <c r="J35" i="1"/>
  <c r="I35" i="1"/>
  <c r="H35" i="1"/>
  <c r="G35" i="1"/>
  <c r="F35" i="1"/>
  <c r="E35" i="1"/>
  <c r="D35" i="1"/>
  <c r="C35" i="1"/>
  <c r="B35" i="1"/>
  <c r="K34" i="1"/>
  <c r="J34" i="1"/>
  <c r="I34" i="1"/>
  <c r="H34" i="1"/>
  <c r="G34" i="1"/>
  <c r="F34" i="1"/>
  <c r="E34" i="1"/>
  <c r="D34" i="1"/>
  <c r="C34" i="1"/>
  <c r="B34" i="1"/>
  <c r="K33" i="1"/>
  <c r="J33" i="1"/>
  <c r="I33" i="1"/>
  <c r="H33" i="1"/>
  <c r="G33" i="1"/>
  <c r="F33" i="1"/>
  <c r="E33" i="1"/>
  <c r="D33" i="1"/>
  <c r="C33" i="1"/>
  <c r="B33" i="1"/>
  <c r="K32" i="1"/>
  <c r="J32" i="1"/>
  <c r="I32" i="1"/>
  <c r="H32" i="1"/>
  <c r="G32" i="1"/>
  <c r="F32" i="1"/>
  <c r="E32" i="1"/>
  <c r="D32" i="1"/>
  <c r="C32" i="1"/>
  <c r="B32" i="1"/>
  <c r="K31" i="1"/>
  <c r="J31" i="1"/>
  <c r="I31" i="1"/>
  <c r="H31" i="1"/>
  <c r="G31" i="1"/>
  <c r="F31" i="1"/>
  <c r="E31" i="1"/>
  <c r="D31" i="1"/>
  <c r="C31" i="1"/>
  <c r="B31" i="1"/>
  <c r="K30" i="1"/>
  <c r="J30" i="1"/>
  <c r="I30" i="1"/>
  <c r="H30" i="1"/>
  <c r="G30" i="1"/>
  <c r="F30" i="1"/>
  <c r="E30" i="1"/>
  <c r="D30" i="1"/>
  <c r="C30" i="1"/>
  <c r="B30" i="1"/>
  <c r="K29" i="1"/>
  <c r="J29" i="1"/>
  <c r="I29" i="1"/>
  <c r="H29" i="1"/>
  <c r="G29" i="1"/>
  <c r="F29" i="1"/>
  <c r="E29" i="1"/>
  <c r="D29" i="1"/>
  <c r="C29" i="1"/>
  <c r="B29" i="1"/>
  <c r="K28" i="1"/>
  <c r="J28" i="1"/>
  <c r="I28" i="1"/>
  <c r="H28" i="1"/>
  <c r="G28" i="1"/>
  <c r="F28" i="1"/>
  <c r="E28" i="1"/>
  <c r="D28" i="1"/>
  <c r="C28" i="1"/>
  <c r="B28" i="1"/>
  <c r="K27" i="1"/>
  <c r="J27" i="1"/>
  <c r="I27" i="1"/>
  <c r="H27" i="1"/>
  <c r="G27" i="1"/>
  <c r="F27" i="1"/>
  <c r="E27" i="1"/>
  <c r="D27" i="1"/>
  <c r="C27" i="1"/>
  <c r="B27" i="1"/>
  <c r="K26" i="1"/>
  <c r="J26" i="1"/>
  <c r="I26" i="1"/>
  <c r="H26" i="1"/>
  <c r="G26" i="1"/>
  <c r="F26" i="1"/>
  <c r="E26" i="1"/>
  <c r="D26" i="1"/>
  <c r="C26" i="1"/>
  <c r="B26" i="1"/>
  <c r="K25" i="1"/>
  <c r="J25" i="1"/>
  <c r="I25" i="1"/>
  <c r="H25" i="1"/>
  <c r="G25" i="1"/>
  <c r="F25" i="1"/>
  <c r="E25" i="1"/>
  <c r="D25" i="1"/>
  <c r="C25" i="1"/>
  <c r="B25" i="1"/>
  <c r="A40" i="1"/>
  <c r="A39" i="1"/>
  <c r="A38" i="1"/>
  <c r="A37" i="1"/>
  <c r="A35" i="1"/>
  <c r="A34" i="1"/>
  <c r="A33" i="1"/>
  <c r="A32" i="1"/>
  <c r="A31" i="1"/>
  <c r="A30" i="1"/>
  <c r="A29" i="1"/>
  <c r="A28" i="1"/>
  <c r="A27" i="1"/>
  <c r="A26" i="1"/>
  <c r="A25" i="1"/>
  <c r="A24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W19" i="1"/>
  <c r="V19" i="1"/>
  <c r="U19" i="1"/>
  <c r="T19" i="1"/>
  <c r="S19" i="1"/>
  <c r="R19" i="1"/>
  <c r="Q19" i="1"/>
  <c r="P19" i="1"/>
  <c r="O19" i="1"/>
  <c r="N19" i="1"/>
  <c r="K19" i="1"/>
  <c r="J19" i="1"/>
  <c r="I19" i="1"/>
  <c r="H19" i="1"/>
  <c r="G19" i="1"/>
  <c r="F19" i="1"/>
  <c r="E19" i="1"/>
  <c r="D19" i="1"/>
  <c r="C19" i="1"/>
  <c r="B19" i="1"/>
  <c r="A19" i="1"/>
  <c r="W18" i="1"/>
  <c r="V18" i="1"/>
  <c r="U18" i="1"/>
  <c r="T18" i="1"/>
  <c r="S18" i="1"/>
  <c r="R18" i="1"/>
  <c r="Q18" i="1"/>
  <c r="P18" i="1"/>
  <c r="O18" i="1"/>
  <c r="N18" i="1"/>
  <c r="K18" i="1"/>
  <c r="J18" i="1"/>
  <c r="I18" i="1"/>
  <c r="H18" i="1"/>
  <c r="G18" i="1"/>
  <c r="F18" i="1"/>
  <c r="E18" i="1"/>
  <c r="D18" i="1"/>
  <c r="C18" i="1"/>
  <c r="B18" i="1"/>
  <c r="A18" i="1"/>
  <c r="W17" i="1"/>
  <c r="V17" i="1"/>
  <c r="U17" i="1"/>
  <c r="T17" i="1"/>
  <c r="S17" i="1"/>
  <c r="R17" i="1"/>
  <c r="Q17" i="1"/>
  <c r="P17" i="1"/>
  <c r="O17" i="1"/>
  <c r="N17" i="1"/>
  <c r="K17" i="1"/>
  <c r="J17" i="1"/>
  <c r="I17" i="1"/>
  <c r="H17" i="1"/>
  <c r="G17" i="1"/>
  <c r="F17" i="1"/>
  <c r="E17" i="1"/>
  <c r="D17" i="1"/>
  <c r="C17" i="1"/>
  <c r="B17" i="1"/>
  <c r="A17" i="1"/>
  <c r="W16" i="1"/>
  <c r="V16" i="1"/>
  <c r="U16" i="1"/>
  <c r="T16" i="1"/>
  <c r="S16" i="1"/>
  <c r="R16" i="1"/>
  <c r="Q16" i="1"/>
  <c r="P16" i="1"/>
  <c r="O16" i="1"/>
  <c r="N16" i="1"/>
  <c r="K16" i="1"/>
  <c r="J16" i="1"/>
  <c r="I16" i="1"/>
  <c r="H16" i="1"/>
  <c r="G16" i="1"/>
  <c r="F16" i="1"/>
  <c r="E16" i="1"/>
  <c r="D16" i="1"/>
  <c r="C16" i="1"/>
  <c r="B16" i="1"/>
  <c r="A16" i="1"/>
  <c r="W15" i="1"/>
  <c r="V15" i="1"/>
  <c r="U15" i="1"/>
  <c r="T15" i="1"/>
  <c r="S15" i="1"/>
  <c r="R15" i="1"/>
  <c r="Q15" i="1"/>
  <c r="P15" i="1"/>
  <c r="O15" i="1"/>
  <c r="N15" i="1"/>
  <c r="K15" i="1"/>
  <c r="J15" i="1"/>
  <c r="I15" i="1"/>
  <c r="H15" i="1"/>
  <c r="G15" i="1"/>
  <c r="F15" i="1"/>
  <c r="E15" i="1"/>
  <c r="D15" i="1"/>
  <c r="C15" i="1"/>
  <c r="B15" i="1"/>
  <c r="A15" i="1"/>
  <c r="W14" i="1"/>
  <c r="V14" i="1"/>
  <c r="U14" i="1"/>
  <c r="T14" i="1"/>
  <c r="S14" i="1"/>
  <c r="R14" i="1"/>
  <c r="Q14" i="1"/>
  <c r="P14" i="1"/>
  <c r="O14" i="1"/>
  <c r="N14" i="1"/>
  <c r="K14" i="1"/>
  <c r="J14" i="1"/>
  <c r="I14" i="1"/>
  <c r="H14" i="1"/>
  <c r="G14" i="1"/>
  <c r="F14" i="1"/>
  <c r="E14" i="1"/>
  <c r="D14" i="1"/>
  <c r="C14" i="1"/>
  <c r="B14" i="1"/>
  <c r="A14" i="1"/>
  <c r="W13" i="1"/>
  <c r="V13" i="1"/>
  <c r="U13" i="1"/>
  <c r="T13" i="1"/>
  <c r="S13" i="1"/>
  <c r="R13" i="1"/>
  <c r="Q13" i="1"/>
  <c r="P13" i="1"/>
  <c r="O13" i="1"/>
  <c r="N13" i="1"/>
  <c r="K13" i="1"/>
  <c r="J13" i="1"/>
  <c r="I13" i="1"/>
  <c r="H13" i="1"/>
  <c r="G13" i="1"/>
  <c r="F13" i="1"/>
  <c r="E13" i="1"/>
  <c r="D13" i="1"/>
  <c r="C13" i="1"/>
  <c r="B13" i="1"/>
  <c r="A13" i="1"/>
  <c r="W12" i="1"/>
  <c r="V12" i="1"/>
  <c r="U12" i="1"/>
  <c r="T12" i="1"/>
  <c r="S12" i="1"/>
  <c r="R12" i="1"/>
  <c r="Q12" i="1"/>
  <c r="P12" i="1"/>
  <c r="O12" i="1"/>
  <c r="N12" i="1"/>
  <c r="K12" i="1"/>
  <c r="J12" i="1"/>
  <c r="I12" i="1"/>
  <c r="H12" i="1"/>
  <c r="G12" i="1"/>
  <c r="F12" i="1"/>
  <c r="E12" i="1"/>
  <c r="D12" i="1"/>
  <c r="C12" i="1"/>
  <c r="B12" i="1"/>
  <c r="A12" i="1"/>
  <c r="W11" i="1"/>
  <c r="V11" i="1"/>
  <c r="U11" i="1"/>
  <c r="T11" i="1"/>
  <c r="S11" i="1"/>
  <c r="R11" i="1"/>
  <c r="Q11" i="1"/>
  <c r="P11" i="1"/>
  <c r="O11" i="1"/>
  <c r="N11" i="1"/>
  <c r="K11" i="1"/>
  <c r="J11" i="1"/>
  <c r="I11" i="1"/>
  <c r="H11" i="1"/>
  <c r="G11" i="1"/>
  <c r="F11" i="1"/>
  <c r="E11" i="1"/>
  <c r="D11" i="1"/>
  <c r="C11" i="1"/>
  <c r="B11" i="1"/>
  <c r="A11" i="1"/>
  <c r="W10" i="1"/>
  <c r="V10" i="1"/>
  <c r="U10" i="1"/>
  <c r="T10" i="1"/>
  <c r="S10" i="1"/>
  <c r="R10" i="1"/>
  <c r="Q10" i="1"/>
  <c r="P10" i="1"/>
  <c r="O10" i="1"/>
  <c r="N10" i="1"/>
  <c r="K10" i="1"/>
  <c r="J10" i="1"/>
  <c r="I10" i="1"/>
  <c r="H10" i="1"/>
  <c r="G10" i="1"/>
  <c r="F10" i="1"/>
  <c r="E10" i="1"/>
  <c r="D10" i="1"/>
  <c r="C10" i="1"/>
  <c r="B10" i="1"/>
  <c r="A10" i="1"/>
  <c r="W9" i="1"/>
  <c r="V9" i="1"/>
  <c r="U9" i="1"/>
  <c r="T9" i="1"/>
  <c r="S9" i="1"/>
  <c r="R9" i="1"/>
  <c r="Q9" i="1"/>
  <c r="P9" i="1"/>
  <c r="O9" i="1"/>
  <c r="N9" i="1"/>
  <c r="K9" i="1"/>
  <c r="J9" i="1"/>
  <c r="I9" i="1"/>
  <c r="H9" i="1"/>
  <c r="G9" i="1"/>
  <c r="F9" i="1"/>
  <c r="E9" i="1"/>
  <c r="D9" i="1"/>
  <c r="C9" i="1"/>
  <c r="B9" i="1"/>
  <c r="A9" i="1"/>
  <c r="W8" i="1"/>
  <c r="V8" i="1"/>
  <c r="U8" i="1"/>
  <c r="T8" i="1"/>
  <c r="S8" i="1"/>
  <c r="R8" i="1"/>
  <c r="Q8" i="1"/>
  <c r="P8" i="1"/>
  <c r="O8" i="1"/>
  <c r="N8" i="1"/>
  <c r="K8" i="1"/>
  <c r="J8" i="1"/>
  <c r="I8" i="1"/>
  <c r="H8" i="1"/>
  <c r="G8" i="1"/>
  <c r="F8" i="1"/>
  <c r="E8" i="1"/>
  <c r="D8" i="1"/>
  <c r="C8" i="1"/>
  <c r="B8" i="1"/>
  <c r="A8" i="1"/>
  <c r="W7" i="1"/>
  <c r="V7" i="1"/>
  <c r="U7" i="1"/>
  <c r="T7" i="1"/>
  <c r="S7" i="1"/>
  <c r="R7" i="1"/>
  <c r="Q7" i="1"/>
  <c r="P7" i="1"/>
  <c r="O7" i="1"/>
  <c r="N7" i="1"/>
  <c r="K7" i="1"/>
  <c r="J7" i="1"/>
  <c r="I7" i="1"/>
  <c r="H7" i="1"/>
  <c r="G7" i="1"/>
  <c r="F7" i="1"/>
  <c r="E7" i="1"/>
  <c r="D7" i="1"/>
  <c r="C7" i="1"/>
  <c r="B7" i="1"/>
  <c r="A7" i="1"/>
  <c r="W6" i="1"/>
  <c r="V6" i="1"/>
  <c r="U6" i="1"/>
  <c r="T6" i="1"/>
  <c r="S6" i="1"/>
  <c r="R6" i="1"/>
  <c r="Q6" i="1"/>
  <c r="P6" i="1"/>
  <c r="O6" i="1"/>
  <c r="N6" i="1"/>
  <c r="K6" i="1"/>
  <c r="J6" i="1"/>
  <c r="I6" i="1"/>
  <c r="H6" i="1"/>
  <c r="G6" i="1"/>
  <c r="F6" i="1"/>
  <c r="E6" i="1"/>
  <c r="D6" i="1"/>
  <c r="C6" i="1"/>
  <c r="B6" i="1"/>
  <c r="A6" i="1"/>
  <c r="W5" i="1"/>
  <c r="V5" i="1"/>
  <c r="U5" i="1"/>
  <c r="T5" i="1"/>
  <c r="S5" i="1"/>
  <c r="R5" i="1"/>
  <c r="Q5" i="1"/>
  <c r="P5" i="1"/>
  <c r="O5" i="1"/>
  <c r="N5" i="1"/>
  <c r="K5" i="1"/>
  <c r="J5" i="1"/>
  <c r="I5" i="1"/>
  <c r="H5" i="1"/>
  <c r="G5" i="1"/>
  <c r="F5" i="1"/>
  <c r="E5" i="1"/>
  <c r="D5" i="1"/>
  <c r="C5" i="1"/>
  <c r="B5" i="1"/>
  <c r="A5" i="1"/>
  <c r="W4" i="1"/>
  <c r="V4" i="1"/>
  <c r="U4" i="1"/>
  <c r="T4" i="1"/>
  <c r="S4" i="1"/>
  <c r="R4" i="1"/>
  <c r="Q4" i="1"/>
  <c r="P4" i="1"/>
  <c r="O4" i="1"/>
  <c r="N4" i="1"/>
  <c r="K4" i="1"/>
  <c r="J4" i="1"/>
  <c r="I4" i="1"/>
  <c r="H4" i="1"/>
  <c r="G4" i="1"/>
  <c r="F4" i="1"/>
  <c r="E4" i="1"/>
  <c r="D4" i="1"/>
  <c r="C4" i="1"/>
  <c r="B4" i="1"/>
  <c r="A4" i="1"/>
  <c r="W3" i="1"/>
  <c r="V3" i="1"/>
  <c r="U3" i="1"/>
  <c r="T3" i="1"/>
  <c r="S3" i="1"/>
  <c r="R3" i="1"/>
  <c r="Q3" i="1"/>
  <c r="P3" i="1"/>
  <c r="O3" i="1"/>
  <c r="N3" i="1"/>
  <c r="K3" i="1"/>
  <c r="J3" i="1"/>
  <c r="I3" i="1"/>
  <c r="H3" i="1"/>
  <c r="G3" i="1"/>
  <c r="F3" i="1"/>
  <c r="E3" i="1"/>
  <c r="D3" i="1"/>
  <c r="C3" i="1"/>
  <c r="B3" i="1"/>
  <c r="A3" i="1"/>
  <c r="W2" i="1"/>
  <c r="V2" i="1"/>
  <c r="U2" i="1"/>
  <c r="T2" i="1"/>
  <c r="S2" i="1"/>
  <c r="R2" i="1"/>
  <c r="Q2" i="1"/>
  <c r="P2" i="1"/>
  <c r="O2" i="1"/>
  <c r="N2" i="1"/>
  <c r="A2" i="1"/>
  <c r="W1" i="1"/>
  <c r="V1" i="1"/>
  <c r="U1" i="1"/>
  <c r="T1" i="1"/>
  <c r="S1" i="1"/>
  <c r="R1" i="1"/>
  <c r="Q1" i="1"/>
  <c r="P1" i="1"/>
  <c r="O1" i="1"/>
  <c r="N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<sst xmlns="http://schemas.openxmlformats.org/spreadsheetml/2006/main" count="1" uniqueCount="1">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</sst>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Cohort 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Sheet1!$M$25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Sheet1!$N$25:$W$25</c:f>
              <c:numCache>
                <c:formatCode>General</c:formatCode>
                <c:ptCount val="10"/>
                <c:pt idx="0">
                  <c:v>4.5900000000000003E-3</c:v>
                </c:pt>
                <c:pt idx="1">
                  <c:v>-5.9499999999999997E-2</c:v>
                </c:pt>
                <c:pt idx="2">
                  <c:v>-8.7400000000000005E-2</c:v>
                </c:pt>
                <c:pt idx="3">
                  <c:v>-9.8199999999999996E-2</c:v>
                </c:pt>
                <c:pt idx="4">
                  <c:v>-0.14000000000000001</c:v>
                </c:pt>
                <c:pt idx="5">
                  <c:v>-0.25700000000000001</c:v>
                </c:pt>
                <c:pt idx="6">
                  <c:v>-0.42699999999999999</c:v>
                </c:pt>
                <c:pt idx="7">
                  <c:v>-0.57399999999999995</c:v>
                </c:pt>
                <c:pt idx="8">
                  <c:v>-0.54900000000000004</c:v>
                </c:pt>
                <c:pt idx="9">
                  <c:v>-0.48199999999999998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9-4847-B662-85F680906706}"/>
            </c:ext>
          </c:extLst>
        </c:ser>
        <c:ser>
          <c:idx val="1"/>
          <c:order val="1"/>
          <c:tx>
            <c:strRef>
              <c:f>Sheet1!$M$26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Sheet1!$N$26:$W$26</c:f>
              <c:numCache>
                <c:formatCode>General</c:formatCode>
                <c:ptCount val="10"/>
                <c:pt idx="0">
                  <c:v>-0.14599999999999999</c:v>
                </c:pt>
                <c:pt idx="1">
                  <c:v>-0.192</c:v>
                </c:pt>
                <c:pt idx="2">
                  <c:v>-0.16400000000000001</c:v>
                </c:pt>
                <c:pt idx="3">
                  <c:v>-0.156</c:v>
                </c:pt>
                <c:pt idx="4">
                  <c:v>-0.152</c:v>
                </c:pt>
                <c:pt idx="5">
                  <c:v>-0.193</c:v>
                </c:pt>
                <c:pt idx="6">
                  <c:v>-0.307</c:v>
                </c:pt>
                <c:pt idx="7">
                  <c:v>-0.44500000000000001</c:v>
                </c:pt>
                <c:pt idx="8">
                  <c:v>-0.52500000000000002</c:v>
                </c:pt>
                <c:pt idx="9">
                  <c:v>-0.55800000000000005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9-4847-B662-85F680906706}"/>
            </c:ext>
          </c:extLst>
        </c:ser>
        <c:ser>
          <c:idx val="2"/>
          <c:order val="2"/>
          <c:tx>
            <c:strRef>
              <c:f>Sheet1!$M$27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Sheet1!$N$27:$W$27</c:f>
              <c:numCache>
                <c:formatCode>General</c:formatCode>
                <c:ptCount val="10"/>
                <c:pt idx="0">
                  <c:v>-0.26400000000000001</c:v>
                </c:pt>
                <c:pt idx="1">
                  <c:v>-0.32200000000000001</c:v>
                </c:pt>
                <c:pt idx="2">
                  <c:v>-0.27200000000000002</c:v>
                </c:pt>
                <c:pt idx="3">
                  <c:v>-0.218</c:v>
                </c:pt>
                <c:pt idx="4">
                  <c:v>-9.0300000000000005E-2</c:v>
                </c:pt>
                <c:pt idx="5">
                  <c:v>-1.6299999999999999E-2</c:v>
                </c:pt>
                <c:pt idx="6">
                  <c:v>-7.3200000000000001E-2</c:v>
                </c:pt>
                <c:pt idx="7">
                  <c:v>-0.15</c:v>
                </c:pt>
                <c:pt idx="8">
                  <c:v>-0.35399999999999998</c:v>
                </c:pt>
                <c:pt idx="9">
                  <c:v>-0.58299999999999996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9-4847-B662-85F680906706}"/>
            </c:ext>
          </c:extLst>
        </c:ser>
        <c:ser>
          <c:idx val="3"/>
          <c:order val="3"/>
          <c:tx>
            <c:strRef>
              <c:f>Sheet1!$M$28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Sheet1!$N$28:$W$28</c:f>
              <c:numCache>
                <c:formatCode>General</c:formatCode>
                <c:ptCount val="10"/>
                <c:pt idx="0">
                  <c:v>5.5199999999999999E-2</c:v>
                </c:pt>
                <c:pt idx="1">
                  <c:v>3.8399999999999997E-2</c:v>
                </c:pt>
                <c:pt idx="2">
                  <c:v>1.0999999999999999E-2</c:v>
                </c:pt>
                <c:pt idx="3">
                  <c:v>-8.1500000000000003E-2</c:v>
                </c:pt>
                <c:pt idx="4">
                  <c:v>-5.8400000000000001E-2</c:v>
                </c:pt>
                <c:pt idx="5">
                  <c:v>-3.2399999999999998E-2</c:v>
                </c:pt>
                <c:pt idx="6">
                  <c:v>-4.6699999999999998E-2</c:v>
                </c:pt>
                <c:pt idx="7">
                  <c:v>-4.65E-2</c:v>
                </c:pt>
                <c:pt idx="8">
                  <c:v>-0.17799999999999999</c:v>
                </c:pt>
                <c:pt idx="9">
                  <c:v>-0.32200000000000001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9-4847-B662-85F680906706}"/>
            </c:ext>
          </c:extLst>
        </c:ser>
        <c:ser>
          <c:idx val="4"/>
          <c:order val="4"/>
          <c:tx>
            <c:strRef>
              <c:f>Sheet1!$M$29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Sheet1!$N$29:$W$29</c:f>
              <c:numCache>
                <c:formatCode>General</c:formatCode>
                <c:ptCount val="10"/>
                <c:pt idx="0">
                  <c:v>-0.127</c:v>
                </c:pt>
                <c:pt idx="1">
                  <c:v>-9.5200000000000007E-2</c:v>
                </c:pt>
                <c:pt idx="2">
                  <c:v>-9.1800000000000007E-2</c:v>
                </c:pt>
                <c:pt idx="3">
                  <c:v>-0.156</c:v>
                </c:pt>
                <c:pt idx="4">
                  <c:v>-0.11799999999999999</c:v>
                </c:pt>
                <c:pt idx="5">
                  <c:v>-0.17799999999999999</c:v>
                </c:pt>
                <c:pt idx="6">
                  <c:v>-0.317</c:v>
                </c:pt>
                <c:pt idx="7">
                  <c:v>-0.53500000000000003</c:v>
                </c:pt>
                <c:pt idx="8">
                  <c:v>-0.66100000000000003</c:v>
                </c:pt>
                <c:pt idx="9">
                  <c:v>-0.82199999999999995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9-4847-B662-85F680906706}"/>
            </c:ext>
          </c:extLst>
        </c:ser>
        <c:ser>
          <c:idx val="5"/>
          <c:order val="5"/>
          <c:tx>
            <c:strRef>
              <c:f>Sheet1!$M$30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Sheet1!$N$30:$W$30</c:f>
              <c:numCache>
                <c:formatCode>General</c:formatCode>
                <c:ptCount val="10"/>
                <c:pt idx="0">
                  <c:v>0.17399999999999999</c:v>
                </c:pt>
                <c:pt idx="1">
                  <c:v>3.5499999999999997E-2</c:v>
                </c:pt>
                <c:pt idx="2">
                  <c:v>-6.6600000000000006E-2</c:v>
                </c:pt>
                <c:pt idx="3">
                  <c:v>-0.249</c:v>
                </c:pt>
                <c:pt idx="4">
                  <c:v>-0.32300000000000001</c:v>
                </c:pt>
                <c:pt idx="5">
                  <c:v>-0.27</c:v>
                </c:pt>
                <c:pt idx="6">
                  <c:v>-0.33900000000000002</c:v>
                </c:pt>
                <c:pt idx="7">
                  <c:v>-0.49199999999999999</c:v>
                </c:pt>
                <c:pt idx="8">
                  <c:v>-0.55500000000000005</c:v>
                </c:pt>
                <c:pt idx="9">
                  <c:v>-0.69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A9-4847-B662-85F680906706}"/>
            </c:ext>
          </c:extLst>
        </c:ser>
        <c:ser>
          <c:idx val="6"/>
          <c:order val="6"/>
          <c:tx>
            <c:strRef>
              <c:f>Sheet1!$M$31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Sheet1!$N$31:$W$31</c:f>
              <c:numCache>
                <c:formatCode>General</c:formatCode>
                <c:ptCount val="10"/>
                <c:pt idx="0">
                  <c:v>-0.28699999999999998</c:v>
                </c:pt>
                <c:pt idx="1">
                  <c:v>-0.313</c:v>
                </c:pt>
                <c:pt idx="2">
                  <c:v>-0.28199999999999997</c:v>
                </c:pt>
                <c:pt idx="3">
                  <c:v>-0.23599999999999999</c:v>
                </c:pt>
                <c:pt idx="4">
                  <c:v>-0.191</c:v>
                </c:pt>
                <c:pt idx="5">
                  <c:v>-0.19500000000000001</c:v>
                </c:pt>
                <c:pt idx="6">
                  <c:v>-0.315</c:v>
                </c:pt>
                <c:pt idx="7">
                  <c:v>-0.50600000000000001</c:v>
                </c:pt>
                <c:pt idx="8">
                  <c:v>-0.69599999999999995</c:v>
                </c:pt>
                <c:pt idx="9">
                  <c:v>-0.79600000000000004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A9-4847-B662-85F680906706}"/>
            </c:ext>
          </c:extLst>
        </c:ser>
        <c:ser>
          <c:idx val="7"/>
          <c:order val="7"/>
          <c:tx>
            <c:strRef>
              <c:f>Sheet1!$M$32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Sheet1!$N$32:$W$32</c:f>
              <c:numCache>
                <c:formatCode>General</c:formatCode>
                <c:ptCount val="10"/>
                <c:pt idx="0">
                  <c:v>-0.374</c:v>
                </c:pt>
                <c:pt idx="1">
                  <c:v>-0.34799999999999998</c:v>
                </c:pt>
                <c:pt idx="2">
                  <c:v>-0.32400000000000001</c:v>
                </c:pt>
                <c:pt idx="3">
                  <c:v>-0.28100000000000003</c:v>
                </c:pt>
                <c:pt idx="4">
                  <c:v>-0.20300000000000001</c:v>
                </c:pt>
                <c:pt idx="5">
                  <c:v>-0.20599999999999999</c:v>
                </c:pt>
                <c:pt idx="6">
                  <c:v>-0.314</c:v>
                </c:pt>
                <c:pt idx="7">
                  <c:v>-0.51400000000000001</c:v>
                </c:pt>
                <c:pt idx="8">
                  <c:v>-0.66200000000000003</c:v>
                </c:pt>
                <c:pt idx="9">
                  <c:v>-0.70499999999999996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A9-4847-B662-85F680906706}"/>
            </c:ext>
          </c:extLst>
        </c:ser>
        <c:ser>
          <c:idx val="8"/>
          <c:order val="8"/>
          <c:tx>
            <c:strRef>
              <c:f>Sheet1!$M$33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Sheet1!$N$33:$W$33</c:f>
              <c:numCache>
                <c:formatCode>General</c:formatCode>
                <c:ptCount val="10"/>
                <c:pt idx="0">
                  <c:v>3.8399999999999997E-2</c:v>
                </c:pt>
                <c:pt idx="1">
                  <c:v>-2.4299999999999999E-2</c:v>
                </c:pt>
                <c:pt idx="2">
                  <c:v>-0.11799999999999999</c:v>
                </c:pt>
                <c:pt idx="3">
                  <c:v>-0.22900000000000001</c:v>
                </c:pt>
                <c:pt idx="4">
                  <c:v>-0.22</c:v>
                </c:pt>
                <c:pt idx="5">
                  <c:v>-0.185</c:v>
                </c:pt>
                <c:pt idx="6">
                  <c:v>-0.19</c:v>
                </c:pt>
                <c:pt idx="7">
                  <c:v>-0.27300000000000002</c:v>
                </c:pt>
                <c:pt idx="8">
                  <c:v>-0.39400000000000002</c:v>
                </c:pt>
                <c:pt idx="9">
                  <c:v>-0.746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A9-4847-B662-85F680906706}"/>
            </c:ext>
          </c:extLst>
        </c:ser>
        <c:ser>
          <c:idx val="9"/>
          <c:order val="9"/>
          <c:tx>
            <c:strRef>
              <c:f>Sheet1!$M$34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Sheet1!$N$34:$W$34</c:f>
              <c:numCache>
                <c:formatCode>General</c:formatCode>
                <c:ptCount val="10"/>
                <c:pt idx="0">
                  <c:v>-0.27300000000000002</c:v>
                </c:pt>
                <c:pt idx="1">
                  <c:v>-0.35</c:v>
                </c:pt>
                <c:pt idx="2">
                  <c:v>-0.379</c:v>
                </c:pt>
                <c:pt idx="3">
                  <c:v>-0.36</c:v>
                </c:pt>
                <c:pt idx="4">
                  <c:v>-0.30099999999999999</c:v>
                </c:pt>
                <c:pt idx="5">
                  <c:v>-0.26200000000000001</c:v>
                </c:pt>
                <c:pt idx="6">
                  <c:v>-0.379</c:v>
                </c:pt>
                <c:pt idx="7">
                  <c:v>-0.59</c:v>
                </c:pt>
                <c:pt idx="8">
                  <c:v>-0.75700000000000001</c:v>
                </c:pt>
                <c:pt idx="9">
                  <c:v>-0.86399999999999999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A9-4847-B662-85F680906706}"/>
            </c:ext>
          </c:extLst>
        </c:ser>
        <c:ser>
          <c:idx val="10"/>
          <c:order val="10"/>
          <c:tx>
            <c:strRef>
              <c:f>Sheet1!$M$35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Sheet1!$N$35:$W$35</c:f>
              <c:numCache>
                <c:formatCode>General</c:formatCode>
                <c:ptCount val="10"/>
                <c:pt idx="0">
                  <c:v>5.5100000000000003E-2</c:v>
                </c:pt>
                <c:pt idx="1">
                  <c:v>-3.5699999999999998E-3</c:v>
                </c:pt>
                <c:pt idx="2">
                  <c:v>-4.5699999999999998E-2</c:v>
                </c:pt>
                <c:pt idx="3">
                  <c:v>-8.6900000000000005E-2</c:v>
                </c:pt>
                <c:pt idx="4">
                  <c:v>-5.9700000000000003E-2</c:v>
                </c:pt>
                <c:pt idx="5">
                  <c:v>-0.13800000000000001</c:v>
                </c:pt>
                <c:pt idx="6">
                  <c:v>-0.251</c:v>
                </c:pt>
                <c:pt idx="7">
                  <c:v>-0.39900000000000002</c:v>
                </c:pt>
                <c:pt idx="8">
                  <c:v>-0.41299999999999998</c:v>
                </c:pt>
                <c:pt idx="9">
                  <c:v>-0.35699999999999998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FA9-4847-B662-85F680906706}"/>
            </c:ext>
          </c:extLst>
        </c:ser>
        <c:ser>
          <c:idx val="11"/>
          <c:order val="11"/>
          <c:tx>
            <c:strRef>
              <c:f>Sheet1!$M$36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Sheet1!$N$36:$W$36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FA9-4847-B662-85F680906706}"/>
            </c:ext>
          </c:extLst>
        </c:ser>
        <c:ser>
          <c:idx val="12"/>
          <c:order val="12"/>
          <c:tx>
            <c:strRef>
              <c:f>Sheet1!$M$37</c:f>
              <c:strCache>
                <c:ptCount val="1"/>
                <c:pt idx="0">
                  <c:v>WestGermany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Sheet1!$N$37:$W$37</c:f>
              <c:numCache>
                <c:formatCode>General</c:formatCode>
                <c:ptCount val="10"/>
                <c:pt idx="0">
                  <c:v>7.0899999999999999E-3</c:v>
                </c:pt>
                <c:pt idx="1">
                  <c:v>8.4700000000000001E-3</c:v>
                </c:pt>
                <c:pt idx="2">
                  <c:v>-1.2200000000000001E-2</c:v>
                </c:pt>
                <c:pt idx="3">
                  <c:v>-0.108</c:v>
                </c:pt>
                <c:pt idx="4">
                  <c:v>-5.91E-2</c:v>
                </c:pt>
                <c:pt idx="5">
                  <c:v>-2.9000000000000001E-2</c:v>
                </c:pt>
                <c:pt idx="6">
                  <c:v>-9.2200000000000004E-2</c:v>
                </c:pt>
                <c:pt idx="7">
                  <c:v>-0.215</c:v>
                </c:pt>
                <c:pt idx="8">
                  <c:v>-0.42099999999999999</c:v>
                </c:pt>
                <c:pt idx="9">
                  <c:v>-0.58199999999999996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FA9-4847-B662-85F680906706}"/>
            </c:ext>
          </c:extLst>
        </c:ser>
        <c:ser>
          <c:idx val="13"/>
          <c:order val="13"/>
          <c:tx>
            <c:strRef>
              <c:f>Sheet1!$M$38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Sheet1!$N$38:$W$38</c:f>
              <c:numCache>
                <c:formatCode>General</c:formatCode>
                <c:ptCount val="10"/>
                <c:pt idx="1">
                  <c:v>3.3399999999999999E-2</c:v>
                </c:pt>
                <c:pt idx="2">
                  <c:v>-3.8100000000000002E-2</c:v>
                </c:pt>
                <c:pt idx="3">
                  <c:v>-9.1700000000000004E-2</c:v>
                </c:pt>
                <c:pt idx="4">
                  <c:v>-8.72E-2</c:v>
                </c:pt>
                <c:pt idx="5">
                  <c:v>5.7299999999999997E-2</c:v>
                </c:pt>
                <c:pt idx="6">
                  <c:v>0.113</c:v>
                </c:pt>
                <c:pt idx="7">
                  <c:v>8.0399999999999999E-2</c:v>
                </c:pt>
                <c:pt idx="8">
                  <c:v>0.219</c:v>
                </c:pt>
                <c:pt idx="9">
                  <c:v>0.24099999999999999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FA9-4847-B662-85F680906706}"/>
            </c:ext>
          </c:extLst>
        </c:ser>
        <c:ser>
          <c:idx val="14"/>
          <c:order val="14"/>
          <c:tx>
            <c:strRef>
              <c:f>Sheet1!$M$39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Sheet1!$N$39:$W$39</c:f>
              <c:numCache>
                <c:formatCode>General</c:formatCode>
                <c:ptCount val="10"/>
                <c:pt idx="2">
                  <c:v>-0.21199999999999999</c:v>
                </c:pt>
                <c:pt idx="3">
                  <c:v>-0.25900000000000001</c:v>
                </c:pt>
                <c:pt idx="4">
                  <c:v>-0.217</c:v>
                </c:pt>
                <c:pt idx="5">
                  <c:v>-0.215</c:v>
                </c:pt>
                <c:pt idx="6">
                  <c:v>-0.37</c:v>
                </c:pt>
                <c:pt idx="7">
                  <c:v>-0.50900000000000001</c:v>
                </c:pt>
                <c:pt idx="8">
                  <c:v>-0.58399999999999996</c:v>
                </c:pt>
                <c:pt idx="9">
                  <c:v>-0.753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FA9-4847-B662-85F680906706}"/>
            </c:ext>
          </c:extLst>
        </c:ser>
        <c:ser>
          <c:idx val="15"/>
          <c:order val="15"/>
          <c:tx>
            <c:strRef>
              <c:f>Sheet1!$M$40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Sheet1!$N$24:$W$24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Sheet1!$N$40:$W$40</c:f>
              <c:numCache>
                <c:formatCode>General</c:formatCode>
                <c:ptCount val="10"/>
                <c:pt idx="3">
                  <c:v>-7.1999999999999995E-2</c:v>
                </c:pt>
                <c:pt idx="4">
                  <c:v>-3.1699999999999999E-2</c:v>
                </c:pt>
                <c:pt idx="5">
                  <c:v>-8.1499999999999993E-3</c:v>
                </c:pt>
                <c:pt idx="6">
                  <c:v>-5.7799999999999997E-2</c:v>
                </c:pt>
                <c:pt idx="7">
                  <c:v>-0.151</c:v>
                </c:pt>
                <c:pt idx="8">
                  <c:v>-0.34799999999999998</c:v>
                </c:pt>
                <c:pt idx="9">
                  <c:v>-0.53500000000000003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FA9-4847-B662-85F680906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797808"/>
        <c:axId val="1782051200"/>
      </c:lineChart>
      <c:catAx>
        <c:axId val="19817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051200"/>
        <c:crosses val="autoZero"/>
        <c:auto val="1"/>
        <c:lblAlgn val="ctr"/>
        <c:lblOffset val="100"/>
        <c:noMultiLvlLbl val="0"/>
      </c:catAx>
      <c:valAx>
        <c:axId val="17820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Cohorts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Sheet1!$B$25:$K$25</c:f>
              <c:numCache>
                <c:formatCode>General</c:formatCode>
                <c:ptCount val="10"/>
                <c:pt idx="0">
                  <c:v>-3.6600000000000001E-2</c:v>
                </c:pt>
                <c:pt idx="1">
                  <c:v>-4.6800000000000001E-2</c:v>
                </c:pt>
                <c:pt idx="2">
                  <c:v>-3.9399999999999998E-2</c:v>
                </c:pt>
                <c:pt idx="3">
                  <c:v>-8.0199999999999994E-2</c:v>
                </c:pt>
                <c:pt idx="4">
                  <c:v>-0.19</c:v>
                </c:pt>
                <c:pt idx="5">
                  <c:v>-0.309</c:v>
                </c:pt>
                <c:pt idx="6">
                  <c:v>-0.40899999999999997</c:v>
                </c:pt>
                <c:pt idx="7">
                  <c:v>-0.51700000000000002</c:v>
                </c:pt>
                <c:pt idx="8">
                  <c:v>-0.58099999999999996</c:v>
                </c:pt>
                <c:pt idx="9">
                  <c:v>-0.56100000000000005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7-4ECC-A942-301BCF64185D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Sheet1!$B$26:$K$26</c:f>
              <c:numCache>
                <c:formatCode>General</c:formatCode>
                <c:ptCount val="10"/>
                <c:pt idx="0">
                  <c:v>-5.7599999999999998E-2</c:v>
                </c:pt>
                <c:pt idx="1">
                  <c:v>-0.10199999999999999</c:v>
                </c:pt>
                <c:pt idx="2">
                  <c:v>-0.112</c:v>
                </c:pt>
                <c:pt idx="3">
                  <c:v>-0.16200000000000001</c:v>
                </c:pt>
                <c:pt idx="4">
                  <c:v>-0.20899999999999999</c:v>
                </c:pt>
                <c:pt idx="5">
                  <c:v>-0.23400000000000001</c:v>
                </c:pt>
                <c:pt idx="6">
                  <c:v>-0.26400000000000001</c:v>
                </c:pt>
                <c:pt idx="7">
                  <c:v>-0.34699999999999998</c:v>
                </c:pt>
                <c:pt idx="8">
                  <c:v>-0.48</c:v>
                </c:pt>
                <c:pt idx="9">
                  <c:v>-0.54500000000000004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7-4ECC-A942-301BCF64185D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-7.4099999999999999E-3</c:v>
                </c:pt>
                <c:pt idx="1">
                  <c:v>-9.3200000000000005E-2</c:v>
                </c:pt>
                <c:pt idx="2">
                  <c:v>-0.11700000000000001</c:v>
                </c:pt>
                <c:pt idx="3">
                  <c:v>-9.4700000000000006E-2</c:v>
                </c:pt>
                <c:pt idx="4">
                  <c:v>1.8499999999999999E-2</c:v>
                </c:pt>
                <c:pt idx="5">
                  <c:v>9.3700000000000006E-2</c:v>
                </c:pt>
                <c:pt idx="6">
                  <c:v>2.35E-2</c:v>
                </c:pt>
                <c:pt idx="7">
                  <c:v>-6.1499999999999999E-2</c:v>
                </c:pt>
                <c:pt idx="8">
                  <c:v>-0.371</c:v>
                </c:pt>
                <c:pt idx="9">
                  <c:v>-0.65700000000000003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7-4ECC-A942-301BCF64185D}"/>
            </c:ext>
          </c:extLst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Sheet1!$B$28:$K$28</c:f>
              <c:numCache>
                <c:formatCode>General</c:formatCode>
                <c:ptCount val="10"/>
                <c:pt idx="0">
                  <c:v>5.6600000000000001E-3</c:v>
                </c:pt>
                <c:pt idx="1">
                  <c:v>-2.4199999999999999E-2</c:v>
                </c:pt>
                <c:pt idx="2">
                  <c:v>-7.7600000000000002E-2</c:v>
                </c:pt>
                <c:pt idx="3">
                  <c:v>-0.214</c:v>
                </c:pt>
                <c:pt idx="4">
                  <c:v>-0.33</c:v>
                </c:pt>
                <c:pt idx="5">
                  <c:v>-0.39100000000000001</c:v>
                </c:pt>
                <c:pt idx="6">
                  <c:v>-0.36199999999999999</c:v>
                </c:pt>
                <c:pt idx="7">
                  <c:v>-0.29499999999999998</c:v>
                </c:pt>
                <c:pt idx="8">
                  <c:v>-0.38100000000000001</c:v>
                </c:pt>
                <c:pt idx="9">
                  <c:v>-0.53100000000000003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7-4ECC-A942-301BCF64185D}"/>
            </c:ext>
          </c:extLst>
        </c:ser>
        <c:ser>
          <c:idx val="4"/>
          <c:order val="4"/>
          <c:tx>
            <c:strRef>
              <c:f>Sheet1!$A$29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3.5900000000000001E-2</c:v>
                </c:pt>
                <c:pt idx="1">
                  <c:v>-1.4500000000000001E-2</c:v>
                </c:pt>
                <c:pt idx="2">
                  <c:v>-6.6400000000000001E-2</c:v>
                </c:pt>
                <c:pt idx="3">
                  <c:v>-0.16900000000000001</c:v>
                </c:pt>
                <c:pt idx="4">
                  <c:v>-0.28999999999999998</c:v>
                </c:pt>
                <c:pt idx="5">
                  <c:v>-0.39900000000000002</c:v>
                </c:pt>
                <c:pt idx="6">
                  <c:v>-0.45300000000000001</c:v>
                </c:pt>
                <c:pt idx="7">
                  <c:v>-0.56100000000000005</c:v>
                </c:pt>
                <c:pt idx="8">
                  <c:v>-0.72199999999999998</c:v>
                </c:pt>
                <c:pt idx="9">
                  <c:v>-0.85799999999999998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27-4ECC-A942-301BCF64185D}"/>
            </c:ext>
          </c:extLst>
        </c:ser>
        <c:ser>
          <c:idx val="5"/>
          <c:order val="5"/>
          <c:tx>
            <c:strRef>
              <c:f>Sheet1!$A$30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0.23499999999999999</c:v>
                </c:pt>
                <c:pt idx="1">
                  <c:v>0.17199999999999999</c:v>
                </c:pt>
                <c:pt idx="2">
                  <c:v>9.2299999999999993E-2</c:v>
                </c:pt>
                <c:pt idx="3">
                  <c:v>-0.16300000000000001</c:v>
                </c:pt>
                <c:pt idx="4">
                  <c:v>-0.438</c:v>
                </c:pt>
                <c:pt idx="5">
                  <c:v>-0.56100000000000005</c:v>
                </c:pt>
                <c:pt idx="6">
                  <c:v>-0.59</c:v>
                </c:pt>
                <c:pt idx="7">
                  <c:v>-0.63800000000000001</c:v>
                </c:pt>
                <c:pt idx="8">
                  <c:v>-0.69599999999999995</c:v>
                </c:pt>
                <c:pt idx="9">
                  <c:v>-0.73499999999999999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27-4ECC-A942-301BCF64185D}"/>
            </c:ext>
          </c:extLst>
        </c:ser>
        <c:ser>
          <c:idx val="6"/>
          <c:order val="6"/>
          <c:tx>
            <c:strRef>
              <c:f>Sheet1!$A$31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-4.48E-2</c:v>
                </c:pt>
                <c:pt idx="1">
                  <c:v>-0.14899999999999999</c:v>
                </c:pt>
                <c:pt idx="2">
                  <c:v>-0.22800000000000001</c:v>
                </c:pt>
                <c:pt idx="3">
                  <c:v>-0.28100000000000003</c:v>
                </c:pt>
                <c:pt idx="4">
                  <c:v>-0.27600000000000002</c:v>
                </c:pt>
                <c:pt idx="5">
                  <c:v>-0.25700000000000001</c:v>
                </c:pt>
                <c:pt idx="6">
                  <c:v>-0.22700000000000001</c:v>
                </c:pt>
                <c:pt idx="7">
                  <c:v>-0.21099999999999999</c:v>
                </c:pt>
                <c:pt idx="8">
                  <c:v>-0.434</c:v>
                </c:pt>
                <c:pt idx="9">
                  <c:v>-0.63600000000000001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27-4ECC-A942-301BCF64185D}"/>
            </c:ext>
          </c:extLst>
        </c:ser>
        <c:ser>
          <c:idx val="7"/>
          <c:order val="7"/>
          <c:tx>
            <c:strRef>
              <c:f>Sheet1!$A$32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Sheet1!$B$32:$K$32</c:f>
              <c:numCache>
                <c:formatCode>General</c:formatCode>
                <c:ptCount val="10"/>
                <c:pt idx="0">
                  <c:v>-0.19500000000000001</c:v>
                </c:pt>
                <c:pt idx="1">
                  <c:v>-0.224</c:v>
                </c:pt>
                <c:pt idx="2">
                  <c:v>-0.27</c:v>
                </c:pt>
                <c:pt idx="3">
                  <c:v>-0.32800000000000001</c:v>
                </c:pt>
                <c:pt idx="4">
                  <c:v>-0.34100000000000003</c:v>
                </c:pt>
                <c:pt idx="5">
                  <c:v>-0.33800000000000002</c:v>
                </c:pt>
                <c:pt idx="6">
                  <c:v>-0.29499999999999998</c:v>
                </c:pt>
                <c:pt idx="7">
                  <c:v>-0.41099999999999998</c:v>
                </c:pt>
                <c:pt idx="8">
                  <c:v>-0.60499999999999998</c:v>
                </c:pt>
                <c:pt idx="9">
                  <c:v>-0.78200000000000003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27-4ECC-A942-301BCF64185D}"/>
            </c:ext>
          </c:extLst>
        </c:ser>
        <c:ser>
          <c:idx val="8"/>
          <c:order val="8"/>
          <c:tx>
            <c:strRef>
              <c:f>Sheet1!$A$33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Sheet1!$B$33:$K$33</c:f>
              <c:numCache>
                <c:formatCode>General</c:formatCode>
                <c:ptCount val="10"/>
                <c:pt idx="0">
                  <c:v>7.1999999999999995E-2</c:v>
                </c:pt>
                <c:pt idx="1">
                  <c:v>2.5600000000000001E-2</c:v>
                </c:pt>
                <c:pt idx="2">
                  <c:v>-4.6899999999999997E-2</c:v>
                </c:pt>
                <c:pt idx="3">
                  <c:v>-0.19600000000000001</c:v>
                </c:pt>
                <c:pt idx="4">
                  <c:v>-0.374</c:v>
                </c:pt>
                <c:pt idx="5">
                  <c:v>-0.501</c:v>
                </c:pt>
                <c:pt idx="6">
                  <c:v>-0.56799999999999995</c:v>
                </c:pt>
                <c:pt idx="7">
                  <c:v>-0.55900000000000005</c:v>
                </c:pt>
                <c:pt idx="8">
                  <c:v>-0.63300000000000001</c:v>
                </c:pt>
                <c:pt idx="9">
                  <c:v>-0.82199999999999995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27-4ECC-A942-301BCF64185D}"/>
            </c:ext>
          </c:extLst>
        </c:ser>
        <c:ser>
          <c:idx val="9"/>
          <c:order val="9"/>
          <c:tx>
            <c:strRef>
              <c:f>Sheet1!$A$34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Sheet1!$B$34:$K$34</c:f>
              <c:numCache>
                <c:formatCode>General</c:formatCode>
                <c:ptCount val="10"/>
                <c:pt idx="0">
                  <c:v>-6.25E-2</c:v>
                </c:pt>
                <c:pt idx="1">
                  <c:v>-0.14299999999999999</c:v>
                </c:pt>
                <c:pt idx="2">
                  <c:v>-0.221</c:v>
                </c:pt>
                <c:pt idx="3">
                  <c:v>-0.29099999999999998</c:v>
                </c:pt>
                <c:pt idx="4">
                  <c:v>-0.34</c:v>
                </c:pt>
                <c:pt idx="5">
                  <c:v>-0.31900000000000001</c:v>
                </c:pt>
                <c:pt idx="6">
                  <c:v>-0.31</c:v>
                </c:pt>
                <c:pt idx="7">
                  <c:v>-0.46700000000000003</c:v>
                </c:pt>
                <c:pt idx="8">
                  <c:v>-0.71599999999999997</c:v>
                </c:pt>
                <c:pt idx="9">
                  <c:v>-0.86499999999999999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27-4ECC-A942-301BCF64185D}"/>
            </c:ext>
          </c:extLst>
        </c:ser>
        <c:ser>
          <c:idx val="10"/>
          <c:order val="10"/>
          <c:tx>
            <c:strRef>
              <c:f>Sheet1!$A$35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Sheet1!$B$35:$K$35</c:f>
              <c:numCache>
                <c:formatCode>General</c:formatCode>
                <c:ptCount val="10"/>
                <c:pt idx="0">
                  <c:v>2.7799999999999998E-4</c:v>
                </c:pt>
                <c:pt idx="1">
                  <c:v>-2.18E-2</c:v>
                </c:pt>
                <c:pt idx="2">
                  <c:v>-2.5999999999999999E-2</c:v>
                </c:pt>
                <c:pt idx="3">
                  <c:v>-2.0799999999999999E-2</c:v>
                </c:pt>
                <c:pt idx="4">
                  <c:v>-6.6899999999999998E-3</c:v>
                </c:pt>
                <c:pt idx="5">
                  <c:v>-9.98E-2</c:v>
                </c:pt>
                <c:pt idx="6">
                  <c:v>-0.16700000000000001</c:v>
                </c:pt>
                <c:pt idx="7">
                  <c:v>-0.251</c:v>
                </c:pt>
                <c:pt idx="8">
                  <c:v>-0.38700000000000001</c:v>
                </c:pt>
                <c:pt idx="9">
                  <c:v>-0.38300000000000001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27-4ECC-A942-301BCF64185D}"/>
            </c:ext>
          </c:extLst>
        </c:ser>
        <c:ser>
          <c:idx val="11"/>
          <c:order val="11"/>
          <c:tx>
            <c:strRef>
              <c:f>Sheet1!$A$36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Sheet1!$B$36:$K$36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27-4ECC-A942-301BCF64185D}"/>
            </c:ext>
          </c:extLst>
        </c:ser>
        <c:ser>
          <c:idx val="12"/>
          <c:order val="12"/>
          <c:tx>
            <c:strRef>
              <c:f>Sheet1!$A$37</c:f>
              <c:strCache>
                <c:ptCount val="1"/>
                <c:pt idx="0">
                  <c:v>WestGermany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Sheet1!$B$37:$K$37</c:f>
              <c:numCache>
                <c:formatCode>General</c:formatCode>
                <c:ptCount val="10"/>
                <c:pt idx="0">
                  <c:v>0.14099999999999999</c:v>
                </c:pt>
                <c:pt idx="1">
                  <c:v>8.6099999999999996E-2</c:v>
                </c:pt>
                <c:pt idx="2">
                  <c:v>3.3500000000000002E-2</c:v>
                </c:pt>
                <c:pt idx="3">
                  <c:v>-8.43E-2</c:v>
                </c:pt>
                <c:pt idx="4">
                  <c:v>-0.13900000000000001</c:v>
                </c:pt>
                <c:pt idx="5">
                  <c:v>-0.222</c:v>
                </c:pt>
                <c:pt idx="6">
                  <c:v>-0.21099999999999999</c:v>
                </c:pt>
                <c:pt idx="7">
                  <c:v>-0.24399999999999999</c:v>
                </c:pt>
                <c:pt idx="8">
                  <c:v>-0.48099999999999998</c:v>
                </c:pt>
                <c:pt idx="9">
                  <c:v>-0.64200000000000002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27-4ECC-A942-301BCF64185D}"/>
            </c:ext>
          </c:extLst>
        </c:ser>
        <c:ser>
          <c:idx val="13"/>
          <c:order val="13"/>
          <c:tx>
            <c:strRef>
              <c:f>Sheet1!$A$38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Sheet1!$B$38:$K$38</c:f>
              <c:numCache>
                <c:formatCode>General</c:formatCode>
                <c:ptCount val="10"/>
                <c:pt idx="1">
                  <c:v>0.24099999999999999</c:v>
                </c:pt>
                <c:pt idx="2">
                  <c:v>0.28699999999999998</c:v>
                </c:pt>
                <c:pt idx="3">
                  <c:v>0.214</c:v>
                </c:pt>
                <c:pt idx="4">
                  <c:v>7.7499999999999999E-2</c:v>
                </c:pt>
                <c:pt idx="5">
                  <c:v>-5.28E-3</c:v>
                </c:pt>
                <c:pt idx="6">
                  <c:v>-0.10199999999999999</c:v>
                </c:pt>
                <c:pt idx="7">
                  <c:v>-0.23699999999999999</c:v>
                </c:pt>
                <c:pt idx="8">
                  <c:v>-0.32500000000000001</c:v>
                </c:pt>
                <c:pt idx="9">
                  <c:v>-0.33800000000000002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27-4ECC-A942-301BCF64185D}"/>
            </c:ext>
          </c:extLst>
        </c:ser>
        <c:ser>
          <c:idx val="14"/>
          <c:order val="14"/>
          <c:tx>
            <c:strRef>
              <c:f>Sheet1!$A$39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Sheet1!$B$39:$K$39</c:f>
              <c:numCache>
                <c:formatCode>General</c:formatCode>
                <c:ptCount val="10"/>
                <c:pt idx="2">
                  <c:v>0.19800000000000001</c:v>
                </c:pt>
                <c:pt idx="3">
                  <c:v>0.121</c:v>
                </c:pt>
                <c:pt idx="4">
                  <c:v>-3.2399999999999998E-2</c:v>
                </c:pt>
                <c:pt idx="5">
                  <c:v>-0.189</c:v>
                </c:pt>
                <c:pt idx="6">
                  <c:v>-0.34300000000000003</c:v>
                </c:pt>
                <c:pt idx="7">
                  <c:v>-0.503</c:v>
                </c:pt>
                <c:pt idx="8">
                  <c:v>-0.69599999999999995</c:v>
                </c:pt>
                <c:pt idx="9">
                  <c:v>-0.79500000000000004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27-4ECC-A942-301BCF64185D}"/>
            </c:ext>
          </c:extLst>
        </c:ser>
        <c:ser>
          <c:idx val="15"/>
          <c:order val="15"/>
          <c:tx>
            <c:strRef>
              <c:f>Sheet1!$A$40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</c:numCache>
            </c:numRef>
          </c:cat>
          <c:val>
            <c:numRef>
              <c:f>Sheet1!$B$40:$K$40</c:f>
              <c:numCache>
                <c:formatCode>General</c:formatCode>
                <c:ptCount val="10"/>
                <c:pt idx="3">
                  <c:v>-1.32E-2</c:v>
                </c:pt>
                <c:pt idx="4">
                  <c:v>-0.109</c:v>
                </c:pt>
                <c:pt idx="5">
                  <c:v>-0.21299999999999999</c:v>
                </c:pt>
                <c:pt idx="6">
                  <c:v>-0.21299999999999999</c:v>
                </c:pt>
                <c:pt idx="7">
                  <c:v>-0.245</c:v>
                </c:pt>
                <c:pt idx="8">
                  <c:v>-0.46800000000000003</c:v>
                </c:pt>
                <c:pt idx="9">
                  <c:v>-0.63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27-4ECC-A942-301BCF641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568896"/>
        <c:axId val="1781993792"/>
      </c:lineChart>
      <c:catAx>
        <c:axId val="19225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93792"/>
        <c:crosses val="autoZero"/>
        <c:auto val="1"/>
        <c:lblAlgn val="ctr"/>
        <c:lblOffset val="100"/>
        <c:noMultiLvlLbl val="0"/>
      </c:catAx>
      <c:valAx>
        <c:axId val="1781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161924</xdr:colOff>
      <xdr:row>38</xdr:row>
      <xdr:rowOff>100012</xdr:rowOff>
    </xdr:from>
    <xdr:to>
      <xdr:col>26</xdr:col>
      <xdr:colOff>114299</xdr:colOff>
      <xdr:row>71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CD585-BDD3-4505-8966-CE900F605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90486</xdr:rowOff>
    </xdr:from>
    <xdr:to>
      <xdr:col>11</xdr:col>
      <xdr:colOff>495300</xdr:colOff>
      <xdr:row>73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9D2EF1-BC60-4511-BDD2-B51B96951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7CB3-70D8-42FB-A406-CA49359EF165}">
  <dimension ref="A1:W40"/>
  <sheetViews>
    <sheetView tabSelected="1" topLeftCell="A16" workbookViewId="0">
      <selection activeCell="B25" sqref="B25"/>
    </sheetView>
  </sheetViews>
  <sheetFormatPr defaultRowHeight="15" x14ac:dyDescent="0.25"/>
  <sheetData>
    <row r="1" spans="1:23" x14ac:dyDescent="0.25">
      <c r="A1" t="s">
        <v>0</v>
      </c>
      <c r="B1" t="str">
        <f>"(1)"</f>
        <v>(1)</v>
      </c>
      <c r="C1" t="str">
        <f>"(2)"</f>
        <v>(2)</v>
      </c>
      <c r="D1" t="str">
        <f>"(3)"</f>
        <v>(3)</v>
      </c>
      <c r="E1" t="str">
        <f>"(4)"</f>
        <v>(4)</v>
      </c>
      <c r="F1" t="str">
        <f>"(5)"</f>
        <v>(5)</v>
      </c>
      <c r="G1" t="str">
        <f>"(6)"</f>
        <v>(6)</v>
      </c>
      <c r="H1" t="str">
        <f>"(7)"</f>
        <v>(7)</v>
      </c>
      <c r="I1" t="str">
        <f>"(8)"</f>
        <v>(8)</v>
      </c>
      <c r="J1" t="str">
        <f>"(9)"</f>
        <v>(9)</v>
      </c>
      <c r="K1" t="str">
        <f>"(10)"</f>
        <v>(10)</v>
      </c>
      <c r="N1" t="str">
        <f>"(11)"</f>
        <v>(11)</v>
      </c>
      <c r="O1" t="str">
        <f>"(12)"</f>
        <v>(12)</v>
      </c>
      <c r="P1" t="str">
        <f>"(13)"</f>
        <v>(13)</v>
      </c>
      <c r="Q1" t="str">
        <f>"(14)"</f>
        <v>(14)</v>
      </c>
      <c r="R1" t="str">
        <f>"(15)"</f>
        <v>(15)</v>
      </c>
      <c r="S1" t="str">
        <f>"(16)"</f>
        <v>(16)</v>
      </c>
      <c r="T1" t="str">
        <f>"(17)"</f>
        <v>(17)</v>
      </c>
      <c r="U1" t="str">
        <f>"(18)"</f>
        <v>(18)</v>
      </c>
      <c r="V1" t="str">
        <f>"(19)"</f>
        <v>(19)</v>
      </c>
      <c r="W1" t="str">
        <f>"(20)"</f>
        <v>(20)</v>
      </c>
    </row>
    <row r="2" spans="1:23" x14ac:dyDescent="0.25">
      <c r="A2" t="str">
        <f>""</f>
        <v/>
      </c>
      <c r="B2">
        <v>1880</v>
      </c>
      <c r="C2">
        <v>1890</v>
      </c>
      <c r="D2">
        <v>1900</v>
      </c>
      <c r="E2">
        <v>1910</v>
      </c>
      <c r="F2">
        <v>1920</v>
      </c>
      <c r="G2">
        <v>1930</v>
      </c>
      <c r="H2">
        <v>1940</v>
      </c>
      <c r="I2">
        <v>1950</v>
      </c>
      <c r="J2">
        <v>1960</v>
      </c>
      <c r="K2">
        <v>1970</v>
      </c>
      <c r="N2" t="str">
        <f>"Male1880"</f>
        <v>Male1880</v>
      </c>
      <c r="O2" t="str">
        <f>"Male1890"</f>
        <v>Male1890</v>
      </c>
      <c r="P2" t="str">
        <f>"Male1900"</f>
        <v>Male1900</v>
      </c>
      <c r="Q2" t="str">
        <f>"Male1910"</f>
        <v>Male1910</v>
      </c>
      <c r="R2" t="str">
        <f>"Male1920"</f>
        <v>Male1920</v>
      </c>
      <c r="S2" t="str">
        <f>"Male1930"</f>
        <v>Male1930</v>
      </c>
      <c r="T2" t="str">
        <f>"Male1940"</f>
        <v>Male1940</v>
      </c>
      <c r="U2" t="str">
        <f>"Male1950"</f>
        <v>Male1950</v>
      </c>
      <c r="V2" t="str">
        <f>"Male1960"</f>
        <v>Male1960</v>
      </c>
      <c r="W2" t="str">
        <f>"Male1970"</f>
        <v>Male1970</v>
      </c>
    </row>
    <row r="3" spans="1:23" x14ac:dyDescent="0.25">
      <c r="A3" t="str">
        <f>"Australia"</f>
        <v>Australia</v>
      </c>
      <c r="B3" t="str">
        <f>"-0.0366"</f>
        <v>-0.0366</v>
      </c>
      <c r="C3" t="str">
        <f>"-0.0468"</f>
        <v>-0.0468</v>
      </c>
      <c r="D3" t="str">
        <f>"-0.0394"</f>
        <v>-0.0394</v>
      </c>
      <c r="E3" t="str">
        <f>"-0.0802"</f>
        <v>-0.0802</v>
      </c>
      <c r="F3" t="str">
        <f>"-0.190"</f>
        <v>-0.190</v>
      </c>
      <c r="G3" t="str">
        <f>"-0.309"</f>
        <v>-0.309</v>
      </c>
      <c r="H3" t="str">
        <f>"-0.409"</f>
        <v>-0.409</v>
      </c>
      <c r="I3" t="str">
        <f>"-0.517"</f>
        <v>-0.517</v>
      </c>
      <c r="J3" t="str">
        <f>"-0.581"</f>
        <v>-0.581</v>
      </c>
      <c r="K3" t="str">
        <f>"-0.561"</f>
        <v>-0.561</v>
      </c>
      <c r="M3" t="str">
        <f>"Australia"</f>
        <v>Australia</v>
      </c>
      <c r="N3" t="str">
        <f>"0.00459"</f>
        <v>0.00459</v>
      </c>
      <c r="O3" t="str">
        <f>"-0.0595"</f>
        <v>-0.0595</v>
      </c>
      <c r="P3" t="str">
        <f>"-0.0874"</f>
        <v>-0.0874</v>
      </c>
      <c r="Q3" t="str">
        <f>"-0.0982"</f>
        <v>-0.0982</v>
      </c>
      <c r="R3" t="str">
        <f>"-0.140"</f>
        <v>-0.140</v>
      </c>
      <c r="S3" t="str">
        <f>"-0.257"</f>
        <v>-0.257</v>
      </c>
      <c r="T3" t="str">
        <f>"-0.427"</f>
        <v>-0.427</v>
      </c>
      <c r="U3" t="str">
        <f>"-0.574"</f>
        <v>-0.574</v>
      </c>
      <c r="V3" t="str">
        <f>"-0.549"</f>
        <v>-0.549</v>
      </c>
      <c r="W3" t="str">
        <f>"-0.482"</f>
        <v>-0.482</v>
      </c>
    </row>
    <row r="4" spans="1:23" x14ac:dyDescent="0.25">
      <c r="A4" t="str">
        <f>"Canada"</f>
        <v>Canada</v>
      </c>
      <c r="B4" t="str">
        <f>"-0.0576"</f>
        <v>-0.0576</v>
      </c>
      <c r="C4" t="str">
        <f>"-0.102"</f>
        <v>-0.102</v>
      </c>
      <c r="D4" t="str">
        <f>"-0.112"</f>
        <v>-0.112</v>
      </c>
      <c r="E4" t="str">
        <f>"-0.162"</f>
        <v>-0.162</v>
      </c>
      <c r="F4" t="str">
        <f>"-0.209"</f>
        <v>-0.209</v>
      </c>
      <c r="G4" t="str">
        <f>"-0.234"</f>
        <v>-0.234</v>
      </c>
      <c r="H4" t="str">
        <f>"-0.264"</f>
        <v>-0.264</v>
      </c>
      <c r="I4" t="str">
        <f>"-0.347"</f>
        <v>-0.347</v>
      </c>
      <c r="J4" t="str">
        <f>"-0.480"</f>
        <v>-0.480</v>
      </c>
      <c r="K4" t="str">
        <f>"-0.545"</f>
        <v>-0.545</v>
      </c>
      <c r="M4" t="str">
        <f>"Canada"</f>
        <v>Canada</v>
      </c>
      <c r="N4" t="str">
        <f>"-0.146"</f>
        <v>-0.146</v>
      </c>
      <c r="O4" t="str">
        <f>"-0.192"</f>
        <v>-0.192</v>
      </c>
      <c r="P4" t="str">
        <f>"-0.164"</f>
        <v>-0.164</v>
      </c>
      <c r="Q4" t="str">
        <f>"-0.156"</f>
        <v>-0.156</v>
      </c>
      <c r="R4" t="str">
        <f>"-0.152"</f>
        <v>-0.152</v>
      </c>
      <c r="S4" t="str">
        <f>"-0.193"</f>
        <v>-0.193</v>
      </c>
      <c r="T4" t="str">
        <f>"-0.307"</f>
        <v>-0.307</v>
      </c>
      <c r="U4" t="str">
        <f>"-0.445"</f>
        <v>-0.445</v>
      </c>
      <c r="V4" t="str">
        <f>"-0.525"</f>
        <v>-0.525</v>
      </c>
      <c r="W4" t="str">
        <f>"-0.558"</f>
        <v>-0.558</v>
      </c>
    </row>
    <row r="5" spans="1:23" x14ac:dyDescent="0.25">
      <c r="A5" t="str">
        <f>"Denmark"</f>
        <v>Denmark</v>
      </c>
      <c r="B5" t="str">
        <f>"-0.00741"</f>
        <v>-0.00741</v>
      </c>
      <c r="C5" t="str">
        <f>"-0.0932"</f>
        <v>-0.0932</v>
      </c>
      <c r="D5" t="str">
        <f>"-0.117"</f>
        <v>-0.117</v>
      </c>
      <c r="E5" t="str">
        <f>"-0.0947"</f>
        <v>-0.0947</v>
      </c>
      <c r="F5" t="str">
        <f>"0.0185"</f>
        <v>0.0185</v>
      </c>
      <c r="G5" t="str">
        <f>"0.0937"</f>
        <v>0.0937</v>
      </c>
      <c r="H5" t="str">
        <f>"0.0235"</f>
        <v>0.0235</v>
      </c>
      <c r="I5" t="str">
        <f>"-0.0615"</f>
        <v>-0.0615</v>
      </c>
      <c r="J5" t="str">
        <f>"-0.371"</f>
        <v>-0.371</v>
      </c>
      <c r="K5" t="str">
        <f>"-0.657"</f>
        <v>-0.657</v>
      </c>
      <c r="M5" t="str">
        <f>"Denmark"</f>
        <v>Denmark</v>
      </c>
      <c r="N5" t="str">
        <f>"-0.264"</f>
        <v>-0.264</v>
      </c>
      <c r="O5" t="str">
        <f>"-0.322"</f>
        <v>-0.322</v>
      </c>
      <c r="P5" t="str">
        <f>"-0.272"</f>
        <v>-0.272</v>
      </c>
      <c r="Q5" t="str">
        <f>"-0.218"</f>
        <v>-0.218</v>
      </c>
      <c r="R5" t="str">
        <f>"-0.0903"</f>
        <v>-0.0903</v>
      </c>
      <c r="S5" t="str">
        <f>"-0.0163"</f>
        <v>-0.0163</v>
      </c>
      <c r="T5" t="str">
        <f>"-0.0732"</f>
        <v>-0.0732</v>
      </c>
      <c r="U5" t="str">
        <f>"-0.150"</f>
        <v>-0.150</v>
      </c>
      <c r="V5" t="str">
        <f>"-0.354"</f>
        <v>-0.354</v>
      </c>
      <c r="W5" t="str">
        <f>"-0.583"</f>
        <v>-0.583</v>
      </c>
    </row>
    <row r="6" spans="1:23" x14ac:dyDescent="0.25">
      <c r="A6" t="str">
        <f>"France"</f>
        <v>France</v>
      </c>
      <c r="B6" t="str">
        <f>"0.00566"</f>
        <v>0.00566</v>
      </c>
      <c r="C6" t="str">
        <f>"-0.0242"</f>
        <v>-0.0242</v>
      </c>
      <c r="D6" t="str">
        <f>"-0.0776"</f>
        <v>-0.0776</v>
      </c>
      <c r="E6" t="str">
        <f>"-0.214"</f>
        <v>-0.214</v>
      </c>
      <c r="F6" t="str">
        <f>"-0.330"</f>
        <v>-0.330</v>
      </c>
      <c r="G6" t="str">
        <f>"-0.391"</f>
        <v>-0.391</v>
      </c>
      <c r="H6" t="str">
        <f>"-0.362"</f>
        <v>-0.362</v>
      </c>
      <c r="I6" t="str">
        <f>"-0.295"</f>
        <v>-0.295</v>
      </c>
      <c r="J6" t="str">
        <f>"-0.381"</f>
        <v>-0.381</v>
      </c>
      <c r="K6" t="str">
        <f>"-0.531"</f>
        <v>-0.531</v>
      </c>
      <c r="M6" t="str">
        <f>"France"</f>
        <v>France</v>
      </c>
      <c r="N6" t="str">
        <f>"0.0552"</f>
        <v>0.0552</v>
      </c>
      <c r="O6" t="str">
        <f>"0.0384"</f>
        <v>0.0384</v>
      </c>
      <c r="P6" t="str">
        <f>"0.0110"</f>
        <v>0.0110</v>
      </c>
      <c r="Q6" t="str">
        <f>"-0.0815"</f>
        <v>-0.0815</v>
      </c>
      <c r="R6" t="str">
        <f>"-0.0584"</f>
        <v>-0.0584</v>
      </c>
      <c r="S6" t="str">
        <f>"-0.0324"</f>
        <v>-0.0324</v>
      </c>
      <c r="T6" t="str">
        <f>"-0.0467"</f>
        <v>-0.0467</v>
      </c>
      <c r="U6" t="str">
        <f>"-0.0465"</f>
        <v>-0.0465</v>
      </c>
      <c r="V6" t="str">
        <f>"-0.178"</f>
        <v>-0.178</v>
      </c>
      <c r="W6" t="str">
        <f>"-0.322"</f>
        <v>-0.322</v>
      </c>
    </row>
    <row r="7" spans="1:23" x14ac:dyDescent="0.25">
      <c r="A7" t="str">
        <f>"Italy"</f>
        <v>Italy</v>
      </c>
      <c r="B7" t="str">
        <f>"0.0359"</f>
        <v>0.0359</v>
      </c>
      <c r="C7" t="str">
        <f>"-0.0145"</f>
        <v>-0.0145</v>
      </c>
      <c r="D7" t="str">
        <f>"-0.0664"</f>
        <v>-0.0664</v>
      </c>
      <c r="E7" t="str">
        <f>"-0.169"</f>
        <v>-0.169</v>
      </c>
      <c r="F7" t="str">
        <f>"-0.290"</f>
        <v>-0.290</v>
      </c>
      <c r="G7" t="str">
        <f>"-0.399"</f>
        <v>-0.399</v>
      </c>
      <c r="H7" t="str">
        <f>"-0.453"</f>
        <v>-0.453</v>
      </c>
      <c r="I7" t="str">
        <f>"-0.561"</f>
        <v>-0.561</v>
      </c>
      <c r="J7" t="str">
        <f>"-0.722"</f>
        <v>-0.722</v>
      </c>
      <c r="K7" t="str">
        <f>"-0.858"</f>
        <v>-0.858</v>
      </c>
      <c r="M7" t="str">
        <f>"Italy"</f>
        <v>Italy</v>
      </c>
      <c r="N7" t="str">
        <f>"-0.127"</f>
        <v>-0.127</v>
      </c>
      <c r="O7" t="str">
        <f>"-0.0952"</f>
        <v>-0.0952</v>
      </c>
      <c r="P7" t="str">
        <f>"-0.0918"</f>
        <v>-0.0918</v>
      </c>
      <c r="Q7" t="str">
        <f>"-0.156"</f>
        <v>-0.156</v>
      </c>
      <c r="R7" t="str">
        <f>"-0.118"</f>
        <v>-0.118</v>
      </c>
      <c r="S7" t="str">
        <f>"-0.178"</f>
        <v>-0.178</v>
      </c>
      <c r="T7" t="str">
        <f>"-0.317"</f>
        <v>-0.317</v>
      </c>
      <c r="U7" t="str">
        <f>"-0.535"</f>
        <v>-0.535</v>
      </c>
      <c r="V7" t="str">
        <f>"-0.661"</f>
        <v>-0.661</v>
      </c>
      <c r="W7" t="str">
        <f>"-0.822"</f>
        <v>-0.822</v>
      </c>
    </row>
    <row r="8" spans="1:23" x14ac:dyDescent="0.25">
      <c r="A8" t="str">
        <f>"Japan"</f>
        <v>Japan</v>
      </c>
      <c r="B8" t="str">
        <f>"0.235"</f>
        <v>0.235</v>
      </c>
      <c r="C8" t="str">
        <f>"0.172"</f>
        <v>0.172</v>
      </c>
      <c r="D8" t="str">
        <f>"0.0923"</f>
        <v>0.0923</v>
      </c>
      <c r="E8" t="str">
        <f>"-0.163"</f>
        <v>-0.163</v>
      </c>
      <c r="F8" t="str">
        <f>"-0.438"</f>
        <v>-0.438</v>
      </c>
      <c r="G8" t="str">
        <f>"-0.561"</f>
        <v>-0.561</v>
      </c>
      <c r="H8" t="str">
        <f>"-0.590"</f>
        <v>-0.590</v>
      </c>
      <c r="I8" t="str">
        <f>"-0.638"</f>
        <v>-0.638</v>
      </c>
      <c r="J8" t="str">
        <f>"-0.696"</f>
        <v>-0.696</v>
      </c>
      <c r="K8" t="str">
        <f>"-0.735"</f>
        <v>-0.735</v>
      </c>
      <c r="M8" t="str">
        <f>"Japan"</f>
        <v>Japan</v>
      </c>
      <c r="N8" t="str">
        <f>"0.174"</f>
        <v>0.174</v>
      </c>
      <c r="O8" t="str">
        <f>"0.0355"</f>
        <v>0.0355</v>
      </c>
      <c r="P8" t="str">
        <f>"-0.0666"</f>
        <v>-0.0666</v>
      </c>
      <c r="Q8" t="str">
        <f>"-0.249"</f>
        <v>-0.249</v>
      </c>
      <c r="R8" t="str">
        <f>"-0.323"</f>
        <v>-0.323</v>
      </c>
      <c r="S8" t="str">
        <f>"-0.270"</f>
        <v>-0.270</v>
      </c>
      <c r="T8" t="str">
        <f>"-0.339"</f>
        <v>-0.339</v>
      </c>
      <c r="U8" t="str">
        <f>"-0.492"</f>
        <v>-0.492</v>
      </c>
      <c r="V8" t="str">
        <f>"-0.555"</f>
        <v>-0.555</v>
      </c>
      <c r="W8" t="str">
        <f>"-0.690"</f>
        <v>-0.690</v>
      </c>
    </row>
    <row r="9" spans="1:23" x14ac:dyDescent="0.25">
      <c r="A9" t="str">
        <f>"Netherlands"</f>
        <v>Netherlands</v>
      </c>
      <c r="B9" t="str">
        <f>"-0.0448"</f>
        <v>-0.0448</v>
      </c>
      <c r="C9" t="str">
        <f>"-0.149"</f>
        <v>-0.149</v>
      </c>
      <c r="D9" t="str">
        <f>"-0.228"</f>
        <v>-0.228</v>
      </c>
      <c r="E9" t="str">
        <f>"-0.281"</f>
        <v>-0.281</v>
      </c>
      <c r="F9" t="str">
        <f>"-0.276"</f>
        <v>-0.276</v>
      </c>
      <c r="G9" t="str">
        <f>"-0.257"</f>
        <v>-0.257</v>
      </c>
      <c r="H9" t="str">
        <f>"-0.227"</f>
        <v>-0.227</v>
      </c>
      <c r="I9" t="str">
        <f>"-0.211"</f>
        <v>-0.211</v>
      </c>
      <c r="J9" t="str">
        <f>"-0.434"</f>
        <v>-0.434</v>
      </c>
      <c r="K9" t="str">
        <f>"-0.636"</f>
        <v>-0.636</v>
      </c>
      <c r="M9" t="str">
        <f>"Netherlands"</f>
        <v>Netherlands</v>
      </c>
      <c r="N9" t="str">
        <f>"-0.287"</f>
        <v>-0.287</v>
      </c>
      <c r="O9" t="str">
        <f>"-0.313"</f>
        <v>-0.313</v>
      </c>
      <c r="P9" t="str">
        <f>"-0.282"</f>
        <v>-0.282</v>
      </c>
      <c r="Q9" t="str">
        <f>"-0.236"</f>
        <v>-0.236</v>
      </c>
      <c r="R9" t="str">
        <f>"-0.191"</f>
        <v>-0.191</v>
      </c>
      <c r="S9" t="str">
        <f>"-0.195"</f>
        <v>-0.195</v>
      </c>
      <c r="T9" t="str">
        <f>"-0.315"</f>
        <v>-0.315</v>
      </c>
      <c r="U9" t="str">
        <f>"-0.506"</f>
        <v>-0.506</v>
      </c>
      <c r="V9" t="str">
        <f>"-0.696"</f>
        <v>-0.696</v>
      </c>
      <c r="W9" t="str">
        <f>"-0.796"</f>
        <v>-0.796</v>
      </c>
    </row>
    <row r="10" spans="1:23" x14ac:dyDescent="0.25">
      <c r="A10" t="str">
        <f>"Norway"</f>
        <v>Norway</v>
      </c>
      <c r="B10" t="str">
        <f>"-0.195"</f>
        <v>-0.195</v>
      </c>
      <c r="C10" t="str">
        <f>"-0.224"</f>
        <v>-0.224</v>
      </c>
      <c r="D10" t="str">
        <f>"-0.270"</f>
        <v>-0.270</v>
      </c>
      <c r="E10" t="str">
        <f>"-0.328"</f>
        <v>-0.328</v>
      </c>
      <c r="F10" t="str">
        <f>"-0.341"</f>
        <v>-0.341</v>
      </c>
      <c r="G10" t="str">
        <f>"-0.338"</f>
        <v>-0.338</v>
      </c>
      <c r="H10" t="str">
        <f>"-0.295"</f>
        <v>-0.295</v>
      </c>
      <c r="I10" t="str">
        <f>"-0.411"</f>
        <v>-0.411</v>
      </c>
      <c r="J10" t="str">
        <f>"-0.605"</f>
        <v>-0.605</v>
      </c>
      <c r="K10" t="str">
        <f>"-0.782"</f>
        <v>-0.782</v>
      </c>
      <c r="M10" t="str">
        <f>"Norway"</f>
        <v>Norway</v>
      </c>
      <c r="N10" t="str">
        <f>"-0.374"</f>
        <v>-0.374</v>
      </c>
      <c r="O10" t="str">
        <f>"-0.348"</f>
        <v>-0.348</v>
      </c>
      <c r="P10" t="str">
        <f>"-0.324"</f>
        <v>-0.324</v>
      </c>
      <c r="Q10" t="str">
        <f>"-0.281"</f>
        <v>-0.281</v>
      </c>
      <c r="R10" t="str">
        <f>"-0.203"</f>
        <v>-0.203</v>
      </c>
      <c r="S10" t="str">
        <f>"-0.206"</f>
        <v>-0.206</v>
      </c>
      <c r="T10" t="str">
        <f>"-0.314"</f>
        <v>-0.314</v>
      </c>
      <c r="U10" t="str">
        <f>"-0.514"</f>
        <v>-0.514</v>
      </c>
      <c r="V10" t="str">
        <f>"-0.662"</f>
        <v>-0.662</v>
      </c>
      <c r="W10" t="str">
        <f>"-0.705"</f>
        <v>-0.705</v>
      </c>
    </row>
    <row r="11" spans="1:23" x14ac:dyDescent="0.25">
      <c r="A11" t="str">
        <f>"Spain"</f>
        <v>Spain</v>
      </c>
      <c r="B11" t="str">
        <f>"0.0720"</f>
        <v>0.0720</v>
      </c>
      <c r="C11" t="str">
        <f>"0.0256"</f>
        <v>0.0256</v>
      </c>
      <c r="D11" t="str">
        <f>"-0.0469"</f>
        <v>-0.0469</v>
      </c>
      <c r="E11" t="str">
        <f>"-0.196"</f>
        <v>-0.196</v>
      </c>
      <c r="F11" t="str">
        <f>"-0.374"</f>
        <v>-0.374</v>
      </c>
      <c r="G11" t="str">
        <f>"-0.501"</f>
        <v>-0.501</v>
      </c>
      <c r="H11" t="str">
        <f>"-0.568"</f>
        <v>-0.568</v>
      </c>
      <c r="I11" t="str">
        <f>"-0.559"</f>
        <v>-0.559</v>
      </c>
      <c r="J11" t="str">
        <f>"-0.633"</f>
        <v>-0.633</v>
      </c>
      <c r="K11" t="str">
        <f>"-0.822"</f>
        <v>-0.822</v>
      </c>
      <c r="M11" t="str">
        <f>"Spain"</f>
        <v>Spain</v>
      </c>
      <c r="N11" t="str">
        <f>"0.0384"</f>
        <v>0.0384</v>
      </c>
      <c r="O11" t="str">
        <f>"-0.0243"</f>
        <v>-0.0243</v>
      </c>
      <c r="P11" t="str">
        <f>"-0.118"</f>
        <v>-0.118</v>
      </c>
      <c r="Q11" t="str">
        <f>"-0.229"</f>
        <v>-0.229</v>
      </c>
      <c r="R11" t="str">
        <f>"-0.220"</f>
        <v>-0.220</v>
      </c>
      <c r="S11" t="str">
        <f>"-0.185"</f>
        <v>-0.185</v>
      </c>
      <c r="T11" t="str">
        <f>"-0.190"</f>
        <v>-0.190</v>
      </c>
      <c r="U11" t="str">
        <f>"-0.273"</f>
        <v>-0.273</v>
      </c>
      <c r="V11" t="str">
        <f>"-0.394"</f>
        <v>-0.394</v>
      </c>
      <c r="W11" t="str">
        <f>"-0.746"</f>
        <v>-0.746</v>
      </c>
    </row>
    <row r="12" spans="1:23" x14ac:dyDescent="0.25">
      <c r="A12" t="str">
        <f>"Sweden"</f>
        <v>Sweden</v>
      </c>
      <c r="B12" t="str">
        <f>"-0.0625"</f>
        <v>-0.0625</v>
      </c>
      <c r="C12" t="str">
        <f>"-0.143"</f>
        <v>-0.143</v>
      </c>
      <c r="D12" t="str">
        <f>"-0.221"</f>
        <v>-0.221</v>
      </c>
      <c r="E12" t="str">
        <f>"-0.291"</f>
        <v>-0.291</v>
      </c>
      <c r="F12" t="str">
        <f>"-0.340"</f>
        <v>-0.340</v>
      </c>
      <c r="G12" t="str">
        <f>"-0.319"</f>
        <v>-0.319</v>
      </c>
      <c r="H12" t="str">
        <f>"-0.310"</f>
        <v>-0.310</v>
      </c>
      <c r="I12" t="str">
        <f>"-0.467"</f>
        <v>-0.467</v>
      </c>
      <c r="J12" t="str">
        <f>"-0.716"</f>
        <v>-0.716</v>
      </c>
      <c r="K12" t="str">
        <f>"-0.865"</f>
        <v>-0.865</v>
      </c>
      <c r="M12" t="str">
        <f>"Sweden"</f>
        <v>Sweden</v>
      </c>
      <c r="N12" t="str">
        <f>"-0.273"</f>
        <v>-0.273</v>
      </c>
      <c r="O12" t="str">
        <f>"-0.350"</f>
        <v>-0.350</v>
      </c>
      <c r="P12" t="str">
        <f>"-0.379"</f>
        <v>-0.379</v>
      </c>
      <c r="Q12" t="str">
        <f>"-0.360"</f>
        <v>-0.360</v>
      </c>
      <c r="R12" t="str">
        <f>"-0.301"</f>
        <v>-0.301</v>
      </c>
      <c r="S12" t="str">
        <f>"-0.262"</f>
        <v>-0.262</v>
      </c>
      <c r="T12" t="str">
        <f>"-0.379"</f>
        <v>-0.379</v>
      </c>
      <c r="U12" t="str">
        <f>"-0.590"</f>
        <v>-0.590</v>
      </c>
      <c r="V12" t="str">
        <f>"-0.757"</f>
        <v>-0.757</v>
      </c>
      <c r="W12" t="str">
        <f>"-0.864"</f>
        <v>-0.864</v>
      </c>
    </row>
    <row r="13" spans="1:23" x14ac:dyDescent="0.25">
      <c r="A13" t="str">
        <f>"UK"</f>
        <v>UK</v>
      </c>
      <c r="B13" t="str">
        <f>"0.000278"</f>
        <v>0.000278</v>
      </c>
      <c r="C13" t="str">
        <f>"-0.0218"</f>
        <v>-0.0218</v>
      </c>
      <c r="D13" t="str">
        <f>"-0.0260"</f>
        <v>-0.0260</v>
      </c>
      <c r="E13" t="str">
        <f>"-0.0208"</f>
        <v>-0.0208</v>
      </c>
      <c r="F13" t="str">
        <f>"-0.00669"</f>
        <v>-0.00669</v>
      </c>
      <c r="G13" t="str">
        <f>"-0.0998"</f>
        <v>-0.0998</v>
      </c>
      <c r="H13" t="str">
        <f>"-0.167"</f>
        <v>-0.167</v>
      </c>
      <c r="I13" t="str">
        <f>"-0.251"</f>
        <v>-0.251</v>
      </c>
      <c r="J13" t="str">
        <f>"-0.387"</f>
        <v>-0.387</v>
      </c>
      <c r="K13" t="str">
        <f>"-0.383"</f>
        <v>-0.383</v>
      </c>
      <c r="M13" t="str">
        <f>"UK"</f>
        <v>UK</v>
      </c>
      <c r="N13" t="str">
        <f>"0.0551"</f>
        <v>0.0551</v>
      </c>
      <c r="O13" t="str">
        <f>"-0.00357"</f>
        <v>-0.00357</v>
      </c>
      <c r="P13" t="str">
        <f>"-0.0457"</f>
        <v>-0.0457</v>
      </c>
      <c r="Q13" t="str">
        <f>"-0.0869"</f>
        <v>-0.0869</v>
      </c>
      <c r="R13" t="str">
        <f>"-0.0597"</f>
        <v>-0.0597</v>
      </c>
      <c r="S13" t="str">
        <f>"-0.138"</f>
        <v>-0.138</v>
      </c>
      <c r="T13" t="str">
        <f>"-0.251"</f>
        <v>-0.251</v>
      </c>
      <c r="U13" t="str">
        <f>"-0.399"</f>
        <v>-0.399</v>
      </c>
      <c r="V13" t="str">
        <f>"-0.413"</f>
        <v>-0.413</v>
      </c>
      <c r="W13" t="str">
        <f>"-0.357"</f>
        <v>-0.357</v>
      </c>
    </row>
    <row r="14" spans="1:23" x14ac:dyDescent="0.25">
      <c r="A14" t="str">
        <f>"USA"</f>
        <v>USA</v>
      </c>
      <c r="B14" t="str">
        <f t="shared" ref="B14:W14" si="0">"0"</f>
        <v>0</v>
      </c>
      <c r="C14" t="str">
        <f t="shared" si="0"/>
        <v>0</v>
      </c>
      <c r="D14" t="str">
        <f t="shared" si="0"/>
        <v>0</v>
      </c>
      <c r="E14" t="str">
        <f t="shared" si="0"/>
        <v>0</v>
      </c>
      <c r="F14" t="str">
        <f t="shared" si="0"/>
        <v>0</v>
      </c>
      <c r="G14" t="str">
        <f t="shared" si="0"/>
        <v>0</v>
      </c>
      <c r="H14" t="str">
        <f t="shared" si="0"/>
        <v>0</v>
      </c>
      <c r="I14" t="str">
        <f t="shared" si="0"/>
        <v>0</v>
      </c>
      <c r="J14" t="str">
        <f t="shared" si="0"/>
        <v>0</v>
      </c>
      <c r="K14" t="str">
        <f t="shared" si="0"/>
        <v>0</v>
      </c>
      <c r="M14" t="str">
        <f>"USA"</f>
        <v>USA</v>
      </c>
      <c r="N14" t="str">
        <f t="shared" si="0"/>
        <v>0</v>
      </c>
      <c r="O14" t="str">
        <f t="shared" si="0"/>
        <v>0</v>
      </c>
      <c r="P14" t="str">
        <f t="shared" si="0"/>
        <v>0</v>
      </c>
      <c r="Q14" t="str">
        <f t="shared" si="0"/>
        <v>0</v>
      </c>
      <c r="R14" t="str">
        <f t="shared" si="0"/>
        <v>0</v>
      </c>
      <c r="S14" t="str">
        <f t="shared" si="0"/>
        <v>0</v>
      </c>
      <c r="T14" t="str">
        <f t="shared" si="0"/>
        <v>0</v>
      </c>
      <c r="U14" t="str">
        <f t="shared" si="0"/>
        <v>0</v>
      </c>
      <c r="V14" t="str">
        <f t="shared" si="0"/>
        <v>0</v>
      </c>
      <c r="W14" t="str">
        <f t="shared" si="0"/>
        <v>0</v>
      </c>
    </row>
    <row r="15" spans="1:23" x14ac:dyDescent="0.25">
      <c r="A15" t="str">
        <f>"WestGermany"</f>
        <v>WestGermany</v>
      </c>
      <c r="B15" t="str">
        <f>"0.141"</f>
        <v>0.141</v>
      </c>
      <c r="C15" t="str">
        <f>"0.0861"</f>
        <v>0.0861</v>
      </c>
      <c r="D15" t="str">
        <f>"0.0335"</f>
        <v>0.0335</v>
      </c>
      <c r="E15" t="str">
        <f>"-0.0843"</f>
        <v>-0.0843</v>
      </c>
      <c r="F15" t="str">
        <f>"-0.139"</f>
        <v>-0.139</v>
      </c>
      <c r="G15" t="str">
        <f>"-0.222"</f>
        <v>-0.222</v>
      </c>
      <c r="H15" t="str">
        <f>"-0.211"</f>
        <v>-0.211</v>
      </c>
      <c r="I15" t="str">
        <f>"-0.244"</f>
        <v>-0.244</v>
      </c>
      <c r="J15" t="str">
        <f>"-0.481"</f>
        <v>-0.481</v>
      </c>
      <c r="K15" t="str">
        <f>"-0.642"</f>
        <v>-0.642</v>
      </c>
      <c r="M15" t="str">
        <f>"WestGermany"</f>
        <v>WestGermany</v>
      </c>
      <c r="N15" t="str">
        <f>"0.00709"</f>
        <v>0.00709</v>
      </c>
      <c r="O15" t="str">
        <f>"0.00847"</f>
        <v>0.00847</v>
      </c>
      <c r="P15" t="str">
        <f>"-0.0122"</f>
        <v>-0.0122</v>
      </c>
      <c r="Q15" t="str">
        <f>"-0.108"</f>
        <v>-0.108</v>
      </c>
      <c r="R15" t="str">
        <f>"-0.0591"</f>
        <v>-0.0591</v>
      </c>
      <c r="S15" t="str">
        <f>"-0.0290"</f>
        <v>-0.0290</v>
      </c>
      <c r="T15" t="str">
        <f>"-0.0922"</f>
        <v>-0.0922</v>
      </c>
      <c r="U15" t="str">
        <f>"-0.215"</f>
        <v>-0.215</v>
      </c>
      <c r="V15" t="str">
        <f>"-0.421"</f>
        <v>-0.421</v>
      </c>
      <c r="W15" t="str">
        <f>"-0.582"</f>
        <v>-0.582</v>
      </c>
    </row>
    <row r="16" spans="1:23" x14ac:dyDescent="0.25">
      <c r="A16" t="str">
        <f>"Taiwan"</f>
        <v>Taiwan</v>
      </c>
      <c r="B16" t="str">
        <f>""</f>
        <v/>
      </c>
      <c r="C16" t="str">
        <f>"0.241"</f>
        <v>0.241</v>
      </c>
      <c r="D16" t="str">
        <f>"0.287"</f>
        <v>0.287</v>
      </c>
      <c r="E16" t="str">
        <f>"0.214"</f>
        <v>0.214</v>
      </c>
      <c r="F16" t="str">
        <f>"0.0775"</f>
        <v>0.0775</v>
      </c>
      <c r="G16" t="str">
        <f>"-0.00528"</f>
        <v>-0.00528</v>
      </c>
      <c r="H16" t="str">
        <f>"-0.102"</f>
        <v>-0.102</v>
      </c>
      <c r="I16" t="str">
        <f>"-0.237"</f>
        <v>-0.237</v>
      </c>
      <c r="J16" t="str">
        <f>"-0.325"</f>
        <v>-0.325</v>
      </c>
      <c r="K16" t="str">
        <f>"-0.338"</f>
        <v>-0.338</v>
      </c>
      <c r="M16" t="str">
        <f>"Taiwan"</f>
        <v>Taiwan</v>
      </c>
      <c r="N16" t="str">
        <f>""</f>
        <v/>
      </c>
      <c r="O16" t="str">
        <f>"0.0334"</f>
        <v>0.0334</v>
      </c>
      <c r="P16" t="str">
        <f>"-0.0381"</f>
        <v>-0.0381</v>
      </c>
      <c r="Q16" t="str">
        <f>"-0.0917"</f>
        <v>-0.0917</v>
      </c>
      <c r="R16" t="str">
        <f>"-0.0872"</f>
        <v>-0.0872</v>
      </c>
      <c r="S16" t="str">
        <f>"0.0573"</f>
        <v>0.0573</v>
      </c>
      <c r="T16" t="str">
        <f>"0.113"</f>
        <v>0.113</v>
      </c>
      <c r="U16" t="str">
        <f>"0.0804"</f>
        <v>0.0804</v>
      </c>
      <c r="V16" t="str">
        <f>"0.219"</f>
        <v>0.219</v>
      </c>
      <c r="W16" t="str">
        <f>"0.241"</f>
        <v>0.241</v>
      </c>
    </row>
    <row r="17" spans="1:23" x14ac:dyDescent="0.25">
      <c r="A17" t="str">
        <f>"Israel"</f>
        <v>Israel</v>
      </c>
      <c r="B17" t="str">
        <f>""</f>
        <v/>
      </c>
      <c r="C17" t="str">
        <f>""</f>
        <v/>
      </c>
      <c r="D17" t="str">
        <f>"0.198"</f>
        <v>0.198</v>
      </c>
      <c r="E17" t="str">
        <f>"0.121"</f>
        <v>0.121</v>
      </c>
      <c r="F17" t="str">
        <f>"-0.0324"</f>
        <v>-0.0324</v>
      </c>
      <c r="G17" t="str">
        <f>"-0.189"</f>
        <v>-0.189</v>
      </c>
      <c r="H17" t="str">
        <f>"-0.343"</f>
        <v>-0.343</v>
      </c>
      <c r="I17" t="str">
        <f>"-0.503"</f>
        <v>-0.503</v>
      </c>
      <c r="J17" t="str">
        <f>"-0.696"</f>
        <v>-0.696</v>
      </c>
      <c r="K17" t="str">
        <f>"-0.795"</f>
        <v>-0.795</v>
      </c>
      <c r="M17" t="str">
        <f>"Israel"</f>
        <v>Israel</v>
      </c>
      <c r="N17" t="str">
        <f>""</f>
        <v/>
      </c>
      <c r="O17" t="str">
        <f>""</f>
        <v/>
      </c>
      <c r="P17" t="str">
        <f>"-0.212"</f>
        <v>-0.212</v>
      </c>
      <c r="Q17" t="str">
        <f>"-0.259"</f>
        <v>-0.259</v>
      </c>
      <c r="R17" t="str">
        <f>"-0.217"</f>
        <v>-0.217</v>
      </c>
      <c r="S17" t="str">
        <f>"-0.215"</f>
        <v>-0.215</v>
      </c>
      <c r="T17" t="str">
        <f>"-0.370"</f>
        <v>-0.370</v>
      </c>
      <c r="U17" t="str">
        <f>"-0.509"</f>
        <v>-0.509</v>
      </c>
      <c r="V17" t="str">
        <f>"-0.584"</f>
        <v>-0.584</v>
      </c>
      <c r="W17" t="str">
        <f>"-0.753"</f>
        <v>-0.753</v>
      </c>
    </row>
    <row r="18" spans="1:23" x14ac:dyDescent="0.25">
      <c r="A18" t="str">
        <f>"Germany"</f>
        <v>Germany</v>
      </c>
      <c r="B18" t="str">
        <f>""</f>
        <v/>
      </c>
      <c r="C18" t="str">
        <f>""</f>
        <v/>
      </c>
      <c r="D18" t="str">
        <f>""</f>
        <v/>
      </c>
      <c r="E18" t="str">
        <f>"-0.0132"</f>
        <v>-0.0132</v>
      </c>
      <c r="F18" t="str">
        <f>"-0.109"</f>
        <v>-0.109</v>
      </c>
      <c r="G18" t="str">
        <f>"-0.213"</f>
        <v>-0.213</v>
      </c>
      <c r="H18" t="str">
        <f>"-0.213"</f>
        <v>-0.213</v>
      </c>
      <c r="I18" t="str">
        <f>"-0.245"</f>
        <v>-0.245</v>
      </c>
      <c r="J18" t="str">
        <f>"-0.468"</f>
        <v>-0.468</v>
      </c>
      <c r="K18" t="str">
        <f>"-0.630"</f>
        <v>-0.630</v>
      </c>
      <c r="M18" t="str">
        <f>"Germany"</f>
        <v>Germany</v>
      </c>
      <c r="N18" t="str">
        <f>""</f>
        <v/>
      </c>
      <c r="O18" t="str">
        <f>""</f>
        <v/>
      </c>
      <c r="P18" t="str">
        <f>""</f>
        <v/>
      </c>
      <c r="Q18" t="str">
        <f>"-0.0720"</f>
        <v>-0.0720</v>
      </c>
      <c r="R18" t="str">
        <f>"-0.0317"</f>
        <v>-0.0317</v>
      </c>
      <c r="S18" t="str">
        <f>"-0.00815"</f>
        <v>-0.00815</v>
      </c>
      <c r="T18" t="str">
        <f>"-0.0578"</f>
        <v>-0.0578</v>
      </c>
      <c r="U18" t="str">
        <f>"-0.151"</f>
        <v>-0.151</v>
      </c>
      <c r="V18" t="str">
        <f>"-0.348"</f>
        <v>-0.348</v>
      </c>
      <c r="W18" t="str">
        <f>"-0.535"</f>
        <v>-0.535</v>
      </c>
    </row>
    <row r="19" spans="1:23" x14ac:dyDescent="0.25">
      <c r="A19" t="str">
        <f>"Observations"</f>
        <v>Observations</v>
      </c>
      <c r="B19" t="str">
        <f>"3085"</f>
        <v>3085</v>
      </c>
      <c r="C19" t="str">
        <f>"4440"</f>
        <v>4440</v>
      </c>
      <c r="D19" t="str">
        <f>"5370"</f>
        <v>5370</v>
      </c>
      <c r="E19" t="str">
        <f>"5744"</f>
        <v>5744</v>
      </c>
      <c r="F19" t="str">
        <f>"6065"</f>
        <v>6065</v>
      </c>
      <c r="G19" t="str">
        <f>"6212"</f>
        <v>6212</v>
      </c>
      <c r="H19" t="str">
        <f>"5129"</f>
        <v>5129</v>
      </c>
      <c r="I19" t="str">
        <f>"3590"</f>
        <v>3590</v>
      </c>
      <c r="J19" t="str">
        <f>"1990"</f>
        <v>1990</v>
      </c>
      <c r="K19" t="str">
        <f>"449"</f>
        <v>449</v>
      </c>
      <c r="M19" t="str">
        <f>"Observations"</f>
        <v>Observations</v>
      </c>
      <c r="N19" t="str">
        <f>"3085"</f>
        <v>3085</v>
      </c>
      <c r="O19" t="str">
        <f>"4440"</f>
        <v>4440</v>
      </c>
      <c r="P19" t="str">
        <f>"5370"</f>
        <v>5370</v>
      </c>
      <c r="Q19" t="str">
        <f>"5744"</f>
        <v>5744</v>
      </c>
      <c r="R19" t="str">
        <f>"6065"</f>
        <v>6065</v>
      </c>
      <c r="S19" t="str">
        <f>"6212"</f>
        <v>6212</v>
      </c>
      <c r="T19" t="str">
        <f>"5129"</f>
        <v>5129</v>
      </c>
      <c r="U19" t="str">
        <f>"3590"</f>
        <v>3590</v>
      </c>
      <c r="V19" t="str">
        <f>"1990"</f>
        <v>1990</v>
      </c>
      <c r="W19" t="str">
        <f>"449"</f>
        <v>449</v>
      </c>
    </row>
    <row r="24" spans="1:23" x14ac:dyDescent="0.25">
      <c r="A24" t="str">
        <f>""</f>
        <v/>
      </c>
      <c r="B24">
        <v>1880</v>
      </c>
      <c r="C24">
        <v>1890</v>
      </c>
      <c r="D24">
        <v>1900</v>
      </c>
      <c r="E24">
        <v>1910</v>
      </c>
      <c r="F24">
        <v>1920</v>
      </c>
      <c r="G24">
        <v>1930</v>
      </c>
      <c r="H24">
        <v>1940</v>
      </c>
      <c r="I24">
        <v>1950</v>
      </c>
      <c r="J24">
        <v>1960</v>
      </c>
      <c r="K24">
        <v>1970</v>
      </c>
      <c r="N24">
        <v>1880</v>
      </c>
      <c r="O24">
        <v>1890</v>
      </c>
      <c r="P24">
        <v>1900</v>
      </c>
      <c r="Q24">
        <v>1910</v>
      </c>
      <c r="R24">
        <v>1920</v>
      </c>
      <c r="S24">
        <v>1930</v>
      </c>
      <c r="T24">
        <v>1940</v>
      </c>
      <c r="U24">
        <v>1950</v>
      </c>
      <c r="V24">
        <v>1960</v>
      </c>
      <c r="W24">
        <v>1970</v>
      </c>
    </row>
    <row r="25" spans="1:23" x14ac:dyDescent="0.25">
      <c r="A25" t="str">
        <f>"Australia"</f>
        <v>Australia</v>
      </c>
      <c r="B25">
        <f>-0.0366</f>
        <v>-3.6600000000000001E-2</v>
      </c>
      <c r="C25">
        <f>-0.0468</f>
        <v>-4.6800000000000001E-2</v>
      </c>
      <c r="D25">
        <f>-0.0394</f>
        <v>-3.9399999999999998E-2</v>
      </c>
      <c r="E25">
        <f>-0.0802</f>
        <v>-8.0199999999999994E-2</v>
      </c>
      <c r="F25">
        <f>-0.19</f>
        <v>-0.19</v>
      </c>
      <c r="G25">
        <f>-0.309</f>
        <v>-0.309</v>
      </c>
      <c r="H25">
        <f>-0.409</f>
        <v>-0.40899999999999997</v>
      </c>
      <c r="I25">
        <f>-0.517</f>
        <v>-0.51700000000000002</v>
      </c>
      <c r="J25">
        <f>-0.581</f>
        <v>-0.58099999999999996</v>
      </c>
      <c r="K25">
        <f>-0.561</f>
        <v>-0.56100000000000005</v>
      </c>
      <c r="M25" t="str">
        <f>"Australia"</f>
        <v>Australia</v>
      </c>
      <c r="N25">
        <f>0.00459</f>
        <v>4.5900000000000003E-3</v>
      </c>
      <c r="O25">
        <f>-0.0595</f>
        <v>-5.9499999999999997E-2</v>
      </c>
      <c r="P25">
        <f>-0.0874</f>
        <v>-8.7400000000000005E-2</v>
      </c>
      <c r="Q25">
        <f>-0.0982</f>
        <v>-9.8199999999999996E-2</v>
      </c>
      <c r="R25">
        <f>-0.14</f>
        <v>-0.14000000000000001</v>
      </c>
      <c r="S25">
        <f>-0.257</f>
        <v>-0.25700000000000001</v>
      </c>
      <c r="T25">
        <f>-0.427</f>
        <v>-0.42699999999999999</v>
      </c>
      <c r="U25">
        <f>-0.574</f>
        <v>-0.57399999999999995</v>
      </c>
      <c r="V25">
        <f>-0.549</f>
        <v>-0.54900000000000004</v>
      </c>
      <c r="W25">
        <f>-0.482</f>
        <v>-0.48199999999999998</v>
      </c>
    </row>
    <row r="26" spans="1:23" x14ac:dyDescent="0.25">
      <c r="A26" t="str">
        <f>"Canada"</f>
        <v>Canada</v>
      </c>
      <c r="B26">
        <f>-0.0576</f>
        <v>-5.7599999999999998E-2</v>
      </c>
      <c r="C26">
        <f>-0.102</f>
        <v>-0.10199999999999999</v>
      </c>
      <c r="D26">
        <f>-0.112</f>
        <v>-0.112</v>
      </c>
      <c r="E26">
        <f>-0.162</f>
        <v>-0.16200000000000001</v>
      </c>
      <c r="F26">
        <f>-0.209</f>
        <v>-0.20899999999999999</v>
      </c>
      <c r="G26">
        <f>-0.234</f>
        <v>-0.23400000000000001</v>
      </c>
      <c r="H26">
        <f>-0.264</f>
        <v>-0.26400000000000001</v>
      </c>
      <c r="I26">
        <f>-0.347</f>
        <v>-0.34699999999999998</v>
      </c>
      <c r="J26">
        <f>-0.48</f>
        <v>-0.48</v>
      </c>
      <c r="K26">
        <f>-0.545</f>
        <v>-0.54500000000000004</v>
      </c>
      <c r="M26" t="str">
        <f>"Canada"</f>
        <v>Canada</v>
      </c>
      <c r="N26">
        <f>-0.146</f>
        <v>-0.14599999999999999</v>
      </c>
      <c r="O26">
        <f>-0.192</f>
        <v>-0.192</v>
      </c>
      <c r="P26">
        <f>-0.164</f>
        <v>-0.16400000000000001</v>
      </c>
      <c r="Q26">
        <f>-0.156</f>
        <v>-0.156</v>
      </c>
      <c r="R26">
        <f>-0.152</f>
        <v>-0.152</v>
      </c>
      <c r="S26">
        <f>-0.193</f>
        <v>-0.193</v>
      </c>
      <c r="T26">
        <f>-0.307</f>
        <v>-0.307</v>
      </c>
      <c r="U26">
        <f>-0.445</f>
        <v>-0.44500000000000001</v>
      </c>
      <c r="V26">
        <f>-0.525</f>
        <v>-0.52500000000000002</v>
      </c>
      <c r="W26">
        <f>-0.558</f>
        <v>-0.55800000000000005</v>
      </c>
    </row>
    <row r="27" spans="1:23" x14ac:dyDescent="0.25">
      <c r="A27" t="str">
        <f>"Denmark"</f>
        <v>Denmark</v>
      </c>
      <c r="B27">
        <f>-0.00741</f>
        <v>-7.4099999999999999E-3</v>
      </c>
      <c r="C27">
        <f>-0.0932</f>
        <v>-9.3200000000000005E-2</v>
      </c>
      <c r="D27">
        <f>-0.117</f>
        <v>-0.11700000000000001</v>
      </c>
      <c r="E27">
        <f>-0.0947</f>
        <v>-9.4700000000000006E-2</v>
      </c>
      <c r="F27">
        <f>0.0185</f>
        <v>1.8499999999999999E-2</v>
      </c>
      <c r="G27">
        <f>0.0937</f>
        <v>9.3700000000000006E-2</v>
      </c>
      <c r="H27">
        <f>0.0235</f>
        <v>2.35E-2</v>
      </c>
      <c r="I27">
        <f>-0.0615</f>
        <v>-6.1499999999999999E-2</v>
      </c>
      <c r="J27">
        <f>-0.371</f>
        <v>-0.371</v>
      </c>
      <c r="K27">
        <f>-0.657</f>
        <v>-0.65700000000000003</v>
      </c>
      <c r="M27" t="str">
        <f>"Denmark"</f>
        <v>Denmark</v>
      </c>
      <c r="N27">
        <f>-0.264</f>
        <v>-0.26400000000000001</v>
      </c>
      <c r="O27">
        <f>-0.322</f>
        <v>-0.32200000000000001</v>
      </c>
      <c r="P27">
        <f>-0.272</f>
        <v>-0.27200000000000002</v>
      </c>
      <c r="Q27">
        <f>-0.218</f>
        <v>-0.218</v>
      </c>
      <c r="R27">
        <f>-0.0903</f>
        <v>-9.0300000000000005E-2</v>
      </c>
      <c r="S27">
        <f>-0.0163</f>
        <v>-1.6299999999999999E-2</v>
      </c>
      <c r="T27">
        <f>-0.0732</f>
        <v>-7.3200000000000001E-2</v>
      </c>
      <c r="U27">
        <f>-0.15</f>
        <v>-0.15</v>
      </c>
      <c r="V27">
        <f>-0.354</f>
        <v>-0.35399999999999998</v>
      </c>
      <c r="W27">
        <f>-0.583</f>
        <v>-0.58299999999999996</v>
      </c>
    </row>
    <row r="28" spans="1:23" x14ac:dyDescent="0.25">
      <c r="A28" t="str">
        <f>"France"</f>
        <v>France</v>
      </c>
      <c r="B28">
        <f>0.00566</f>
        <v>5.6600000000000001E-3</v>
      </c>
      <c r="C28">
        <f>-0.0242</f>
        <v>-2.4199999999999999E-2</v>
      </c>
      <c r="D28">
        <f>-0.0776</f>
        <v>-7.7600000000000002E-2</v>
      </c>
      <c r="E28">
        <f>-0.214</f>
        <v>-0.214</v>
      </c>
      <c r="F28">
        <f>-0.33</f>
        <v>-0.33</v>
      </c>
      <c r="G28">
        <f>-0.391</f>
        <v>-0.39100000000000001</v>
      </c>
      <c r="H28">
        <f>-0.362</f>
        <v>-0.36199999999999999</v>
      </c>
      <c r="I28">
        <f>-0.295</f>
        <v>-0.29499999999999998</v>
      </c>
      <c r="J28">
        <f>-0.381</f>
        <v>-0.38100000000000001</v>
      </c>
      <c r="K28">
        <f>-0.531</f>
        <v>-0.53100000000000003</v>
      </c>
      <c r="M28" t="str">
        <f>"France"</f>
        <v>France</v>
      </c>
      <c r="N28">
        <f>0.0552</f>
        <v>5.5199999999999999E-2</v>
      </c>
      <c r="O28">
        <f>0.0384</f>
        <v>3.8399999999999997E-2</v>
      </c>
      <c r="P28">
        <f>0.011</f>
        <v>1.0999999999999999E-2</v>
      </c>
      <c r="Q28">
        <f>-0.0815</f>
        <v>-8.1500000000000003E-2</v>
      </c>
      <c r="R28">
        <f>-0.0584</f>
        <v>-5.8400000000000001E-2</v>
      </c>
      <c r="S28">
        <f>-0.0324</f>
        <v>-3.2399999999999998E-2</v>
      </c>
      <c r="T28">
        <f>-0.0467</f>
        <v>-4.6699999999999998E-2</v>
      </c>
      <c r="U28">
        <f>-0.0465</f>
        <v>-4.65E-2</v>
      </c>
      <c r="V28">
        <f>-0.178</f>
        <v>-0.17799999999999999</v>
      </c>
      <c r="W28">
        <f>-0.322</f>
        <v>-0.32200000000000001</v>
      </c>
    </row>
    <row r="29" spans="1:23" x14ac:dyDescent="0.25">
      <c r="A29" t="str">
        <f>"Italy"</f>
        <v>Italy</v>
      </c>
      <c r="B29">
        <f>0.0359</f>
        <v>3.5900000000000001E-2</v>
      </c>
      <c r="C29">
        <f>-0.0145</f>
        <v>-1.4500000000000001E-2</v>
      </c>
      <c r="D29">
        <f>-0.0664</f>
        <v>-6.6400000000000001E-2</v>
      </c>
      <c r="E29">
        <f>-0.169</f>
        <v>-0.16900000000000001</v>
      </c>
      <c r="F29">
        <f>-0.29</f>
        <v>-0.28999999999999998</v>
      </c>
      <c r="G29">
        <f>-0.399</f>
        <v>-0.39900000000000002</v>
      </c>
      <c r="H29">
        <f>-0.453</f>
        <v>-0.45300000000000001</v>
      </c>
      <c r="I29">
        <f>-0.561</f>
        <v>-0.56100000000000005</v>
      </c>
      <c r="J29">
        <f>-0.722</f>
        <v>-0.72199999999999998</v>
      </c>
      <c r="K29">
        <f>-0.858</f>
        <v>-0.85799999999999998</v>
      </c>
      <c r="M29" t="str">
        <f>"Italy"</f>
        <v>Italy</v>
      </c>
      <c r="N29">
        <f>-0.127</f>
        <v>-0.127</v>
      </c>
      <c r="O29">
        <f>-0.0952</f>
        <v>-9.5200000000000007E-2</v>
      </c>
      <c r="P29">
        <f>-0.0918</f>
        <v>-9.1800000000000007E-2</v>
      </c>
      <c r="Q29">
        <f>-0.156</f>
        <v>-0.156</v>
      </c>
      <c r="R29">
        <f>-0.118</f>
        <v>-0.11799999999999999</v>
      </c>
      <c r="S29">
        <f>-0.178</f>
        <v>-0.17799999999999999</v>
      </c>
      <c r="T29">
        <f>-0.317</f>
        <v>-0.317</v>
      </c>
      <c r="U29">
        <f>-0.535</f>
        <v>-0.53500000000000003</v>
      </c>
      <c r="V29">
        <f>-0.661</f>
        <v>-0.66100000000000003</v>
      </c>
      <c r="W29">
        <f>-0.822</f>
        <v>-0.82199999999999995</v>
      </c>
    </row>
    <row r="30" spans="1:23" x14ac:dyDescent="0.25">
      <c r="A30" t="str">
        <f>"Japan"</f>
        <v>Japan</v>
      </c>
      <c r="B30">
        <f>0.235</f>
        <v>0.23499999999999999</v>
      </c>
      <c r="C30">
        <f>0.172</f>
        <v>0.17199999999999999</v>
      </c>
      <c r="D30">
        <f>0.0923</f>
        <v>9.2299999999999993E-2</v>
      </c>
      <c r="E30">
        <f>-0.163</f>
        <v>-0.16300000000000001</v>
      </c>
      <c r="F30">
        <f>-0.438</f>
        <v>-0.438</v>
      </c>
      <c r="G30">
        <f>-0.561</f>
        <v>-0.56100000000000005</v>
      </c>
      <c r="H30">
        <f>-0.59</f>
        <v>-0.59</v>
      </c>
      <c r="I30">
        <f>-0.638</f>
        <v>-0.63800000000000001</v>
      </c>
      <c r="J30">
        <f>-0.696</f>
        <v>-0.69599999999999995</v>
      </c>
      <c r="K30">
        <f>-0.735</f>
        <v>-0.73499999999999999</v>
      </c>
      <c r="M30" t="str">
        <f>"Japan"</f>
        <v>Japan</v>
      </c>
      <c r="N30">
        <f>0.174</f>
        <v>0.17399999999999999</v>
      </c>
      <c r="O30">
        <f>0.0355</f>
        <v>3.5499999999999997E-2</v>
      </c>
      <c r="P30">
        <f>-0.0666</f>
        <v>-6.6600000000000006E-2</v>
      </c>
      <c r="Q30">
        <f>-0.249</f>
        <v>-0.249</v>
      </c>
      <c r="R30">
        <f>-0.323</f>
        <v>-0.32300000000000001</v>
      </c>
      <c r="S30">
        <f>-0.27</f>
        <v>-0.27</v>
      </c>
      <c r="T30">
        <f>-0.339</f>
        <v>-0.33900000000000002</v>
      </c>
      <c r="U30">
        <f>-0.492</f>
        <v>-0.49199999999999999</v>
      </c>
      <c r="V30">
        <f>-0.555</f>
        <v>-0.55500000000000005</v>
      </c>
      <c r="W30">
        <f>-0.69</f>
        <v>-0.69</v>
      </c>
    </row>
    <row r="31" spans="1:23" x14ac:dyDescent="0.25">
      <c r="A31" t="str">
        <f>"Netherlands"</f>
        <v>Netherlands</v>
      </c>
      <c r="B31">
        <f>-0.0448</f>
        <v>-4.48E-2</v>
      </c>
      <c r="C31">
        <f>-0.149</f>
        <v>-0.14899999999999999</v>
      </c>
      <c r="D31">
        <f>-0.228</f>
        <v>-0.22800000000000001</v>
      </c>
      <c r="E31">
        <f>-0.281</f>
        <v>-0.28100000000000003</v>
      </c>
      <c r="F31">
        <f>-0.276</f>
        <v>-0.27600000000000002</v>
      </c>
      <c r="G31">
        <f>-0.257</f>
        <v>-0.25700000000000001</v>
      </c>
      <c r="H31">
        <f>-0.227</f>
        <v>-0.22700000000000001</v>
      </c>
      <c r="I31">
        <f>-0.211</f>
        <v>-0.21099999999999999</v>
      </c>
      <c r="J31">
        <f>-0.434</f>
        <v>-0.434</v>
      </c>
      <c r="K31">
        <f>-0.636</f>
        <v>-0.63600000000000001</v>
      </c>
      <c r="M31" t="str">
        <f>"Netherlands"</f>
        <v>Netherlands</v>
      </c>
      <c r="N31">
        <f>-0.287</f>
        <v>-0.28699999999999998</v>
      </c>
      <c r="O31">
        <f>-0.313</f>
        <v>-0.313</v>
      </c>
      <c r="P31">
        <f>-0.282</f>
        <v>-0.28199999999999997</v>
      </c>
      <c r="Q31">
        <f>-0.236</f>
        <v>-0.23599999999999999</v>
      </c>
      <c r="R31">
        <f>-0.191</f>
        <v>-0.191</v>
      </c>
      <c r="S31">
        <f>-0.195</f>
        <v>-0.19500000000000001</v>
      </c>
      <c r="T31">
        <f>-0.315</f>
        <v>-0.315</v>
      </c>
      <c r="U31">
        <f>-0.506</f>
        <v>-0.50600000000000001</v>
      </c>
      <c r="V31">
        <f>-0.696</f>
        <v>-0.69599999999999995</v>
      </c>
      <c r="W31">
        <f>-0.796</f>
        <v>-0.79600000000000004</v>
      </c>
    </row>
    <row r="32" spans="1:23" x14ac:dyDescent="0.25">
      <c r="A32" t="str">
        <f>"Norway"</f>
        <v>Norway</v>
      </c>
      <c r="B32">
        <f>-0.195</f>
        <v>-0.19500000000000001</v>
      </c>
      <c r="C32">
        <f>-0.224</f>
        <v>-0.224</v>
      </c>
      <c r="D32">
        <f>-0.27</f>
        <v>-0.27</v>
      </c>
      <c r="E32">
        <f>-0.328</f>
        <v>-0.32800000000000001</v>
      </c>
      <c r="F32">
        <f>-0.341</f>
        <v>-0.34100000000000003</v>
      </c>
      <c r="G32">
        <f>-0.338</f>
        <v>-0.33800000000000002</v>
      </c>
      <c r="H32">
        <f>-0.295</f>
        <v>-0.29499999999999998</v>
      </c>
      <c r="I32">
        <f>-0.411</f>
        <v>-0.41099999999999998</v>
      </c>
      <c r="J32">
        <f>-0.605</f>
        <v>-0.60499999999999998</v>
      </c>
      <c r="K32">
        <f>-0.782</f>
        <v>-0.78200000000000003</v>
      </c>
      <c r="M32" t="str">
        <f>"Norway"</f>
        <v>Norway</v>
      </c>
      <c r="N32">
        <f>-0.374</f>
        <v>-0.374</v>
      </c>
      <c r="O32">
        <f>-0.348</f>
        <v>-0.34799999999999998</v>
      </c>
      <c r="P32">
        <f>-0.324</f>
        <v>-0.32400000000000001</v>
      </c>
      <c r="Q32">
        <f>-0.281</f>
        <v>-0.28100000000000003</v>
      </c>
      <c r="R32">
        <f>-0.203</f>
        <v>-0.20300000000000001</v>
      </c>
      <c r="S32">
        <f>-0.206</f>
        <v>-0.20599999999999999</v>
      </c>
      <c r="T32">
        <f>-0.314</f>
        <v>-0.314</v>
      </c>
      <c r="U32">
        <f>-0.514</f>
        <v>-0.51400000000000001</v>
      </c>
      <c r="V32">
        <f>-0.662</f>
        <v>-0.66200000000000003</v>
      </c>
      <c r="W32">
        <f>-0.705</f>
        <v>-0.70499999999999996</v>
      </c>
    </row>
    <row r="33" spans="1:23" x14ac:dyDescent="0.25">
      <c r="A33" t="str">
        <f>"Spain"</f>
        <v>Spain</v>
      </c>
      <c r="B33">
        <f>0.072</f>
        <v>7.1999999999999995E-2</v>
      </c>
      <c r="C33">
        <f>0.0256</f>
        <v>2.5600000000000001E-2</v>
      </c>
      <c r="D33">
        <f>-0.0469</f>
        <v>-4.6899999999999997E-2</v>
      </c>
      <c r="E33">
        <f>-0.196</f>
        <v>-0.19600000000000001</v>
      </c>
      <c r="F33">
        <f>-0.374</f>
        <v>-0.374</v>
      </c>
      <c r="G33">
        <f>-0.501</f>
        <v>-0.501</v>
      </c>
      <c r="H33">
        <f>-0.568</f>
        <v>-0.56799999999999995</v>
      </c>
      <c r="I33">
        <f>-0.559</f>
        <v>-0.55900000000000005</v>
      </c>
      <c r="J33">
        <f>-0.633</f>
        <v>-0.63300000000000001</v>
      </c>
      <c r="K33">
        <f>-0.822</f>
        <v>-0.82199999999999995</v>
      </c>
      <c r="M33" t="str">
        <f>"Spain"</f>
        <v>Spain</v>
      </c>
      <c r="N33">
        <f>0.0384</f>
        <v>3.8399999999999997E-2</v>
      </c>
      <c r="O33">
        <f>-0.0243</f>
        <v>-2.4299999999999999E-2</v>
      </c>
      <c r="P33">
        <f>-0.118</f>
        <v>-0.11799999999999999</v>
      </c>
      <c r="Q33">
        <f>-0.229</f>
        <v>-0.22900000000000001</v>
      </c>
      <c r="R33">
        <f>-0.22</f>
        <v>-0.22</v>
      </c>
      <c r="S33">
        <f>-0.185</f>
        <v>-0.185</v>
      </c>
      <c r="T33">
        <f>-0.19</f>
        <v>-0.19</v>
      </c>
      <c r="U33">
        <f>-0.273</f>
        <v>-0.27300000000000002</v>
      </c>
      <c r="V33">
        <f>-0.394</f>
        <v>-0.39400000000000002</v>
      </c>
      <c r="W33">
        <f>-0.746</f>
        <v>-0.746</v>
      </c>
    </row>
    <row r="34" spans="1:23" x14ac:dyDescent="0.25">
      <c r="A34" t="str">
        <f>"Sweden"</f>
        <v>Sweden</v>
      </c>
      <c r="B34">
        <f>-0.0625</f>
        <v>-6.25E-2</v>
      </c>
      <c r="C34">
        <f>-0.143</f>
        <v>-0.14299999999999999</v>
      </c>
      <c r="D34">
        <f>-0.221</f>
        <v>-0.221</v>
      </c>
      <c r="E34">
        <f>-0.291</f>
        <v>-0.29099999999999998</v>
      </c>
      <c r="F34">
        <f>-0.34</f>
        <v>-0.34</v>
      </c>
      <c r="G34">
        <f>-0.319</f>
        <v>-0.31900000000000001</v>
      </c>
      <c r="H34">
        <f>-0.31</f>
        <v>-0.31</v>
      </c>
      <c r="I34">
        <f>-0.467</f>
        <v>-0.46700000000000003</v>
      </c>
      <c r="J34">
        <f>-0.716</f>
        <v>-0.71599999999999997</v>
      </c>
      <c r="K34">
        <f>-0.865</f>
        <v>-0.86499999999999999</v>
      </c>
      <c r="M34" t="str">
        <f>"Sweden"</f>
        <v>Sweden</v>
      </c>
      <c r="N34">
        <f>-0.273</f>
        <v>-0.27300000000000002</v>
      </c>
      <c r="O34">
        <f>-0.35</f>
        <v>-0.35</v>
      </c>
      <c r="P34">
        <f>-0.379</f>
        <v>-0.379</v>
      </c>
      <c r="Q34">
        <f>-0.36</f>
        <v>-0.36</v>
      </c>
      <c r="R34">
        <f>-0.301</f>
        <v>-0.30099999999999999</v>
      </c>
      <c r="S34">
        <f>-0.262</f>
        <v>-0.26200000000000001</v>
      </c>
      <c r="T34">
        <f>-0.379</f>
        <v>-0.379</v>
      </c>
      <c r="U34">
        <f>-0.59</f>
        <v>-0.59</v>
      </c>
      <c r="V34">
        <f>-0.757</f>
        <v>-0.75700000000000001</v>
      </c>
      <c r="W34">
        <f>-0.864</f>
        <v>-0.86399999999999999</v>
      </c>
    </row>
    <row r="35" spans="1:23" x14ac:dyDescent="0.25">
      <c r="A35" t="str">
        <f>"UK"</f>
        <v>UK</v>
      </c>
      <c r="B35">
        <f>0.000278</f>
        <v>2.7799999999999998E-4</v>
      </c>
      <c r="C35">
        <f>-0.0218</f>
        <v>-2.18E-2</v>
      </c>
      <c r="D35">
        <f>-0.026</f>
        <v>-2.5999999999999999E-2</v>
      </c>
      <c r="E35">
        <f>-0.0208</f>
        <v>-2.0799999999999999E-2</v>
      </c>
      <c r="F35">
        <f>-0.00669</f>
        <v>-6.6899999999999998E-3</v>
      </c>
      <c r="G35">
        <f>-0.0998</f>
        <v>-9.98E-2</v>
      </c>
      <c r="H35">
        <f>-0.167</f>
        <v>-0.16700000000000001</v>
      </c>
      <c r="I35">
        <f>-0.251</f>
        <v>-0.251</v>
      </c>
      <c r="J35">
        <f>-0.387</f>
        <v>-0.38700000000000001</v>
      </c>
      <c r="K35">
        <f>-0.383</f>
        <v>-0.38300000000000001</v>
      </c>
      <c r="M35" t="str">
        <f>"UK"</f>
        <v>UK</v>
      </c>
      <c r="N35">
        <f>0.0551</f>
        <v>5.5100000000000003E-2</v>
      </c>
      <c r="O35">
        <f>-0.00357</f>
        <v>-3.5699999999999998E-3</v>
      </c>
      <c r="P35">
        <f>-0.0457</f>
        <v>-4.5699999999999998E-2</v>
      </c>
      <c r="Q35">
        <f>-0.0869</f>
        <v>-8.6900000000000005E-2</v>
      </c>
      <c r="R35">
        <f>-0.0597</f>
        <v>-5.9700000000000003E-2</v>
      </c>
      <c r="S35">
        <f>-0.138</f>
        <v>-0.13800000000000001</v>
      </c>
      <c r="T35">
        <f>-0.251</f>
        <v>-0.251</v>
      </c>
      <c r="U35">
        <f>-0.399</f>
        <v>-0.39900000000000002</v>
      </c>
      <c r="V35">
        <f>-0.413</f>
        <v>-0.41299999999999998</v>
      </c>
      <c r="W35">
        <f>-0.357</f>
        <v>-0.35699999999999998</v>
      </c>
    </row>
    <row r="37" spans="1:23" x14ac:dyDescent="0.25">
      <c r="A37" t="str">
        <f>"WestGermany"</f>
        <v>WestGermany</v>
      </c>
      <c r="B37">
        <f>0.141</f>
        <v>0.14099999999999999</v>
      </c>
      <c r="C37">
        <f>0.0861</f>
        <v>8.6099999999999996E-2</v>
      </c>
      <c r="D37">
        <f>0.0335</f>
        <v>3.3500000000000002E-2</v>
      </c>
      <c r="E37">
        <f>-0.0843</f>
        <v>-8.43E-2</v>
      </c>
      <c r="F37">
        <f>-0.139</f>
        <v>-0.13900000000000001</v>
      </c>
      <c r="G37">
        <f>-0.222</f>
        <v>-0.222</v>
      </c>
      <c r="H37">
        <f>-0.211</f>
        <v>-0.21099999999999999</v>
      </c>
      <c r="I37">
        <f>-0.244</f>
        <v>-0.24399999999999999</v>
      </c>
      <c r="J37">
        <f>-0.481</f>
        <v>-0.48099999999999998</v>
      </c>
      <c r="K37">
        <f>-0.642</f>
        <v>-0.64200000000000002</v>
      </c>
      <c r="M37" t="str">
        <f>"WestGermany"</f>
        <v>WestGermany</v>
      </c>
      <c r="N37">
        <f>0.00709</f>
        <v>7.0899999999999999E-3</v>
      </c>
      <c r="O37">
        <f>0.00847</f>
        <v>8.4700000000000001E-3</v>
      </c>
      <c r="P37">
        <f>-0.0122</f>
        <v>-1.2200000000000001E-2</v>
      </c>
      <c r="Q37">
        <f>-0.108</f>
        <v>-0.108</v>
      </c>
      <c r="R37">
        <f>-0.0591</f>
        <v>-5.91E-2</v>
      </c>
      <c r="S37">
        <f>-0.029</f>
        <v>-2.9000000000000001E-2</v>
      </c>
      <c r="T37">
        <f>-0.0922</f>
        <v>-9.2200000000000004E-2</v>
      </c>
      <c r="U37">
        <f>-0.215</f>
        <v>-0.215</v>
      </c>
      <c r="V37">
        <f>-0.421</f>
        <v>-0.42099999999999999</v>
      </c>
      <c r="W37">
        <f>-0.582</f>
        <v>-0.58199999999999996</v>
      </c>
    </row>
    <row r="38" spans="1:23" x14ac:dyDescent="0.25">
      <c r="A38" t="str">
        <f>"Taiwan"</f>
        <v>Taiwan</v>
      </c>
      <c r="C38">
        <f>0.241</f>
        <v>0.24099999999999999</v>
      </c>
      <c r="D38">
        <f>0.287</f>
        <v>0.28699999999999998</v>
      </c>
      <c r="E38">
        <f>0.214</f>
        <v>0.214</v>
      </c>
      <c r="F38">
        <f>0.0775</f>
        <v>7.7499999999999999E-2</v>
      </c>
      <c r="G38">
        <f>-0.00528</f>
        <v>-5.28E-3</v>
      </c>
      <c r="H38">
        <f>-0.102</f>
        <v>-0.10199999999999999</v>
      </c>
      <c r="I38">
        <f>-0.237</f>
        <v>-0.23699999999999999</v>
      </c>
      <c r="J38">
        <f>-0.325</f>
        <v>-0.32500000000000001</v>
      </c>
      <c r="K38">
        <f>-0.338</f>
        <v>-0.33800000000000002</v>
      </c>
      <c r="M38" t="str">
        <f>"Taiwan"</f>
        <v>Taiwan</v>
      </c>
      <c r="O38">
        <f>0.0334</f>
        <v>3.3399999999999999E-2</v>
      </c>
      <c r="P38">
        <f>-0.0381</f>
        <v>-3.8100000000000002E-2</v>
      </c>
      <c r="Q38">
        <f>-0.0917</f>
        <v>-9.1700000000000004E-2</v>
      </c>
      <c r="R38">
        <f>-0.0872</f>
        <v>-8.72E-2</v>
      </c>
      <c r="S38">
        <f>0.0573</f>
        <v>5.7299999999999997E-2</v>
      </c>
      <c r="T38">
        <f>0.113</f>
        <v>0.113</v>
      </c>
      <c r="U38">
        <f>0.0804</f>
        <v>8.0399999999999999E-2</v>
      </c>
      <c r="V38">
        <f>0.219</f>
        <v>0.219</v>
      </c>
      <c r="W38">
        <f>0.241</f>
        <v>0.24099999999999999</v>
      </c>
    </row>
    <row r="39" spans="1:23" x14ac:dyDescent="0.25">
      <c r="A39" t="str">
        <f>"Israel"</f>
        <v>Israel</v>
      </c>
      <c r="D39">
        <f>0.198</f>
        <v>0.19800000000000001</v>
      </c>
      <c r="E39">
        <f>0.121</f>
        <v>0.121</v>
      </c>
      <c r="F39">
        <f>-0.0324</f>
        <v>-3.2399999999999998E-2</v>
      </c>
      <c r="G39">
        <f>-0.189</f>
        <v>-0.189</v>
      </c>
      <c r="H39">
        <f>-0.343</f>
        <v>-0.34300000000000003</v>
      </c>
      <c r="I39">
        <f>-0.503</f>
        <v>-0.503</v>
      </c>
      <c r="J39">
        <f>-0.696</f>
        <v>-0.69599999999999995</v>
      </c>
      <c r="K39">
        <f>-0.795</f>
        <v>-0.79500000000000004</v>
      </c>
      <c r="M39" t="str">
        <f>"Israel"</f>
        <v>Israel</v>
      </c>
      <c r="P39">
        <f>-0.212</f>
        <v>-0.21199999999999999</v>
      </c>
      <c r="Q39">
        <f>-0.259</f>
        <v>-0.25900000000000001</v>
      </c>
      <c r="R39">
        <f>-0.217</f>
        <v>-0.217</v>
      </c>
      <c r="S39">
        <f>-0.215</f>
        <v>-0.215</v>
      </c>
      <c r="T39">
        <f>-0.37</f>
        <v>-0.37</v>
      </c>
      <c r="U39">
        <f>-0.509</f>
        <v>-0.50900000000000001</v>
      </c>
      <c r="V39">
        <f>-0.584</f>
        <v>-0.58399999999999996</v>
      </c>
      <c r="W39">
        <f>-0.753</f>
        <v>-0.753</v>
      </c>
    </row>
    <row r="40" spans="1:23" x14ac:dyDescent="0.25">
      <c r="A40" t="str">
        <f>"Germany"</f>
        <v>Germany</v>
      </c>
      <c r="E40">
        <f>-0.0132</f>
        <v>-1.32E-2</v>
      </c>
      <c r="F40">
        <f>-0.109</f>
        <v>-0.109</v>
      </c>
      <c r="G40">
        <f>-0.213</f>
        <v>-0.21299999999999999</v>
      </c>
      <c r="H40">
        <f>-0.213</f>
        <v>-0.21299999999999999</v>
      </c>
      <c r="I40">
        <f>-0.245</f>
        <v>-0.245</v>
      </c>
      <c r="J40">
        <f>-0.468</f>
        <v>-0.46800000000000003</v>
      </c>
      <c r="K40">
        <f>-0.63</f>
        <v>-0.63</v>
      </c>
      <c r="M40" t="str">
        <f>"Germany"</f>
        <v>Germany</v>
      </c>
      <c r="Q40">
        <f>-0.072</f>
        <v>-7.1999999999999995E-2</v>
      </c>
      <c r="R40">
        <f>-0.0317</f>
        <v>-3.1699999999999999E-2</v>
      </c>
      <c r="S40">
        <f>-0.00815</f>
        <v>-8.1499999999999993E-3</v>
      </c>
      <c r="T40">
        <f>-0.0578</f>
        <v>-5.7799999999999997E-2</v>
      </c>
      <c r="U40">
        <f>-0.151</f>
        <v>-0.151</v>
      </c>
      <c r="V40">
        <f>-0.348</f>
        <v>-0.34799999999999998</v>
      </c>
      <c r="W40">
        <f>-0.535</f>
        <v>-0.53500000000000003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2019-06-07T21:10:57Z</dcterms:created>
  <dcterms:modified xsi:type="dcterms:W3CDTF">2019-06-10T15:29:55Z</dcterms:modified>
</cp:coreProperties>
</file>