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DB0E6B85-8870-4935-A29A-17AB071DE628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lnUSDummyModelTripleInteraction" sheetId="1" r:id="rId1"/>
    <sheet name="All Countries" sheetId="2" r:id="rId2"/>
    <sheet name="AllCountriesAddCoef" sheetId="4" r:id="rId3"/>
    <sheet name="Less4Countries" sheetId="3" r:id="rId4"/>
    <sheet name="Less4CountriesAddCoef" sheetId="5" r:id="rId5"/>
  </sheets>
  <calcPr calcId="191029"/>
</workbook>
</file>

<file path=xl/calcChain.xml><?xml version="1.0" encoding="utf-8"?>
<calcChain xmlns="http://schemas.openxmlformats.org/spreadsheetml/2006/main">
  <c r="C20" i="5" l="1"/>
  <c r="B20" i="5"/>
  <c r="I20" i="5"/>
  <c r="H20" i="5"/>
  <c r="G20" i="5"/>
  <c r="F20" i="5"/>
  <c r="E20" i="5"/>
  <c r="D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G2" i="5"/>
  <c r="G3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" i="4"/>
  <c r="G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F4" i="4"/>
  <c r="E4" i="4"/>
  <c r="D4" i="4"/>
  <c r="F3" i="4"/>
  <c r="E3" i="4"/>
  <c r="D3" i="4"/>
  <c r="C10" i="4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I14" i="5" l="1"/>
  <c r="H14" i="5"/>
  <c r="G14" i="5"/>
  <c r="F14" i="5"/>
  <c r="E14" i="5"/>
  <c r="D14" i="5"/>
  <c r="C14" i="5"/>
  <c r="B14" i="5"/>
  <c r="K46" i="3"/>
  <c r="K47" i="3"/>
  <c r="K48" i="3"/>
  <c r="K49" i="3"/>
  <c r="K50" i="3"/>
  <c r="K51" i="3"/>
  <c r="K52" i="3"/>
  <c r="K45" i="3"/>
  <c r="J46" i="3"/>
  <c r="J47" i="3"/>
  <c r="J48" i="3"/>
  <c r="J49" i="3"/>
  <c r="J50" i="3"/>
  <c r="J51" i="3"/>
  <c r="J52" i="3"/>
  <c r="J45" i="3"/>
  <c r="I46" i="3"/>
  <c r="I47" i="3"/>
  <c r="I48" i="3"/>
  <c r="I49" i="3"/>
  <c r="I50" i="3"/>
  <c r="I51" i="3"/>
  <c r="I52" i="3"/>
  <c r="I45" i="3"/>
  <c r="H46" i="3"/>
  <c r="H47" i="3"/>
  <c r="H48" i="3"/>
  <c r="H49" i="3"/>
  <c r="H50" i="3"/>
  <c r="H51" i="3"/>
  <c r="H52" i="3"/>
  <c r="H45" i="3"/>
  <c r="G46" i="3"/>
  <c r="G47" i="3"/>
  <c r="G48" i="3"/>
  <c r="G49" i="3"/>
  <c r="G50" i="3"/>
  <c r="G51" i="3"/>
  <c r="G52" i="3"/>
  <c r="G45" i="3"/>
  <c r="F46" i="3"/>
  <c r="F47" i="3"/>
  <c r="F48" i="3"/>
  <c r="F49" i="3"/>
  <c r="F50" i="3"/>
  <c r="F51" i="3"/>
  <c r="F52" i="3"/>
  <c r="F45" i="3"/>
  <c r="B17" i="4"/>
  <c r="I17" i="4"/>
  <c r="H17" i="4"/>
  <c r="G17" i="4"/>
  <c r="F17" i="4"/>
  <c r="E17" i="4"/>
  <c r="D17" i="4"/>
  <c r="C17" i="4"/>
  <c r="N38" i="2"/>
  <c r="N39" i="2"/>
  <c r="N40" i="2"/>
  <c r="N41" i="2"/>
  <c r="N42" i="2"/>
  <c r="N43" i="2"/>
  <c r="N44" i="2"/>
  <c r="N37" i="2"/>
  <c r="M38" i="2"/>
  <c r="M39" i="2"/>
  <c r="M40" i="2"/>
  <c r="M41" i="2"/>
  <c r="M42" i="2"/>
  <c r="M43" i="2"/>
  <c r="M44" i="2"/>
  <c r="M37" i="2"/>
  <c r="L38" i="2"/>
  <c r="L39" i="2"/>
  <c r="L40" i="2"/>
  <c r="L41" i="2"/>
  <c r="L42" i="2"/>
  <c r="L43" i="2"/>
  <c r="L44" i="2"/>
  <c r="L37" i="2"/>
  <c r="K38" i="2"/>
  <c r="K39" i="2"/>
  <c r="K40" i="2"/>
  <c r="K41" i="2"/>
  <c r="K42" i="2"/>
  <c r="K43" i="2"/>
  <c r="K44" i="2"/>
  <c r="K37" i="2"/>
  <c r="J38" i="2"/>
  <c r="J39" i="2"/>
  <c r="J40" i="2"/>
  <c r="J41" i="2"/>
  <c r="J42" i="2"/>
  <c r="J43" i="2"/>
  <c r="J44" i="2"/>
  <c r="J37" i="2"/>
  <c r="I38" i="2"/>
  <c r="I39" i="2"/>
  <c r="I40" i="2"/>
  <c r="I41" i="2"/>
  <c r="I42" i="2"/>
  <c r="I43" i="2"/>
  <c r="I44" i="2"/>
  <c r="I37" i="2"/>
  <c r="Y35" i="2"/>
  <c r="X35" i="2"/>
  <c r="W35" i="2"/>
  <c r="V35" i="2"/>
  <c r="U35" i="2"/>
  <c r="T35" i="2"/>
  <c r="S35" i="2"/>
  <c r="AA4" i="2" l="1"/>
  <c r="Z4" i="2"/>
  <c r="Y4" i="2"/>
  <c r="X4" i="2"/>
  <c r="W4" i="2"/>
  <c r="V4" i="2"/>
  <c r="U4" i="2"/>
  <c r="Y3" i="3"/>
  <c r="X3" i="3"/>
  <c r="W3" i="3"/>
  <c r="V3" i="3"/>
  <c r="U3" i="3"/>
  <c r="T3" i="3"/>
  <c r="S3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<sst xmlns="http://schemas.openxmlformats.org/spreadsheetml/2006/main" count="447" uniqueCount="249">
  <si>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</si>
  <si>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</si>
  <si>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</si>
  <si>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</si>
  <si>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</si>
  <si>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</si>
  <si>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</si>
  <si>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</si>
  <si>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</si>
  <si>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</si>
  <si>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</si>
  <si>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</si>
  <si>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</si>
  <si>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</si>
  <si>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</si>
  <si>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</si>
  <si>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</si>
  <si>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</si>
  <si>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</si>
  <si>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</si>
  <si>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</si>
  <si>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</si>
  <si>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</si>
  <si>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</si>
  <si>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</si>
  <si>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</si>
  <si>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</si>
  <si>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</si>
  <si>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</si>
  <si>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</si>
  <si>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</si>
  <si>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</si>
  <si>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</si>
  <si>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</si>
  <si>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</si>
  <si>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</si>
  <si>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</si>
  <si>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</si>
  <si>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</si>
  <si>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</si>
  <si>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</si>
  <si>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</si>
  <si>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</si>
  <si>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</si>
  <si>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</si>
  <si>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</si>
  <si>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</si>
  <si>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</si>
  <si>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</si>
  <si>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</si>
  <si>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</si>
  <si>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</si>
  <si>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</si>
  <si>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</si>
  <si>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</si>
  <si>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</si>
  <si>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</si>
  <si>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</si>
  <si>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</si>
  <si>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</si>
  <si>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</si>
  <si>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</si>
  <si>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</si>
  <si>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</si>
  <si>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</si>
  <si>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</si>
  <si>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</si>
  <si>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</si>
  <si>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</si>
  <si>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</si>
  <si>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</si>
  <si>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</si>
  <si>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</si>
  <si>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</si>
  <si>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</si>
  <si>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</si>
  <si>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</si>
  <si>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</si>
  <si>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</si>
  <si>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</si>
  <si>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</si>
  <si>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</si>
  <si>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</si>
  <si>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</si>
  <si>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</si>
  <si>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</si>
  <si>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</si>
  <si>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</si>
  <si>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</si>
  <si>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</si>
  <si>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</si>
  <si>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</si>
  <si>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</si>
  <si>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</si>
  <si>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</si>
  <si>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</si>
  <si>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</si>
  <si>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</si>
  <si>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</si>
  <si>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</si>
  <si>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</si>
  <si>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</si>
  <si>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</si>
  <si>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</si>
  <si>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</si>
  <si>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</si>
  <si>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</si>
  <si>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</si>
  <si>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</si>
  <si>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</si>
  <si>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</si>
  <si>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</si>
  <si>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</si>
  <si>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</si>
  <si>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</si>
  <si>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</si>
  <si>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</si>
  <si>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</si>
  <si>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</si>
  <si>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</si>
  <si>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</si>
  <si>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</si>
  <si>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</si>
  <si>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</si>
  <si>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</si>
  <si>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</si>
  <si>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</si>
  <si>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</si>
  <si>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</si>
  <si>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</si>
  <si>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</si>
  <si>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</si>
  <si>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</si>
  <si>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</si>
  <si>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</si>
  <si>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</si>
  <si>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</si>
  <si>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</si>
  <si>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</si>
  <si>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</si>
  <si>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</si>
  <si>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</si>
  <si>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</si>
  <si>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</si>
  <si>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</si>
  <si>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</si>
  <si>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</si>
  <si>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</si>
  <si>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</si>
  <si>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</si>
  <si>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</si>
  <si>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</si>
  <si>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</si>
  <si>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</si>
  <si>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</si>
  <si>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</si>
  <si>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</si>
  <si>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</si>
  <si>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</si>
  <si>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</si>
  <si>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</si>
  <si>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</si>
  <si>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</si>
  <si>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</si>
  <si>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</si>
  <si>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</si>
  <si>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</si>
  <si>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</si>
  <si>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</si>
  <si>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</si>
  <si>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</si>
  <si>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</si>
  <si>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</si>
  <si>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</si>
  <si>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</si>
  <si>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</si>
  <si>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</si>
  <si>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</si>
  <si>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</si>
  <si>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</si>
  <si>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</si>
  <si>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</si>
  <si>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</si>
  <si>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</si>
  <si>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</si>
  <si>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</si>
  <si>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</si>
  <si>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</si>
  <si>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</si>
  <si>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</si>
  <si>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</si>
  <si>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</si>
  <si>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</si>
  <si>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</si>
  <si>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</si>
  <si>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</si>
  <si>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</si>
  <si>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</si>
  <si>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</si>
  <si>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</si>
  <si>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</si>
  <si>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</si>
  <si>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</si>
  <si>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</si>
  <si>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</si>
  <si>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</si>
  <si>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</si>
  <si>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</si>
  <si>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</si>
  <si>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</si>
  <si>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</si>
  <si>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</si>
  <si>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</si>
  <si>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</si>
  <si>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</si>
  <si>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</si>
  <si>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</si>
  <si>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</si>
  <si>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</si>
  <si>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</si>
  <si>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</si>
  <si>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</si>
  <si>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</si>
  <si>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</si>
  <si>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</si>
  <si>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</si>
  <si>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</si>
  <si>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</si>
  <si>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</si>
  <si>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</si>
  <si>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</si>
  <si>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</si>
  <si>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</si>
  <si>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</si>
  <si>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</si>
  <si>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</si>
  <si>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</si>
  <si>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</si>
  <si>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</si>
  <si>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</si>
  <si>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</si>
  <si>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</si>
  <si>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</si>
  <si>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</si>
  <si>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</si>
  <si>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All Countries</t>
  </si>
  <si>
    <t>Add Other Coefficients</t>
  </si>
  <si>
    <t>Add Coef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</si>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</sst>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AllCountriesAddCoef!$B$3:$G$3</c:f>
              <c:numCache>
                <c:formatCode>General</c:formatCode>
                <c:ptCount val="6"/>
                <c:pt idx="0">
                  <c:v>0.33623239999999999</c:v>
                </c:pt>
                <c:pt idx="1">
                  <c:v>0.28743350000000001</c:v>
                </c:pt>
                <c:pt idx="2">
                  <c:v>0.30376409999999998</c:v>
                </c:pt>
                <c:pt idx="3">
                  <c:v>0.4080606</c:v>
                </c:pt>
                <c:pt idx="4">
                  <c:v>0.40609190000000001</c:v>
                </c:pt>
                <c:pt idx="5">
                  <c:v>0.48757309999999998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C-4415-A3C7-94166712B2EA}"/>
            </c:ext>
          </c:extLst>
        </c:ser>
        <c:ser>
          <c:idx val="1"/>
          <c:order val="1"/>
          <c:tx>
            <c:strRef>
              <c:f>AllCountriesAddCoef!$A$4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AllCountriesAddCoef!$B$4:$G$4</c:f>
              <c:numCache>
                <c:formatCode>General</c:formatCode>
                <c:ptCount val="6"/>
                <c:pt idx="0">
                  <c:v>0.22729920000000001</c:v>
                </c:pt>
                <c:pt idx="1">
                  <c:v>0.28058689999999997</c:v>
                </c:pt>
                <c:pt idx="2">
                  <c:v>0.23192210000000002</c:v>
                </c:pt>
                <c:pt idx="3">
                  <c:v>0.23623810000000001</c:v>
                </c:pt>
                <c:pt idx="4">
                  <c:v>0.35348259999999998</c:v>
                </c:pt>
                <c:pt idx="5">
                  <c:v>0.6190563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C-4415-A3C7-94166712B2EA}"/>
            </c:ext>
          </c:extLst>
        </c:ser>
        <c:ser>
          <c:idx val="2"/>
          <c:order val="2"/>
          <c:tx>
            <c:strRef>
              <c:f>AllCountriesAddCoef!$A$5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AllCountriesAddCoef!$B$5:$G$5</c:f>
              <c:numCache>
                <c:formatCode>General</c:formatCode>
                <c:ptCount val="6"/>
                <c:pt idx="0">
                  <c:v>0.20709040000000001</c:v>
                </c:pt>
                <c:pt idx="1">
                  <c:v>0.1109656</c:v>
                </c:pt>
                <c:pt idx="2">
                  <c:v>5.6263999999999981E-2</c:v>
                </c:pt>
                <c:pt idx="3">
                  <c:v>0.150976</c:v>
                </c:pt>
                <c:pt idx="4">
                  <c:v>0.21782180000000001</c:v>
                </c:pt>
                <c:pt idx="5">
                  <c:v>0.39324160000000002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C-4415-A3C7-94166712B2EA}"/>
            </c:ext>
          </c:extLst>
        </c:ser>
        <c:ser>
          <c:idx val="3"/>
          <c:order val="3"/>
          <c:tx>
            <c:strRef>
              <c:f>AllCountriesAddCoef!$A$6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AllCountriesAddCoef!$B$6:$G$6</c:f>
              <c:numCache>
                <c:formatCode>General</c:formatCode>
                <c:ptCount val="6"/>
                <c:pt idx="0">
                  <c:v>0.18782100000000002</c:v>
                </c:pt>
                <c:pt idx="1">
                  <c:v>3.152290000000002E-2</c:v>
                </c:pt>
                <c:pt idx="2">
                  <c:v>-2.8121499999999966E-2</c:v>
                </c:pt>
                <c:pt idx="3">
                  <c:v>4.5959000000000028E-2</c:v>
                </c:pt>
                <c:pt idx="4">
                  <c:v>0.11069820000000002</c:v>
                </c:pt>
                <c:pt idx="5">
                  <c:v>0.2035624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C-4415-A3C7-94166712B2EA}"/>
            </c:ext>
          </c:extLst>
        </c:ser>
        <c:ser>
          <c:idx val="4"/>
          <c:order val="4"/>
          <c:tx>
            <c:strRef>
              <c:f>AllCountriesAddCoef!$A$7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AllCountriesAddCoef!$B$7:$G$7</c:f>
              <c:numCache>
                <c:formatCode>General</c:formatCode>
                <c:ptCount val="6"/>
                <c:pt idx="0">
                  <c:v>1.1706700000000014E-2</c:v>
                </c:pt>
                <c:pt idx="1">
                  <c:v>-7.5313499999999978E-2</c:v>
                </c:pt>
                <c:pt idx="2">
                  <c:v>-5.4225299999999976E-2</c:v>
                </c:pt>
                <c:pt idx="3">
                  <c:v>2.776590000000001E-2</c:v>
                </c:pt>
                <c:pt idx="4">
                  <c:v>3.75587E-2</c:v>
                </c:pt>
                <c:pt idx="5">
                  <c:v>9.1811299999999985E-2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C-4415-A3C7-94166712B2EA}"/>
            </c:ext>
          </c:extLst>
        </c:ser>
        <c:ser>
          <c:idx val="5"/>
          <c:order val="5"/>
          <c:tx>
            <c:strRef>
              <c:f>AllCountriesAddCoef!$A$8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AllCountriesAddCoef!$B$8:$G$8</c:f>
              <c:numCache>
                <c:formatCode>General</c:formatCode>
                <c:ptCount val="6"/>
                <c:pt idx="0">
                  <c:v>-0.12259939999999997</c:v>
                </c:pt>
                <c:pt idx="1">
                  <c:v>-0.16216539999999996</c:v>
                </c:pt>
                <c:pt idx="2">
                  <c:v>-9.4044199999999967E-2</c:v>
                </c:pt>
                <c:pt idx="3">
                  <c:v>-2.9298800000000014E-2</c:v>
                </c:pt>
                <c:pt idx="4">
                  <c:v>8.5036E-3</c:v>
                </c:pt>
                <c:pt idx="5">
                  <c:v>8.0975999999999826E-3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C-4415-A3C7-94166712B2EA}"/>
            </c:ext>
          </c:extLst>
        </c:ser>
        <c:ser>
          <c:idx val="6"/>
          <c:order val="6"/>
          <c:tx>
            <c:strRef>
              <c:f>AllCountriesAddCoef!$A$9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AllCountriesAddCoef!$B$9:$G$9</c:f>
              <c:numCache>
                <c:formatCode>General</c:formatCode>
                <c:ptCount val="6"/>
                <c:pt idx="0">
                  <c:v>-0.20219700000000002</c:v>
                </c:pt>
                <c:pt idx="1">
                  <c:v>-0.22889339999999997</c:v>
                </c:pt>
                <c:pt idx="2">
                  <c:v>-0.1622227</c:v>
                </c:pt>
                <c:pt idx="3">
                  <c:v>-0.13160140000000004</c:v>
                </c:pt>
                <c:pt idx="4">
                  <c:v>-8.8131800000000038E-2</c:v>
                </c:pt>
                <c:pt idx="5">
                  <c:v>-7.968970000000003E-2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415-A3C7-94166712B2EA}"/>
            </c:ext>
          </c:extLst>
        </c:ser>
        <c:ser>
          <c:idx val="7"/>
          <c:order val="7"/>
          <c:tx>
            <c:strRef>
              <c:f>AllCountriesAddCoef!$A$10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AllCountriesAddCoef!$B$10:$G$10</c:f>
              <c:numCache>
                <c:formatCode>General</c:formatCode>
                <c:ptCount val="6"/>
                <c:pt idx="0">
                  <c:v>-0.12996979999999997</c:v>
                </c:pt>
                <c:pt idx="1">
                  <c:v>-0.19272220000000001</c:v>
                </c:pt>
                <c:pt idx="2">
                  <c:v>-0.18715580000000004</c:v>
                </c:pt>
                <c:pt idx="3">
                  <c:v>-0.13214989999999999</c:v>
                </c:pt>
                <c:pt idx="4">
                  <c:v>-0.11058370000000001</c:v>
                </c:pt>
                <c:pt idx="5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C-4415-A3C7-9416671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97424"/>
        <c:axId val="1261488032"/>
      </c:lineChart>
      <c:catAx>
        <c:axId val="1389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8032"/>
        <c:crosses val="autoZero"/>
        <c:auto val="1"/>
        <c:lblAlgn val="ctr"/>
        <c:lblOffset val="100"/>
        <c:noMultiLvlLbl val="0"/>
      </c:catAx>
      <c:valAx>
        <c:axId val="126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AllCountriesAddCoef!$B$18:$I$18</c:f>
              <c:numCache>
                <c:formatCode>General</c:formatCode>
                <c:ptCount val="8"/>
                <c:pt idx="0">
                  <c:v>0.33623239999999999</c:v>
                </c:pt>
                <c:pt idx="1">
                  <c:v>0.22729920000000001</c:v>
                </c:pt>
                <c:pt idx="2">
                  <c:v>0.20709040000000001</c:v>
                </c:pt>
                <c:pt idx="3">
                  <c:v>0.18782100000000002</c:v>
                </c:pt>
                <c:pt idx="4">
                  <c:v>1.1706700000000014E-2</c:v>
                </c:pt>
                <c:pt idx="5">
                  <c:v>-0.12259939999999997</c:v>
                </c:pt>
                <c:pt idx="6">
                  <c:v>-0.20219700000000002</c:v>
                </c:pt>
                <c:pt idx="7">
                  <c:v>-0.12996979999999997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5-4FD4-B601-57A6543B8C83}"/>
            </c:ext>
          </c:extLst>
        </c:ser>
        <c:ser>
          <c:idx val="1"/>
          <c:order val="1"/>
          <c:tx>
            <c:strRef>
              <c:f>AllCountriesAddCoef!$A$19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AllCountriesAddCoef!$B$19:$I$19</c:f>
              <c:numCache>
                <c:formatCode>General</c:formatCode>
                <c:ptCount val="8"/>
                <c:pt idx="0">
                  <c:v>0.28743350000000001</c:v>
                </c:pt>
                <c:pt idx="1">
                  <c:v>0.28058689999999997</c:v>
                </c:pt>
                <c:pt idx="2">
                  <c:v>0.1109656</c:v>
                </c:pt>
                <c:pt idx="3">
                  <c:v>3.152290000000002E-2</c:v>
                </c:pt>
                <c:pt idx="4">
                  <c:v>-7.5313499999999978E-2</c:v>
                </c:pt>
                <c:pt idx="5">
                  <c:v>-0.16216539999999996</c:v>
                </c:pt>
                <c:pt idx="6">
                  <c:v>-0.22889339999999997</c:v>
                </c:pt>
                <c:pt idx="7">
                  <c:v>-0.19272220000000001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5-4FD4-B601-57A6543B8C83}"/>
            </c:ext>
          </c:extLst>
        </c:ser>
        <c:ser>
          <c:idx val="2"/>
          <c:order val="2"/>
          <c:tx>
            <c:strRef>
              <c:f>AllCountriesAddCoef!$A$20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AllCountriesAddCoef!$B$20:$I$20</c:f>
              <c:numCache>
                <c:formatCode>General</c:formatCode>
                <c:ptCount val="8"/>
                <c:pt idx="0">
                  <c:v>0.30376409999999998</c:v>
                </c:pt>
                <c:pt idx="1">
                  <c:v>0.23192210000000002</c:v>
                </c:pt>
                <c:pt idx="2">
                  <c:v>5.6263999999999981E-2</c:v>
                </c:pt>
                <c:pt idx="3">
                  <c:v>-2.8121499999999966E-2</c:v>
                </c:pt>
                <c:pt idx="4">
                  <c:v>-5.4225299999999976E-2</c:v>
                </c:pt>
                <c:pt idx="5">
                  <c:v>-9.4044199999999967E-2</c:v>
                </c:pt>
                <c:pt idx="6">
                  <c:v>-0.1622227</c:v>
                </c:pt>
                <c:pt idx="7">
                  <c:v>-0.18715580000000004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5-4FD4-B601-57A6543B8C83}"/>
            </c:ext>
          </c:extLst>
        </c:ser>
        <c:ser>
          <c:idx val="3"/>
          <c:order val="3"/>
          <c:tx>
            <c:strRef>
              <c:f>AllCountriesAddCoef!$A$21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AllCountriesAddCoef!$B$21:$I$21</c:f>
              <c:numCache>
                <c:formatCode>General</c:formatCode>
                <c:ptCount val="8"/>
                <c:pt idx="0">
                  <c:v>0.4080606</c:v>
                </c:pt>
                <c:pt idx="1">
                  <c:v>0.23623810000000001</c:v>
                </c:pt>
                <c:pt idx="2">
                  <c:v>0.150976</c:v>
                </c:pt>
                <c:pt idx="3">
                  <c:v>4.5959000000000028E-2</c:v>
                </c:pt>
                <c:pt idx="4">
                  <c:v>2.776590000000001E-2</c:v>
                </c:pt>
                <c:pt idx="5">
                  <c:v>-2.9298800000000014E-2</c:v>
                </c:pt>
                <c:pt idx="6">
                  <c:v>-0.13160140000000004</c:v>
                </c:pt>
                <c:pt idx="7">
                  <c:v>-0.13214989999999999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5-4FD4-B601-57A6543B8C83}"/>
            </c:ext>
          </c:extLst>
        </c:ser>
        <c:ser>
          <c:idx val="4"/>
          <c:order val="4"/>
          <c:tx>
            <c:strRef>
              <c:f>AllCountriesAddCoef!$A$22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AllCountriesAddCoef!$B$22:$I$22</c:f>
              <c:numCache>
                <c:formatCode>General</c:formatCode>
                <c:ptCount val="8"/>
                <c:pt idx="0">
                  <c:v>0.40609190000000001</c:v>
                </c:pt>
                <c:pt idx="1">
                  <c:v>0.35348259999999998</c:v>
                </c:pt>
                <c:pt idx="2">
                  <c:v>0.21782180000000001</c:v>
                </c:pt>
                <c:pt idx="3">
                  <c:v>0.11069820000000002</c:v>
                </c:pt>
                <c:pt idx="4">
                  <c:v>3.75587E-2</c:v>
                </c:pt>
                <c:pt idx="5">
                  <c:v>8.5036E-3</c:v>
                </c:pt>
                <c:pt idx="6">
                  <c:v>-8.8131800000000038E-2</c:v>
                </c:pt>
                <c:pt idx="7">
                  <c:v>-0.11058370000000001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FD4-B601-57A6543B8C83}"/>
            </c:ext>
          </c:extLst>
        </c:ser>
        <c:ser>
          <c:idx val="5"/>
          <c:order val="5"/>
          <c:tx>
            <c:strRef>
              <c:f>AllCountriesAddCoef!$A$23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AllCountriesAddCoef!$B$23:$I$23</c:f>
              <c:numCache>
                <c:formatCode>General</c:formatCode>
                <c:ptCount val="8"/>
                <c:pt idx="0">
                  <c:v>0.48757309999999998</c:v>
                </c:pt>
                <c:pt idx="1">
                  <c:v>0.6190563</c:v>
                </c:pt>
                <c:pt idx="2">
                  <c:v>0.39324160000000002</c:v>
                </c:pt>
                <c:pt idx="3">
                  <c:v>0.2035624</c:v>
                </c:pt>
                <c:pt idx="4">
                  <c:v>9.1811299999999985E-2</c:v>
                </c:pt>
                <c:pt idx="5">
                  <c:v>8.0975999999999826E-3</c:v>
                </c:pt>
                <c:pt idx="6">
                  <c:v>-7.968970000000003E-2</c:v>
                </c:pt>
                <c:pt idx="7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FD4-B601-57A6543B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824"/>
        <c:axId val="1261481792"/>
      </c:lineChart>
      <c:catAx>
        <c:axId val="1389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1792"/>
        <c:crosses val="autoZero"/>
        <c:auto val="1"/>
        <c:lblAlgn val="ctr"/>
        <c:lblOffset val="100"/>
        <c:noMultiLvlLbl val="0"/>
      </c:catAx>
      <c:valAx>
        <c:axId val="1261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Less4Countries!$G$5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Less4Countries!$H$5:$M$5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Less4Countries!$G$6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Less4Countries!$H$6:$M$6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Less4Countries!$G$7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Less4Countries!$H$7:$M$7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Less4Countries!$G$8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Less4Countries!$H$8:$M$8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Less4Countries!$G$9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Less4Countries!$H$9:$M$9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Less4Countries!$G$10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Less4Countries!$H$10:$M$10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Less4Countries!$G$11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Less4Countries!$H$11:$M$11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Less4Countries!$R$4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Less4Countries!$S$4:$Y$4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Less4Countries!$R$5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Less4Countries!$S$5:$Y$5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Less4Countries!$R$6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Less4Countries!$S$6:$Y$6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Less4Countries!$R$7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Less4Countries!$S$7:$Y$7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Less4Countries!$R$8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Less4Countries!$S$8:$Y$8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Less4Countries!$R$9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Less4Countries!$S$9:$Y$9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66299512104588"/>
          <c:y val="1.8694154433587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Less4CountriesAddCoef!$A$2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Less4CountriesAddCoef!$B$2:$G$2</c:f>
              <c:numCache>
                <c:formatCode>General</c:formatCode>
                <c:ptCount val="6"/>
                <c:pt idx="0">
                  <c:v>0.34453690000000003</c:v>
                </c:pt>
                <c:pt idx="1">
                  <c:v>0.30346420000000002</c:v>
                </c:pt>
                <c:pt idx="2">
                  <c:v>0.3177101</c:v>
                </c:pt>
                <c:pt idx="3">
                  <c:v>0.41286850000000003</c:v>
                </c:pt>
                <c:pt idx="4">
                  <c:v>0.39640819999999999</c:v>
                </c:pt>
                <c:pt idx="5">
                  <c:v>0.48891689999999999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4-95C1-B7BE134FD3DA}"/>
            </c:ext>
          </c:extLst>
        </c:ser>
        <c:ser>
          <c:idx val="1"/>
          <c:order val="1"/>
          <c:tx>
            <c:strRef>
              <c:f>Less4CountriesAddCoef!$A$3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Less4CountriesAddCoef!$B$3:$G$3</c:f>
              <c:numCache>
                <c:formatCode>General</c:formatCode>
                <c:ptCount val="6"/>
                <c:pt idx="0">
                  <c:v>0.23362240000000001</c:v>
                </c:pt>
                <c:pt idx="1">
                  <c:v>0.29358250000000002</c:v>
                </c:pt>
                <c:pt idx="2">
                  <c:v>0.24339730000000001</c:v>
                </c:pt>
                <c:pt idx="3">
                  <c:v>0.23758900000000002</c:v>
                </c:pt>
                <c:pt idx="4">
                  <c:v>0.3430916</c:v>
                </c:pt>
                <c:pt idx="5">
                  <c:v>0.59829200000000005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154-95C1-B7BE134FD3DA}"/>
            </c:ext>
          </c:extLst>
        </c:ser>
        <c:ser>
          <c:idx val="2"/>
          <c:order val="2"/>
          <c:tx>
            <c:strRef>
              <c:f>Less4CountriesAddCoef!$A$4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Less4CountriesAddCoef!$B$4:$G$4</c:f>
              <c:numCache>
                <c:formatCode>General</c:formatCode>
                <c:ptCount val="6"/>
                <c:pt idx="0">
                  <c:v>0.20977700000000002</c:v>
                </c:pt>
                <c:pt idx="1">
                  <c:v>0.11945510000000004</c:v>
                </c:pt>
                <c:pt idx="2">
                  <c:v>6.4817100000000016E-2</c:v>
                </c:pt>
                <c:pt idx="3">
                  <c:v>0.15531070000000002</c:v>
                </c:pt>
                <c:pt idx="4">
                  <c:v>0.22502960000000002</c:v>
                </c:pt>
                <c:pt idx="5">
                  <c:v>0.40717360000000002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E-4154-95C1-B7BE134FD3DA}"/>
            </c:ext>
          </c:extLst>
        </c:ser>
        <c:ser>
          <c:idx val="3"/>
          <c:order val="3"/>
          <c:tx>
            <c:strRef>
              <c:f>Less4CountriesAddCoef!$A$5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Less4CountriesAddCoef!$B$5:$G$5</c:f>
              <c:numCache>
                <c:formatCode>General</c:formatCode>
                <c:ptCount val="6"/>
                <c:pt idx="0">
                  <c:v>0.19154940000000001</c:v>
                </c:pt>
                <c:pt idx="1">
                  <c:v>3.7493200000000004E-2</c:v>
                </c:pt>
                <c:pt idx="2">
                  <c:v>-3.0431899999999956E-2</c:v>
                </c:pt>
                <c:pt idx="3">
                  <c:v>5.2002500000000007E-2</c:v>
                </c:pt>
                <c:pt idx="4">
                  <c:v>0.13132820000000001</c:v>
                </c:pt>
                <c:pt idx="5">
                  <c:v>0.22516450000000002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E-4154-95C1-B7BE134FD3DA}"/>
            </c:ext>
          </c:extLst>
        </c:ser>
        <c:ser>
          <c:idx val="4"/>
          <c:order val="4"/>
          <c:tx>
            <c:strRef>
              <c:f>Less4CountriesAddCoef!$A$6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Less4CountriesAddCoef!$B$6:$G$6</c:f>
              <c:numCache>
                <c:formatCode>General</c:formatCode>
                <c:ptCount val="6"/>
                <c:pt idx="0">
                  <c:v>1.6524700000000003E-2</c:v>
                </c:pt>
                <c:pt idx="1">
                  <c:v>-7.1710599999999958E-2</c:v>
                </c:pt>
                <c:pt idx="2">
                  <c:v>-6.3205099999999959E-2</c:v>
                </c:pt>
                <c:pt idx="3">
                  <c:v>2.6981699999999997E-2</c:v>
                </c:pt>
                <c:pt idx="4">
                  <c:v>3.8721900000000031E-2</c:v>
                </c:pt>
                <c:pt idx="5">
                  <c:v>0.10547700000000004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E-4154-95C1-B7BE134FD3DA}"/>
            </c:ext>
          </c:extLst>
        </c:ser>
        <c:ser>
          <c:idx val="5"/>
          <c:order val="5"/>
          <c:tx>
            <c:strRef>
              <c:f>Less4CountriesAddCoef!$A$7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Less4CountriesAddCoef!$B$7:$G$7</c:f>
              <c:numCache>
                <c:formatCode>General</c:formatCode>
                <c:ptCount val="6"/>
                <c:pt idx="0">
                  <c:v>-0.11738529999999997</c:v>
                </c:pt>
                <c:pt idx="1">
                  <c:v>-0.1570723</c:v>
                </c:pt>
                <c:pt idx="2">
                  <c:v>-9.917349999999997E-2</c:v>
                </c:pt>
                <c:pt idx="3">
                  <c:v>-2.8613E-2</c:v>
                </c:pt>
                <c:pt idx="4">
                  <c:v>4.5137000000000094E-3</c:v>
                </c:pt>
                <c:pt idx="5">
                  <c:v>1.7722100000000018E-2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E-4154-95C1-B7BE134FD3DA}"/>
            </c:ext>
          </c:extLst>
        </c:ser>
        <c:ser>
          <c:idx val="6"/>
          <c:order val="6"/>
          <c:tx>
            <c:strRef>
              <c:f>Less4CountriesAddCoef!$A$8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Less4CountriesAddCoef!$B$8:$G$8</c:f>
              <c:numCache>
                <c:formatCode>General</c:formatCode>
                <c:ptCount val="6"/>
                <c:pt idx="0">
                  <c:v>-0.20002329999999996</c:v>
                </c:pt>
                <c:pt idx="1">
                  <c:v>-0.22650909999999996</c:v>
                </c:pt>
                <c:pt idx="2">
                  <c:v>-0.17296470000000003</c:v>
                </c:pt>
                <c:pt idx="3">
                  <c:v>-0.13917879999999999</c:v>
                </c:pt>
                <c:pt idx="4">
                  <c:v>-9.6416400000000013E-2</c:v>
                </c:pt>
                <c:pt idx="5">
                  <c:v>-7.5772800000000029E-2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E-4154-95C1-B7BE134FD3DA}"/>
            </c:ext>
          </c:extLst>
        </c:ser>
        <c:ser>
          <c:idx val="7"/>
          <c:order val="7"/>
          <c:tx>
            <c:strRef>
              <c:f>Less4CountriesAddCoef!$A$9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Less4CountriesAddCoef!$B$9:$G$9</c:f>
              <c:numCache>
                <c:formatCode>General</c:formatCode>
                <c:ptCount val="6"/>
                <c:pt idx="0">
                  <c:v>-0.12988300000000003</c:v>
                </c:pt>
                <c:pt idx="1">
                  <c:v>-0.19270300000000001</c:v>
                </c:pt>
                <c:pt idx="2">
                  <c:v>-0.20374039999999999</c:v>
                </c:pt>
                <c:pt idx="3">
                  <c:v>-0.14661790000000002</c:v>
                </c:pt>
                <c:pt idx="4">
                  <c:v>-0.12581110000000001</c:v>
                </c:pt>
                <c:pt idx="5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E-4154-95C1-B7BE134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1568"/>
        <c:axId val="1388557408"/>
      </c:lineChart>
      <c:catAx>
        <c:axId val="138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7408"/>
        <c:crosses val="autoZero"/>
        <c:auto val="1"/>
        <c:lblAlgn val="ctr"/>
        <c:lblOffset val="100"/>
        <c:noMultiLvlLbl val="0"/>
      </c:catAx>
      <c:valAx>
        <c:axId val="1388557408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Less4CountriesAddCoef!$A$15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Less4CountriesAddCoef!$B$15:$I$15</c:f>
              <c:numCache>
                <c:formatCode>General</c:formatCode>
                <c:ptCount val="8"/>
                <c:pt idx="0">
                  <c:v>0.34453690000000003</c:v>
                </c:pt>
                <c:pt idx="1">
                  <c:v>0.23362240000000001</c:v>
                </c:pt>
                <c:pt idx="2">
                  <c:v>0.20977700000000002</c:v>
                </c:pt>
                <c:pt idx="3">
                  <c:v>0.19154940000000001</c:v>
                </c:pt>
                <c:pt idx="4">
                  <c:v>1.6524700000000003E-2</c:v>
                </c:pt>
                <c:pt idx="5">
                  <c:v>-0.11738529999999997</c:v>
                </c:pt>
                <c:pt idx="6">
                  <c:v>-0.20002329999999996</c:v>
                </c:pt>
                <c:pt idx="7">
                  <c:v>-0.12988300000000003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775-8F82-44AC755C049A}"/>
            </c:ext>
          </c:extLst>
        </c:ser>
        <c:ser>
          <c:idx val="1"/>
          <c:order val="1"/>
          <c:tx>
            <c:strRef>
              <c:f>Less4CountriesAddCoef!$A$16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Less4CountriesAddCoef!$B$16:$I$16</c:f>
              <c:numCache>
                <c:formatCode>General</c:formatCode>
                <c:ptCount val="8"/>
                <c:pt idx="0">
                  <c:v>0.30346420000000002</c:v>
                </c:pt>
                <c:pt idx="1">
                  <c:v>0.29358250000000002</c:v>
                </c:pt>
                <c:pt idx="2">
                  <c:v>0.11945510000000004</c:v>
                </c:pt>
                <c:pt idx="3">
                  <c:v>3.7493200000000004E-2</c:v>
                </c:pt>
                <c:pt idx="4">
                  <c:v>-7.1710599999999958E-2</c:v>
                </c:pt>
                <c:pt idx="5">
                  <c:v>-0.1570723</c:v>
                </c:pt>
                <c:pt idx="6">
                  <c:v>-0.22650909999999996</c:v>
                </c:pt>
                <c:pt idx="7">
                  <c:v>-0.19270300000000001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775-8F82-44AC755C049A}"/>
            </c:ext>
          </c:extLst>
        </c:ser>
        <c:ser>
          <c:idx val="2"/>
          <c:order val="2"/>
          <c:tx>
            <c:strRef>
              <c:f>Less4CountriesAddCoef!$A$17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Less4CountriesAddCoef!$B$17:$I$17</c:f>
              <c:numCache>
                <c:formatCode>General</c:formatCode>
                <c:ptCount val="8"/>
                <c:pt idx="0">
                  <c:v>0.3177101</c:v>
                </c:pt>
                <c:pt idx="1">
                  <c:v>0.24339730000000001</c:v>
                </c:pt>
                <c:pt idx="2">
                  <c:v>6.4817100000000016E-2</c:v>
                </c:pt>
                <c:pt idx="3">
                  <c:v>-3.0431899999999956E-2</c:v>
                </c:pt>
                <c:pt idx="4">
                  <c:v>-6.3205099999999959E-2</c:v>
                </c:pt>
                <c:pt idx="5">
                  <c:v>-9.917349999999997E-2</c:v>
                </c:pt>
                <c:pt idx="6">
                  <c:v>-0.17296470000000003</c:v>
                </c:pt>
                <c:pt idx="7">
                  <c:v>-0.20374039999999999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775-8F82-44AC755C049A}"/>
            </c:ext>
          </c:extLst>
        </c:ser>
        <c:ser>
          <c:idx val="3"/>
          <c:order val="3"/>
          <c:tx>
            <c:strRef>
              <c:f>Less4CountriesAddCoef!$A$18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Less4CountriesAddCoef!$B$18:$I$18</c:f>
              <c:numCache>
                <c:formatCode>General</c:formatCode>
                <c:ptCount val="8"/>
                <c:pt idx="0">
                  <c:v>0.41286850000000003</c:v>
                </c:pt>
                <c:pt idx="1">
                  <c:v>0.23758900000000002</c:v>
                </c:pt>
                <c:pt idx="2">
                  <c:v>0.15531070000000002</c:v>
                </c:pt>
                <c:pt idx="3">
                  <c:v>5.2002500000000007E-2</c:v>
                </c:pt>
                <c:pt idx="4">
                  <c:v>2.6981699999999997E-2</c:v>
                </c:pt>
                <c:pt idx="5">
                  <c:v>-2.8613E-2</c:v>
                </c:pt>
                <c:pt idx="6">
                  <c:v>-0.13917879999999999</c:v>
                </c:pt>
                <c:pt idx="7">
                  <c:v>-0.14661790000000002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775-8F82-44AC755C049A}"/>
            </c:ext>
          </c:extLst>
        </c:ser>
        <c:ser>
          <c:idx val="4"/>
          <c:order val="4"/>
          <c:tx>
            <c:strRef>
              <c:f>Less4CountriesAddCoef!$A$19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Less4CountriesAddCoef!$B$19:$I$19</c:f>
              <c:numCache>
                <c:formatCode>General</c:formatCode>
                <c:ptCount val="8"/>
                <c:pt idx="0">
                  <c:v>0.39640819999999999</c:v>
                </c:pt>
                <c:pt idx="1">
                  <c:v>0.3430916</c:v>
                </c:pt>
                <c:pt idx="2">
                  <c:v>0.22502960000000002</c:v>
                </c:pt>
                <c:pt idx="3">
                  <c:v>0.13132820000000001</c:v>
                </c:pt>
                <c:pt idx="4">
                  <c:v>3.8721900000000031E-2</c:v>
                </c:pt>
                <c:pt idx="5">
                  <c:v>4.5137000000000094E-3</c:v>
                </c:pt>
                <c:pt idx="6">
                  <c:v>-9.6416400000000013E-2</c:v>
                </c:pt>
                <c:pt idx="7">
                  <c:v>-0.12581110000000001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775-8F82-44AC755C049A}"/>
            </c:ext>
          </c:extLst>
        </c:ser>
        <c:ser>
          <c:idx val="5"/>
          <c:order val="5"/>
          <c:tx>
            <c:strRef>
              <c:f>Less4CountriesAddCoef!$A$20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Less4CountriesAddCoef!$B$20:$I$20</c:f>
              <c:numCache>
                <c:formatCode>General</c:formatCode>
                <c:ptCount val="8"/>
                <c:pt idx="0">
                  <c:v>0.48891689999999999</c:v>
                </c:pt>
                <c:pt idx="1">
                  <c:v>0.59829200000000005</c:v>
                </c:pt>
                <c:pt idx="2">
                  <c:v>0.40717360000000002</c:v>
                </c:pt>
                <c:pt idx="3">
                  <c:v>0.22516450000000002</c:v>
                </c:pt>
                <c:pt idx="4">
                  <c:v>0.10547700000000004</c:v>
                </c:pt>
                <c:pt idx="5">
                  <c:v>1.7722100000000018E-2</c:v>
                </c:pt>
                <c:pt idx="6">
                  <c:v>-7.5772800000000029E-2</c:v>
                </c:pt>
                <c:pt idx="7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9-4775-8F82-44AC755C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44800"/>
        <c:axId val="1391878656"/>
      </c:lineChart>
      <c:catAx>
        <c:axId val="1457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8656"/>
        <c:crosses val="autoZero"/>
        <c:auto val="1"/>
        <c:lblAlgn val="ctr"/>
        <c:lblOffset val="100"/>
        <c:noMultiLvlLbl val="0"/>
      </c:catAx>
      <c:valAx>
        <c:axId val="139187865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63211</xdr:colOff>
      <xdr:row>12</xdr:row>
      <xdr:rowOff>188706</xdr:rowOff>
    </xdr:from>
    <xdr:to>
      <xdr:col>33</xdr:col>
      <xdr:colOff>503463</xdr:colOff>
      <xdr:row>41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208250</xdr:colOff>
      <xdr:row>2</xdr:row>
      <xdr:rowOff>128587</xdr:rowOff>
    </xdr:from>
    <xdr:to>
      <xdr:col>47</xdr:col>
      <xdr:colOff>327314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18</xdr:row>
      <xdr:rowOff>61911</xdr:rowOff>
    </xdr:from>
    <xdr:to>
      <xdr:col>11</xdr:col>
      <xdr:colOff>133350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A08A-2221-4E27-A6DB-A9940453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18</xdr:row>
      <xdr:rowOff>90486</xdr:rowOff>
    </xdr:from>
    <xdr:to>
      <xdr:col>29</xdr:col>
      <xdr:colOff>152401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E844C-49E4-4362-8885-7EC7396B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30</xdr:row>
      <xdr:rowOff>100011</xdr:rowOff>
    </xdr:from>
    <xdr:to>
      <xdr:col>34</xdr:col>
      <xdr:colOff>523874</xdr:colOff>
      <xdr:row>51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476249</xdr:colOff>
      <xdr:row>10</xdr:row>
      <xdr:rowOff>90487</xdr:rowOff>
    </xdr:from>
    <xdr:to>
      <xdr:col>35</xdr:col>
      <xdr:colOff>190499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470647</xdr:colOff>
      <xdr:row>4</xdr:row>
      <xdr:rowOff>179294</xdr:rowOff>
    </xdr:from>
    <xdr:to>
      <xdr:col>10</xdr:col>
      <xdr:colOff>593910</xdr:colOff>
      <xdr:row>33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E569-E139-4C29-9EE4-E9B7725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296956</xdr:colOff>
      <xdr:row>8</xdr:row>
      <xdr:rowOff>23531</xdr:rowOff>
    </xdr:from>
    <xdr:to>
      <xdr:col>4</xdr:col>
      <xdr:colOff>268943</xdr:colOff>
      <xdr:row>31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CE68-3AFF-49BC-B164-8D32D15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workbookViewId="0">
      <selection activeCell="A19" sqref="A19:C19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zoomScale="70" zoomScaleNormal="70" workbookViewId="0">
      <selection activeCell="C30" sqref="C30"/>
    </sheetView>
  </sheetViews>
  <sheetFormatPr defaultRowHeight="15" x14ac:dyDescent="0.25"/>
  <cols>
    <col min="1" max="1" width="42.5703125" bestFit="1" customWidth="1"/>
    <col min="2" max="2" width="12" bestFit="1" customWidth="1"/>
    <col min="3" max="3" width="33.85546875" bestFit="1" customWidth="1"/>
    <col min="4" max="4" width="12.42578125" bestFit="1" customWidth="1"/>
    <col min="8" max="8" width="32.140625" bestFit="1" customWidth="1"/>
  </cols>
  <sheetData>
    <row r="1" spans="1:27" x14ac:dyDescent="0.25">
      <c r="B1" t="s">
        <v>0</v>
      </c>
      <c r="D1" t="s">
        <v>245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  <c r="C12" t="s">
        <v>38</v>
      </c>
      <c r="D12">
        <v>-0.13000999999999999</v>
      </c>
    </row>
    <row r="13" spans="1:27" x14ac:dyDescent="0.25">
      <c r="A13" t="s">
        <v>196</v>
      </c>
      <c r="B13">
        <v>-0.20587530000000001</v>
      </c>
      <c r="C13" t="s">
        <v>39</v>
      </c>
      <c r="D13">
        <v>-5.1209299999999999E-2</v>
      </c>
    </row>
    <row r="14" spans="1:27" x14ac:dyDescent="0.25">
      <c r="A14" t="s">
        <v>197</v>
      </c>
      <c r="B14">
        <v>-0.13706080000000001</v>
      </c>
      <c r="C14" t="s">
        <v>40</v>
      </c>
      <c r="D14">
        <v>-0.14357929999999999</v>
      </c>
    </row>
    <row r="15" spans="1:27" x14ac:dyDescent="0.25">
      <c r="A15" t="s">
        <v>198</v>
      </c>
      <c r="B15">
        <v>-4.3122199999999999E-2</v>
      </c>
      <c r="C15" t="s">
        <v>41</v>
      </c>
      <c r="D15">
        <v>-0.3384993</v>
      </c>
    </row>
    <row r="16" spans="1:27" x14ac:dyDescent="0.25">
      <c r="A16" t="s">
        <v>199</v>
      </c>
      <c r="B16">
        <v>0</v>
      </c>
      <c r="C16" t="s">
        <v>42</v>
      </c>
      <c r="D16">
        <v>-0.54508730000000005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C17" t="s">
        <v>43</v>
      </c>
      <c r="D17">
        <v>-0.61637929999999996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C18" t="s">
        <v>44</v>
      </c>
      <c r="D18">
        <v>-0.59280120000000003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</row>
    <row r="28" spans="1:14" x14ac:dyDescent="0.25">
      <c r="A28" t="s">
        <v>211</v>
      </c>
      <c r="B28">
        <v>-3.0033899999999999E-2</v>
      </c>
      <c r="C28">
        <v>-9.5576900000000006E-2</v>
      </c>
      <c r="D28">
        <v>-0.1443758</v>
      </c>
      <c r="E28">
        <v>-0.1280452</v>
      </c>
      <c r="F28">
        <v>-2.3748700000000001E-2</v>
      </c>
      <c r="G28">
        <v>-2.5717400000000001E-2</v>
      </c>
      <c r="H28">
        <v>5.5763800000000002E-2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5" x14ac:dyDescent="0.25">
      <c r="A33" t="s">
        <v>216</v>
      </c>
      <c r="B33">
        <v>0.14727899999999999</v>
      </c>
      <c r="H33" t="s">
        <v>246</v>
      </c>
    </row>
    <row r="34" spans="1:25" x14ac:dyDescent="0.25">
      <c r="A34" t="s">
        <v>217</v>
      </c>
      <c r="B34">
        <v>0.1077279</v>
      </c>
    </row>
    <row r="35" spans="1:25" x14ac:dyDescent="0.25">
      <c r="A35" t="s">
        <v>218</v>
      </c>
      <c r="B35">
        <v>0.14749899999999999</v>
      </c>
      <c r="R35" t="s">
        <v>236</v>
      </c>
      <c r="S35" t="str">
        <f>"20-29"</f>
        <v>20-29</v>
      </c>
      <c r="T35" t="str">
        <f>"30-39"</f>
        <v>30-39</v>
      </c>
      <c r="U35" t="str">
        <f>"40-49"</f>
        <v>40-49</v>
      </c>
      <c r="V35" t="str">
        <f>"50-59"</f>
        <v>50-59</v>
      </c>
      <c r="W35" t="str">
        <f>"60-69"</f>
        <v>60-69</v>
      </c>
      <c r="X35" t="str">
        <f>"70-79"</f>
        <v>70-79</v>
      </c>
      <c r="Y35" t="str">
        <f>"80"</f>
        <v>80</v>
      </c>
    </row>
    <row r="36" spans="1:25" x14ac:dyDescent="0.25">
      <c r="A36" t="s">
        <v>219</v>
      </c>
      <c r="B36">
        <v>6.5611799999999998E-2</v>
      </c>
      <c r="H36" t="s">
        <v>236</v>
      </c>
      <c r="I36">
        <v>1960</v>
      </c>
      <c r="J36">
        <v>1970</v>
      </c>
      <c r="K36">
        <v>1980</v>
      </c>
      <c r="L36">
        <v>1990</v>
      </c>
      <c r="M36">
        <v>2000</v>
      </c>
      <c r="N36">
        <v>2010</v>
      </c>
      <c r="R36">
        <v>1960</v>
      </c>
      <c r="S36">
        <v>2.10768E-2</v>
      </c>
      <c r="T36">
        <v>-7.7932699999999994E-2</v>
      </c>
      <c r="U36">
        <v>-4.8320999999999998E-3</v>
      </c>
      <c r="V36">
        <v>1.3973599999999999E-2</v>
      </c>
      <c r="W36">
        <v>8.6255499999999999E-2</v>
      </c>
      <c r="X36">
        <v>7.7949900000000003E-2</v>
      </c>
      <c r="Y36">
        <v>0.12659899999999999</v>
      </c>
    </row>
    <row r="37" spans="1:25" x14ac:dyDescent="0.25">
      <c r="A37" t="s">
        <v>220</v>
      </c>
      <c r="B37">
        <v>0</v>
      </c>
      <c r="H37" t="s">
        <v>237</v>
      </c>
      <c r="I37">
        <f>I17+D11+$C$28</f>
        <v>-9.5576900000000006E-2</v>
      </c>
      <c r="J37">
        <f>J17+D11+$D$28</f>
        <v>-0.1443758</v>
      </c>
      <c r="K37">
        <f>K17+D11+$E$28</f>
        <v>-0.1280452</v>
      </c>
      <c r="L37">
        <f>L17+D11+$F$28</f>
        <v>-2.3748700000000001E-2</v>
      </c>
      <c r="M37">
        <f>M17+D11+$G$28</f>
        <v>-2.5717400000000001E-2</v>
      </c>
      <c r="N37">
        <f>N17+D11+$H$28</f>
        <v>5.5763800000000002E-2</v>
      </c>
      <c r="R37">
        <v>1970</v>
      </c>
      <c r="S37">
        <v>0.12316340000000001</v>
      </c>
      <c r="T37">
        <v>-0.1252586</v>
      </c>
      <c r="U37">
        <v>-0.1123313</v>
      </c>
      <c r="V37">
        <v>-2.4247700000000001E-2</v>
      </c>
      <c r="W37">
        <v>9.5488400000000001E-2</v>
      </c>
      <c r="X37">
        <v>0.1000524</v>
      </c>
      <c r="Y37">
        <v>0.1126455</v>
      </c>
    </row>
    <row r="38" spans="1:25" x14ac:dyDescent="0.25">
      <c r="A38" t="s">
        <v>221</v>
      </c>
      <c r="B38">
        <v>7.7949900000000003E-2</v>
      </c>
      <c r="H38" t="s">
        <v>238</v>
      </c>
      <c r="I38">
        <f t="shared" ref="I38:I44" si="0">I18+D12+$C$28</f>
        <v>-0.20451009999999997</v>
      </c>
      <c r="J38">
        <f t="shared" ref="J38:J44" si="1">J18+D12+$D$28</f>
        <v>-0.15122239999999998</v>
      </c>
      <c r="K38">
        <f t="shared" ref="K38:K44" si="2">K18+D12+$E$28</f>
        <v>-0.19988719999999999</v>
      </c>
      <c r="L38">
        <f t="shared" ref="L38:L44" si="3">L18+D12+$F$28</f>
        <v>-0.1955712</v>
      </c>
      <c r="M38">
        <f t="shared" ref="M38:M44" si="4">M18+D12+$G$28</f>
        <v>-7.8326699999999985E-2</v>
      </c>
      <c r="N38">
        <f t="shared" ref="N38:N44" si="5">N18+D12+$H$28</f>
        <v>0.187247</v>
      </c>
      <c r="R38">
        <v>1980</v>
      </c>
      <c r="S38">
        <v>5.8167999999999997E-2</v>
      </c>
      <c r="T38">
        <v>-0.19629079999999999</v>
      </c>
      <c r="U38">
        <v>-0.18830630000000001</v>
      </c>
      <c r="V38">
        <v>-1.94901E-2</v>
      </c>
      <c r="W38">
        <v>0.14727899999999999</v>
      </c>
      <c r="X38">
        <v>0.15039250000000001</v>
      </c>
      <c r="Y38">
        <v>0.10188129999999999</v>
      </c>
    </row>
    <row r="39" spans="1:25" x14ac:dyDescent="0.25">
      <c r="A39" t="s">
        <v>222</v>
      </c>
      <c r="B39">
        <v>0.1000524</v>
      </c>
      <c r="H39" t="s">
        <v>239</v>
      </c>
      <c r="I39">
        <f t="shared" si="0"/>
        <v>-0.2247189</v>
      </c>
      <c r="J39">
        <f t="shared" si="1"/>
        <v>-0.32084370000000001</v>
      </c>
      <c r="K39">
        <f t="shared" si="2"/>
        <v>-0.37554529999999997</v>
      </c>
      <c r="L39">
        <f t="shared" si="3"/>
        <v>-0.28083330000000001</v>
      </c>
      <c r="M39">
        <f t="shared" si="4"/>
        <v>-0.2139875</v>
      </c>
      <c r="N39">
        <f t="shared" si="5"/>
        <v>-3.8567699999999996E-2</v>
      </c>
      <c r="R39">
        <v>1990</v>
      </c>
      <c r="S39">
        <v>-4.1812500000000002E-2</v>
      </c>
      <c r="T39">
        <v>-0.20587530000000001</v>
      </c>
      <c r="U39">
        <v>-0.2185223</v>
      </c>
      <c r="V39">
        <v>-4.1795400000000003E-2</v>
      </c>
      <c r="W39">
        <v>0.1077279</v>
      </c>
      <c r="X39">
        <v>7.6717300000000002E-2</v>
      </c>
      <c r="Y39">
        <v>5.2590699999999997E-2</v>
      </c>
    </row>
    <row r="40" spans="1:25" x14ac:dyDescent="0.25">
      <c r="A40" t="s">
        <v>223</v>
      </c>
      <c r="B40">
        <v>0.15039250000000001</v>
      </c>
      <c r="H40" t="s">
        <v>240</v>
      </c>
      <c r="I40">
        <f t="shared" si="0"/>
        <v>-0.24398829999999999</v>
      </c>
      <c r="J40">
        <f t="shared" si="1"/>
        <v>-0.40028639999999999</v>
      </c>
      <c r="K40">
        <f t="shared" si="2"/>
        <v>-0.45993079999999997</v>
      </c>
      <c r="L40">
        <f t="shared" si="3"/>
        <v>-0.38585030000000003</v>
      </c>
      <c r="M40">
        <f t="shared" si="4"/>
        <v>-0.32111109999999998</v>
      </c>
      <c r="N40">
        <f t="shared" si="5"/>
        <v>-0.2282469</v>
      </c>
      <c r="R40">
        <v>2000</v>
      </c>
      <c r="S40">
        <v>7.7400700000000003E-2</v>
      </c>
      <c r="T40">
        <v>-0.13706080000000001</v>
      </c>
      <c r="U40">
        <v>-0.15181439999999999</v>
      </c>
      <c r="V40">
        <v>-3.0033899999999999E-2</v>
      </c>
      <c r="W40">
        <v>0.14749899999999999</v>
      </c>
      <c r="X40">
        <v>0.1221556</v>
      </c>
      <c r="Y40">
        <v>7.6125600000000002E-2</v>
      </c>
    </row>
    <row r="41" spans="1:25" x14ac:dyDescent="0.25">
      <c r="A41" t="s">
        <v>224</v>
      </c>
      <c r="B41">
        <v>7.6717300000000002E-2</v>
      </c>
      <c r="H41" t="s">
        <v>241</v>
      </c>
      <c r="I41">
        <f t="shared" si="0"/>
        <v>-0.42010260000000005</v>
      </c>
      <c r="J41">
        <f t="shared" si="1"/>
        <v>-0.50712279999999998</v>
      </c>
      <c r="K41">
        <f t="shared" si="2"/>
        <v>-0.48603459999999998</v>
      </c>
      <c r="L41">
        <f t="shared" si="3"/>
        <v>-0.4040434</v>
      </c>
      <c r="M41">
        <f t="shared" si="4"/>
        <v>-0.39425060000000001</v>
      </c>
      <c r="N41">
        <f t="shared" si="5"/>
        <v>-0.33999800000000002</v>
      </c>
      <c r="R41">
        <v>2010</v>
      </c>
      <c r="S41">
        <v>0.26149319999999998</v>
      </c>
      <c r="T41">
        <v>-4.3122199999999999E-2</v>
      </c>
      <c r="U41">
        <v>-0.14043140000000001</v>
      </c>
      <c r="V41">
        <v>-5.7262500000000001E-2</v>
      </c>
      <c r="W41">
        <v>6.5611799999999998E-2</v>
      </c>
      <c r="X41">
        <v>4.91165E-2</v>
      </c>
      <c r="Y41">
        <v>-2.7457499999999999E-2</v>
      </c>
    </row>
    <row r="42" spans="1:25" x14ac:dyDescent="0.25">
      <c r="A42" t="s">
        <v>225</v>
      </c>
      <c r="B42">
        <v>0.1221556</v>
      </c>
      <c r="H42" t="s">
        <v>242</v>
      </c>
      <c r="I42">
        <f t="shared" si="0"/>
        <v>-0.55440870000000009</v>
      </c>
      <c r="J42">
        <f t="shared" si="1"/>
        <v>-0.59397469999999997</v>
      </c>
      <c r="K42">
        <f t="shared" si="2"/>
        <v>-0.52585350000000008</v>
      </c>
      <c r="L42">
        <f t="shared" si="3"/>
        <v>-0.46110810000000008</v>
      </c>
      <c r="M42">
        <f t="shared" si="4"/>
        <v>-0.42330570000000006</v>
      </c>
      <c r="N42">
        <f t="shared" si="5"/>
        <v>-0.42371170000000002</v>
      </c>
    </row>
    <row r="43" spans="1:25" x14ac:dyDescent="0.25">
      <c r="A43" t="s">
        <v>226</v>
      </c>
      <c r="B43">
        <v>4.91165E-2</v>
      </c>
      <c r="H43" t="s">
        <v>243</v>
      </c>
      <c r="I43">
        <f t="shared" si="0"/>
        <v>-0.63400629999999991</v>
      </c>
      <c r="J43">
        <f t="shared" si="1"/>
        <v>-0.66070269999999987</v>
      </c>
      <c r="K43">
        <f t="shared" si="2"/>
        <v>-0.59403199999999989</v>
      </c>
      <c r="L43">
        <f t="shared" si="3"/>
        <v>-0.56341069999999993</v>
      </c>
      <c r="M43">
        <f t="shared" si="4"/>
        <v>-0.51994109999999993</v>
      </c>
      <c r="N43">
        <f t="shared" si="5"/>
        <v>-0.51149899999999993</v>
      </c>
    </row>
    <row r="44" spans="1:25" x14ac:dyDescent="0.25">
      <c r="A44" t="s">
        <v>227</v>
      </c>
      <c r="B44">
        <v>0</v>
      </c>
      <c r="H44" t="s">
        <v>244</v>
      </c>
      <c r="I44">
        <f t="shared" si="0"/>
        <v>-0.56177909999999998</v>
      </c>
      <c r="J44">
        <f t="shared" si="1"/>
        <v>-0.62453150000000002</v>
      </c>
      <c r="K44">
        <f t="shared" si="2"/>
        <v>-0.61896510000000005</v>
      </c>
      <c r="L44">
        <f t="shared" si="3"/>
        <v>-0.56395919999999999</v>
      </c>
      <c r="M44">
        <f t="shared" si="4"/>
        <v>-0.54239300000000001</v>
      </c>
      <c r="N44">
        <f t="shared" si="5"/>
        <v>-0.56449490000000002</v>
      </c>
    </row>
    <row r="45" spans="1:25" x14ac:dyDescent="0.25">
      <c r="A45" t="s">
        <v>228</v>
      </c>
      <c r="B45">
        <v>0.12659899999999999</v>
      </c>
    </row>
    <row r="46" spans="1:25" x14ac:dyDescent="0.25">
      <c r="A46" t="s">
        <v>229</v>
      </c>
      <c r="B46">
        <v>0.1126455</v>
      </c>
    </row>
    <row r="47" spans="1:25" x14ac:dyDescent="0.25">
      <c r="A47" t="s">
        <v>230</v>
      </c>
      <c r="B47">
        <v>0.10188129999999999</v>
      </c>
    </row>
    <row r="48" spans="1:25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13A-E80F-4D8E-962A-42C6198FCF3D}">
  <dimension ref="A2:I27"/>
  <sheetViews>
    <sheetView topLeftCell="J10" workbookViewId="0">
      <selection activeCell="E15" sqref="E15"/>
    </sheetView>
  </sheetViews>
  <sheetFormatPr defaultRowHeight="15" x14ac:dyDescent="0.25"/>
  <cols>
    <col min="1" max="1" width="32.140625" bestFit="1" customWidth="1"/>
  </cols>
  <sheetData>
    <row r="2" spans="1:7" x14ac:dyDescent="0.25">
      <c r="A2" t="s">
        <v>236</v>
      </c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 x14ac:dyDescent="0.25">
      <c r="A3" t="s">
        <v>237</v>
      </c>
      <c r="B3">
        <f>-0.0955769+$B$27</f>
        <v>0.33623239999999999</v>
      </c>
      <c r="C3">
        <f>B27-0.1443758</f>
        <v>0.28743350000000001</v>
      </c>
      <c r="D3">
        <f>B27-0.1280452</f>
        <v>0.30376409999999998</v>
      </c>
      <c r="E3">
        <f>B27-0.0237487</f>
        <v>0.4080606</v>
      </c>
      <c r="F3">
        <f>B27-0.0257174</f>
        <v>0.40609190000000001</v>
      </c>
      <c r="G3">
        <f>B27+0.0557638</f>
        <v>0.48757309999999998</v>
      </c>
    </row>
    <row r="4" spans="1:7" x14ac:dyDescent="0.25">
      <c r="A4" t="s">
        <v>238</v>
      </c>
      <c r="B4">
        <f>-0.2045101+B27</f>
        <v>0.22729920000000001</v>
      </c>
      <c r="C4">
        <f>B27-0.1512224</f>
        <v>0.28058689999999997</v>
      </c>
      <c r="D4">
        <f>B27-0.1998872</f>
        <v>0.23192210000000002</v>
      </c>
      <c r="E4">
        <f>B27-0.1955712</f>
        <v>0.23623810000000001</v>
      </c>
      <c r="F4">
        <f>B27-0.0783267</f>
        <v>0.35348259999999998</v>
      </c>
      <c r="G4">
        <f>0.187247+B27</f>
        <v>0.6190563</v>
      </c>
    </row>
    <row r="5" spans="1:7" x14ac:dyDescent="0.25">
      <c r="A5" t="s">
        <v>239</v>
      </c>
      <c r="B5">
        <f>-0.2247189+B27</f>
        <v>0.20709040000000001</v>
      </c>
      <c r="C5">
        <f>B27-0.3208437</f>
        <v>0.1109656</v>
      </c>
      <c r="D5">
        <f>B27-0.3755453</f>
        <v>5.6263999999999981E-2</v>
      </c>
      <c r="E5">
        <f>B27-0.2808333</f>
        <v>0.150976</v>
      </c>
      <c r="F5">
        <f>B27-0.2139875</f>
        <v>0.21782180000000001</v>
      </c>
      <c r="G5">
        <f>B27-0.0385677</f>
        <v>0.39324160000000002</v>
      </c>
    </row>
    <row r="6" spans="1:7" x14ac:dyDescent="0.25">
      <c r="A6" t="s">
        <v>240</v>
      </c>
      <c r="B6">
        <f>-0.2439883+B27</f>
        <v>0.18782100000000002</v>
      </c>
      <c r="C6">
        <f>B27-0.4002864</f>
        <v>3.152290000000002E-2</v>
      </c>
      <c r="D6">
        <f>B27-0.4599308</f>
        <v>-2.8121499999999966E-2</v>
      </c>
      <c r="E6">
        <f>B27-0.3858503</f>
        <v>4.5959000000000028E-2</v>
      </c>
      <c r="F6">
        <f>B27-0.3211111</f>
        <v>0.11069820000000002</v>
      </c>
      <c r="G6">
        <f>B27-0.2282469</f>
        <v>0.2035624</v>
      </c>
    </row>
    <row r="7" spans="1:7" x14ac:dyDescent="0.25">
      <c r="A7" t="s">
        <v>241</v>
      </c>
      <c r="B7">
        <f>-0.4201026+B27</f>
        <v>1.1706700000000014E-2</v>
      </c>
      <c r="C7">
        <f>B27-0.5071228</f>
        <v>-7.5313499999999978E-2</v>
      </c>
      <c r="D7">
        <f>B27-0.4860346</f>
        <v>-5.4225299999999976E-2</v>
      </c>
      <c r="E7">
        <f>B27-0.4040434</f>
        <v>2.776590000000001E-2</v>
      </c>
      <c r="F7">
        <f>B27-0.3942506</f>
        <v>3.75587E-2</v>
      </c>
      <c r="G7">
        <f>B27-0.339998</f>
        <v>9.1811299999999985E-2</v>
      </c>
    </row>
    <row r="8" spans="1:7" x14ac:dyDescent="0.25">
      <c r="A8" t="s">
        <v>242</v>
      </c>
      <c r="B8">
        <f>-0.5544087+B27</f>
        <v>-0.12259939999999997</v>
      </c>
      <c r="C8">
        <f>B27-0.5939747</f>
        <v>-0.16216539999999996</v>
      </c>
      <c r="D8">
        <f>B27-0.5258535</f>
        <v>-9.4044199999999967E-2</v>
      </c>
      <c r="E8">
        <f>B27-0.4611081</f>
        <v>-2.9298800000000014E-2</v>
      </c>
      <c r="F8">
        <f>B27-0.4233057</f>
        <v>8.5036E-3</v>
      </c>
      <c r="G8">
        <f>B27-0.4237117</f>
        <v>8.0975999999999826E-3</v>
      </c>
    </row>
    <row r="9" spans="1:7" x14ac:dyDescent="0.25">
      <c r="A9" t="s">
        <v>243</v>
      </c>
      <c r="B9">
        <f>-0.6340063+B27</f>
        <v>-0.20219700000000002</v>
      </c>
      <c r="C9">
        <f>B27-0.6607027</f>
        <v>-0.22889339999999997</v>
      </c>
      <c r="D9">
        <f>B27-0.594032</f>
        <v>-0.1622227</v>
      </c>
      <c r="E9">
        <f>B27-0.5634107</f>
        <v>-0.13160140000000004</v>
      </c>
      <c r="F9">
        <f>B27-0.5199411</f>
        <v>-8.8131800000000038E-2</v>
      </c>
      <c r="G9">
        <f>B27-0.511499</f>
        <v>-7.968970000000003E-2</v>
      </c>
    </row>
    <row r="10" spans="1:7" x14ac:dyDescent="0.25">
      <c r="A10" t="s">
        <v>244</v>
      </c>
      <c r="B10">
        <f>-0.5617791+B27</f>
        <v>-0.12996979999999997</v>
      </c>
      <c r="C10">
        <f>B27-0.6245315</f>
        <v>-0.19272220000000001</v>
      </c>
      <c r="D10">
        <f>B27-0.6189651</f>
        <v>-0.18715580000000004</v>
      </c>
      <c r="E10">
        <f>B27-0.5639592</f>
        <v>-0.13214989999999999</v>
      </c>
      <c r="F10">
        <f>B27-0.542393</f>
        <v>-0.11058370000000001</v>
      </c>
      <c r="G10">
        <f>B27-0.5644949</f>
        <v>-0.13268560000000001</v>
      </c>
    </row>
    <row r="17" spans="1:9" x14ac:dyDescent="0.25">
      <c r="A17" t="s">
        <v>236</v>
      </c>
      <c r="B17" t="str">
        <f>"10-19"</f>
        <v>10-19</v>
      </c>
      <c r="C17" t="str">
        <f>"20-29"</f>
        <v>20-29</v>
      </c>
      <c r="D17" t="str">
        <f>"30-39"</f>
        <v>30-39</v>
      </c>
      <c r="E17" t="str">
        <f>"40-49"</f>
        <v>40-49</v>
      </c>
      <c r="F17" t="str">
        <f>"50-59"</f>
        <v>50-59</v>
      </c>
      <c r="G17" t="str">
        <f>"60-69"</f>
        <v>60-69</v>
      </c>
      <c r="H17" t="str">
        <f>"70-79"</f>
        <v>70-79</v>
      </c>
      <c r="I17" t="str">
        <f>"80"</f>
        <v>80</v>
      </c>
    </row>
    <row r="18" spans="1:9" x14ac:dyDescent="0.25">
      <c r="A18">
        <v>1960</v>
      </c>
      <c r="B18">
        <f>B27-0.0955769</f>
        <v>0.33623239999999999</v>
      </c>
      <c r="C18">
        <f>B27-0.2045101</f>
        <v>0.22729920000000001</v>
      </c>
      <c r="D18">
        <f>B27-0.2247189</f>
        <v>0.20709040000000001</v>
      </c>
      <c r="E18">
        <f>B27-0.2439883</f>
        <v>0.18782100000000002</v>
      </c>
      <c r="F18">
        <f>B27-0.4201026</f>
        <v>1.1706700000000014E-2</v>
      </c>
      <c r="G18">
        <f>B27-0.5544087</f>
        <v>-0.12259939999999997</v>
      </c>
      <c r="H18">
        <f>B27-0.6340063</f>
        <v>-0.20219700000000002</v>
      </c>
      <c r="I18">
        <f>B27-0.5617791</f>
        <v>-0.12996979999999997</v>
      </c>
    </row>
    <row r="19" spans="1:9" x14ac:dyDescent="0.25">
      <c r="A19">
        <v>1970</v>
      </c>
      <c r="B19">
        <f>B27-0.1443758</f>
        <v>0.28743350000000001</v>
      </c>
      <c r="C19">
        <f>B27-0.1512224</f>
        <v>0.28058689999999997</v>
      </c>
      <c r="D19">
        <f>B27-0.3208437</f>
        <v>0.1109656</v>
      </c>
      <c r="E19">
        <f>B27-0.4002864</f>
        <v>3.152290000000002E-2</v>
      </c>
      <c r="F19">
        <f>B27-0.5071228</f>
        <v>-7.5313499999999978E-2</v>
      </c>
      <c r="G19">
        <f>B27-0.5939747</f>
        <v>-0.16216539999999996</v>
      </c>
      <c r="H19">
        <f>B27-0.6607027</f>
        <v>-0.22889339999999997</v>
      </c>
      <c r="I19">
        <f>B27-0.6245315</f>
        <v>-0.19272220000000001</v>
      </c>
    </row>
    <row r="20" spans="1:9" x14ac:dyDescent="0.25">
      <c r="A20">
        <v>1980</v>
      </c>
      <c r="B20">
        <f>B27-0.1280452</f>
        <v>0.30376409999999998</v>
      </c>
      <c r="C20">
        <f>B27-0.1998872</f>
        <v>0.23192210000000002</v>
      </c>
      <c r="D20">
        <f>B27-0.3755453</f>
        <v>5.6263999999999981E-2</v>
      </c>
      <c r="E20">
        <f>B27-0.4599308</f>
        <v>-2.8121499999999966E-2</v>
      </c>
      <c r="F20">
        <f>B27-0.4860346</f>
        <v>-5.4225299999999976E-2</v>
      </c>
      <c r="G20">
        <f>B27-0.5258535</f>
        <v>-9.4044199999999967E-2</v>
      </c>
      <c r="H20">
        <f>B27-0.594032</f>
        <v>-0.1622227</v>
      </c>
      <c r="I20">
        <f>B27-0.6189651</f>
        <v>-0.18715580000000004</v>
      </c>
    </row>
    <row r="21" spans="1:9" x14ac:dyDescent="0.25">
      <c r="A21">
        <v>1990</v>
      </c>
      <c r="B21">
        <f>B27-0.0237487</f>
        <v>0.4080606</v>
      </c>
      <c r="C21">
        <f>B27-0.1955712</f>
        <v>0.23623810000000001</v>
      </c>
      <c r="D21">
        <f>B27-0.2808333</f>
        <v>0.150976</v>
      </c>
      <c r="E21">
        <f>B27-0.3858503</f>
        <v>4.5959000000000028E-2</v>
      </c>
      <c r="F21">
        <f>B27-0.4040434</f>
        <v>2.776590000000001E-2</v>
      </c>
      <c r="G21">
        <f>B27-0.4611081</f>
        <v>-2.9298800000000014E-2</v>
      </c>
      <c r="H21">
        <f>B27-0.5634107</f>
        <v>-0.13160140000000004</v>
      </c>
      <c r="I21">
        <f>B27-0.5639592</f>
        <v>-0.13214989999999999</v>
      </c>
    </row>
    <row r="22" spans="1:9" x14ac:dyDescent="0.25">
      <c r="A22">
        <v>2000</v>
      </c>
      <c r="B22">
        <f>B27-0.0257174</f>
        <v>0.40609190000000001</v>
      </c>
      <c r="C22">
        <f>B27-0.0783267</f>
        <v>0.35348259999999998</v>
      </c>
      <c r="D22">
        <f>B27-0.2139875</f>
        <v>0.21782180000000001</v>
      </c>
      <c r="E22">
        <f>B27-0.3211111</f>
        <v>0.11069820000000002</v>
      </c>
      <c r="F22">
        <f>B27-0.3942506</f>
        <v>3.75587E-2</v>
      </c>
      <c r="G22">
        <f>B27-0.4233057</f>
        <v>8.5036E-3</v>
      </c>
      <c r="H22">
        <f>B27-0.5199411</f>
        <v>-8.8131800000000038E-2</v>
      </c>
      <c r="I22">
        <f>B27-0.542393</f>
        <v>-0.11058370000000001</v>
      </c>
    </row>
    <row r="23" spans="1:9" x14ac:dyDescent="0.25">
      <c r="A23">
        <v>2010</v>
      </c>
      <c r="B23">
        <f>B27+0.0557638</f>
        <v>0.48757309999999998</v>
      </c>
      <c r="C23">
        <f>B27+0.187247</f>
        <v>0.6190563</v>
      </c>
      <c r="D23">
        <f>B27-0.0385677</f>
        <v>0.39324160000000002</v>
      </c>
      <c r="E23">
        <f>B27-0.2282469</f>
        <v>0.2035624</v>
      </c>
      <c r="F23">
        <f>B27-0.339998</f>
        <v>9.1811299999999985E-2</v>
      </c>
      <c r="G23">
        <f>B27-0.4237117</f>
        <v>8.0975999999999826E-3</v>
      </c>
      <c r="H23">
        <f>B27-0.511499</f>
        <v>-7.968970000000003E-2</v>
      </c>
      <c r="I23">
        <f>B27-0.5644949</f>
        <v>-0.13268560000000001</v>
      </c>
    </row>
    <row r="26" spans="1:9" x14ac:dyDescent="0.25">
      <c r="B26" t="s">
        <v>248</v>
      </c>
    </row>
    <row r="27" spans="1:9" x14ac:dyDescent="0.25">
      <c r="A27" t="s">
        <v>19</v>
      </c>
      <c r="B27">
        <v>0.43180930000000001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B31" workbookViewId="0">
      <selection activeCell="F50" sqref="F50"/>
    </sheetView>
  </sheetViews>
  <sheetFormatPr defaultRowHeight="15" x14ac:dyDescent="0.25"/>
  <cols>
    <col min="1" max="1" width="36.85546875" bestFit="1" customWidth="1"/>
    <col min="4" max="6" width="30.140625" bestFit="1" customWidth="1"/>
    <col min="7" max="7" width="32.140625" bestFit="1" customWidth="1"/>
    <col min="8" max="9" width="30.140625" bestFit="1" customWidth="1"/>
    <col min="18" max="18" width="11.85546875" bestFit="1" customWidth="1"/>
    <col min="19" max="22" width="10.7109375" bestFit="1" customWidth="1"/>
    <col min="23" max="24" width="10" bestFit="1" customWidth="1"/>
    <col min="25" max="25" width="10.7109375" bestFit="1" customWidth="1"/>
  </cols>
  <sheetData>
    <row r="1" spans="1:25" x14ac:dyDescent="0.25">
      <c r="B1" t="s">
        <v>1</v>
      </c>
    </row>
    <row r="2" spans="1:25" x14ac:dyDescent="0.25">
      <c r="A2" t="s">
        <v>185</v>
      </c>
      <c r="B2">
        <v>0</v>
      </c>
    </row>
    <row r="3" spans="1:25" x14ac:dyDescent="0.25">
      <c r="A3" t="s">
        <v>186</v>
      </c>
      <c r="B3">
        <v>1.75827E-2</v>
      </c>
      <c r="G3" t="s">
        <v>236</v>
      </c>
      <c r="H3">
        <v>1960</v>
      </c>
      <c r="I3">
        <v>1970</v>
      </c>
      <c r="J3">
        <v>1980</v>
      </c>
      <c r="K3">
        <v>1990</v>
      </c>
      <c r="L3">
        <v>2000</v>
      </c>
      <c r="M3">
        <v>2010</v>
      </c>
      <c r="R3" t="s">
        <v>236</v>
      </c>
      <c r="S3" t="str">
        <f>"20-29"</f>
        <v>20-29</v>
      </c>
      <c r="T3" t="str">
        <f>"30-39"</f>
        <v>30-39</v>
      </c>
      <c r="U3" t="str">
        <f>"40-49"</f>
        <v>40-49</v>
      </c>
      <c r="V3" t="str">
        <f>"50-59"</f>
        <v>50-59</v>
      </c>
      <c r="W3" t="str">
        <f>"60-69"</f>
        <v>60-69</v>
      </c>
      <c r="X3" t="str">
        <f>"70-79"</f>
        <v>70-79</v>
      </c>
      <c r="Y3" t="str">
        <f>"80"</f>
        <v>80</v>
      </c>
    </row>
    <row r="4" spans="1:25" x14ac:dyDescent="0.25">
      <c r="A4" t="s">
        <v>187</v>
      </c>
      <c r="B4">
        <v>0.1186155</v>
      </c>
      <c r="G4" t="s">
        <v>237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>
        <v>1960</v>
      </c>
      <c r="S4">
        <v>1.75827E-2</v>
      </c>
      <c r="T4">
        <v>-8.4620899999999999E-2</v>
      </c>
      <c r="U4">
        <v>-1.33011E-2</v>
      </c>
      <c r="V4">
        <v>4.4352000000000003E-3</v>
      </c>
      <c r="W4">
        <v>7.6244800000000001E-2</v>
      </c>
      <c r="X4">
        <v>6.6253400000000004E-2</v>
      </c>
      <c r="Y4">
        <v>0.1140782</v>
      </c>
    </row>
    <row r="5" spans="1:25" x14ac:dyDescent="0.25">
      <c r="A5" t="s">
        <v>188</v>
      </c>
      <c r="B5">
        <v>5.4184400000000001E-2</v>
      </c>
      <c r="G5" t="s">
        <v>238</v>
      </c>
      <c r="H5">
        <f>B3</f>
        <v>1.75827E-2</v>
      </c>
      <c r="I5">
        <f>B4</f>
        <v>0.1186155</v>
      </c>
      <c r="J5">
        <f>B5</f>
        <v>5.4184400000000001E-2</v>
      </c>
      <c r="K5">
        <f>B6</f>
        <v>-4.6782299999999999E-2</v>
      </c>
      <c r="L5">
        <f>B7</f>
        <v>7.51806E-2</v>
      </c>
      <c r="M5">
        <f>B8</f>
        <v>0.23787230000000001</v>
      </c>
      <c r="R5">
        <v>1970</v>
      </c>
      <c r="S5">
        <v>0.1186155</v>
      </c>
      <c r="T5">
        <v>-0.13387009999999999</v>
      </c>
      <c r="U5">
        <v>-0.1262846</v>
      </c>
      <c r="V5">
        <v>-4.2727399999999999E-2</v>
      </c>
      <c r="W5">
        <v>7.7630500000000005E-2</v>
      </c>
      <c r="X5">
        <v>8.0840300000000004E-2</v>
      </c>
      <c r="Y5">
        <v>9.2330899999999994E-2</v>
      </c>
    </row>
    <row r="6" spans="1:25" x14ac:dyDescent="0.25">
      <c r="A6" t="s">
        <v>189</v>
      </c>
      <c r="B6">
        <v>-4.6782299999999999E-2</v>
      </c>
      <c r="G6" t="s">
        <v>239</v>
      </c>
      <c r="H6">
        <f>B10</f>
        <v>-8.4620899999999999E-2</v>
      </c>
      <c r="I6">
        <f>B11</f>
        <v>-0.13387009999999999</v>
      </c>
      <c r="J6">
        <f>B12</f>
        <v>-0.20275399999999999</v>
      </c>
      <c r="K6">
        <f>B13</f>
        <v>-0.20741879999999999</v>
      </c>
      <c r="L6">
        <f>B14</f>
        <v>-0.1212396</v>
      </c>
      <c r="M6">
        <f>B15</f>
        <v>-3.1604300000000002E-2</v>
      </c>
      <c r="R6">
        <v>1980</v>
      </c>
      <c r="S6">
        <v>5.4184400000000001E-2</v>
      </c>
      <c r="T6">
        <v>-0.20275399999999999</v>
      </c>
      <c r="U6">
        <v>-0.20845559999999999</v>
      </c>
      <c r="V6">
        <v>-4.8467799999999998E-2</v>
      </c>
      <c r="W6">
        <v>0.1212834</v>
      </c>
      <c r="X6">
        <v>0.1201388</v>
      </c>
      <c r="Y6">
        <v>6.7047599999999999E-2</v>
      </c>
    </row>
    <row r="7" spans="1:25" x14ac:dyDescent="0.25">
      <c r="A7" t="s">
        <v>190</v>
      </c>
      <c r="B7">
        <v>7.51806E-2</v>
      </c>
      <c r="G7" t="s">
        <v>240</v>
      </c>
      <c r="H7">
        <f>B17</f>
        <v>-1.33011E-2</v>
      </c>
      <c r="I7">
        <f>B18</f>
        <v>-0.1262846</v>
      </c>
      <c r="J7">
        <f>B19</f>
        <v>-0.20845559999999999</v>
      </c>
      <c r="K7" s="2">
        <f>B20</f>
        <v>-0.2211796</v>
      </c>
      <c r="L7">
        <f>B21</f>
        <v>-0.12539359999999999</v>
      </c>
      <c r="M7">
        <f>B22</f>
        <v>-0.124066</v>
      </c>
      <c r="R7">
        <v>1990</v>
      </c>
      <c r="S7">
        <v>-4.6782299999999999E-2</v>
      </c>
      <c r="T7">
        <v>-0.20741879999999999</v>
      </c>
      <c r="U7">
        <v>-0.2211796</v>
      </c>
      <c r="V7">
        <v>-5.3439399999999998E-2</v>
      </c>
      <c r="W7">
        <v>9.6685499999999994E-2</v>
      </c>
      <c r="X7">
        <v>5.87663E-2</v>
      </c>
      <c r="Y7">
        <v>2.9011700000000001E-2</v>
      </c>
    </row>
    <row r="8" spans="1:25" x14ac:dyDescent="0.25">
      <c r="A8" t="s">
        <v>191</v>
      </c>
      <c r="B8">
        <v>0.23787230000000001</v>
      </c>
      <c r="G8" t="s">
        <v>241</v>
      </c>
      <c r="H8">
        <f>B24</f>
        <v>4.4352000000000003E-3</v>
      </c>
      <c r="I8">
        <f>B25</f>
        <v>-4.2727399999999999E-2</v>
      </c>
      <c r="J8">
        <f>B26</f>
        <v>-4.8467799999999998E-2</v>
      </c>
      <c r="K8">
        <f>B27</f>
        <v>-5.3439399999999998E-2</v>
      </c>
      <c r="L8">
        <f>B28</f>
        <v>-2.5238900000000002E-2</v>
      </c>
      <c r="M8">
        <f>B29</f>
        <v>-5.0992500000000003E-2</v>
      </c>
      <c r="R8">
        <v>2000</v>
      </c>
      <c r="S8">
        <v>7.51806E-2</v>
      </c>
      <c r="T8">
        <v>-0.1212396</v>
      </c>
      <c r="U8">
        <v>-0.12539359999999999</v>
      </c>
      <c r="V8">
        <v>-2.5238900000000002E-2</v>
      </c>
      <c r="W8">
        <v>0.1462725</v>
      </c>
      <c r="X8">
        <v>0.117989</v>
      </c>
      <c r="Y8">
        <v>6.6278799999999999E-2</v>
      </c>
    </row>
    <row r="9" spans="1:25" x14ac:dyDescent="0.25">
      <c r="A9" t="s">
        <v>192</v>
      </c>
      <c r="B9">
        <v>0</v>
      </c>
      <c r="G9" t="s">
        <v>242</v>
      </c>
      <c r="H9">
        <f>B31</f>
        <v>7.6244800000000001E-2</v>
      </c>
      <c r="I9">
        <f>B32</f>
        <v>7.7630500000000005E-2</v>
      </c>
      <c r="J9">
        <f>B33</f>
        <v>0.1212834</v>
      </c>
      <c r="K9">
        <f>B34</f>
        <v>9.6685499999999994E-2</v>
      </c>
      <c r="L9">
        <f>B35</f>
        <v>0.1462725</v>
      </c>
      <c r="M9">
        <f>B36</f>
        <v>6.6972199999999996E-2</v>
      </c>
      <c r="R9">
        <v>2010</v>
      </c>
      <c r="S9">
        <v>0.23787230000000001</v>
      </c>
      <c r="T9">
        <v>-3.1604300000000002E-2</v>
      </c>
      <c r="U9">
        <v>-0.124066</v>
      </c>
      <c r="V9">
        <v>-5.0992500000000003E-2</v>
      </c>
      <c r="W9">
        <v>6.6972199999999996E-2</v>
      </c>
      <c r="X9">
        <v>4.6123900000000002E-2</v>
      </c>
      <c r="Y9">
        <v>-3.5084499999999998E-2</v>
      </c>
    </row>
    <row r="10" spans="1:25" x14ac:dyDescent="0.25">
      <c r="A10" t="s">
        <v>193</v>
      </c>
      <c r="B10">
        <v>-8.4620899999999999E-2</v>
      </c>
      <c r="G10" t="s">
        <v>243</v>
      </c>
      <c r="H10">
        <f>B38</f>
        <v>6.6253400000000004E-2</v>
      </c>
      <c r="I10">
        <f>B39</f>
        <v>8.0840300000000004E-2</v>
      </c>
      <c r="J10">
        <f>B40</f>
        <v>0.1201388</v>
      </c>
      <c r="K10">
        <f>B41</f>
        <v>5.87663E-2</v>
      </c>
      <c r="L10">
        <f>B42</f>
        <v>0.117989</v>
      </c>
      <c r="M10">
        <f>B43</f>
        <v>4.6123900000000002E-2</v>
      </c>
    </row>
    <row r="11" spans="1:25" x14ac:dyDescent="0.25">
      <c r="A11" t="s">
        <v>194</v>
      </c>
      <c r="B11">
        <v>-0.13387009999999999</v>
      </c>
      <c r="G11" t="s">
        <v>244</v>
      </c>
      <c r="H11">
        <f>B45</f>
        <v>0.1140782</v>
      </c>
      <c r="I11">
        <f>B46</f>
        <v>9.2330899999999994E-2</v>
      </c>
      <c r="J11">
        <f>B47</f>
        <v>6.7047599999999999E-2</v>
      </c>
      <c r="K11">
        <f>B48</f>
        <v>2.9011700000000001E-2</v>
      </c>
      <c r="L11">
        <f>B49</f>
        <v>6.6278799999999999E-2</v>
      </c>
      <c r="M11">
        <f>B50</f>
        <v>-3.5084499999999998E-2</v>
      </c>
    </row>
    <row r="12" spans="1:25" x14ac:dyDescent="0.25">
      <c r="A12" t="s">
        <v>195</v>
      </c>
      <c r="B12">
        <v>-0.20275399999999999</v>
      </c>
    </row>
    <row r="13" spans="1:25" x14ac:dyDescent="0.25">
      <c r="A13" t="s">
        <v>196</v>
      </c>
      <c r="B13">
        <v>-0.20741879999999999</v>
      </c>
    </row>
    <row r="14" spans="1:25" x14ac:dyDescent="0.25">
      <c r="A14" t="s">
        <v>197</v>
      </c>
      <c r="B14">
        <v>-0.1212396</v>
      </c>
    </row>
    <row r="15" spans="1:25" x14ac:dyDescent="0.25">
      <c r="A15" t="s">
        <v>198</v>
      </c>
      <c r="B15">
        <v>-3.1604300000000002E-2</v>
      </c>
    </row>
    <row r="16" spans="1:25" x14ac:dyDescent="0.25">
      <c r="A16" t="s">
        <v>199</v>
      </c>
      <c r="B16">
        <v>0</v>
      </c>
      <c r="G16" t="s">
        <v>236</v>
      </c>
      <c r="H16">
        <v>1960</v>
      </c>
      <c r="I16">
        <v>1970</v>
      </c>
      <c r="J16">
        <v>1980</v>
      </c>
      <c r="K16">
        <v>1990</v>
      </c>
      <c r="L16">
        <v>2000</v>
      </c>
      <c r="M16">
        <v>2010</v>
      </c>
    </row>
    <row r="17" spans="1:13" x14ac:dyDescent="0.25">
      <c r="A17" t="s">
        <v>200</v>
      </c>
      <c r="B17">
        <v>-1.33011E-2</v>
      </c>
      <c r="G17" t="s">
        <v>237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201</v>
      </c>
      <c r="B18">
        <v>-0.1262846</v>
      </c>
      <c r="G18" t="s">
        <v>238</v>
      </c>
      <c r="H18">
        <v>1.75827E-2</v>
      </c>
      <c r="I18">
        <v>0.1186155</v>
      </c>
      <c r="J18">
        <v>5.4184400000000001E-2</v>
      </c>
      <c r="K18">
        <v>-4.6782299999999999E-2</v>
      </c>
      <c r="L18">
        <v>7.51806E-2</v>
      </c>
      <c r="M18">
        <v>0.23787230000000001</v>
      </c>
    </row>
    <row r="19" spans="1:13" x14ac:dyDescent="0.25">
      <c r="A19" t="s">
        <v>202</v>
      </c>
      <c r="B19">
        <v>-0.20845559999999999</v>
      </c>
      <c r="G19" t="s">
        <v>239</v>
      </c>
      <c r="H19">
        <v>-8.4620899999999999E-2</v>
      </c>
      <c r="I19">
        <v>-0.13387009999999999</v>
      </c>
      <c r="J19">
        <v>-0.20275399999999999</v>
      </c>
      <c r="K19">
        <v>-0.20741879999999999</v>
      </c>
      <c r="L19">
        <v>-0.1212396</v>
      </c>
      <c r="M19">
        <v>-3.1604300000000002E-2</v>
      </c>
    </row>
    <row r="20" spans="1:13" x14ac:dyDescent="0.25">
      <c r="A20" t="s">
        <v>203</v>
      </c>
      <c r="B20">
        <v>-0.2211796</v>
      </c>
      <c r="G20" t="s">
        <v>240</v>
      </c>
      <c r="H20">
        <v>-1.33011E-2</v>
      </c>
      <c r="I20">
        <v>-0.1262846</v>
      </c>
      <c r="J20">
        <v>-0.20845559999999999</v>
      </c>
      <c r="K20">
        <v>-0.2211796</v>
      </c>
      <c r="L20">
        <v>-0.12539359999999999</v>
      </c>
      <c r="M20">
        <v>-0.124066</v>
      </c>
    </row>
    <row r="21" spans="1:13" x14ac:dyDescent="0.25">
      <c r="A21" t="s">
        <v>204</v>
      </c>
      <c r="B21">
        <v>-0.12539359999999999</v>
      </c>
      <c r="G21" t="s">
        <v>241</v>
      </c>
      <c r="H21">
        <v>4.4352000000000003E-3</v>
      </c>
      <c r="I21">
        <v>-4.2727399999999999E-2</v>
      </c>
      <c r="J21">
        <v>-4.8467799999999998E-2</v>
      </c>
      <c r="K21">
        <v>-5.3439399999999998E-2</v>
      </c>
      <c r="L21">
        <v>-2.5238900000000002E-2</v>
      </c>
      <c r="M21">
        <v>-5.0992500000000003E-2</v>
      </c>
    </row>
    <row r="22" spans="1:13" x14ac:dyDescent="0.25">
      <c r="A22" t="s">
        <v>205</v>
      </c>
      <c r="B22">
        <v>-0.124066</v>
      </c>
      <c r="G22" t="s">
        <v>242</v>
      </c>
      <c r="H22">
        <v>7.6244800000000001E-2</v>
      </c>
      <c r="I22">
        <v>7.7630500000000005E-2</v>
      </c>
      <c r="J22">
        <v>0.1212834</v>
      </c>
      <c r="K22">
        <v>9.6685499999999994E-2</v>
      </c>
      <c r="L22">
        <v>0.1462725</v>
      </c>
      <c r="M22">
        <v>6.6972199999999996E-2</v>
      </c>
    </row>
    <row r="23" spans="1:13" x14ac:dyDescent="0.25">
      <c r="A23" t="s">
        <v>206</v>
      </c>
      <c r="B23">
        <v>0</v>
      </c>
      <c r="G23" t="s">
        <v>243</v>
      </c>
      <c r="H23">
        <v>6.6253400000000004E-2</v>
      </c>
      <c r="I23">
        <v>8.0840300000000004E-2</v>
      </c>
      <c r="J23">
        <v>0.1201388</v>
      </c>
      <c r="K23">
        <v>5.87663E-2</v>
      </c>
      <c r="L23">
        <v>0.117989</v>
      </c>
      <c r="M23">
        <v>4.6123900000000002E-2</v>
      </c>
    </row>
    <row r="24" spans="1:13" x14ac:dyDescent="0.25">
      <c r="A24" t="s">
        <v>207</v>
      </c>
      <c r="B24">
        <v>4.4352000000000003E-3</v>
      </c>
      <c r="G24" t="s">
        <v>244</v>
      </c>
      <c r="H24">
        <v>0.1140782</v>
      </c>
      <c r="I24">
        <v>9.2330899999999994E-2</v>
      </c>
      <c r="J24">
        <v>6.7047599999999999E-2</v>
      </c>
      <c r="K24">
        <v>2.9011700000000001E-2</v>
      </c>
      <c r="L24">
        <v>6.6278799999999999E-2</v>
      </c>
      <c r="M24">
        <v>-3.5084499999999998E-2</v>
      </c>
    </row>
    <row r="25" spans="1:13" x14ac:dyDescent="0.25">
      <c r="A25" t="s">
        <v>208</v>
      </c>
      <c r="B25">
        <v>-4.2727399999999999E-2</v>
      </c>
    </row>
    <row r="26" spans="1:13" x14ac:dyDescent="0.25">
      <c r="A26" t="s">
        <v>209</v>
      </c>
      <c r="B26">
        <v>-4.8467799999999998E-2</v>
      </c>
    </row>
    <row r="27" spans="1:13" x14ac:dyDescent="0.25">
      <c r="A27" t="s">
        <v>210</v>
      </c>
      <c r="B27">
        <v>-5.3439399999999998E-2</v>
      </c>
      <c r="D27" t="s">
        <v>37</v>
      </c>
      <c r="E27">
        <v>0</v>
      </c>
    </row>
    <row r="28" spans="1:13" x14ac:dyDescent="0.25">
      <c r="A28" t="s">
        <v>211</v>
      </c>
      <c r="B28">
        <v>-2.5238900000000002E-2</v>
      </c>
      <c r="D28" t="s">
        <v>38</v>
      </c>
      <c r="E28">
        <v>-0.12849720000000001</v>
      </c>
    </row>
    <row r="29" spans="1:13" x14ac:dyDescent="0.25">
      <c r="A29" t="s">
        <v>212</v>
      </c>
      <c r="B29">
        <v>-5.0992500000000003E-2</v>
      </c>
      <c r="D29" t="s">
        <v>39</v>
      </c>
      <c r="E29">
        <v>-5.0139000000000003E-2</v>
      </c>
    </row>
    <row r="30" spans="1:13" x14ac:dyDescent="0.25">
      <c r="A30" t="s">
        <v>213</v>
      </c>
      <c r="B30">
        <v>0</v>
      </c>
      <c r="D30" t="s">
        <v>40</v>
      </c>
      <c r="E30">
        <v>-0.13968639999999999</v>
      </c>
    </row>
    <row r="31" spans="1:13" x14ac:dyDescent="0.25">
      <c r="A31" t="s">
        <v>214</v>
      </c>
      <c r="B31">
        <v>7.6244800000000001E-2</v>
      </c>
      <c r="D31" t="s">
        <v>41</v>
      </c>
      <c r="E31">
        <v>-0.3324474</v>
      </c>
    </row>
    <row r="32" spans="1:13" x14ac:dyDescent="0.25">
      <c r="A32" t="s">
        <v>215</v>
      </c>
      <c r="B32">
        <v>7.7630500000000005E-2</v>
      </c>
      <c r="D32" t="s">
        <v>42</v>
      </c>
      <c r="E32">
        <v>-0.53816699999999995</v>
      </c>
    </row>
    <row r="33" spans="1:11" x14ac:dyDescent="0.25">
      <c r="A33" t="s">
        <v>216</v>
      </c>
      <c r="B33">
        <v>0.1212834</v>
      </c>
      <c r="D33" t="s">
        <v>43</v>
      </c>
      <c r="E33">
        <v>-0.61081359999999996</v>
      </c>
    </row>
    <row r="34" spans="1:11" x14ac:dyDescent="0.25">
      <c r="A34" t="s">
        <v>217</v>
      </c>
      <c r="B34">
        <v>9.6685499999999994E-2</v>
      </c>
      <c r="D34" t="s">
        <v>44</v>
      </c>
      <c r="E34">
        <v>-0.58849810000000002</v>
      </c>
    </row>
    <row r="35" spans="1:11" x14ac:dyDescent="0.25">
      <c r="A35" t="s">
        <v>218</v>
      </c>
      <c r="B35">
        <v>0.1462725</v>
      </c>
    </row>
    <row r="36" spans="1:11" x14ac:dyDescent="0.25">
      <c r="A36" t="s">
        <v>219</v>
      </c>
      <c r="B36">
        <v>6.6972199999999996E-2</v>
      </c>
    </row>
    <row r="37" spans="1:11" x14ac:dyDescent="0.25">
      <c r="A37" t="s">
        <v>220</v>
      </c>
      <c r="B37">
        <v>0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</row>
    <row r="38" spans="1:11" x14ac:dyDescent="0.25">
      <c r="A38" t="s">
        <v>221</v>
      </c>
      <c r="B38">
        <v>6.6253400000000004E-2</v>
      </c>
      <c r="D38">
        <v>-8.2736199999999996E-2</v>
      </c>
      <c r="E38">
        <v>-0.1238089</v>
      </c>
      <c r="F38">
        <v>-0.10956299999999999</v>
      </c>
      <c r="G38">
        <v>-1.44046E-2</v>
      </c>
      <c r="H38">
        <v>-3.0864900000000001E-2</v>
      </c>
      <c r="I38">
        <v>6.1643799999999999E-2</v>
      </c>
    </row>
    <row r="39" spans="1:11" x14ac:dyDescent="0.25">
      <c r="A39" t="s">
        <v>222</v>
      </c>
      <c r="B39">
        <v>8.0840300000000004E-2</v>
      </c>
    </row>
    <row r="40" spans="1:11" x14ac:dyDescent="0.25">
      <c r="A40" t="s">
        <v>223</v>
      </c>
      <c r="B40">
        <v>0.1201388</v>
      </c>
    </row>
    <row r="41" spans="1:11" x14ac:dyDescent="0.25">
      <c r="A41" t="s">
        <v>224</v>
      </c>
      <c r="B41">
        <v>5.87663E-2</v>
      </c>
    </row>
    <row r="42" spans="1:11" x14ac:dyDescent="0.25">
      <c r="A42" t="s">
        <v>225</v>
      </c>
      <c r="B42">
        <v>0.117989</v>
      </c>
    </row>
    <row r="43" spans="1:11" x14ac:dyDescent="0.25">
      <c r="A43" t="s">
        <v>226</v>
      </c>
      <c r="B43">
        <v>4.6123900000000002E-2</v>
      </c>
      <c r="E43" t="s">
        <v>247</v>
      </c>
    </row>
    <row r="44" spans="1:11" x14ac:dyDescent="0.25">
      <c r="A44" t="s">
        <v>227</v>
      </c>
      <c r="B44">
        <v>0</v>
      </c>
      <c r="E44" t="s">
        <v>236</v>
      </c>
      <c r="F44">
        <v>1960</v>
      </c>
      <c r="G44">
        <v>1970</v>
      </c>
      <c r="H44">
        <v>1980</v>
      </c>
      <c r="I44">
        <v>1990</v>
      </c>
      <c r="J44">
        <v>2000</v>
      </c>
      <c r="K44">
        <v>2010</v>
      </c>
    </row>
    <row r="45" spans="1:11" x14ac:dyDescent="0.25">
      <c r="A45" t="s">
        <v>228</v>
      </c>
      <c r="B45">
        <v>0.1140782</v>
      </c>
      <c r="E45" t="s">
        <v>237</v>
      </c>
      <c r="F45">
        <f>H17+E27+$D$38</f>
        <v>-8.2736199999999996E-2</v>
      </c>
      <c r="G45">
        <f>I17+E27+$E$38</f>
        <v>-0.1238089</v>
      </c>
      <c r="H45">
        <f>J17+E27+$F$38</f>
        <v>-0.10956299999999999</v>
      </c>
      <c r="I45">
        <f>K17+E27+$G$38</f>
        <v>-1.44046E-2</v>
      </c>
      <c r="J45">
        <f>L17+E27+$H$38</f>
        <v>-3.0864900000000001E-2</v>
      </c>
      <c r="K45">
        <f>M17+E27+$I$38</f>
        <v>6.1643799999999999E-2</v>
      </c>
    </row>
    <row r="46" spans="1:11" x14ac:dyDescent="0.25">
      <c r="A46" t="s">
        <v>229</v>
      </c>
      <c r="B46">
        <v>9.2330899999999994E-2</v>
      </c>
      <c r="E46" t="s">
        <v>238</v>
      </c>
      <c r="F46">
        <f t="shared" ref="F46:F52" si="0">H18+E28+$D$38</f>
        <v>-0.19365070000000001</v>
      </c>
      <c r="G46">
        <f t="shared" ref="G46:G52" si="1">I18+E28+$E$38</f>
        <v>-0.13369059999999999</v>
      </c>
      <c r="H46">
        <f t="shared" ref="H46:H52" si="2">J18+E28+$F$38</f>
        <v>-0.18387580000000001</v>
      </c>
      <c r="I46">
        <f t="shared" ref="I46:I52" si="3">K18+E28+$G$38</f>
        <v>-0.18968409999999999</v>
      </c>
      <c r="J46">
        <f t="shared" ref="J46:J52" si="4">L18+E28+$H$38</f>
        <v>-8.4181500000000006E-2</v>
      </c>
      <c r="K46">
        <f t="shared" ref="K46:K52" si="5">M18+E28+$I$38</f>
        <v>0.1710189</v>
      </c>
    </row>
    <row r="47" spans="1:11" x14ac:dyDescent="0.25">
      <c r="A47" t="s">
        <v>230</v>
      </c>
      <c r="B47">
        <v>6.7047599999999999E-2</v>
      </c>
      <c r="E47" t="s">
        <v>239</v>
      </c>
      <c r="F47">
        <f t="shared" si="0"/>
        <v>-0.21749609999999997</v>
      </c>
      <c r="G47">
        <f t="shared" si="1"/>
        <v>-0.30781799999999998</v>
      </c>
      <c r="H47">
        <f t="shared" si="2"/>
        <v>-0.362456</v>
      </c>
      <c r="I47">
        <f t="shared" si="3"/>
        <v>-0.27196239999999999</v>
      </c>
      <c r="J47">
        <f t="shared" si="4"/>
        <v>-0.20224349999999999</v>
      </c>
      <c r="K47">
        <f t="shared" si="5"/>
        <v>-2.0099500000000006E-2</v>
      </c>
    </row>
    <row r="48" spans="1:11" x14ac:dyDescent="0.25">
      <c r="A48" t="s">
        <v>231</v>
      </c>
      <c r="B48">
        <v>2.9011700000000001E-2</v>
      </c>
      <c r="E48" t="s">
        <v>240</v>
      </c>
      <c r="F48">
        <f t="shared" si="0"/>
        <v>-0.23572369999999998</v>
      </c>
      <c r="G48">
        <f t="shared" si="1"/>
        <v>-0.38977989999999996</v>
      </c>
      <c r="H48">
        <f t="shared" si="2"/>
        <v>-0.45770499999999992</v>
      </c>
      <c r="I48">
        <f t="shared" si="3"/>
        <v>-0.37527060000000001</v>
      </c>
      <c r="J48">
        <f t="shared" si="4"/>
        <v>-0.29594489999999996</v>
      </c>
      <c r="K48">
        <f t="shared" si="5"/>
        <v>-0.2021086</v>
      </c>
    </row>
    <row r="49" spans="1:11" x14ac:dyDescent="0.25">
      <c r="A49" t="s">
        <v>232</v>
      </c>
      <c r="B49">
        <v>6.6278799999999999E-2</v>
      </c>
      <c r="E49" t="s">
        <v>241</v>
      </c>
      <c r="F49">
        <f t="shared" si="0"/>
        <v>-0.41074839999999996</v>
      </c>
      <c r="G49">
        <f t="shared" si="1"/>
        <v>-0.49898370000000003</v>
      </c>
      <c r="H49">
        <f t="shared" si="2"/>
        <v>-0.49047819999999998</v>
      </c>
      <c r="I49">
        <f t="shared" si="3"/>
        <v>-0.40029139999999996</v>
      </c>
      <c r="J49">
        <f t="shared" si="4"/>
        <v>-0.38855119999999999</v>
      </c>
      <c r="K49">
        <f t="shared" si="5"/>
        <v>-0.32179610000000003</v>
      </c>
    </row>
    <row r="50" spans="1:11" x14ac:dyDescent="0.25">
      <c r="A50" t="s">
        <v>233</v>
      </c>
      <c r="B50">
        <v>-3.5084499999999998E-2</v>
      </c>
      <c r="E50" t="s">
        <v>242</v>
      </c>
      <c r="F50">
        <f t="shared" si="0"/>
        <v>-0.54465839999999999</v>
      </c>
      <c r="G50">
        <f t="shared" si="1"/>
        <v>-0.5843453999999999</v>
      </c>
      <c r="H50">
        <f t="shared" si="2"/>
        <v>-0.52644659999999999</v>
      </c>
      <c r="I50">
        <f t="shared" si="3"/>
        <v>-0.45588609999999996</v>
      </c>
      <c r="J50">
        <f t="shared" si="4"/>
        <v>-0.4227593999999999</v>
      </c>
      <c r="K50">
        <f t="shared" si="5"/>
        <v>-0.409551</v>
      </c>
    </row>
    <row r="51" spans="1:11" x14ac:dyDescent="0.25">
      <c r="E51" t="s">
        <v>243</v>
      </c>
      <c r="F51">
        <f t="shared" si="0"/>
        <v>-0.62729639999999998</v>
      </c>
      <c r="G51">
        <f t="shared" si="1"/>
        <v>-0.65378219999999998</v>
      </c>
      <c r="H51">
        <f t="shared" si="2"/>
        <v>-0.60023779999999993</v>
      </c>
      <c r="I51">
        <f t="shared" si="3"/>
        <v>-0.5664518999999999</v>
      </c>
      <c r="J51">
        <f t="shared" si="4"/>
        <v>-0.52368949999999992</v>
      </c>
      <c r="K51">
        <f t="shared" si="5"/>
        <v>-0.50304589999999993</v>
      </c>
    </row>
    <row r="52" spans="1:11" x14ac:dyDescent="0.25">
      <c r="E52" t="s">
        <v>244</v>
      </c>
      <c r="F52">
        <f t="shared" si="0"/>
        <v>-0.55715610000000004</v>
      </c>
      <c r="G52">
        <f t="shared" si="1"/>
        <v>-0.61997610000000003</v>
      </c>
      <c r="H52">
        <f t="shared" si="2"/>
        <v>-0.6310135</v>
      </c>
      <c r="I52">
        <f t="shared" si="3"/>
        <v>-0.57389100000000004</v>
      </c>
      <c r="J52">
        <f t="shared" si="4"/>
        <v>-0.55308420000000003</v>
      </c>
      <c r="K52">
        <f t="shared" si="5"/>
        <v>-0.56193879999999996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3-AFFF-4A20-9820-74818D16B6CF}">
  <dimension ref="A1:I29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2" width="32.140625" bestFit="1" customWidth="1"/>
    <col min="3" max="3" width="31.7109375" bestFit="1" customWidth="1"/>
    <col min="4" max="8" width="32.140625" bestFit="1" customWidth="1"/>
    <col min="9" max="9" width="29.28515625" bestFit="1" customWidth="1"/>
  </cols>
  <sheetData>
    <row r="1" spans="1:9" x14ac:dyDescent="0.25">
      <c r="A1" t="s">
        <v>236</v>
      </c>
      <c r="B1">
        <v>1960</v>
      </c>
      <c r="C1">
        <v>1970</v>
      </c>
      <c r="D1">
        <v>1980</v>
      </c>
      <c r="E1">
        <v>1990</v>
      </c>
      <c r="F1">
        <v>2000</v>
      </c>
      <c r="G1">
        <v>2010</v>
      </c>
    </row>
    <row r="2" spans="1:9" x14ac:dyDescent="0.25">
      <c r="A2" t="s">
        <v>237</v>
      </c>
      <c r="B2">
        <f>B29-0.0827362</f>
        <v>0.34453690000000003</v>
      </c>
      <c r="C2">
        <f>B29-0.1238089</f>
        <v>0.30346420000000002</v>
      </c>
      <c r="D2">
        <f>B29-0.109563</f>
        <v>0.3177101</v>
      </c>
      <c r="E2">
        <f>B29-0.0144046</f>
        <v>0.41286850000000003</v>
      </c>
      <c r="F2">
        <f>B29-0.0308649</f>
        <v>0.39640819999999999</v>
      </c>
      <c r="G2">
        <f>B29+0.0616438</f>
        <v>0.48891689999999999</v>
      </c>
    </row>
    <row r="3" spans="1:9" x14ac:dyDescent="0.25">
      <c r="A3" t="s">
        <v>238</v>
      </c>
      <c r="B3">
        <f>B29-0.1936507</f>
        <v>0.23362240000000001</v>
      </c>
      <c r="C3">
        <f>B29-0.1336906</f>
        <v>0.29358250000000002</v>
      </c>
      <c r="D3">
        <f>B29-0.1838758</f>
        <v>0.24339730000000001</v>
      </c>
      <c r="E3">
        <f>B29-0.1896841</f>
        <v>0.23758900000000002</v>
      </c>
      <c r="F3">
        <f>B29-0.0841815</f>
        <v>0.3430916</v>
      </c>
      <c r="G3">
        <f>B29+0.1710189</f>
        <v>0.59829200000000005</v>
      </c>
    </row>
    <row r="4" spans="1:9" x14ac:dyDescent="0.25">
      <c r="A4" t="s">
        <v>239</v>
      </c>
      <c r="B4">
        <f>B29-0.2174961</f>
        <v>0.20977700000000002</v>
      </c>
      <c r="C4">
        <f>B29-0.307818</f>
        <v>0.11945510000000004</v>
      </c>
      <c r="D4">
        <f>B29-0.362456</f>
        <v>6.4817100000000016E-2</v>
      </c>
      <c r="E4">
        <f>B29-0.2719624</f>
        <v>0.15531070000000002</v>
      </c>
      <c r="F4">
        <f>B29-0.2022435</f>
        <v>0.22502960000000002</v>
      </c>
      <c r="G4">
        <f>B29-0.0200995</f>
        <v>0.40717360000000002</v>
      </c>
    </row>
    <row r="5" spans="1:9" x14ac:dyDescent="0.25">
      <c r="A5" t="s">
        <v>240</v>
      </c>
      <c r="B5">
        <f>B29-0.2357237</f>
        <v>0.19154940000000001</v>
      </c>
      <c r="C5">
        <f>B29-0.3897799</f>
        <v>3.7493200000000004E-2</v>
      </c>
      <c r="D5">
        <f>B29-0.457705</f>
        <v>-3.0431899999999956E-2</v>
      </c>
      <c r="E5">
        <f>B29-0.3752706</f>
        <v>5.2002500000000007E-2</v>
      </c>
      <c r="F5">
        <f>B29-0.2959449</f>
        <v>0.13132820000000001</v>
      </c>
      <c r="G5">
        <f>B29-0.2021086</f>
        <v>0.22516450000000002</v>
      </c>
    </row>
    <row r="6" spans="1:9" x14ac:dyDescent="0.25">
      <c r="A6" t="s">
        <v>241</v>
      </c>
      <c r="B6">
        <f>B29-0.4107484</f>
        <v>1.6524700000000003E-2</v>
      </c>
      <c r="C6">
        <f>B29-0.4989837</f>
        <v>-7.1710599999999958E-2</v>
      </c>
      <c r="D6">
        <f>B29-0.4904782</f>
        <v>-6.3205099999999959E-2</v>
      </c>
      <c r="E6">
        <f>B29-0.4002914</f>
        <v>2.6981699999999997E-2</v>
      </c>
      <c r="F6">
        <f>B29-0.3885512</f>
        <v>3.8721900000000031E-2</v>
      </c>
      <c r="G6">
        <f>B29-0.3217961</f>
        <v>0.10547700000000004</v>
      </c>
    </row>
    <row r="7" spans="1:9" x14ac:dyDescent="0.25">
      <c r="A7" t="s">
        <v>242</v>
      </c>
      <c r="B7">
        <f>B29-0.5446584</f>
        <v>-0.11738529999999997</v>
      </c>
      <c r="C7">
        <f>B29-0.5843454</f>
        <v>-0.1570723</v>
      </c>
      <c r="D7">
        <f>B29-0.5264466</f>
        <v>-9.917349999999997E-2</v>
      </c>
      <c r="E7">
        <f>B29-0.4558861</f>
        <v>-2.8613E-2</v>
      </c>
      <c r="F7">
        <f>B29-0.4227594</f>
        <v>4.5137000000000094E-3</v>
      </c>
      <c r="G7">
        <f>B29-0.409551</f>
        <v>1.7722100000000018E-2</v>
      </c>
    </row>
    <row r="8" spans="1:9" x14ac:dyDescent="0.25">
      <c r="A8" t="s">
        <v>243</v>
      </c>
      <c r="B8">
        <f>B29-0.6272964</f>
        <v>-0.20002329999999996</v>
      </c>
      <c r="C8">
        <f>B29-0.6537822</f>
        <v>-0.22650909999999996</v>
      </c>
      <c r="D8">
        <f>B29-0.6002378</f>
        <v>-0.17296470000000003</v>
      </c>
      <c r="E8">
        <f>B29-0.5664519</f>
        <v>-0.13917879999999999</v>
      </c>
      <c r="F8">
        <f>B29-0.5236895</f>
        <v>-9.6416400000000013E-2</v>
      </c>
      <c r="G8">
        <f>B29-0.5030459</f>
        <v>-7.5772800000000029E-2</v>
      </c>
    </row>
    <row r="9" spans="1:9" x14ac:dyDescent="0.25">
      <c r="A9" t="s">
        <v>244</v>
      </c>
      <c r="B9">
        <f>B29-0.5571561</f>
        <v>-0.12988300000000003</v>
      </c>
      <c r="C9">
        <f>B29-0.6199761</f>
        <v>-0.19270300000000001</v>
      </c>
      <c r="D9">
        <f>B29-0.6310135</f>
        <v>-0.20374039999999999</v>
      </c>
      <c r="E9">
        <f>B29-0.573891</f>
        <v>-0.14661790000000002</v>
      </c>
      <c r="F9">
        <f>B29-0.5530842</f>
        <v>-0.12581110000000001</v>
      </c>
      <c r="G9">
        <f>B29-0.5619388</f>
        <v>-0.13466569999999994</v>
      </c>
    </row>
    <row r="14" spans="1:9" x14ac:dyDescent="0.25">
      <c r="A14" t="s">
        <v>236</v>
      </c>
      <c r="B14" t="str">
        <f>"10-19"</f>
        <v>10-19</v>
      </c>
      <c r="C14" t="str">
        <f>"20-29"</f>
        <v>20-29</v>
      </c>
      <c r="D14" t="str">
        <f>"30-39"</f>
        <v>30-39</v>
      </c>
      <c r="E14" t="str">
        <f>"40-49"</f>
        <v>40-49</v>
      </c>
      <c r="F14" t="str">
        <f>"50-59"</f>
        <v>50-59</v>
      </c>
      <c r="G14" t="str">
        <f>"60-69"</f>
        <v>60-69</v>
      </c>
      <c r="H14" t="str">
        <f>"70-79"</f>
        <v>70-79</v>
      </c>
      <c r="I14" t="str">
        <f>"80"</f>
        <v>80</v>
      </c>
    </row>
    <row r="15" spans="1:9" x14ac:dyDescent="0.25">
      <c r="A15">
        <v>1960</v>
      </c>
      <c r="B15">
        <f>B29-0.0827362</f>
        <v>0.34453690000000003</v>
      </c>
      <c r="C15">
        <f>B29-0.1936507</f>
        <v>0.23362240000000001</v>
      </c>
      <c r="D15">
        <f>B29-0.2174961</f>
        <v>0.20977700000000002</v>
      </c>
      <c r="E15">
        <f>B29-0.2357237</f>
        <v>0.19154940000000001</v>
      </c>
      <c r="F15">
        <f>B29-0.4107484</f>
        <v>1.6524700000000003E-2</v>
      </c>
      <c r="G15">
        <f>B29-0.5446584</f>
        <v>-0.11738529999999997</v>
      </c>
      <c r="H15">
        <f>B29-0.6272964</f>
        <v>-0.20002329999999996</v>
      </c>
      <c r="I15">
        <f>B29-0.5571561</f>
        <v>-0.12988300000000003</v>
      </c>
    </row>
    <row r="16" spans="1:9" x14ac:dyDescent="0.25">
      <c r="A16">
        <v>1970</v>
      </c>
      <c r="B16">
        <f>B29-0.1238089</f>
        <v>0.30346420000000002</v>
      </c>
      <c r="C16">
        <f>B29-0.1336906</f>
        <v>0.29358250000000002</v>
      </c>
      <c r="D16">
        <f>B29-0.307818</f>
        <v>0.11945510000000004</v>
      </c>
      <c r="E16">
        <f>B29-0.3897799</f>
        <v>3.7493200000000004E-2</v>
      </c>
      <c r="F16">
        <f>B29-0.4989837</f>
        <v>-7.1710599999999958E-2</v>
      </c>
      <c r="G16">
        <f>B29-0.5843454</f>
        <v>-0.1570723</v>
      </c>
      <c r="H16">
        <f>B29-0.6537822</f>
        <v>-0.22650909999999996</v>
      </c>
      <c r="I16">
        <f>B29-0.6199761</f>
        <v>-0.19270300000000001</v>
      </c>
    </row>
    <row r="17" spans="1:9" x14ac:dyDescent="0.25">
      <c r="A17">
        <v>1980</v>
      </c>
      <c r="B17">
        <f>B29-0.109563</f>
        <v>0.3177101</v>
      </c>
      <c r="C17">
        <f>B29-0.1838758</f>
        <v>0.24339730000000001</v>
      </c>
      <c r="D17">
        <f>B29-0.362456</f>
        <v>6.4817100000000016E-2</v>
      </c>
      <c r="E17">
        <f>B29-0.457705</f>
        <v>-3.0431899999999956E-2</v>
      </c>
      <c r="F17">
        <f>B29-0.4904782</f>
        <v>-6.3205099999999959E-2</v>
      </c>
      <c r="G17">
        <f>B29-0.5264466</f>
        <v>-9.917349999999997E-2</v>
      </c>
      <c r="H17">
        <f>B29-0.6002378</f>
        <v>-0.17296470000000003</v>
      </c>
      <c r="I17">
        <f>B29-0.6310135</f>
        <v>-0.20374039999999999</v>
      </c>
    </row>
    <row r="18" spans="1:9" x14ac:dyDescent="0.25">
      <c r="A18">
        <v>1990</v>
      </c>
      <c r="B18">
        <f>B29-0.0144046</f>
        <v>0.41286850000000003</v>
      </c>
      <c r="C18">
        <f>B29-0.1896841</f>
        <v>0.23758900000000002</v>
      </c>
      <c r="D18">
        <f>B29-0.2719624</f>
        <v>0.15531070000000002</v>
      </c>
      <c r="E18">
        <f>B29-0.3752706</f>
        <v>5.2002500000000007E-2</v>
      </c>
      <c r="F18">
        <f>B29-0.4002914</f>
        <v>2.6981699999999997E-2</v>
      </c>
      <c r="G18">
        <f>B29-0.4558861</f>
        <v>-2.8613E-2</v>
      </c>
      <c r="H18">
        <f>B29-0.5664519</f>
        <v>-0.13917879999999999</v>
      </c>
      <c r="I18">
        <f>B29-0.573891</f>
        <v>-0.14661790000000002</v>
      </c>
    </row>
    <row r="19" spans="1:9" x14ac:dyDescent="0.25">
      <c r="A19">
        <v>2000</v>
      </c>
      <c r="B19">
        <f>B29-0.0308649</f>
        <v>0.39640819999999999</v>
      </c>
      <c r="C19">
        <f>B29-0.0841815</f>
        <v>0.3430916</v>
      </c>
      <c r="D19">
        <f>B29-0.2022435</f>
        <v>0.22502960000000002</v>
      </c>
      <c r="E19">
        <f>B29-0.2959449</f>
        <v>0.13132820000000001</v>
      </c>
      <c r="F19">
        <f>B29-0.3885512</f>
        <v>3.8721900000000031E-2</v>
      </c>
      <c r="G19">
        <f>B29-0.4227594</f>
        <v>4.5137000000000094E-3</v>
      </c>
      <c r="H19">
        <f>B29-0.5236895</f>
        <v>-9.6416400000000013E-2</v>
      </c>
      <c r="I19">
        <f>B29-0.5530842</f>
        <v>-0.12581110000000001</v>
      </c>
    </row>
    <row r="20" spans="1:9" x14ac:dyDescent="0.25">
      <c r="A20">
        <v>2010</v>
      </c>
      <c r="B20">
        <f>B29+0.0616438</f>
        <v>0.48891689999999999</v>
      </c>
      <c r="C20">
        <f>B29+0.1710189</f>
        <v>0.59829200000000005</v>
      </c>
      <c r="D20">
        <f>B29-0.0200995</f>
        <v>0.40717360000000002</v>
      </c>
      <c r="E20">
        <f>B29-0.2021086</f>
        <v>0.22516450000000002</v>
      </c>
      <c r="F20">
        <f>B29-0.3217961</f>
        <v>0.10547700000000004</v>
      </c>
      <c r="G20">
        <f>B29-0.409551</f>
        <v>1.7722100000000018E-2</v>
      </c>
      <c r="H20">
        <f>B29-0.5030459</f>
        <v>-7.5772800000000029E-2</v>
      </c>
      <c r="I20">
        <f>B29-0.5619388</f>
        <v>-0.13466569999999994</v>
      </c>
    </row>
    <row r="29" spans="1:9" x14ac:dyDescent="0.25">
      <c r="A29" t="s">
        <v>19</v>
      </c>
      <c r="B29">
        <v>0.42727310000000002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AllCountriesAddCoef</vt:lpstr>
      <vt:lpstr>Less4Countries</vt:lpstr>
      <vt:lpstr>Less4CountriesAddCoef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2019-07-09T20:57:30Z</dcterms:modified>
</cp:coreProperties>
</file>