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G:\Users\bz22\Desktop\Deaths of Dispair Project\Regression\Before 1960\40 and Up\"/>
    </mc:Choice>
  </mc:AlternateContent>
  <xr:revisionPtr revIDLastSave="0" documentId="13_ncr:1_{AE184515-5E0D-4E2D-A52D-51C86BA35BA0}" xr6:coauthVersionLast="36" xr6:coauthVersionMax="36" xr10:uidLastSave="{00000000-0000-0000-0000-000000000000}"/>
  <bookViews>
    <workbookView xWindow="0" yWindow="0" windowWidth="28800" windowHeight="11625" activeTab="1" xr2:uid="{BF1CE24F-D060-4B78-87FD-1E0F441DBE41}"/>
  </bookViews>
  <sheets>
    <sheet name="lnMortality by DecadeAgeCaT" sheetId="1" r:id="rId1"/>
    <sheet name="Sheet2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1" i="2" l="1"/>
  <c r="AZ11" i="2"/>
  <c r="BA11" i="2"/>
  <c r="BB11" i="2"/>
  <c r="BC11" i="2"/>
  <c r="AY12" i="2"/>
  <c r="AZ12" i="2"/>
  <c r="BA12" i="2"/>
  <c r="BB12" i="2"/>
  <c r="BC12" i="2"/>
  <c r="AY13" i="2"/>
  <c r="AZ13" i="2"/>
  <c r="BA13" i="2"/>
  <c r="BB13" i="2"/>
  <c r="BC13" i="2"/>
  <c r="AY14" i="2"/>
  <c r="AZ14" i="2"/>
  <c r="BA14" i="2"/>
  <c r="BB14" i="2"/>
  <c r="BC14" i="2"/>
  <c r="AY15" i="2"/>
  <c r="AZ15" i="2"/>
  <c r="BA15" i="2"/>
  <c r="BB15" i="2"/>
  <c r="BC15" i="2"/>
  <c r="AX15" i="2"/>
  <c r="AX14" i="2"/>
  <c r="AX13" i="2"/>
  <c r="AX11" i="2"/>
  <c r="AX12" i="2"/>
  <c r="AY3" i="2"/>
  <c r="AZ3" i="2"/>
  <c r="BA3" i="2"/>
  <c r="BB3" i="2"/>
  <c r="BC3" i="2"/>
  <c r="AY4" i="2"/>
  <c r="AZ4" i="2"/>
  <c r="BA4" i="2"/>
  <c r="BB4" i="2"/>
  <c r="BC4" i="2"/>
  <c r="AY5" i="2"/>
  <c r="AZ5" i="2"/>
  <c r="BA5" i="2"/>
  <c r="BB5" i="2"/>
  <c r="BC5" i="2"/>
  <c r="AY6" i="2"/>
  <c r="AZ6" i="2"/>
  <c r="BA6" i="2"/>
  <c r="BB6" i="2"/>
  <c r="BC6" i="2"/>
  <c r="AY7" i="2"/>
  <c r="AZ7" i="2"/>
  <c r="BA7" i="2"/>
  <c r="BB7" i="2"/>
  <c r="BC7" i="2"/>
  <c r="AX7" i="2"/>
  <c r="AX6" i="2"/>
  <c r="AX5" i="2"/>
  <c r="AX4" i="2"/>
  <c r="AX3" i="2"/>
  <c r="AU15" i="2" l="1"/>
  <c r="AT15" i="2"/>
  <c r="AS15" i="2"/>
  <c r="AR15" i="2"/>
  <c r="AQ15" i="2"/>
  <c r="AP15" i="2"/>
  <c r="AU14" i="2"/>
  <c r="AT14" i="2"/>
  <c r="AS14" i="2"/>
  <c r="AR14" i="2"/>
  <c r="AQ14" i="2"/>
  <c r="AP14" i="2"/>
  <c r="AU13" i="2"/>
  <c r="AT13" i="2"/>
  <c r="AS13" i="2"/>
  <c r="AR13" i="2"/>
  <c r="AQ13" i="2"/>
  <c r="AP13" i="2"/>
  <c r="AU12" i="2"/>
  <c r="AT12" i="2"/>
  <c r="AS12" i="2"/>
  <c r="AR12" i="2"/>
  <c r="AQ12" i="2"/>
  <c r="AP12" i="2"/>
  <c r="AU11" i="2"/>
  <c r="AT11" i="2"/>
  <c r="AS11" i="2"/>
  <c r="AR11" i="2"/>
  <c r="AQ11" i="2"/>
  <c r="AP11" i="2"/>
  <c r="AU7" i="2"/>
  <c r="AT7" i="2"/>
  <c r="AS7" i="2"/>
  <c r="AR7" i="2"/>
  <c r="AQ7" i="2"/>
  <c r="AP7" i="2"/>
  <c r="AU6" i="2"/>
  <c r="AT6" i="2"/>
  <c r="AS6" i="2"/>
  <c r="AR6" i="2"/>
  <c r="AQ6" i="2"/>
  <c r="AP6" i="2"/>
  <c r="AU5" i="2"/>
  <c r="AT5" i="2"/>
  <c r="AS5" i="2"/>
  <c r="AR5" i="2"/>
  <c r="AQ5" i="2"/>
  <c r="AP5" i="2"/>
  <c r="AU4" i="2"/>
  <c r="AT4" i="2"/>
  <c r="AS4" i="2"/>
  <c r="AR4" i="2"/>
  <c r="AQ4" i="2"/>
  <c r="AP4" i="2"/>
  <c r="AU3" i="2"/>
  <c r="AT3" i="2"/>
  <c r="AS3" i="2"/>
  <c r="AR3" i="2"/>
  <c r="AQ3" i="2"/>
  <c r="AP3" i="2"/>
  <c r="A2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M15" i="2"/>
  <c r="AM14" i="2"/>
  <c r="AM13" i="2"/>
  <c r="AM12" i="2"/>
  <c r="AM11" i="2"/>
  <c r="AK15" i="2"/>
  <c r="AK14" i="2"/>
  <c r="AK13" i="2"/>
  <c r="AK12" i="2"/>
  <c r="AK11" i="2"/>
  <c r="AL15" i="2"/>
  <c r="AL14" i="2"/>
  <c r="AL13" i="2"/>
  <c r="AL12" i="2"/>
  <c r="AL11" i="2"/>
  <c r="AJ15" i="2"/>
  <c r="AJ14" i="2"/>
  <c r="AJ13" i="2"/>
  <c r="AJ12" i="2"/>
  <c r="AJ11" i="2"/>
  <c r="AI15" i="2"/>
  <c r="AI14" i="2"/>
  <c r="AI13" i="2"/>
  <c r="AI12" i="2"/>
  <c r="AI11" i="2"/>
  <c r="AM7" i="2"/>
  <c r="AM6" i="2"/>
  <c r="AM5" i="2"/>
  <c r="AM4" i="2"/>
  <c r="AM3" i="2"/>
  <c r="AL7" i="2"/>
  <c r="AL6" i="2"/>
  <c r="AL5" i="2"/>
  <c r="AL4" i="2"/>
  <c r="AL3" i="2"/>
  <c r="AK7" i="2"/>
  <c r="AK6" i="2"/>
  <c r="AK5" i="2"/>
  <c r="AK4" i="2"/>
  <c r="AK3" i="2"/>
  <c r="AJ7" i="2"/>
  <c r="AJ6" i="2"/>
  <c r="AJ5" i="2"/>
  <c r="AJ4" i="2"/>
  <c r="AJ3" i="2"/>
  <c r="AI7" i="2"/>
  <c r="AI6" i="2"/>
  <c r="AI5" i="2"/>
  <c r="AI4" i="2"/>
  <c r="AI3" i="2"/>
  <c r="AH15" i="2"/>
  <c r="AH14" i="2"/>
  <c r="AH13" i="2"/>
  <c r="AH12" i="2"/>
  <c r="AH11" i="2"/>
  <c r="AH7" i="2"/>
  <c r="AH6" i="2"/>
  <c r="AH5" i="2"/>
  <c r="AH4" i="2"/>
  <c r="AH3" i="2"/>
  <c r="AE7" i="2"/>
  <c r="AE6" i="2"/>
  <c r="AE5" i="2"/>
  <c r="AE4" i="2"/>
  <c r="AE3" i="2"/>
  <c r="AD7" i="2"/>
  <c r="AD6" i="2"/>
  <c r="AD5" i="2"/>
  <c r="AD4" i="2"/>
  <c r="AD3" i="2"/>
  <c r="AC7" i="2"/>
  <c r="AC6" i="2"/>
  <c r="AC5" i="2"/>
  <c r="AC4" i="2"/>
  <c r="AC3" i="2"/>
  <c r="AB7" i="2"/>
  <c r="AB6" i="2"/>
  <c r="AB5" i="2"/>
  <c r="AB4" i="2"/>
  <c r="AB3" i="2"/>
  <c r="AA7" i="2"/>
  <c r="AA6" i="2"/>
  <c r="AA5" i="2"/>
  <c r="AA4" i="2"/>
  <c r="AA3" i="2"/>
  <c r="AE15" i="2"/>
  <c r="AE14" i="2"/>
  <c r="AE13" i="2"/>
  <c r="AE12" i="2"/>
  <c r="AE11" i="2"/>
  <c r="AD15" i="2"/>
  <c r="AD14" i="2"/>
  <c r="AD13" i="2"/>
  <c r="AD12" i="2"/>
  <c r="AD11" i="2"/>
  <c r="AC15" i="2"/>
  <c r="AC14" i="2"/>
  <c r="AC13" i="2"/>
  <c r="AC12" i="2"/>
  <c r="AC11" i="2"/>
  <c r="AB15" i="2"/>
  <c r="AB14" i="2"/>
  <c r="AB13" i="2"/>
  <c r="AB12" i="2"/>
  <c r="AB11" i="2"/>
  <c r="AA15" i="2"/>
  <c r="AA14" i="2"/>
  <c r="AA13" i="2"/>
  <c r="AA12" i="2"/>
  <c r="AA11" i="2"/>
  <c r="Z15" i="2"/>
  <c r="Z14" i="2"/>
  <c r="Z13" i="2"/>
  <c r="Z12" i="2"/>
  <c r="Z11" i="2"/>
  <c r="Z7" i="2"/>
  <c r="Z6" i="2"/>
  <c r="Z5" i="2"/>
  <c r="Z4" i="2"/>
  <c r="Z3" i="2"/>
  <c r="W15" i="2"/>
  <c r="W14" i="2"/>
  <c r="W13" i="2"/>
  <c r="W12" i="2"/>
  <c r="W11" i="2"/>
  <c r="V15" i="2"/>
  <c r="V14" i="2"/>
  <c r="V13" i="2"/>
  <c r="V12" i="2"/>
  <c r="V11" i="2"/>
  <c r="T15" i="2"/>
  <c r="T14" i="2"/>
  <c r="T13" i="2"/>
  <c r="T12" i="2"/>
  <c r="T11" i="2"/>
  <c r="U15" i="2"/>
  <c r="U14" i="2"/>
  <c r="U13" i="2"/>
  <c r="U12" i="2"/>
  <c r="U11" i="2"/>
  <c r="S15" i="2"/>
  <c r="S14" i="2"/>
  <c r="S13" i="2"/>
  <c r="S12" i="2"/>
  <c r="S11" i="2"/>
  <c r="R15" i="2"/>
  <c r="R14" i="2"/>
  <c r="R13" i="2"/>
  <c r="R12" i="2"/>
  <c r="R11" i="2"/>
  <c r="W7" i="2"/>
  <c r="W6" i="2"/>
  <c r="W5" i="2"/>
  <c r="W4" i="2"/>
  <c r="W3" i="2"/>
  <c r="V7" i="2"/>
  <c r="V6" i="2"/>
  <c r="V5" i="2"/>
  <c r="V4" i="2"/>
  <c r="V3" i="2"/>
  <c r="U7" i="2"/>
  <c r="U6" i="2"/>
  <c r="U5" i="2"/>
  <c r="U4" i="2"/>
  <c r="U3" i="2"/>
  <c r="T7" i="2"/>
  <c r="T6" i="2"/>
  <c r="T5" i="2"/>
  <c r="T4" i="2"/>
  <c r="T3" i="2"/>
  <c r="S7" i="2"/>
  <c r="S6" i="2"/>
  <c r="S5" i="2"/>
  <c r="S4" i="2"/>
  <c r="S3" i="2"/>
  <c r="R7" i="2"/>
  <c r="R6" i="2"/>
  <c r="R5" i="2"/>
  <c r="R4" i="2"/>
  <c r="R3" i="2"/>
  <c r="O15" i="2"/>
  <c r="O14" i="2"/>
  <c r="O13" i="2"/>
  <c r="O12" i="2"/>
  <c r="O11" i="2"/>
  <c r="N15" i="2"/>
  <c r="N14" i="2"/>
  <c r="N13" i="2"/>
  <c r="N12" i="2"/>
  <c r="N11" i="2"/>
  <c r="M15" i="2"/>
  <c r="M14" i="2"/>
  <c r="M13" i="2"/>
  <c r="M12" i="2"/>
  <c r="M11" i="2"/>
  <c r="L15" i="2"/>
  <c r="L14" i="2"/>
  <c r="L13" i="2"/>
  <c r="L12" i="2"/>
  <c r="L11" i="2"/>
  <c r="K15" i="2"/>
  <c r="K14" i="2"/>
  <c r="K13" i="2"/>
  <c r="K12" i="2"/>
  <c r="K11" i="2"/>
  <c r="J15" i="2"/>
  <c r="J14" i="2"/>
  <c r="J13" i="2"/>
  <c r="J12" i="2"/>
  <c r="J11" i="2"/>
  <c r="O7" i="2"/>
  <c r="O6" i="2"/>
  <c r="O5" i="2"/>
  <c r="O4" i="2"/>
  <c r="O3" i="2"/>
  <c r="N7" i="2"/>
  <c r="N6" i="2"/>
  <c r="N5" i="2"/>
  <c r="N4" i="2"/>
  <c r="N3" i="2"/>
  <c r="M5" i="2"/>
  <c r="M4" i="2"/>
  <c r="M3" i="2"/>
  <c r="M6" i="2"/>
  <c r="M7" i="2"/>
  <c r="L7" i="2"/>
  <c r="L6" i="2"/>
  <c r="L5" i="2"/>
  <c r="L4" i="2"/>
  <c r="L3" i="2"/>
  <c r="K3" i="2"/>
  <c r="K4" i="2"/>
  <c r="K5" i="2"/>
  <c r="K6" i="2"/>
  <c r="K7" i="2"/>
  <c r="J7" i="2"/>
  <c r="J6" i="2"/>
  <c r="J5" i="2"/>
  <c r="J4" i="2"/>
  <c r="J3" i="2"/>
  <c r="G15" i="2"/>
  <c r="G14" i="2"/>
  <c r="G13" i="2"/>
  <c r="G12" i="2"/>
  <c r="G11" i="2"/>
  <c r="F15" i="2"/>
  <c r="F14" i="2"/>
  <c r="F13" i="2"/>
  <c r="F12" i="2"/>
  <c r="F11" i="2"/>
  <c r="E15" i="2"/>
  <c r="E14" i="2"/>
  <c r="E13" i="2"/>
  <c r="E12" i="2"/>
  <c r="E11" i="2"/>
  <c r="D15" i="2"/>
  <c r="D14" i="2"/>
  <c r="D13" i="2"/>
  <c r="D12" i="2"/>
  <c r="D11" i="2"/>
  <c r="C15" i="2"/>
  <c r="C14" i="2"/>
  <c r="C13" i="2"/>
  <c r="C12" i="2"/>
  <c r="C11" i="2"/>
  <c r="B15" i="2"/>
  <c r="B14" i="2"/>
  <c r="B13" i="2"/>
  <c r="B12" i="2"/>
  <c r="B11" i="2"/>
  <c r="G7" i="2"/>
  <c r="G6" i="2"/>
  <c r="G5" i="2"/>
  <c r="G4" i="2"/>
  <c r="G3" i="2"/>
  <c r="F7" i="2"/>
  <c r="F6" i="2"/>
  <c r="F5" i="2"/>
  <c r="F4" i="2"/>
  <c r="F3" i="2"/>
  <c r="E7" i="2"/>
  <c r="E6" i="2"/>
  <c r="E5" i="2"/>
  <c r="E4" i="2"/>
  <c r="E3" i="2"/>
  <c r="D7" i="2"/>
  <c r="D6" i="2"/>
  <c r="D5" i="2"/>
  <c r="D4" i="2"/>
  <c r="D3" i="2"/>
  <c r="C7" i="2"/>
  <c r="C6" i="2"/>
  <c r="C5" i="2"/>
  <c r="C4" i="2"/>
  <c r="C3" i="2"/>
  <c r="B7" i="2"/>
  <c r="B6" i="2"/>
  <c r="B5" i="2"/>
  <c r="B4" i="2"/>
  <c r="B3" i="2"/>
  <c r="CM2" i="1"/>
  <c r="CL2" i="1"/>
  <c r="CK2" i="1"/>
  <c r="CJ2" i="1"/>
  <c r="CI2" i="1"/>
  <c r="CH2" i="1"/>
  <c r="BI2" i="1"/>
  <c r="BH2" i="1"/>
  <c r="BG2" i="1"/>
  <c r="BF2" i="1"/>
  <c r="BE2" i="1"/>
  <c r="BD2" i="1"/>
  <c r="AE2" i="1"/>
  <c r="AD2" i="1"/>
  <c r="AC2" i="1"/>
  <c r="AB2" i="1"/>
  <c r="AA2" i="1"/>
  <c r="Z2" i="1"/>
  <c r="CG2" i="1"/>
  <c r="CF2" i="1"/>
  <c r="CE2" i="1"/>
  <c r="CD2" i="1"/>
  <c r="CC2" i="1"/>
  <c r="CB2" i="1"/>
  <c r="BC2" i="1"/>
  <c r="BB2" i="1"/>
  <c r="BA2" i="1"/>
  <c r="AZ2" i="1"/>
  <c r="AY2" i="1"/>
  <c r="AX2" i="1"/>
  <c r="Y2" i="1"/>
  <c r="X2" i="1"/>
  <c r="W2" i="1"/>
  <c r="V2" i="1"/>
  <c r="U2" i="1"/>
  <c r="T2" i="1"/>
  <c r="CA2" i="1"/>
  <c r="BZ2" i="1"/>
  <c r="BY2" i="1"/>
  <c r="BX2" i="1"/>
  <c r="BW2" i="1"/>
  <c r="BV2" i="1"/>
  <c r="AW2" i="1"/>
  <c r="AV2" i="1"/>
  <c r="AU2" i="1"/>
  <c r="AT2" i="1"/>
  <c r="AS2" i="1"/>
  <c r="AR2" i="1"/>
  <c r="S2" i="1"/>
  <c r="R2" i="1"/>
  <c r="Q2" i="1"/>
  <c r="P2" i="1"/>
  <c r="O2" i="1"/>
  <c r="N2" i="1"/>
  <c r="BU2" i="1"/>
  <c r="BT2" i="1"/>
  <c r="BS2" i="1"/>
  <c r="BR2" i="1"/>
  <c r="BQ2" i="1"/>
  <c r="BP2" i="1"/>
  <c r="AQ2" i="1"/>
  <c r="AP2" i="1"/>
  <c r="AO2" i="1"/>
  <c r="AN2" i="1"/>
  <c r="AM2" i="1"/>
  <c r="AL2" i="1"/>
  <c r="M2" i="1"/>
  <c r="L2" i="1"/>
  <c r="K2" i="1"/>
  <c r="J2" i="1"/>
  <c r="I2" i="1"/>
  <c r="H2" i="1"/>
  <c r="BO2" i="1"/>
  <c r="BN2" i="1"/>
  <c r="BM2" i="1"/>
  <c r="BL2" i="1"/>
  <c r="BK2" i="1"/>
  <c r="BJ2" i="1"/>
  <c r="AK2" i="1"/>
  <c r="AJ2" i="1"/>
  <c r="AI2" i="1"/>
  <c r="AH2" i="1"/>
  <c r="AG2" i="1"/>
  <c r="AF2" i="1"/>
  <c r="G2" i="1"/>
  <c r="F2" i="1"/>
  <c r="E2" i="1"/>
  <c r="D2" i="1"/>
  <c r="C2" i="1"/>
  <c r="B2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<sst xmlns="http://schemas.openxmlformats.org/spreadsheetml/2006/main" count="155" uniqueCount="18">
  <si>
    <t>Australia</t>
  </si>
  <si>
    <t>Canada</t>
  </si>
  <si>
    <t>UK</t>
  </si>
  <si>
    <t>France</t>
  </si>
  <si>
    <t>Denmark</t>
  </si>
  <si>
    <t>F 40-49</t>
  </si>
  <si>
    <t>F 50-59</t>
  </si>
  <si>
    <t>F 60-69</t>
  </si>
  <si>
    <t>F 70-79</t>
  </si>
  <si>
    <t>F 80-89</t>
  </si>
  <si>
    <t>M 40-49</t>
  </si>
  <si>
    <t>M 50-59</t>
  </si>
  <si>
    <t>M 60-69</t>
  </si>
  <si>
    <t>M 70-79</t>
  </si>
  <si>
    <t>M 80-89</t>
  </si>
  <si>
    <t>Netherlands</t>
  </si>
  <si>
    <t>k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</si>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</sst>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Australia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Sheet2!$B$21:$G$21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Sheet2!$B$22:$G$22</c:f>
              <c:numCache>
                <c:formatCode>General</c:formatCode>
                <c:ptCount val="6"/>
                <c:pt idx="0">
                  <c:v>-0.16400000000000001</c:v>
                </c:pt>
                <c:pt idx="1">
                  <c:v>-0.17499999999999999</c:v>
                </c:pt>
                <c:pt idx="2">
                  <c:v>-0.25800000000000001</c:v>
                </c:pt>
                <c:pt idx="3">
                  <c:v>-0.41599999999999998</c:v>
                </c:pt>
                <c:pt idx="4">
                  <c:v>-0.55900000000000005</c:v>
                </c:pt>
                <c:pt idx="5">
                  <c:v>-0.56999999999999995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D-46A6-AC2A-6CBABAE43533}"/>
            </c:ext>
          </c:extLst>
        </c:ser>
        <c:ser>
          <c:idx val="1"/>
          <c:order val="1"/>
          <c:tx>
            <c:strRef>
              <c:f>Sheet2!$A$23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Sheet2!$B$21:$G$21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Sheet2!$B$23:$G$23</c:f>
              <c:numCache>
                <c:formatCode>General</c:formatCode>
                <c:ptCount val="6"/>
                <c:pt idx="0">
                  <c:v>-8.3500000000000005E-2</c:v>
                </c:pt>
                <c:pt idx="1">
                  <c:v>-0.09</c:v>
                </c:pt>
                <c:pt idx="2">
                  <c:v>-0.22500000000000001</c:v>
                </c:pt>
                <c:pt idx="3">
                  <c:v>-0.36599999999999999</c:v>
                </c:pt>
                <c:pt idx="4">
                  <c:v>-0.503</c:v>
                </c:pt>
                <c:pt idx="5">
                  <c:v>-0.59199999999999997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D-46A6-AC2A-6CBABAE43533}"/>
            </c:ext>
          </c:extLst>
        </c:ser>
        <c:ser>
          <c:idx val="2"/>
          <c:order val="2"/>
          <c:tx>
            <c:strRef>
              <c:f>Sheet2!$A$24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Sheet2!$B$21:$G$21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Sheet2!$B$24:$G$24</c:f>
              <c:numCache>
                <c:formatCode>General</c:formatCode>
                <c:ptCount val="6"/>
                <c:pt idx="0">
                  <c:v>-1.84E-2</c:v>
                </c:pt>
                <c:pt idx="1">
                  <c:v>1.3300000000000001E-4</c:v>
                </c:pt>
                <c:pt idx="2">
                  <c:v>-0.154</c:v>
                </c:pt>
                <c:pt idx="3">
                  <c:v>-0.317</c:v>
                </c:pt>
                <c:pt idx="4">
                  <c:v>-0.45600000000000002</c:v>
                </c:pt>
                <c:pt idx="5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D-46A6-AC2A-6CBABAE43533}"/>
            </c:ext>
          </c:extLst>
        </c:ser>
        <c:ser>
          <c:idx val="3"/>
          <c:order val="3"/>
          <c:tx>
            <c:strRef>
              <c:f>Sheet2!$A$25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Sheet2!$B$21:$G$21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Sheet2!$B$25:$G$25</c:f>
              <c:numCache>
                <c:formatCode>General</c:formatCode>
                <c:ptCount val="6"/>
                <c:pt idx="0">
                  <c:v>8.8900000000000007E-2</c:v>
                </c:pt>
                <c:pt idx="1">
                  <c:v>9.8500000000000004E-2</c:v>
                </c:pt>
                <c:pt idx="2">
                  <c:v>9.0100000000000006E-3</c:v>
                </c:pt>
                <c:pt idx="3">
                  <c:v>-0.127</c:v>
                </c:pt>
                <c:pt idx="4">
                  <c:v>-0.312</c:v>
                </c:pt>
                <c:pt idx="5">
                  <c:v>-0.35599999999999998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D-46A6-AC2A-6CBABAE43533}"/>
            </c:ext>
          </c:extLst>
        </c:ser>
        <c:ser>
          <c:idx val="4"/>
          <c:order val="4"/>
          <c:tx>
            <c:strRef>
              <c:f>Sheet2!$A$26</c:f>
              <c:strCache>
                <c:ptCount val="1"/>
                <c:pt idx="0">
                  <c:v>F 80-89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Sheet2!$B$21:$G$21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Sheet2!$B$26:$G$26</c:f>
              <c:numCache>
                <c:formatCode>General</c:formatCode>
                <c:ptCount val="6"/>
                <c:pt idx="0">
                  <c:v>5.9900000000000002E-2</c:v>
                </c:pt>
                <c:pt idx="1">
                  <c:v>0.12</c:v>
                </c:pt>
                <c:pt idx="2">
                  <c:v>7.0000000000000007E-2</c:v>
                </c:pt>
                <c:pt idx="3">
                  <c:v>-3.56E-2</c:v>
                </c:pt>
                <c:pt idx="4">
                  <c:v>-0.19700000000000001</c:v>
                </c:pt>
                <c:pt idx="5">
                  <c:v>-0.23899999999999999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AD-46A6-AC2A-6CBABAE43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679023"/>
        <c:axId val="525300239"/>
      </c:lineChart>
      <c:catAx>
        <c:axId val="69367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0239"/>
        <c:crosses val="autoZero"/>
        <c:auto val="1"/>
        <c:lblAlgn val="ctr"/>
        <c:lblOffset val="100"/>
        <c:noMultiLvlLbl val="0"/>
      </c:catAx>
      <c:valAx>
        <c:axId val="525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Netherlands</a:t>
            </a:r>
            <a:r>
              <a:rPr lang="en-US" baseline="0"/>
              <a:t>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Sheet2!$AO$22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Sheet2!$AP$21:$AU$21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Sheet2!$AP$22:$AU$22</c:f>
              <c:numCache>
                <c:formatCode>General</c:formatCode>
                <c:ptCount val="6"/>
                <c:pt idx="0">
                  <c:v>-0.47399999999999998</c:v>
                </c:pt>
                <c:pt idx="1">
                  <c:v>-0.39</c:v>
                </c:pt>
                <c:pt idx="2">
                  <c:v>-0.3</c:v>
                </c:pt>
                <c:pt idx="3">
                  <c:v>-0.20799999999999999</c:v>
                </c:pt>
                <c:pt idx="4">
                  <c:v>-0.33</c:v>
                </c:pt>
                <c:pt idx="5">
                  <c:v>-0.53800000000000003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7-43E4-8AB8-60B0E3EB8A73}"/>
            </c:ext>
          </c:extLst>
        </c:ser>
        <c:ser>
          <c:idx val="1"/>
          <c:order val="1"/>
          <c:tx>
            <c:strRef>
              <c:f>Sheet2!$AO$23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Sheet2!$AP$21:$AU$21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Sheet2!$AP$23:$AU$23</c:f>
              <c:numCache>
                <c:formatCode>General</c:formatCode>
                <c:ptCount val="6"/>
                <c:pt idx="0">
                  <c:v>-0.38700000000000001</c:v>
                </c:pt>
                <c:pt idx="1">
                  <c:v>-0.34200000000000003</c:v>
                </c:pt>
                <c:pt idx="2">
                  <c:v>-0.30599999999999999</c:v>
                </c:pt>
                <c:pt idx="3">
                  <c:v>-0.247</c:v>
                </c:pt>
                <c:pt idx="4">
                  <c:v>-0.189</c:v>
                </c:pt>
                <c:pt idx="5">
                  <c:v>-0.315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7-43E4-8AB8-60B0E3EB8A73}"/>
            </c:ext>
          </c:extLst>
        </c:ser>
        <c:ser>
          <c:idx val="2"/>
          <c:order val="2"/>
          <c:tx>
            <c:strRef>
              <c:f>Sheet2!$AO$24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Sheet2!$AP$21:$AU$21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Sheet2!$AP$24:$AU$24</c:f>
              <c:numCache>
                <c:formatCode>General</c:formatCode>
                <c:ptCount val="6"/>
                <c:pt idx="0">
                  <c:v>-0.22800000000000001</c:v>
                </c:pt>
                <c:pt idx="1">
                  <c:v>-0.21299999999999999</c:v>
                </c:pt>
                <c:pt idx="2">
                  <c:v>-0.27700000000000002</c:v>
                </c:pt>
                <c:pt idx="3">
                  <c:v>-0.23400000000000001</c:v>
                </c:pt>
                <c:pt idx="4">
                  <c:v>-0.24199999999999999</c:v>
                </c:pt>
                <c:pt idx="5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7-43E4-8AB8-60B0E3EB8A73}"/>
            </c:ext>
          </c:extLst>
        </c:ser>
        <c:ser>
          <c:idx val="3"/>
          <c:order val="3"/>
          <c:tx>
            <c:strRef>
              <c:f>Sheet2!$AO$25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Sheet2!$AP$21:$AU$21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Sheet2!$AP$25:$AU$25</c:f>
              <c:numCache>
                <c:formatCode>General</c:formatCode>
                <c:ptCount val="6"/>
                <c:pt idx="0">
                  <c:v>1.7100000000000001E-2</c:v>
                </c:pt>
                <c:pt idx="1">
                  <c:v>1.01E-2</c:v>
                </c:pt>
                <c:pt idx="2">
                  <c:v>-6.9000000000000006E-2</c:v>
                </c:pt>
                <c:pt idx="3">
                  <c:v>-7.7399999999999997E-2</c:v>
                </c:pt>
                <c:pt idx="4">
                  <c:v>-0.114</c:v>
                </c:pt>
                <c:pt idx="5">
                  <c:v>-0.17100000000000001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7-43E4-8AB8-60B0E3EB8A73}"/>
            </c:ext>
          </c:extLst>
        </c:ser>
        <c:ser>
          <c:idx val="4"/>
          <c:order val="4"/>
          <c:tx>
            <c:strRef>
              <c:f>Sheet2!$AO$26</c:f>
              <c:strCache>
                <c:ptCount val="1"/>
                <c:pt idx="0">
                  <c:v>F 80-89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Sheet2!$AP$21:$AU$21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Sheet2!$AP$26:$AU$26</c:f>
              <c:numCache>
                <c:formatCode>General</c:formatCode>
                <c:ptCount val="6"/>
                <c:pt idx="0">
                  <c:v>8.7599999999999997E-2</c:v>
                </c:pt>
                <c:pt idx="1">
                  <c:v>0.112</c:v>
                </c:pt>
                <c:pt idx="2">
                  <c:v>4.5900000000000003E-2</c:v>
                </c:pt>
                <c:pt idx="3">
                  <c:v>2.6200000000000001E-2</c:v>
                </c:pt>
                <c:pt idx="4">
                  <c:v>1.4300000000000001E-3</c:v>
                </c:pt>
                <c:pt idx="5">
                  <c:v>-5.1799999999999999E-2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7-43E4-8AB8-60B0E3EB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01775"/>
        <c:axId val="431048063"/>
      </c:lineChart>
      <c:catAx>
        <c:axId val="3813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48063"/>
        <c:crosses val="autoZero"/>
        <c:auto val="1"/>
        <c:lblAlgn val="ctr"/>
        <c:lblOffset val="100"/>
        <c:noMultiLvlLbl val="0"/>
      </c:catAx>
      <c:valAx>
        <c:axId val="4310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Netherlands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Sheet2!$AO$30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Sheet2!$AP$29:$AU$29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Sheet2!$AP$30:$AU$30</c:f>
              <c:numCache>
                <c:formatCode>General</c:formatCode>
                <c:ptCount val="6"/>
                <c:pt idx="0">
                  <c:v>-0.58899999999999997</c:v>
                </c:pt>
                <c:pt idx="1">
                  <c:v>-0.503</c:v>
                </c:pt>
                <c:pt idx="2">
                  <c:v>-0.46500000000000002</c:v>
                </c:pt>
                <c:pt idx="3">
                  <c:v>-0.54</c:v>
                </c:pt>
                <c:pt idx="4">
                  <c:v>-0.63300000000000001</c:v>
                </c:pt>
                <c:pt idx="5">
                  <c:v>-0.754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B01-84A1-A2F5CE816EDA}"/>
            </c:ext>
          </c:extLst>
        </c:ser>
        <c:ser>
          <c:idx val="1"/>
          <c:order val="1"/>
          <c:tx>
            <c:strRef>
              <c:f>Sheet2!$AO$31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Sheet2!$AP$29:$AU$29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Sheet2!$AP$31:$AU$31</c:f>
              <c:numCache>
                <c:formatCode>General</c:formatCode>
                <c:ptCount val="6"/>
                <c:pt idx="0">
                  <c:v>-0.42499999999999999</c:v>
                </c:pt>
                <c:pt idx="1">
                  <c:v>-0.313</c:v>
                </c:pt>
                <c:pt idx="2">
                  <c:v>-0.25600000000000001</c:v>
                </c:pt>
                <c:pt idx="3">
                  <c:v>-0.28199999999999997</c:v>
                </c:pt>
                <c:pt idx="4">
                  <c:v>-0.376</c:v>
                </c:pt>
                <c:pt idx="5">
                  <c:v>-0.56399999999999995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B01-84A1-A2F5CE816EDA}"/>
            </c:ext>
          </c:extLst>
        </c:ser>
        <c:ser>
          <c:idx val="2"/>
          <c:order val="2"/>
          <c:tx>
            <c:strRef>
              <c:f>Sheet2!$AO$32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Sheet2!$AP$29:$AU$29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Sheet2!$AP$32:$AU$32</c:f>
              <c:numCache>
                <c:formatCode>General</c:formatCode>
                <c:ptCount val="6"/>
                <c:pt idx="0">
                  <c:v>-0.28399999999999997</c:v>
                </c:pt>
                <c:pt idx="1">
                  <c:v>-0.13</c:v>
                </c:pt>
                <c:pt idx="2">
                  <c:v>-6.8099999999999994E-2</c:v>
                </c:pt>
                <c:pt idx="3">
                  <c:v>-6.5500000000000003E-2</c:v>
                </c:pt>
                <c:pt idx="4">
                  <c:v>-0.14699999999999999</c:v>
                </c:pt>
                <c:pt idx="5">
                  <c:v>-0.28499999999999998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6-4B01-84A1-A2F5CE816EDA}"/>
            </c:ext>
          </c:extLst>
        </c:ser>
        <c:ser>
          <c:idx val="3"/>
          <c:order val="3"/>
          <c:tx>
            <c:strRef>
              <c:f>Sheet2!$AO$33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Sheet2!$AP$29:$AU$29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Sheet2!$AP$33:$AU$33</c:f>
              <c:numCache>
                <c:formatCode>General</c:formatCode>
                <c:ptCount val="6"/>
                <c:pt idx="0">
                  <c:v>-0.14499999999999999</c:v>
                </c:pt>
                <c:pt idx="1">
                  <c:v>-1.7100000000000001E-2</c:v>
                </c:pt>
                <c:pt idx="2">
                  <c:v>6.9400000000000003E-2</c:v>
                </c:pt>
                <c:pt idx="3">
                  <c:v>0.125</c:v>
                </c:pt>
                <c:pt idx="4">
                  <c:v>8.0799999999999997E-2</c:v>
                </c:pt>
                <c:pt idx="5">
                  <c:v>-5.8799999999999998E-2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6-4B01-84A1-A2F5CE816EDA}"/>
            </c:ext>
          </c:extLst>
        </c:ser>
        <c:ser>
          <c:idx val="4"/>
          <c:order val="4"/>
          <c:tx>
            <c:strRef>
              <c:f>Sheet2!$AO$34</c:f>
              <c:strCache>
                <c:ptCount val="1"/>
                <c:pt idx="0">
                  <c:v>M 80-89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Sheet2!$AP$29:$AU$29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Sheet2!$AP$34:$AU$34</c:f>
              <c:numCache>
                <c:formatCode>General</c:formatCode>
                <c:ptCount val="6"/>
                <c:pt idx="0">
                  <c:v>-8.4500000000000006E-2</c:v>
                </c:pt>
                <c:pt idx="1">
                  <c:v>1.2500000000000001E-2</c:v>
                </c:pt>
                <c:pt idx="2">
                  <c:v>7.8399999999999997E-2</c:v>
                </c:pt>
                <c:pt idx="3">
                  <c:v>0.14599999999999999</c:v>
                </c:pt>
                <c:pt idx="4">
                  <c:v>0.157</c:v>
                </c:pt>
                <c:pt idx="5">
                  <c:v>7.5800000000000006E-2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6-4B01-84A1-A2F5CE816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610271"/>
        <c:axId val="520053599"/>
      </c:lineChart>
      <c:catAx>
        <c:axId val="57361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3599"/>
        <c:crosses val="autoZero"/>
        <c:auto val="1"/>
        <c:lblAlgn val="ctr"/>
        <c:lblOffset val="100"/>
        <c:noMultiLvlLbl val="0"/>
      </c:catAx>
      <c:valAx>
        <c:axId val="5200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1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  <a:r>
              <a:rPr lang="en-US" baseline="0"/>
              <a:t>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Sheet2!$I$22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Sheet2!$J$21:$O$21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Sheet2!$J$22:$O$22</c:f>
              <c:numCache>
                <c:formatCode>General</c:formatCode>
                <c:ptCount val="6"/>
                <c:pt idx="0">
                  <c:v>-0.28199999999999997</c:v>
                </c:pt>
                <c:pt idx="1">
                  <c:v>-0.24</c:v>
                </c:pt>
                <c:pt idx="2">
                  <c:v>-0.221</c:v>
                </c:pt>
                <c:pt idx="3">
                  <c:v>-0.31</c:v>
                </c:pt>
                <c:pt idx="4">
                  <c:v>-0.45100000000000001</c:v>
                </c:pt>
                <c:pt idx="5">
                  <c:v>-0.51800000000000002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4-4ECA-9EF4-7BF07AD5F689}"/>
            </c:ext>
          </c:extLst>
        </c:ser>
        <c:ser>
          <c:idx val="1"/>
          <c:order val="1"/>
          <c:tx>
            <c:strRef>
              <c:f>Sheet2!$I$23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Sheet2!$J$21:$O$21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Sheet2!$J$23:$O$23</c:f>
              <c:numCache>
                <c:formatCode>General</c:formatCode>
                <c:ptCount val="6"/>
                <c:pt idx="0">
                  <c:v>-0.17699999999999999</c:v>
                </c:pt>
                <c:pt idx="1">
                  <c:v>-0.18099999999999999</c:v>
                </c:pt>
                <c:pt idx="2">
                  <c:v>-0.21199999999999999</c:v>
                </c:pt>
                <c:pt idx="3">
                  <c:v>-0.26</c:v>
                </c:pt>
                <c:pt idx="4">
                  <c:v>-0.31</c:v>
                </c:pt>
                <c:pt idx="5">
                  <c:v>-0.40500000000000003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4-4ECA-9EF4-7BF07AD5F689}"/>
            </c:ext>
          </c:extLst>
        </c:ser>
        <c:ser>
          <c:idx val="2"/>
          <c:order val="2"/>
          <c:tx>
            <c:strRef>
              <c:f>Sheet2!$I$24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Sheet2!$J$21:$O$21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Sheet2!$J$24:$O$24</c:f>
              <c:numCache>
                <c:formatCode>General</c:formatCode>
                <c:ptCount val="6"/>
                <c:pt idx="0">
                  <c:v>-0.111</c:v>
                </c:pt>
                <c:pt idx="1">
                  <c:v>-0.108</c:v>
                </c:pt>
                <c:pt idx="2">
                  <c:v>-0.17899999999999999</c:v>
                </c:pt>
                <c:pt idx="3">
                  <c:v>-0.23799999999999999</c:v>
                </c:pt>
                <c:pt idx="4">
                  <c:v>-0.26600000000000001</c:v>
                </c:pt>
                <c:pt idx="5">
                  <c:v>-0.28000000000000003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4-4ECA-9EF4-7BF07AD5F689}"/>
            </c:ext>
          </c:extLst>
        </c:ser>
        <c:ser>
          <c:idx val="3"/>
          <c:order val="3"/>
          <c:tx>
            <c:strRef>
              <c:f>Sheet2!$I$25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Sheet2!$J$21:$O$21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Sheet2!$J$25:$O$25</c:f>
              <c:numCache>
                <c:formatCode>General</c:formatCode>
                <c:ptCount val="6"/>
                <c:pt idx="0">
                  <c:v>-4.6399999999999997E-2</c:v>
                </c:pt>
                <c:pt idx="1">
                  <c:v>-6.59E-2</c:v>
                </c:pt>
                <c:pt idx="2">
                  <c:v>-8.2000000000000003E-2</c:v>
                </c:pt>
                <c:pt idx="3">
                  <c:v>-0.13500000000000001</c:v>
                </c:pt>
                <c:pt idx="4">
                  <c:v>-0.19500000000000001</c:v>
                </c:pt>
                <c:pt idx="5">
                  <c:v>-0.23200000000000001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4-4ECA-9EF4-7BF07AD5F689}"/>
            </c:ext>
          </c:extLst>
        </c:ser>
        <c:ser>
          <c:idx val="4"/>
          <c:order val="4"/>
          <c:tx>
            <c:strRef>
              <c:f>Sheet2!$I$26</c:f>
              <c:strCache>
                <c:ptCount val="1"/>
                <c:pt idx="0">
                  <c:v>F 80-89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Sheet2!$J$21:$O$21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Sheet2!$J$26:$O$26</c:f>
              <c:numCache>
                <c:formatCode>General</c:formatCode>
                <c:ptCount val="6"/>
                <c:pt idx="0">
                  <c:v>-8.0799999999999997E-2</c:v>
                </c:pt>
                <c:pt idx="1">
                  <c:v>-4.2500000000000003E-2</c:v>
                </c:pt>
                <c:pt idx="2">
                  <c:v>-3.9899999999999998E-2</c:v>
                </c:pt>
                <c:pt idx="3">
                  <c:v>-6.7400000000000002E-2</c:v>
                </c:pt>
                <c:pt idx="4">
                  <c:v>-0.14299999999999999</c:v>
                </c:pt>
                <c:pt idx="5">
                  <c:v>-0.19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14-4ECA-9EF4-7BF07AD5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22671"/>
        <c:axId val="514926287"/>
      </c:lineChart>
      <c:catAx>
        <c:axId val="57352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26287"/>
        <c:crosses val="autoZero"/>
        <c:auto val="1"/>
        <c:lblAlgn val="ctr"/>
        <c:lblOffset val="100"/>
        <c:noMultiLvlLbl val="0"/>
      </c:catAx>
      <c:valAx>
        <c:axId val="5149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2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Taiwan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Sheet2!$AW$22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Sheet2!$AX$21:$BB$21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Sheet2!$AX$22:$BB$22</c:f>
              <c:numCache>
                <c:formatCode>General</c:formatCode>
                <c:ptCount val="5"/>
                <c:pt idx="0">
                  <c:v>4.3400000000000001E-2</c:v>
                </c:pt>
                <c:pt idx="1">
                  <c:v>4.7100000000000003E-2</c:v>
                </c:pt>
                <c:pt idx="2">
                  <c:v>-5.6500000000000002E-2</c:v>
                </c:pt>
                <c:pt idx="3">
                  <c:v>-0.27700000000000002</c:v>
                </c:pt>
                <c:pt idx="4">
                  <c:v>-0.35399999999999998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9-4E95-BC65-17780B8AD0DC}"/>
            </c:ext>
          </c:extLst>
        </c:ser>
        <c:ser>
          <c:idx val="1"/>
          <c:order val="1"/>
          <c:tx>
            <c:strRef>
              <c:f>Sheet2!$AW$23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Sheet2!$AX$21:$BB$21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Sheet2!$AX$23:$BB$23</c:f>
              <c:numCache>
                <c:formatCode>General</c:formatCode>
                <c:ptCount val="5"/>
                <c:pt idx="0">
                  <c:v>9.9199999999999997E-2</c:v>
                </c:pt>
                <c:pt idx="1">
                  <c:v>3.15E-2</c:v>
                </c:pt>
                <c:pt idx="2">
                  <c:v>-7.4899999999999994E-2</c:v>
                </c:pt>
                <c:pt idx="3">
                  <c:v>-0.21299999999999999</c:v>
                </c:pt>
                <c:pt idx="4">
                  <c:v>-0.39700000000000002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9-4E95-BC65-17780B8AD0DC}"/>
            </c:ext>
          </c:extLst>
        </c:ser>
        <c:ser>
          <c:idx val="2"/>
          <c:order val="2"/>
          <c:tx>
            <c:strRef>
              <c:f>Sheet2!$AW$24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Sheet2!$AX$21:$BB$21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Sheet2!$AX$24:$BB$24</c:f>
              <c:numCache>
                <c:formatCode>General</c:formatCode>
                <c:ptCount val="5"/>
                <c:pt idx="0">
                  <c:v>0.26700000000000002</c:v>
                </c:pt>
                <c:pt idx="1">
                  <c:v>0.17399999999999999</c:v>
                </c:pt>
                <c:pt idx="2">
                  <c:v>1.49E-2</c:v>
                </c:pt>
                <c:pt idx="3">
                  <c:v>-0.129</c:v>
                </c:pt>
                <c:pt idx="4">
                  <c:v>-0.249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9-4E95-BC65-17780B8AD0DC}"/>
            </c:ext>
          </c:extLst>
        </c:ser>
        <c:ser>
          <c:idx val="3"/>
          <c:order val="3"/>
          <c:tx>
            <c:strRef>
              <c:f>Sheet2!$AW$25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Sheet2!$AX$21:$BB$21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Sheet2!$AX$25:$BB$25</c:f>
              <c:numCache>
                <c:formatCode>General</c:formatCode>
                <c:ptCount val="5"/>
                <c:pt idx="0">
                  <c:v>0.38500000000000001</c:v>
                </c:pt>
                <c:pt idx="1">
                  <c:v>0.371</c:v>
                </c:pt>
                <c:pt idx="2">
                  <c:v>0.23699999999999999</c:v>
                </c:pt>
                <c:pt idx="3">
                  <c:v>2.9399999999999999E-2</c:v>
                </c:pt>
                <c:pt idx="4">
                  <c:v>-6.6600000000000006E-2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B9-4E95-BC65-17780B8AD0DC}"/>
            </c:ext>
          </c:extLst>
        </c:ser>
        <c:ser>
          <c:idx val="4"/>
          <c:order val="4"/>
          <c:tx>
            <c:strRef>
              <c:f>Sheet2!$AW$26</c:f>
              <c:strCache>
                <c:ptCount val="1"/>
                <c:pt idx="0">
                  <c:v>F 80-89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Sheet2!$AX$21:$BB$21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Sheet2!$AX$26:$BB$26</c:f>
              <c:numCache>
                <c:formatCode>General</c:formatCode>
                <c:ptCount val="5"/>
                <c:pt idx="0">
                  <c:v>0.41199999999999998</c:v>
                </c:pt>
                <c:pt idx="1">
                  <c:v>0.437</c:v>
                </c:pt>
                <c:pt idx="2">
                  <c:v>0.32500000000000001</c:v>
                </c:pt>
                <c:pt idx="3">
                  <c:v>9.3799999999999994E-2</c:v>
                </c:pt>
                <c:pt idx="4">
                  <c:v>2.46E-2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B9-4E95-BC65-17780B8AD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570351"/>
        <c:axId val="891674479"/>
      </c:lineChart>
      <c:catAx>
        <c:axId val="75057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74479"/>
        <c:crosses val="autoZero"/>
        <c:auto val="1"/>
        <c:lblAlgn val="ctr"/>
        <c:lblOffset val="100"/>
        <c:noMultiLvlLbl val="0"/>
      </c:catAx>
      <c:valAx>
        <c:axId val="8916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7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Taiwan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Sheet2!$AW$30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Sheet2!$AX$29:$BB$29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Sheet2!$AX$30:$BB$30</c:f>
              <c:numCache>
                <c:formatCode>General</c:formatCode>
                <c:ptCount val="5"/>
                <c:pt idx="0">
                  <c:v>-4.2500000000000003E-2</c:v>
                </c:pt>
                <c:pt idx="1">
                  <c:v>0.155</c:v>
                </c:pt>
                <c:pt idx="2">
                  <c:v>0.13300000000000001</c:v>
                </c:pt>
                <c:pt idx="3">
                  <c:v>0.19600000000000001</c:v>
                </c:pt>
                <c:pt idx="4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9-4A93-8E1B-A858007BA69B}"/>
            </c:ext>
          </c:extLst>
        </c:ser>
        <c:ser>
          <c:idx val="1"/>
          <c:order val="1"/>
          <c:tx>
            <c:strRef>
              <c:f>Sheet2!$AW$31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Sheet2!$AX$29:$BB$29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Sheet2!$AX$31:$BB$31</c:f>
              <c:numCache>
                <c:formatCode>General</c:formatCode>
                <c:ptCount val="5"/>
                <c:pt idx="0">
                  <c:v>-0.105</c:v>
                </c:pt>
                <c:pt idx="1">
                  <c:v>-4.9200000000000001E-2</c:v>
                </c:pt>
                <c:pt idx="2">
                  <c:v>0.10299999999999999</c:v>
                </c:pt>
                <c:pt idx="3">
                  <c:v>8.1699999999999995E-2</c:v>
                </c:pt>
                <c:pt idx="4">
                  <c:v>-7.3899999999999999E-3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9-4A93-8E1B-A858007BA69B}"/>
            </c:ext>
          </c:extLst>
        </c:ser>
        <c:ser>
          <c:idx val="2"/>
          <c:order val="2"/>
          <c:tx>
            <c:strRef>
              <c:f>Sheet2!$AW$32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Sheet2!$AX$29:$BB$29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Sheet2!$AX$32:$BB$32</c:f>
              <c:numCache>
                <c:formatCode>General</c:formatCode>
                <c:ptCount val="5"/>
                <c:pt idx="0">
                  <c:v>2.8400000000000001E-3</c:v>
                </c:pt>
                <c:pt idx="1">
                  <c:v>-3.9100000000000003E-2</c:v>
                </c:pt>
                <c:pt idx="2">
                  <c:v>-1.0800000000000001E-2</c:v>
                </c:pt>
                <c:pt idx="3">
                  <c:v>5.6599999999999998E-2</c:v>
                </c:pt>
                <c:pt idx="4">
                  <c:v>-1.11E-2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9-4A93-8E1B-A858007BA69B}"/>
            </c:ext>
          </c:extLst>
        </c:ser>
        <c:ser>
          <c:idx val="3"/>
          <c:order val="3"/>
          <c:tx>
            <c:strRef>
              <c:f>Sheet2!$AW$33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Sheet2!$AX$29:$BB$29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Sheet2!$AX$33:$BB$33</c:f>
              <c:numCache>
                <c:formatCode>General</c:formatCode>
                <c:ptCount val="5"/>
                <c:pt idx="0">
                  <c:v>0.14699999999999999</c:v>
                </c:pt>
                <c:pt idx="1">
                  <c:v>7.0400000000000004E-2</c:v>
                </c:pt>
                <c:pt idx="2">
                  <c:v>3.9899999999999998E-2</c:v>
                </c:pt>
                <c:pt idx="3">
                  <c:v>5.1900000000000002E-2</c:v>
                </c:pt>
                <c:pt idx="4">
                  <c:v>7.4300000000000005E-2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9-4A93-8E1B-A858007BA69B}"/>
            </c:ext>
          </c:extLst>
        </c:ser>
        <c:ser>
          <c:idx val="4"/>
          <c:order val="4"/>
          <c:tx>
            <c:strRef>
              <c:f>Sheet2!$AW$34</c:f>
              <c:strCache>
                <c:ptCount val="1"/>
                <c:pt idx="0">
                  <c:v>M 80-89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Sheet2!$AX$29:$BB$29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Sheet2!$AX$34:$BB$34</c:f>
              <c:numCache>
                <c:formatCode>General</c:formatCode>
                <c:ptCount val="5"/>
                <c:pt idx="0">
                  <c:v>0.192</c:v>
                </c:pt>
                <c:pt idx="1">
                  <c:v>0.14399999999999999</c:v>
                </c:pt>
                <c:pt idx="2">
                  <c:v>0.11799999999999999</c:v>
                </c:pt>
                <c:pt idx="3">
                  <c:v>5.1900000000000002E-2</c:v>
                </c:pt>
                <c:pt idx="4">
                  <c:v>6.8699999999999997E-2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D9-4A93-8E1B-A858007B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411359"/>
        <c:axId val="797816063"/>
      </c:lineChart>
      <c:catAx>
        <c:axId val="88641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16063"/>
        <c:crosses val="autoZero"/>
        <c:auto val="1"/>
        <c:lblAlgn val="ctr"/>
        <c:lblOffset val="100"/>
        <c:noMultiLvlLbl val="0"/>
      </c:catAx>
      <c:valAx>
        <c:axId val="7978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1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Australia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Sheet2!$A$30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Sheet2!$B$29:$G$29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Sheet2!$B$30:$G$30</c:f>
              <c:numCache>
                <c:formatCode>General</c:formatCode>
                <c:ptCount val="6"/>
                <c:pt idx="0">
                  <c:v>-0.214</c:v>
                </c:pt>
                <c:pt idx="1">
                  <c:v>-0.23</c:v>
                </c:pt>
                <c:pt idx="2">
                  <c:v>-0.34699999999999998</c:v>
                </c:pt>
                <c:pt idx="3">
                  <c:v>-0.55200000000000005</c:v>
                </c:pt>
                <c:pt idx="4">
                  <c:v>-0.55500000000000005</c:v>
                </c:pt>
                <c:pt idx="5">
                  <c:v>-0.51800000000000002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C-4955-B1AC-774E0C325141}"/>
            </c:ext>
          </c:extLst>
        </c:ser>
        <c:ser>
          <c:idx val="1"/>
          <c:order val="1"/>
          <c:tx>
            <c:strRef>
              <c:f>Sheet2!$A$31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Sheet2!$B$29:$G$29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Sheet2!$B$31:$G$31</c:f>
              <c:numCache>
                <c:formatCode>General</c:formatCode>
                <c:ptCount val="6"/>
                <c:pt idx="0">
                  <c:v>-0.13</c:v>
                </c:pt>
                <c:pt idx="1">
                  <c:v>-0.107</c:v>
                </c:pt>
                <c:pt idx="2">
                  <c:v>-0.19700000000000001</c:v>
                </c:pt>
                <c:pt idx="3">
                  <c:v>-0.38300000000000001</c:v>
                </c:pt>
                <c:pt idx="4">
                  <c:v>-0.54400000000000004</c:v>
                </c:pt>
                <c:pt idx="5">
                  <c:v>-0.59499999999999997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C-4955-B1AC-774E0C325141}"/>
            </c:ext>
          </c:extLst>
        </c:ser>
        <c:ser>
          <c:idx val="2"/>
          <c:order val="2"/>
          <c:tx>
            <c:strRef>
              <c:f>Sheet2!$A$32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Sheet2!$B$29:$G$29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Sheet2!$B$32:$G$32</c:f>
              <c:numCache>
                <c:formatCode>General</c:formatCode>
                <c:ptCount val="6"/>
                <c:pt idx="0">
                  <c:v>-4.62E-3</c:v>
                </c:pt>
                <c:pt idx="1">
                  <c:v>-3.0500000000000002E-3</c:v>
                </c:pt>
                <c:pt idx="2">
                  <c:v>-7.9200000000000007E-2</c:v>
                </c:pt>
                <c:pt idx="3">
                  <c:v>-0.20599999999999999</c:v>
                </c:pt>
                <c:pt idx="4">
                  <c:v>-0.35799999999999998</c:v>
                </c:pt>
                <c:pt idx="5">
                  <c:v>-0.45700000000000002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C-4955-B1AC-774E0C325141}"/>
            </c:ext>
          </c:extLst>
        </c:ser>
        <c:ser>
          <c:idx val="3"/>
          <c:order val="3"/>
          <c:tx>
            <c:strRef>
              <c:f>Sheet2!$A$33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Sheet2!$B$29:$G$29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Sheet2!$B$33:$G$33</c:f>
              <c:numCache>
                <c:formatCode>General</c:formatCode>
                <c:ptCount val="6"/>
                <c:pt idx="0">
                  <c:v>0.113</c:v>
                </c:pt>
                <c:pt idx="1">
                  <c:v>9.8400000000000001E-2</c:v>
                </c:pt>
                <c:pt idx="2">
                  <c:v>3.5900000000000001E-2</c:v>
                </c:pt>
                <c:pt idx="3">
                  <c:v>-4.8300000000000003E-2</c:v>
                </c:pt>
                <c:pt idx="4">
                  <c:v>-0.17</c:v>
                </c:pt>
                <c:pt idx="5">
                  <c:v>-0.25900000000000001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C-4955-B1AC-774E0C325141}"/>
            </c:ext>
          </c:extLst>
        </c:ser>
        <c:ser>
          <c:idx val="4"/>
          <c:order val="4"/>
          <c:tx>
            <c:strRef>
              <c:f>Sheet2!$A$34</c:f>
              <c:strCache>
                <c:ptCount val="1"/>
                <c:pt idx="0">
                  <c:v>M 80-89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Sheet2!$B$29:$G$29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Sheet2!$B$34:$G$34</c:f>
              <c:numCache>
                <c:formatCode>General</c:formatCode>
                <c:ptCount val="6"/>
                <c:pt idx="0">
                  <c:v>6.3899999999999998E-2</c:v>
                </c:pt>
                <c:pt idx="1">
                  <c:v>0.108</c:v>
                </c:pt>
                <c:pt idx="2">
                  <c:v>6.54E-2</c:v>
                </c:pt>
                <c:pt idx="3">
                  <c:v>-1.17E-2</c:v>
                </c:pt>
                <c:pt idx="4">
                  <c:v>-0.09</c:v>
                </c:pt>
                <c:pt idx="5">
                  <c:v>-0.14799999999999999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BC-4955-B1AC-774E0C32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230415"/>
        <c:axId val="435943295"/>
      </c:lineChart>
      <c:catAx>
        <c:axId val="57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43295"/>
        <c:crosses val="autoZero"/>
        <c:auto val="1"/>
        <c:lblAlgn val="ctr"/>
        <c:lblOffset val="100"/>
        <c:noMultiLvlLbl val="0"/>
      </c:catAx>
      <c:valAx>
        <c:axId val="43594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  <a:r>
              <a:rPr lang="en-US" baseline="0"/>
              <a:t>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Sheet2!$I$30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Sheet2!$J$29:$O$29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Sheet2!$J$30:$O$30</c:f>
              <c:numCache>
                <c:formatCode>General</c:formatCode>
                <c:ptCount val="6"/>
                <c:pt idx="0">
                  <c:v>-0.28699999999999998</c:v>
                </c:pt>
                <c:pt idx="1">
                  <c:v>-0.23100000000000001</c:v>
                </c:pt>
                <c:pt idx="2">
                  <c:v>-0.318</c:v>
                </c:pt>
                <c:pt idx="3">
                  <c:v>-0.44400000000000001</c:v>
                </c:pt>
                <c:pt idx="4">
                  <c:v>-0.51500000000000001</c:v>
                </c:pt>
                <c:pt idx="5">
                  <c:v>-0.53800000000000003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F-4323-A3BD-BCB2F2D30B37}"/>
            </c:ext>
          </c:extLst>
        </c:ser>
        <c:ser>
          <c:idx val="1"/>
          <c:order val="1"/>
          <c:tx>
            <c:strRef>
              <c:f>Sheet2!$I$31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Sheet2!$J$29:$O$29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Sheet2!$J$31:$O$31</c:f>
              <c:numCache>
                <c:formatCode>General</c:formatCode>
                <c:ptCount val="6"/>
                <c:pt idx="0">
                  <c:v>-0.219</c:v>
                </c:pt>
                <c:pt idx="1">
                  <c:v>-0.161</c:v>
                </c:pt>
                <c:pt idx="2">
                  <c:v>-0.19700000000000001</c:v>
                </c:pt>
                <c:pt idx="3">
                  <c:v>-0.28299999999999997</c:v>
                </c:pt>
                <c:pt idx="4">
                  <c:v>-0.372</c:v>
                </c:pt>
                <c:pt idx="5">
                  <c:v>-0.49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F-4323-A3BD-BCB2F2D30B37}"/>
            </c:ext>
          </c:extLst>
        </c:ser>
        <c:ser>
          <c:idx val="2"/>
          <c:order val="2"/>
          <c:tx>
            <c:strRef>
              <c:f>Sheet2!$I$32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Sheet2!$J$29:$O$29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Sheet2!$J$32:$O$32</c:f>
              <c:numCache>
                <c:formatCode>General</c:formatCode>
                <c:ptCount val="6"/>
                <c:pt idx="0">
                  <c:v>-0.16300000000000001</c:v>
                </c:pt>
                <c:pt idx="1">
                  <c:v>-0.114</c:v>
                </c:pt>
                <c:pt idx="2">
                  <c:v>-0.106</c:v>
                </c:pt>
                <c:pt idx="3">
                  <c:v>-0.16</c:v>
                </c:pt>
                <c:pt idx="4">
                  <c:v>-0.21199999999999999</c:v>
                </c:pt>
                <c:pt idx="5">
                  <c:v>-0.30299999999999999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F-4323-A3BD-BCB2F2D30B37}"/>
            </c:ext>
          </c:extLst>
        </c:ser>
        <c:ser>
          <c:idx val="3"/>
          <c:order val="3"/>
          <c:tx>
            <c:strRef>
              <c:f>Sheet2!$I$33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Sheet2!$J$29:$O$29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Sheet2!$J$33:$O$33</c:f>
              <c:numCache>
                <c:formatCode>General</c:formatCode>
                <c:ptCount val="6"/>
                <c:pt idx="0">
                  <c:v>-8.1799999999999998E-2</c:v>
                </c:pt>
                <c:pt idx="1">
                  <c:v>-6.8500000000000005E-2</c:v>
                </c:pt>
                <c:pt idx="2">
                  <c:v>-4.5900000000000003E-2</c:v>
                </c:pt>
                <c:pt idx="3">
                  <c:v>-4.5199999999999997E-2</c:v>
                </c:pt>
                <c:pt idx="4">
                  <c:v>-9.9400000000000002E-2</c:v>
                </c:pt>
                <c:pt idx="5">
                  <c:v>-0.17699999999999999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F-4323-A3BD-BCB2F2D30B37}"/>
            </c:ext>
          </c:extLst>
        </c:ser>
        <c:ser>
          <c:idx val="4"/>
          <c:order val="4"/>
          <c:tx>
            <c:strRef>
              <c:f>Sheet2!$I$34</c:f>
              <c:strCache>
                <c:ptCount val="1"/>
                <c:pt idx="0">
                  <c:v>M 80-89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Sheet2!$J$29:$O$29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Sheet2!$J$34:$O$34</c:f>
              <c:numCache>
                <c:formatCode>General</c:formatCode>
                <c:ptCount val="6"/>
                <c:pt idx="0">
                  <c:v>-9.3700000000000006E-2</c:v>
                </c:pt>
                <c:pt idx="1">
                  <c:v>-4.19E-2</c:v>
                </c:pt>
                <c:pt idx="2">
                  <c:v>-2.18E-2</c:v>
                </c:pt>
                <c:pt idx="3">
                  <c:v>-6.2899999999999996E-3</c:v>
                </c:pt>
                <c:pt idx="4">
                  <c:v>-3.8600000000000002E-2</c:v>
                </c:pt>
                <c:pt idx="5">
                  <c:v>-0.109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AF-4323-A3BD-BCB2F2D3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20143"/>
        <c:axId val="525303151"/>
      </c:lineChart>
      <c:catAx>
        <c:axId val="5790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3151"/>
        <c:crosses val="autoZero"/>
        <c:auto val="1"/>
        <c:lblAlgn val="ctr"/>
        <c:lblOffset val="100"/>
        <c:noMultiLvlLbl val="0"/>
      </c:catAx>
      <c:valAx>
        <c:axId val="5253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Sheet2!$Q$22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Sheet2!$R$21:$W$21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Sheet2!$R$22:$W$22</c:f>
              <c:numCache>
                <c:formatCode>General</c:formatCode>
                <c:ptCount val="6"/>
                <c:pt idx="0">
                  <c:v>-0.214</c:v>
                </c:pt>
                <c:pt idx="1">
                  <c:v>-0.161</c:v>
                </c:pt>
                <c:pt idx="2">
                  <c:v>-0.14199999999999999</c:v>
                </c:pt>
                <c:pt idx="3">
                  <c:v>-0.21299999999999999</c:v>
                </c:pt>
                <c:pt idx="4">
                  <c:v>-0.34100000000000003</c:v>
                </c:pt>
                <c:pt idx="5">
                  <c:v>-0.39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B-447B-996E-78F71719E6FE}"/>
            </c:ext>
          </c:extLst>
        </c:ser>
        <c:ser>
          <c:idx val="1"/>
          <c:order val="1"/>
          <c:tx>
            <c:strRef>
              <c:f>Sheet2!$Q$23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Sheet2!$R$21:$W$21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Sheet2!$R$23:$W$23</c:f>
              <c:numCache>
                <c:formatCode>General</c:formatCode>
                <c:ptCount val="6"/>
                <c:pt idx="0">
                  <c:v>-0.123</c:v>
                </c:pt>
                <c:pt idx="1">
                  <c:v>-2.8500000000000001E-2</c:v>
                </c:pt>
                <c:pt idx="2">
                  <c:v>-3.1699999999999999E-2</c:v>
                </c:pt>
                <c:pt idx="3">
                  <c:v>-0.13800000000000001</c:v>
                </c:pt>
                <c:pt idx="4">
                  <c:v>-0.20599999999999999</c:v>
                </c:pt>
                <c:pt idx="5">
                  <c:v>-0.33800000000000002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B-447B-996E-78F71719E6FE}"/>
            </c:ext>
          </c:extLst>
        </c:ser>
        <c:ser>
          <c:idx val="2"/>
          <c:order val="2"/>
          <c:tx>
            <c:strRef>
              <c:f>Sheet2!$Q$24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Sheet2!$R$21:$W$21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Sheet2!$R$24:$W$24</c:f>
              <c:numCache>
                <c:formatCode>General</c:formatCode>
                <c:ptCount val="6"/>
                <c:pt idx="0">
                  <c:v>-1.38E-2</c:v>
                </c:pt>
                <c:pt idx="1">
                  <c:v>6.59E-2</c:v>
                </c:pt>
                <c:pt idx="2">
                  <c:v>7.8399999999999997E-2</c:v>
                </c:pt>
                <c:pt idx="3">
                  <c:v>-1.7299999999999999E-2</c:v>
                </c:pt>
                <c:pt idx="4">
                  <c:v>-0.152</c:v>
                </c:pt>
                <c:pt idx="5">
                  <c:v>-0.19700000000000001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B-447B-996E-78F71719E6FE}"/>
            </c:ext>
          </c:extLst>
        </c:ser>
        <c:ser>
          <c:idx val="3"/>
          <c:order val="3"/>
          <c:tx>
            <c:strRef>
              <c:f>Sheet2!$Q$25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Sheet2!$R$21:$W$21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Sheet2!$R$25:$W$25</c:f>
              <c:numCache>
                <c:formatCode>General</c:formatCode>
                <c:ptCount val="6"/>
                <c:pt idx="0">
                  <c:v>0.12</c:v>
                </c:pt>
                <c:pt idx="1">
                  <c:v>0.17100000000000001</c:v>
                </c:pt>
                <c:pt idx="2">
                  <c:v>0.17499999999999999</c:v>
                </c:pt>
                <c:pt idx="3">
                  <c:v>0.124</c:v>
                </c:pt>
                <c:pt idx="4">
                  <c:v>-8.7299999999999999E-3</c:v>
                </c:pt>
                <c:pt idx="5">
                  <c:v>-9.1800000000000007E-2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B-447B-996E-78F71719E6FE}"/>
            </c:ext>
          </c:extLst>
        </c:ser>
        <c:ser>
          <c:idx val="4"/>
          <c:order val="4"/>
          <c:tx>
            <c:strRef>
              <c:f>Sheet2!$Q$26</c:f>
              <c:strCache>
                <c:ptCount val="1"/>
                <c:pt idx="0">
                  <c:v>F 80-89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Sheet2!$R$21:$W$21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Sheet2!$R$26:$W$26</c:f>
              <c:numCache>
                <c:formatCode>General</c:formatCode>
                <c:ptCount val="6"/>
                <c:pt idx="0">
                  <c:v>0.113</c:v>
                </c:pt>
                <c:pt idx="1">
                  <c:v>0.20699999999999999</c:v>
                </c:pt>
                <c:pt idx="2">
                  <c:v>0.20799999999999999</c:v>
                </c:pt>
                <c:pt idx="3">
                  <c:v>0.13800000000000001</c:v>
                </c:pt>
                <c:pt idx="4">
                  <c:v>7.1099999999999997E-2</c:v>
                </c:pt>
                <c:pt idx="5">
                  <c:v>-1.46E-2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3B-447B-996E-78F71719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28783"/>
        <c:axId val="525303983"/>
      </c:lineChart>
      <c:catAx>
        <c:axId val="69992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3983"/>
        <c:crosses val="autoZero"/>
        <c:auto val="1"/>
        <c:lblAlgn val="ctr"/>
        <c:lblOffset val="100"/>
        <c:noMultiLvlLbl val="0"/>
      </c:catAx>
      <c:valAx>
        <c:axId val="5253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2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Sheet2!$Q$30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Sheet2!$R$29:$W$29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Sheet2!$R$30:$W$30</c:f>
              <c:numCache>
                <c:formatCode>General</c:formatCode>
                <c:ptCount val="6"/>
                <c:pt idx="0">
                  <c:v>-0.374</c:v>
                </c:pt>
                <c:pt idx="1">
                  <c:v>-0.34</c:v>
                </c:pt>
                <c:pt idx="2">
                  <c:v>-0.32900000000000001</c:v>
                </c:pt>
                <c:pt idx="3">
                  <c:v>-0.44800000000000001</c:v>
                </c:pt>
                <c:pt idx="4">
                  <c:v>-0.41199999999999998</c:v>
                </c:pt>
                <c:pt idx="5">
                  <c:v>-0.377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E-4E0C-BC46-86B7F5083794}"/>
            </c:ext>
          </c:extLst>
        </c:ser>
        <c:ser>
          <c:idx val="1"/>
          <c:order val="1"/>
          <c:tx>
            <c:strRef>
              <c:f>Sheet2!$Q$31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Sheet2!$R$29:$W$29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Sheet2!$R$31:$W$31</c:f>
              <c:numCache>
                <c:formatCode>General</c:formatCode>
                <c:ptCount val="6"/>
                <c:pt idx="0">
                  <c:v>-0.186</c:v>
                </c:pt>
                <c:pt idx="1">
                  <c:v>-0.114</c:v>
                </c:pt>
                <c:pt idx="2">
                  <c:v>-0.107</c:v>
                </c:pt>
                <c:pt idx="3">
                  <c:v>-0.193</c:v>
                </c:pt>
                <c:pt idx="4">
                  <c:v>-0.29799999999999999</c:v>
                </c:pt>
                <c:pt idx="5">
                  <c:v>-0.442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E-4E0C-BC46-86B7F5083794}"/>
            </c:ext>
          </c:extLst>
        </c:ser>
        <c:ser>
          <c:idx val="2"/>
          <c:order val="2"/>
          <c:tx>
            <c:strRef>
              <c:f>Sheet2!$Q$32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Sheet2!$R$29:$W$29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Sheet2!$R$32:$W$32</c:f>
              <c:numCache>
                <c:formatCode>General</c:formatCode>
                <c:ptCount val="6"/>
                <c:pt idx="0">
                  <c:v>2.01E-2</c:v>
                </c:pt>
                <c:pt idx="1">
                  <c:v>4.1599999999999998E-2</c:v>
                </c:pt>
                <c:pt idx="2">
                  <c:v>7.0300000000000001E-2</c:v>
                </c:pt>
                <c:pt idx="3">
                  <c:v>-5.3E-3</c:v>
                </c:pt>
                <c:pt idx="4">
                  <c:v>-0.11700000000000001</c:v>
                </c:pt>
                <c:pt idx="5">
                  <c:v>-0.247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E-4E0C-BC46-86B7F5083794}"/>
            </c:ext>
          </c:extLst>
        </c:ser>
        <c:ser>
          <c:idx val="3"/>
          <c:order val="3"/>
          <c:tx>
            <c:strRef>
              <c:f>Sheet2!$Q$33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Sheet2!$R$29:$W$29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Sheet2!$R$33:$W$33</c:f>
              <c:numCache>
                <c:formatCode>General</c:formatCode>
                <c:ptCount val="6"/>
                <c:pt idx="0">
                  <c:v>0.14499999999999999</c:v>
                </c:pt>
                <c:pt idx="1">
                  <c:v>0.17799999999999999</c:v>
                </c:pt>
                <c:pt idx="2">
                  <c:v>0.17199999999999999</c:v>
                </c:pt>
                <c:pt idx="3">
                  <c:v>0.14599999999999999</c:v>
                </c:pt>
                <c:pt idx="4">
                  <c:v>3.4200000000000001E-2</c:v>
                </c:pt>
                <c:pt idx="5">
                  <c:v>-6.8900000000000003E-2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0E-4E0C-BC46-86B7F5083794}"/>
            </c:ext>
          </c:extLst>
        </c:ser>
        <c:ser>
          <c:idx val="4"/>
          <c:order val="4"/>
          <c:tx>
            <c:strRef>
              <c:f>Sheet2!$Q$34</c:f>
              <c:strCache>
                <c:ptCount val="1"/>
                <c:pt idx="0">
                  <c:v>M 80-89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Sheet2!$R$29:$W$29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Sheet2!$R$34:$W$34</c:f>
              <c:numCache>
                <c:formatCode>General</c:formatCode>
                <c:ptCount val="6"/>
                <c:pt idx="0">
                  <c:v>0.13</c:v>
                </c:pt>
                <c:pt idx="1">
                  <c:v>0.19600000000000001</c:v>
                </c:pt>
                <c:pt idx="2">
                  <c:v>0.19800000000000001</c:v>
                </c:pt>
                <c:pt idx="3">
                  <c:v>0.14199999999999999</c:v>
                </c:pt>
                <c:pt idx="4">
                  <c:v>8.8999999999999996E-2</c:v>
                </c:pt>
                <c:pt idx="5">
                  <c:v>-1.17E-3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0E-4E0C-BC46-86B7F5083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02351"/>
        <c:axId val="425919519"/>
      </c:lineChart>
      <c:catAx>
        <c:axId val="69300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19519"/>
        <c:crosses val="autoZero"/>
        <c:auto val="1"/>
        <c:lblAlgn val="ctr"/>
        <c:lblOffset val="100"/>
        <c:noMultiLvlLbl val="0"/>
      </c:catAx>
      <c:valAx>
        <c:axId val="4259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0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</a:t>
            </a:r>
            <a:r>
              <a:rPr lang="en-US" baseline="0"/>
              <a:t>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Sheet2!$Y$22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Sheet2!$Z$21:$AE$21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Sheet2!$Z$22:$AE$22</c:f>
              <c:numCache>
                <c:formatCode>General</c:formatCode>
                <c:ptCount val="6"/>
                <c:pt idx="0">
                  <c:v>-0.192</c:v>
                </c:pt>
                <c:pt idx="1">
                  <c:v>-0.20799999999999999</c:v>
                </c:pt>
                <c:pt idx="2">
                  <c:v>-0.154</c:v>
                </c:pt>
                <c:pt idx="3">
                  <c:v>-0.189</c:v>
                </c:pt>
                <c:pt idx="4">
                  <c:v>-0.30299999999999999</c:v>
                </c:pt>
                <c:pt idx="5">
                  <c:v>-0.45200000000000001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0-4CF1-B031-757F27088060}"/>
            </c:ext>
          </c:extLst>
        </c:ser>
        <c:ser>
          <c:idx val="1"/>
          <c:order val="1"/>
          <c:tx>
            <c:strRef>
              <c:f>Sheet2!$Y$23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Sheet2!$Z$21:$AE$21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Sheet2!$Z$23:$AE$23</c:f>
              <c:numCache>
                <c:formatCode>General</c:formatCode>
                <c:ptCount val="6"/>
                <c:pt idx="0">
                  <c:v>-0.193</c:v>
                </c:pt>
                <c:pt idx="1">
                  <c:v>-0.23300000000000001</c:v>
                </c:pt>
                <c:pt idx="2">
                  <c:v>-0.29899999999999999</c:v>
                </c:pt>
                <c:pt idx="3">
                  <c:v>-0.36899999999999999</c:v>
                </c:pt>
                <c:pt idx="4">
                  <c:v>-0.34399999999999997</c:v>
                </c:pt>
                <c:pt idx="5">
                  <c:v>-0.40799999999999997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CF1-B031-757F27088060}"/>
            </c:ext>
          </c:extLst>
        </c:ser>
        <c:ser>
          <c:idx val="2"/>
          <c:order val="2"/>
          <c:tx>
            <c:strRef>
              <c:f>Sheet2!$Y$24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Sheet2!$Z$21:$AE$21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Sheet2!$Z$24:$AE$24</c:f>
              <c:numCache>
                <c:formatCode>General</c:formatCode>
                <c:ptCount val="6"/>
                <c:pt idx="0">
                  <c:v>-0.154</c:v>
                </c:pt>
                <c:pt idx="1">
                  <c:v>-0.20799999999999999</c:v>
                </c:pt>
                <c:pt idx="2">
                  <c:v>-0.36599999999999999</c:v>
                </c:pt>
                <c:pt idx="3">
                  <c:v>-0.499</c:v>
                </c:pt>
                <c:pt idx="4">
                  <c:v>-0.53900000000000003</c:v>
                </c:pt>
                <c:pt idx="5">
                  <c:v>-0.48199999999999998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0-4CF1-B031-757F27088060}"/>
            </c:ext>
          </c:extLst>
        </c:ser>
        <c:ser>
          <c:idx val="3"/>
          <c:order val="3"/>
          <c:tx>
            <c:strRef>
              <c:f>Sheet2!$Y$25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Sheet2!$Z$21:$AE$21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Sheet2!$Z$25:$AE$25</c:f>
              <c:numCache>
                <c:formatCode>General</c:formatCode>
                <c:ptCount val="6"/>
                <c:pt idx="0">
                  <c:v>1.17E-2</c:v>
                </c:pt>
                <c:pt idx="1">
                  <c:v>-0.01</c:v>
                </c:pt>
                <c:pt idx="2">
                  <c:v>-0.13300000000000001</c:v>
                </c:pt>
                <c:pt idx="3">
                  <c:v>-0.33300000000000002</c:v>
                </c:pt>
                <c:pt idx="4">
                  <c:v>-0.45900000000000002</c:v>
                </c:pt>
                <c:pt idx="5">
                  <c:v>-0.51100000000000001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70-4CF1-B031-757F27088060}"/>
            </c:ext>
          </c:extLst>
        </c:ser>
        <c:ser>
          <c:idx val="4"/>
          <c:order val="4"/>
          <c:tx>
            <c:strRef>
              <c:f>Sheet2!$Y$26</c:f>
              <c:strCache>
                <c:ptCount val="1"/>
                <c:pt idx="0">
                  <c:v>F 80-89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Sheet2!$Z$21:$AE$21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Sheet2!$Z$26:$AE$26</c:f>
              <c:numCache>
                <c:formatCode>General</c:formatCode>
                <c:ptCount val="6"/>
                <c:pt idx="0">
                  <c:v>7.1900000000000006E-2</c:v>
                </c:pt>
                <c:pt idx="1">
                  <c:v>0.10100000000000001</c:v>
                </c:pt>
                <c:pt idx="2">
                  <c:v>3.3500000000000002E-2</c:v>
                </c:pt>
                <c:pt idx="3">
                  <c:v>-0.18099999999999999</c:v>
                </c:pt>
                <c:pt idx="4">
                  <c:v>-0.307</c:v>
                </c:pt>
                <c:pt idx="5">
                  <c:v>-0.39800000000000002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70-4CF1-B031-757F27088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04943"/>
        <c:axId val="510812687"/>
      </c:lineChart>
      <c:catAx>
        <c:axId val="78210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2687"/>
        <c:crosses val="autoZero"/>
        <c:auto val="1"/>
        <c:lblAlgn val="ctr"/>
        <c:lblOffset val="100"/>
        <c:noMultiLvlLbl val="0"/>
      </c:catAx>
      <c:valAx>
        <c:axId val="510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0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</a:t>
            </a:r>
            <a:r>
              <a:rPr lang="en-US" baseline="0"/>
              <a:t> 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Sheet2!$Y$30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Sheet2!$Z$29:$AE$29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Sheet2!$Z$30:$AE$30</c:f>
              <c:numCache>
                <c:formatCode>General</c:formatCode>
                <c:ptCount val="6"/>
                <c:pt idx="0">
                  <c:v>-8.1699999999999995E-2</c:v>
                </c:pt>
                <c:pt idx="1">
                  <c:v>1.03E-2</c:v>
                </c:pt>
                <c:pt idx="2">
                  <c:v>6.83E-2</c:v>
                </c:pt>
                <c:pt idx="3">
                  <c:v>4.8399999999999997E-3</c:v>
                </c:pt>
                <c:pt idx="4">
                  <c:v>-9.0700000000000003E-2</c:v>
                </c:pt>
                <c:pt idx="5">
                  <c:v>-0.246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7-4558-BA43-7631A7937F46}"/>
            </c:ext>
          </c:extLst>
        </c:ser>
        <c:ser>
          <c:idx val="1"/>
          <c:order val="1"/>
          <c:tx>
            <c:strRef>
              <c:f>Sheet2!$Y$31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Sheet2!$Z$29:$AE$29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Sheet2!$Z$31:$AE$31</c:f>
              <c:numCache>
                <c:formatCode>General</c:formatCode>
                <c:ptCount val="6"/>
                <c:pt idx="0">
                  <c:v>-9.35E-2</c:v>
                </c:pt>
                <c:pt idx="1">
                  <c:v>-5.62E-2</c:v>
                </c:pt>
                <c:pt idx="2">
                  <c:v>5.57E-2</c:v>
                </c:pt>
                <c:pt idx="3">
                  <c:v>-4.8599999999999997E-3</c:v>
                </c:pt>
                <c:pt idx="4">
                  <c:v>-2.3400000000000001E-2</c:v>
                </c:pt>
                <c:pt idx="5">
                  <c:v>-0.153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7-4558-BA43-7631A7937F46}"/>
            </c:ext>
          </c:extLst>
        </c:ser>
        <c:ser>
          <c:idx val="2"/>
          <c:order val="2"/>
          <c:tx>
            <c:strRef>
              <c:f>Sheet2!$Y$32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Sheet2!$Z$29:$AE$29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Sheet2!$Z$32:$AE$32</c:f>
              <c:numCache>
                <c:formatCode>General</c:formatCode>
                <c:ptCount val="6"/>
                <c:pt idx="0">
                  <c:v>-6.2700000000000006E-2</c:v>
                </c:pt>
                <c:pt idx="1">
                  <c:v>-7.1199999999999999E-2</c:v>
                </c:pt>
                <c:pt idx="2">
                  <c:v>-6.7900000000000002E-2</c:v>
                </c:pt>
                <c:pt idx="3">
                  <c:v>-8.4699999999999998E-2</c:v>
                </c:pt>
                <c:pt idx="4">
                  <c:v>-0.11899999999999999</c:v>
                </c:pt>
                <c:pt idx="5">
                  <c:v>-0.14399999999999999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7-4558-BA43-7631A7937F46}"/>
            </c:ext>
          </c:extLst>
        </c:ser>
        <c:ser>
          <c:idx val="3"/>
          <c:order val="3"/>
          <c:tx>
            <c:strRef>
              <c:f>Sheet2!$Y$33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Sheet2!$Z$29:$AE$29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Sheet2!$Z$33:$AE$33</c:f>
              <c:numCache>
                <c:formatCode>General</c:formatCode>
                <c:ptCount val="6"/>
                <c:pt idx="0">
                  <c:v>3.0800000000000001E-2</c:v>
                </c:pt>
                <c:pt idx="1">
                  <c:v>2.1000000000000001E-2</c:v>
                </c:pt>
                <c:pt idx="2">
                  <c:v>-2.9499999999999998E-2</c:v>
                </c:pt>
                <c:pt idx="3">
                  <c:v>-9.4500000000000001E-2</c:v>
                </c:pt>
                <c:pt idx="4">
                  <c:v>-0.112</c:v>
                </c:pt>
                <c:pt idx="5">
                  <c:v>-0.193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7-4558-BA43-7631A7937F46}"/>
            </c:ext>
          </c:extLst>
        </c:ser>
        <c:ser>
          <c:idx val="4"/>
          <c:order val="4"/>
          <c:tx>
            <c:strRef>
              <c:f>Sheet2!$Y$34</c:f>
              <c:strCache>
                <c:ptCount val="1"/>
                <c:pt idx="0">
                  <c:v>M 80-89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Sheet2!$Z$29:$AE$29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Sheet2!$Z$34:$AE$34</c:f>
              <c:numCache>
                <c:formatCode>General</c:formatCode>
                <c:ptCount val="6"/>
                <c:pt idx="0">
                  <c:v>7.1800000000000003E-2</c:v>
                </c:pt>
                <c:pt idx="1">
                  <c:v>8.2500000000000004E-2</c:v>
                </c:pt>
                <c:pt idx="2">
                  <c:v>4.1300000000000003E-2</c:v>
                </c:pt>
                <c:pt idx="3">
                  <c:v>-7.1800000000000003E-2</c:v>
                </c:pt>
                <c:pt idx="4">
                  <c:v>-6.2399999999999997E-2</c:v>
                </c:pt>
                <c:pt idx="5">
                  <c:v>-0.14899999999999999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7-4558-BA43-7631A793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29311"/>
        <c:axId val="525302735"/>
      </c:lineChart>
      <c:catAx>
        <c:axId val="51372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2735"/>
        <c:crosses val="autoZero"/>
        <c:auto val="1"/>
        <c:lblAlgn val="ctr"/>
        <c:lblOffset val="100"/>
        <c:noMultiLvlLbl val="0"/>
      </c:catAx>
      <c:valAx>
        <c:axId val="5253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2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Denmark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Sheet2!$AG$22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Sheet2!$AH$21:$AM$21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Sheet2!$AH$22:$AM$22</c:f>
              <c:numCache>
                <c:formatCode>General</c:formatCode>
                <c:ptCount val="6"/>
                <c:pt idx="0">
                  <c:v>-0.25600000000000001</c:v>
                </c:pt>
                <c:pt idx="1">
                  <c:v>-0.106</c:v>
                </c:pt>
                <c:pt idx="2">
                  <c:v>8.9499999999999996E-2</c:v>
                </c:pt>
                <c:pt idx="3">
                  <c:v>5.0099999999999999E-2</c:v>
                </c:pt>
                <c:pt idx="4">
                  <c:v>-0.24299999999999999</c:v>
                </c:pt>
                <c:pt idx="5">
                  <c:v>-0.52800000000000002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4-4B8C-8B65-5FF2CD8B5965}"/>
            </c:ext>
          </c:extLst>
        </c:ser>
        <c:ser>
          <c:idx val="1"/>
          <c:order val="1"/>
          <c:tx>
            <c:strRef>
              <c:f>Sheet2!$AG$23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Sheet2!$AH$21:$AM$21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Sheet2!$AH$23:$AM$23</c:f>
              <c:numCache>
                <c:formatCode>General</c:formatCode>
                <c:ptCount val="6"/>
                <c:pt idx="0">
                  <c:v>-0.219</c:v>
                </c:pt>
                <c:pt idx="1">
                  <c:v>-8.7999999999999995E-2</c:v>
                </c:pt>
                <c:pt idx="2">
                  <c:v>0.109</c:v>
                </c:pt>
                <c:pt idx="3">
                  <c:v>0.11</c:v>
                </c:pt>
                <c:pt idx="4">
                  <c:v>-1.03E-2</c:v>
                </c:pt>
                <c:pt idx="5">
                  <c:v>-0.23300000000000001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4-4B8C-8B65-5FF2CD8B5965}"/>
            </c:ext>
          </c:extLst>
        </c:ser>
        <c:ser>
          <c:idx val="2"/>
          <c:order val="2"/>
          <c:tx>
            <c:strRef>
              <c:f>Sheet2!$AG$24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Sheet2!$AH$21:$AM$21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Sheet2!$AH$24:$AM$24</c:f>
              <c:numCache>
                <c:formatCode>General</c:formatCode>
                <c:ptCount val="6"/>
                <c:pt idx="0">
                  <c:v>-0.104</c:v>
                </c:pt>
                <c:pt idx="1">
                  <c:v>-6.1899999999999997E-2</c:v>
                </c:pt>
                <c:pt idx="2">
                  <c:v>3.85E-2</c:v>
                </c:pt>
                <c:pt idx="3">
                  <c:v>0.161</c:v>
                </c:pt>
                <c:pt idx="4">
                  <c:v>3.7999999999999999E-2</c:v>
                </c:pt>
                <c:pt idx="5">
                  <c:v>-6.9500000000000006E-2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4-4B8C-8B65-5FF2CD8B5965}"/>
            </c:ext>
          </c:extLst>
        </c:ser>
        <c:ser>
          <c:idx val="3"/>
          <c:order val="3"/>
          <c:tx>
            <c:strRef>
              <c:f>Sheet2!$AG$25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Sheet2!$AH$21:$AM$21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Sheet2!$AH$25:$AM$25</c:f>
              <c:numCache>
                <c:formatCode>General</c:formatCode>
                <c:ptCount val="6"/>
                <c:pt idx="0">
                  <c:v>9.4899999999999998E-2</c:v>
                </c:pt>
                <c:pt idx="1">
                  <c:v>3.78E-2</c:v>
                </c:pt>
                <c:pt idx="2">
                  <c:v>7.3700000000000002E-2</c:v>
                </c:pt>
                <c:pt idx="3">
                  <c:v>0.155</c:v>
                </c:pt>
                <c:pt idx="4">
                  <c:v>0.13600000000000001</c:v>
                </c:pt>
                <c:pt idx="5">
                  <c:v>5.0299999999999997E-3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4-4B8C-8B65-5FF2CD8B5965}"/>
            </c:ext>
          </c:extLst>
        </c:ser>
        <c:ser>
          <c:idx val="4"/>
          <c:order val="4"/>
          <c:tx>
            <c:strRef>
              <c:f>Sheet2!$AG$26</c:f>
              <c:strCache>
                <c:ptCount val="1"/>
                <c:pt idx="0">
                  <c:v>F 80-89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Sheet2!$AH$21:$AM$21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Sheet2!$AH$26:$AM$26</c:f>
              <c:numCache>
                <c:formatCode>General</c:formatCode>
                <c:ptCount val="6"/>
                <c:pt idx="0">
                  <c:v>0.16300000000000001</c:v>
                </c:pt>
                <c:pt idx="1">
                  <c:v>8.4400000000000003E-2</c:v>
                </c:pt>
                <c:pt idx="2">
                  <c:v>0.11700000000000001</c:v>
                </c:pt>
                <c:pt idx="3">
                  <c:v>0.13100000000000001</c:v>
                </c:pt>
                <c:pt idx="4">
                  <c:v>0.122</c:v>
                </c:pt>
                <c:pt idx="5">
                  <c:v>9.9599999999999994E-2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34-4B8C-8B65-5FF2CD8B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445615"/>
        <c:axId val="582512799"/>
      </c:lineChart>
      <c:catAx>
        <c:axId val="7024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12799"/>
        <c:crosses val="autoZero"/>
        <c:auto val="1"/>
        <c:lblAlgn val="ctr"/>
        <c:lblOffset val="100"/>
        <c:noMultiLvlLbl val="0"/>
      </c:catAx>
      <c:valAx>
        <c:axId val="5825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Denmark Male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5"/>
          <c:order val="0"/>
          <c:tx>
            <c:strRef>
              <c:f>Sheet2!$AG$30</c:f>
              <c:strCache>
                <c:ptCount val="1"/>
                <c:pt idx="0">
                  <c:v>M 40-49</c:v>
                </c:pt>
              </c:strCache>
            </c:strRef>
          </c:tx>
          <c:marker>
            <c:symbol val="none"/>
          </c:marker>
          <c:cat>
            <c:numRef>
              <c:f>Sheet2!$AH$29:$AM$29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Sheet2!$AH$30:$AM$30</c:f>
              <c:numCache>
                <c:formatCode>General</c:formatCode>
                <c:ptCount val="6"/>
                <c:pt idx="0">
                  <c:v>-0.55000000000000004</c:v>
                </c:pt>
                <c:pt idx="1">
                  <c:v>-0.34399999999999997</c:v>
                </c:pt>
                <c:pt idx="2">
                  <c:v>-0.14499999999999999</c:v>
                </c:pt>
                <c:pt idx="3">
                  <c:v>-0.15</c:v>
                </c:pt>
                <c:pt idx="4">
                  <c:v>-0.25800000000000001</c:v>
                </c:pt>
                <c:pt idx="5">
                  <c:v>-0.47599999999999998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EC4-4897-A034-639F06A943EB}"/>
            </c:ext>
          </c:extLst>
        </c:ser>
        <c:ser>
          <c:idx val="6"/>
          <c:order val="1"/>
          <c:tx>
            <c:strRef>
              <c:f>Sheet2!$AG$31</c:f>
              <c:strCache>
                <c:ptCount val="1"/>
                <c:pt idx="0">
                  <c:v>M 50-59</c:v>
                </c:pt>
              </c:strCache>
            </c:strRef>
          </c:tx>
          <c:marker>
            <c:symbol val="none"/>
          </c:marker>
          <c:cat>
            <c:numRef>
              <c:f>Sheet2!$AH$29:$AM$29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Sheet2!$AH$31:$AM$31</c:f>
              <c:numCache>
                <c:formatCode>General</c:formatCode>
                <c:ptCount val="6"/>
                <c:pt idx="0">
                  <c:v>-0.41799999999999998</c:v>
                </c:pt>
                <c:pt idx="1">
                  <c:v>-0.255</c:v>
                </c:pt>
                <c:pt idx="2">
                  <c:v>-4.4999999999999998E-2</c:v>
                </c:pt>
                <c:pt idx="3">
                  <c:v>-3.39E-2</c:v>
                </c:pt>
                <c:pt idx="4">
                  <c:v>-7.8600000000000003E-2</c:v>
                </c:pt>
                <c:pt idx="5">
                  <c:v>-0.26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EC4-4897-A034-639F06A943EB}"/>
            </c:ext>
          </c:extLst>
        </c:ser>
        <c:ser>
          <c:idx val="7"/>
          <c:order val="2"/>
          <c:tx>
            <c:strRef>
              <c:f>Sheet2!$AG$32</c:f>
              <c:strCache>
                <c:ptCount val="1"/>
                <c:pt idx="0">
                  <c:v>M 60-69</c:v>
                </c:pt>
              </c:strCache>
            </c:strRef>
          </c:tx>
          <c:marker>
            <c:symbol val="none"/>
          </c:marker>
          <c:cat>
            <c:numRef>
              <c:f>Sheet2!$AH$29:$AM$29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Sheet2!$AH$32:$AM$32</c:f>
              <c:numCache>
                <c:formatCode>General</c:formatCode>
                <c:ptCount val="6"/>
                <c:pt idx="0">
                  <c:v>-0.25600000000000001</c:v>
                </c:pt>
                <c:pt idx="1">
                  <c:v>-0.14399999999999999</c:v>
                </c:pt>
                <c:pt idx="2">
                  <c:v>3.0499999999999999E-2</c:v>
                </c:pt>
                <c:pt idx="3">
                  <c:v>8.8800000000000004E-2</c:v>
                </c:pt>
                <c:pt idx="4">
                  <c:v>1.9E-2</c:v>
                </c:pt>
                <c:pt idx="5">
                  <c:v>-9.4600000000000004E-2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EC4-4897-A034-639F06A943EB}"/>
            </c:ext>
          </c:extLst>
        </c:ser>
        <c:ser>
          <c:idx val="8"/>
          <c:order val="3"/>
          <c:tx>
            <c:strRef>
              <c:f>Sheet2!$AG$33</c:f>
              <c:strCache>
                <c:ptCount val="1"/>
                <c:pt idx="0">
                  <c:v>M 70-79</c:v>
                </c:pt>
              </c:strCache>
            </c:strRef>
          </c:tx>
          <c:marker>
            <c:symbol val="none"/>
          </c:marker>
          <c:cat>
            <c:numRef>
              <c:f>Sheet2!$AH$29:$AM$29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Sheet2!$AH$33:$AM$33</c:f>
              <c:numCache>
                <c:formatCode>General</c:formatCode>
                <c:ptCount val="6"/>
                <c:pt idx="0">
                  <c:v>-8.0399999999999999E-2</c:v>
                </c:pt>
                <c:pt idx="1">
                  <c:v>-2.2800000000000001E-2</c:v>
                </c:pt>
                <c:pt idx="2">
                  <c:v>8.5300000000000001E-2</c:v>
                </c:pt>
                <c:pt idx="3">
                  <c:v>0.17699999999999999</c:v>
                </c:pt>
                <c:pt idx="4">
                  <c:v>0.15</c:v>
                </c:pt>
                <c:pt idx="5">
                  <c:v>2.6700000000000002E-2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EC4-4897-A034-639F06A943EB}"/>
            </c:ext>
          </c:extLst>
        </c:ser>
        <c:ser>
          <c:idx val="9"/>
          <c:order val="4"/>
          <c:tx>
            <c:strRef>
              <c:f>Sheet2!$AG$34</c:f>
              <c:strCache>
                <c:ptCount val="1"/>
                <c:pt idx="0">
                  <c:v>M 80-89</c:v>
                </c:pt>
              </c:strCache>
            </c:strRef>
          </c:tx>
          <c:marker>
            <c:symbol val="none"/>
          </c:marker>
          <c:cat>
            <c:numRef>
              <c:f>Sheet2!$AH$29:$AM$29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Sheet2!$AH$34:$AM$34</c:f>
              <c:numCache>
                <c:formatCode>General</c:formatCode>
                <c:ptCount val="6"/>
                <c:pt idx="0">
                  <c:v>-1.04E-2</c:v>
                </c:pt>
                <c:pt idx="1">
                  <c:v>-1.81E-3</c:v>
                </c:pt>
                <c:pt idx="2">
                  <c:v>0.105</c:v>
                </c:pt>
                <c:pt idx="3">
                  <c:v>0.13100000000000001</c:v>
                </c:pt>
                <c:pt idx="4">
                  <c:v>0.17199999999999999</c:v>
                </c:pt>
                <c:pt idx="5">
                  <c:v>9.0899999999999995E-2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EC4-4897-A034-639F06A943EB}"/>
            </c:ext>
          </c:extLst>
        </c:ser>
        <c:ser>
          <c:idx val="0"/>
          <c:order val="5"/>
          <c:tx>
            <c:strRef>
              <c:f>Sheet2!$AG$30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Sheet2!$AH$29:$AM$29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Sheet2!$AH$30:$AM$30</c:f>
              <c:numCache>
                <c:formatCode>General</c:formatCode>
                <c:ptCount val="6"/>
                <c:pt idx="0">
                  <c:v>-0.55000000000000004</c:v>
                </c:pt>
                <c:pt idx="1">
                  <c:v>-0.34399999999999997</c:v>
                </c:pt>
                <c:pt idx="2">
                  <c:v>-0.14499999999999999</c:v>
                </c:pt>
                <c:pt idx="3">
                  <c:v>-0.15</c:v>
                </c:pt>
                <c:pt idx="4">
                  <c:v>-0.25800000000000001</c:v>
                </c:pt>
                <c:pt idx="5">
                  <c:v>-0.47599999999999998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C4-4897-A034-639F06A943EB}"/>
            </c:ext>
          </c:extLst>
        </c:ser>
        <c:ser>
          <c:idx val="1"/>
          <c:order val="6"/>
          <c:tx>
            <c:strRef>
              <c:f>Sheet2!$AG$31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Sheet2!$AH$29:$AM$29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Sheet2!$AH$31:$AM$31</c:f>
              <c:numCache>
                <c:formatCode>General</c:formatCode>
                <c:ptCount val="6"/>
                <c:pt idx="0">
                  <c:v>-0.41799999999999998</c:v>
                </c:pt>
                <c:pt idx="1">
                  <c:v>-0.255</c:v>
                </c:pt>
                <c:pt idx="2">
                  <c:v>-4.4999999999999998E-2</c:v>
                </c:pt>
                <c:pt idx="3">
                  <c:v>-3.39E-2</c:v>
                </c:pt>
                <c:pt idx="4">
                  <c:v>-7.8600000000000003E-2</c:v>
                </c:pt>
                <c:pt idx="5">
                  <c:v>-0.26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C4-4897-A034-639F06A943EB}"/>
            </c:ext>
          </c:extLst>
        </c:ser>
        <c:ser>
          <c:idx val="2"/>
          <c:order val="7"/>
          <c:tx>
            <c:strRef>
              <c:f>Sheet2!$AG$32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Sheet2!$AH$29:$AM$29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Sheet2!$AH$32:$AM$32</c:f>
              <c:numCache>
                <c:formatCode>General</c:formatCode>
                <c:ptCount val="6"/>
                <c:pt idx="0">
                  <c:v>-0.25600000000000001</c:v>
                </c:pt>
                <c:pt idx="1">
                  <c:v>-0.14399999999999999</c:v>
                </c:pt>
                <c:pt idx="2">
                  <c:v>3.0499999999999999E-2</c:v>
                </c:pt>
                <c:pt idx="3">
                  <c:v>8.8800000000000004E-2</c:v>
                </c:pt>
                <c:pt idx="4">
                  <c:v>1.9E-2</c:v>
                </c:pt>
                <c:pt idx="5">
                  <c:v>-9.4600000000000004E-2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C4-4897-A034-639F06A943EB}"/>
            </c:ext>
          </c:extLst>
        </c:ser>
        <c:ser>
          <c:idx val="3"/>
          <c:order val="8"/>
          <c:tx>
            <c:strRef>
              <c:f>Sheet2!$AG$33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Sheet2!$AH$29:$AM$29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Sheet2!$AH$33:$AM$33</c:f>
              <c:numCache>
                <c:formatCode>General</c:formatCode>
                <c:ptCount val="6"/>
                <c:pt idx="0">
                  <c:v>-8.0399999999999999E-2</c:v>
                </c:pt>
                <c:pt idx="1">
                  <c:v>-2.2800000000000001E-2</c:v>
                </c:pt>
                <c:pt idx="2">
                  <c:v>8.5300000000000001E-2</c:v>
                </c:pt>
                <c:pt idx="3">
                  <c:v>0.17699999999999999</c:v>
                </c:pt>
                <c:pt idx="4">
                  <c:v>0.15</c:v>
                </c:pt>
                <c:pt idx="5">
                  <c:v>2.6700000000000002E-2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EC4-4897-A034-639F06A943EB}"/>
            </c:ext>
          </c:extLst>
        </c:ser>
        <c:ser>
          <c:idx val="4"/>
          <c:order val="9"/>
          <c:tx>
            <c:strRef>
              <c:f>Sheet2!$AG$34</c:f>
              <c:strCache>
                <c:ptCount val="1"/>
                <c:pt idx="0">
                  <c:v>M 80-89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Sheet2!$AH$29:$AM$29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Sheet2!$AH$34:$AM$34</c:f>
              <c:numCache>
                <c:formatCode>General</c:formatCode>
                <c:ptCount val="6"/>
                <c:pt idx="0">
                  <c:v>-1.04E-2</c:v>
                </c:pt>
                <c:pt idx="1">
                  <c:v>-1.81E-3</c:v>
                </c:pt>
                <c:pt idx="2">
                  <c:v>0.105</c:v>
                </c:pt>
                <c:pt idx="3">
                  <c:v>0.13100000000000001</c:v>
                </c:pt>
                <c:pt idx="4">
                  <c:v>0.17199999999999999</c:v>
                </c:pt>
                <c:pt idx="5">
                  <c:v>9.0899999999999995E-2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EC4-4897-A034-639F06A9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28911"/>
        <c:axId val="576529551"/>
      </c:lineChart>
      <c:catAx>
        <c:axId val="51372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9551"/>
        <c:crosses val="autoZero"/>
        <c:auto val="1"/>
        <c:lblAlgn val="ctr"/>
        <c:lblOffset val="100"/>
        <c:noMultiLvlLbl val="0"/>
      </c:catAx>
      <c:valAx>
        <c:axId val="5765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289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4D3DE-F2A8-4DBE-B0BF-34492AA61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19</xdr:row>
      <xdr:rowOff>28575</xdr:rowOff>
    </xdr:from>
    <xdr:to>
      <xdr:col>7</xdr:col>
      <xdr:colOff>552450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6A7E0-BD84-4185-8E0D-76014F803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20</xdr:row>
      <xdr:rowOff>47625</xdr:rowOff>
    </xdr:from>
    <xdr:to>
      <xdr:col>16</xdr:col>
      <xdr:colOff>581025</xdr:colOff>
      <xdr:row>34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BA395B-CC1F-4D95-8DD2-D8880FD85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</xdr:row>
      <xdr:rowOff>0</xdr:rowOff>
    </xdr:from>
    <xdr:to>
      <xdr:col>27</xdr:col>
      <xdr:colOff>304800</xdr:colOff>
      <xdr:row>20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A5E823-F3CF-449E-A3AB-7FFA1D1D0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27</xdr:col>
      <xdr:colOff>304800</xdr:colOff>
      <xdr:row>38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7CCE90-EE2D-4154-B98A-CD0DBD2D9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6</xdr:row>
      <xdr:rowOff>0</xdr:rowOff>
    </xdr:from>
    <xdr:to>
      <xdr:col>36</xdr:col>
      <xdr:colOff>304800</xdr:colOff>
      <xdr:row>20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1EEC33-5027-4463-8244-310157354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24</xdr:row>
      <xdr:rowOff>0</xdr:rowOff>
    </xdr:from>
    <xdr:to>
      <xdr:col>36</xdr:col>
      <xdr:colOff>304800</xdr:colOff>
      <xdr:row>38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5F172B-A848-4CE4-BE45-FFB2D41FD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7</xdr:row>
      <xdr:rowOff>0</xdr:rowOff>
    </xdr:from>
    <xdr:to>
      <xdr:col>45</xdr:col>
      <xdr:colOff>304800</xdr:colOff>
      <xdr:row>21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A189BA-8CB0-458A-8AA3-7E4B89B23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24</xdr:row>
      <xdr:rowOff>0</xdr:rowOff>
    </xdr:from>
    <xdr:to>
      <xdr:col>45</xdr:col>
      <xdr:colOff>304800</xdr:colOff>
      <xdr:row>38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7DF228-BB69-44FC-902F-4229A278E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7</xdr:row>
      <xdr:rowOff>0</xdr:rowOff>
    </xdr:from>
    <xdr:to>
      <xdr:col>55</xdr:col>
      <xdr:colOff>304800</xdr:colOff>
      <xdr:row>21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1645E0-1BAA-41DF-AD56-E5C030BC2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123825</xdr:colOff>
      <xdr:row>23</xdr:row>
      <xdr:rowOff>76200</xdr:rowOff>
    </xdr:from>
    <xdr:to>
      <xdr:col>55</xdr:col>
      <xdr:colOff>428625</xdr:colOff>
      <xdr:row>37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176AC9-C919-4631-9AA3-AA37D0729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371475</xdr:colOff>
      <xdr:row>3</xdr:row>
      <xdr:rowOff>19050</xdr:rowOff>
    </xdr:from>
    <xdr:to>
      <xdr:col>17</xdr:col>
      <xdr:colOff>66675</xdr:colOff>
      <xdr:row>17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531DAD-2D35-4DB2-B3C1-824E2E9FF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58</xdr:col>
      <xdr:colOff>0</xdr:colOff>
      <xdr:row>7</xdr:row>
      <xdr:rowOff>0</xdr:rowOff>
    </xdr:from>
    <xdr:to>
      <xdr:col>65</xdr:col>
      <xdr:colOff>304800</xdr:colOff>
      <xdr:row>21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BDDFC-5DCC-4A68-906D-4E229FD3A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600075</xdr:colOff>
      <xdr:row>23</xdr:row>
      <xdr:rowOff>0</xdr:rowOff>
    </xdr:from>
    <xdr:to>
      <xdr:col>65</xdr:col>
      <xdr:colOff>295275</xdr:colOff>
      <xdr:row>37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13154E8-71FF-4894-9CEE-EEE9F5A3B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4472C4"/>
      </a:accent2>
      <a:accent3>
        <a:srgbClr val="ED7D31"/>
      </a:accent3>
      <a:accent4>
        <a:srgbClr val="70AD47"/>
      </a:accent4>
      <a:accent5>
        <a:srgbClr val="954F72"/>
      </a:accent5>
      <a:accent6>
        <a:srgbClr val="FF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EBC5-BFC6-4664-9DDC-335AF3D8E69D}">
  <dimension ref="A1:CM19"/>
  <sheetViews>
    <sheetView topLeftCell="S1" workbookViewId="0">
      <selection activeCell="AF16" sqref="AF16"/>
    </sheetView>
  </sheetViews>
  <sheetFormatPr defaultRowHeight="15" x14ac:dyDescent="0.25"/>
  <cols>
    <col min="1" max="1" width="13.7109375" bestFit="1" customWidth="1"/>
    <col min="2" max="25" width="16.85546875" bestFit="1" customWidth="1"/>
    <col min="26" max="31" width="14.140625" bestFit="1" customWidth="1"/>
    <col min="32" max="55" width="14.7109375" bestFit="1" customWidth="1"/>
    <col min="56" max="61" width="11.85546875" bestFit="1" customWidth="1"/>
    <col min="62" max="85" width="14.7109375" bestFit="1" customWidth="1"/>
    <col min="86" max="91" width="11.85546875" bestFit="1" customWidth="1"/>
  </cols>
  <sheetData>
    <row r="1" spans="1:91" x14ac:dyDescent="0.25">
      <c r="A1" t="str">
        <f>""</f>
        <v/>
      </c>
      <c r="B1" t="str">
        <f>"(1)"</f>
        <v>(1)</v>
      </c>
      <c r="C1" t="str">
        <f>"(2)"</f>
        <v>(2)</v>
      </c>
      <c r="D1" t="str">
        <f>"(3)"</f>
        <v>(3)</v>
      </c>
      <c r="E1" t="str">
        <f>"(4)"</f>
        <v>(4)</v>
      </c>
      <c r="F1" t="str">
        <f>"(5)"</f>
        <v>(5)</v>
      </c>
      <c r="G1" t="str">
        <f>"(6)"</f>
        <v>(6)</v>
      </c>
      <c r="H1" t="str">
        <f>"(7)"</f>
        <v>(7)</v>
      </c>
      <c r="I1" t="str">
        <f>"(8)"</f>
        <v>(8)</v>
      </c>
      <c r="J1" t="str">
        <f>"(9)"</f>
        <v>(9)</v>
      </c>
      <c r="K1" t="str">
        <f>"(10)"</f>
        <v>(10)</v>
      </c>
      <c r="L1" t="str">
        <f>"(11)"</f>
        <v>(11)</v>
      </c>
      <c r="M1" t="str">
        <f>"(12)"</f>
        <v>(12)</v>
      </c>
      <c r="N1" t="str">
        <f>"(13)"</f>
        <v>(13)</v>
      </c>
      <c r="O1" t="str">
        <f>"(14)"</f>
        <v>(14)</v>
      </c>
      <c r="P1" t="str">
        <f>"(15)"</f>
        <v>(15)</v>
      </c>
      <c r="Q1" t="str">
        <f>"(16)"</f>
        <v>(16)</v>
      </c>
      <c r="R1" t="str">
        <f>"(17)"</f>
        <v>(17)</v>
      </c>
      <c r="S1" t="str">
        <f>"(18)"</f>
        <v>(18)</v>
      </c>
      <c r="T1" t="str">
        <f>"(19)"</f>
        <v>(19)</v>
      </c>
      <c r="U1" t="str">
        <f>"(20)"</f>
        <v>(20)</v>
      </c>
      <c r="V1" t="str">
        <f>"(21)"</f>
        <v>(21)</v>
      </c>
      <c r="W1" t="str">
        <f>"(22)"</f>
        <v>(22)</v>
      </c>
      <c r="X1" t="str">
        <f>"(23)"</f>
        <v>(23)</v>
      </c>
      <c r="Y1" t="str">
        <f>"(24)"</f>
        <v>(24)</v>
      </c>
      <c r="Z1" t="str">
        <f>"(25)"</f>
        <v>(25)</v>
      </c>
      <c r="AA1" t="str">
        <f>"(26)"</f>
        <v>(26)</v>
      </c>
      <c r="AB1" t="str">
        <f>"(27)"</f>
        <v>(27)</v>
      </c>
      <c r="AC1" t="str">
        <f>"(28)"</f>
        <v>(28)</v>
      </c>
      <c r="AD1" t="str">
        <f>"(29)"</f>
        <v>(29)</v>
      </c>
      <c r="AE1" t="str">
        <f>"(30)"</f>
        <v>(30)</v>
      </c>
      <c r="AF1" t="str">
        <f>"(31)"</f>
        <v>(31)</v>
      </c>
      <c r="AG1" t="str">
        <f>"(32)"</f>
        <v>(32)</v>
      </c>
      <c r="AH1" t="str">
        <f>"(33)"</f>
        <v>(33)</v>
      </c>
      <c r="AI1" t="str">
        <f>"(34)"</f>
        <v>(34)</v>
      </c>
      <c r="AJ1" t="str">
        <f>"(35)"</f>
        <v>(35)</v>
      </c>
      <c r="AK1" t="str">
        <f>"(36)"</f>
        <v>(36)</v>
      </c>
      <c r="AL1" t="str">
        <f>"(37)"</f>
        <v>(37)</v>
      </c>
      <c r="AM1" t="str">
        <f>"(38)"</f>
        <v>(38)</v>
      </c>
      <c r="AN1" t="str">
        <f>"(39)"</f>
        <v>(39)</v>
      </c>
      <c r="AO1" t="str">
        <f>"(40)"</f>
        <v>(40)</v>
      </c>
      <c r="AP1" t="str">
        <f>"(41)"</f>
        <v>(41)</v>
      </c>
      <c r="AQ1" t="str">
        <f>"(42)"</f>
        <v>(42)</v>
      </c>
      <c r="AR1" t="str">
        <f>"(43)"</f>
        <v>(43)</v>
      </c>
      <c r="AS1" t="str">
        <f>"(44)"</f>
        <v>(44)</v>
      </c>
      <c r="AT1" t="str">
        <f>"(45)"</f>
        <v>(45)</v>
      </c>
      <c r="AU1" t="str">
        <f>"(46)"</f>
        <v>(46)</v>
      </c>
      <c r="AV1" t="str">
        <f>"(47)"</f>
        <v>(47)</v>
      </c>
      <c r="AW1" t="str">
        <f>"(48)"</f>
        <v>(48)</v>
      </c>
      <c r="AX1" t="str">
        <f>"(49)"</f>
        <v>(49)</v>
      </c>
      <c r="AY1" t="str">
        <f>"(50)"</f>
        <v>(50)</v>
      </c>
      <c r="AZ1" t="str">
        <f>"(51)"</f>
        <v>(51)</v>
      </c>
      <c r="BA1" t="str">
        <f>"(52)"</f>
        <v>(52)</v>
      </c>
      <c r="BB1" t="str">
        <f>"(53)"</f>
        <v>(53)</v>
      </c>
      <c r="BC1" t="str">
        <f>"(54)"</f>
        <v>(54)</v>
      </c>
      <c r="BD1" t="str">
        <f>"(55)"</f>
        <v>(55)</v>
      </c>
      <c r="BE1" t="str">
        <f>"(56)"</f>
        <v>(56)</v>
      </c>
      <c r="BF1" t="str">
        <f>"(57)"</f>
        <v>(57)</v>
      </c>
      <c r="BG1" t="str">
        <f>"(58)"</f>
        <v>(58)</v>
      </c>
      <c r="BH1" t="str">
        <f>"(59)"</f>
        <v>(59)</v>
      </c>
      <c r="BI1" t="str">
        <f>"(60)"</f>
        <v>(60)</v>
      </c>
      <c r="BJ1" t="str">
        <f>"(61)"</f>
        <v>(61)</v>
      </c>
      <c r="BK1" t="str">
        <f>"(62)"</f>
        <v>(62)</v>
      </c>
      <c r="BL1" t="str">
        <f>"(63)"</f>
        <v>(63)</v>
      </c>
      <c r="BM1" t="str">
        <f>"(64)"</f>
        <v>(64)</v>
      </c>
      <c r="BN1" t="str">
        <f>"(65)"</f>
        <v>(65)</v>
      </c>
      <c r="BO1" t="str">
        <f>"(66)"</f>
        <v>(66)</v>
      </c>
      <c r="BP1" t="str">
        <f>"(67)"</f>
        <v>(67)</v>
      </c>
      <c r="BQ1" t="str">
        <f>"(68)"</f>
        <v>(68)</v>
      </c>
      <c r="BR1" t="str">
        <f>"(69)"</f>
        <v>(69)</v>
      </c>
      <c r="BS1" t="str">
        <f>"(70)"</f>
        <v>(70)</v>
      </c>
      <c r="BT1" t="str">
        <f>"(71)"</f>
        <v>(71)</v>
      </c>
      <c r="BU1" t="str">
        <f>"(72)"</f>
        <v>(72)</v>
      </c>
      <c r="BV1" t="str">
        <f>"(73)"</f>
        <v>(73)</v>
      </c>
      <c r="BW1" t="str">
        <f>"(74)"</f>
        <v>(74)</v>
      </c>
      <c r="BX1" t="str">
        <f>"(75)"</f>
        <v>(75)</v>
      </c>
      <c r="BY1" t="str">
        <f>"(76)"</f>
        <v>(76)</v>
      </c>
      <c r="BZ1" t="str">
        <f>"(77)"</f>
        <v>(77)</v>
      </c>
      <c r="CA1" t="str">
        <f>"(78)"</f>
        <v>(78)</v>
      </c>
      <c r="CB1" t="str">
        <f>"(79)"</f>
        <v>(79)</v>
      </c>
      <c r="CC1" t="str">
        <f>"(80)"</f>
        <v>(80)</v>
      </c>
      <c r="CD1" t="str">
        <f>"(81)"</f>
        <v>(81)</v>
      </c>
      <c r="CE1" t="str">
        <f>"(82)"</f>
        <v>(82)</v>
      </c>
      <c r="CF1" t="str">
        <f>"(83)"</f>
        <v>(83)</v>
      </c>
      <c r="CG1" t="str">
        <f>"(84)"</f>
        <v>(84)</v>
      </c>
      <c r="CH1" t="str">
        <f>"(85)"</f>
        <v>(85)</v>
      </c>
      <c r="CI1" t="str">
        <f>"(86)"</f>
        <v>(86)</v>
      </c>
      <c r="CJ1" t="str">
        <f>"(87)"</f>
        <v>(87)</v>
      </c>
      <c r="CK1" t="str">
        <f>"(88)"</f>
        <v>(88)</v>
      </c>
      <c r="CL1" t="str">
        <f>"(89)"</f>
        <v>(89)</v>
      </c>
      <c r="CM1" t="str">
        <f>"(90)"</f>
        <v>(90)</v>
      </c>
    </row>
    <row r="2" spans="1:91" x14ac:dyDescent="0.25">
      <c r="A2" t="str">
        <f>""</f>
        <v/>
      </c>
      <c r="B2" t="str">
        <f>"Female1960 40-49"</f>
        <v>Female1960 40-49</v>
      </c>
      <c r="C2" t="str">
        <f>"Female1970 40-49"</f>
        <v>Female1970 40-49</v>
      </c>
      <c r="D2" t="str">
        <f>"Female1980 40-49"</f>
        <v>Female1980 40-49</v>
      </c>
      <c r="E2" t="str">
        <f>"Female1990 40-49"</f>
        <v>Female1990 40-49</v>
      </c>
      <c r="F2" t="str">
        <f>"Female2000 40-49"</f>
        <v>Female2000 40-49</v>
      </c>
      <c r="G2" t="str">
        <f>"Female2010 40-49"</f>
        <v>Female2010 40-49</v>
      </c>
      <c r="H2" t="str">
        <f>"Female1960 50-59"</f>
        <v>Female1960 50-59</v>
      </c>
      <c r="I2" t="str">
        <f>"Female1970 50-59"</f>
        <v>Female1970 50-59</v>
      </c>
      <c r="J2" t="str">
        <f>"Female1980 50-59"</f>
        <v>Female1980 50-59</v>
      </c>
      <c r="K2" t="str">
        <f>"Female1990 50-59"</f>
        <v>Female1990 50-59</v>
      </c>
      <c r="L2" t="str">
        <f>"Female2000 50-59"</f>
        <v>Female2000 50-59</v>
      </c>
      <c r="M2" t="str">
        <f>"Female2010 50-59"</f>
        <v>Female2010 50-59</v>
      </c>
      <c r="N2" t="str">
        <f>"Female1960 60-69"</f>
        <v>Female1960 60-69</v>
      </c>
      <c r="O2" t="str">
        <f>"Female1970 60-69"</f>
        <v>Female1970 60-69</v>
      </c>
      <c r="P2" t="str">
        <f>"Female1980 60-69"</f>
        <v>Female1980 60-69</v>
      </c>
      <c r="Q2" t="str">
        <f>"Female1990 60-69"</f>
        <v>Female1990 60-69</v>
      </c>
      <c r="R2" t="str">
        <f>"Female2000 60-69"</f>
        <v>Female2000 60-69</v>
      </c>
      <c r="S2" t="str">
        <f>"Female2010 60-69"</f>
        <v>Female2010 60-69</v>
      </c>
      <c r="T2" t="str">
        <f>"Female1960 70-79"</f>
        <v>Female1960 70-79</v>
      </c>
      <c r="U2" t="str">
        <f>"Female1970 70-79"</f>
        <v>Female1970 70-79</v>
      </c>
      <c r="V2" t="str">
        <f>"Female1980 70-79"</f>
        <v>Female1980 70-79</v>
      </c>
      <c r="W2" t="str">
        <f>"Female1990 70-79"</f>
        <v>Female1990 70-79</v>
      </c>
      <c r="X2" t="str">
        <f>"Female2000 70-79"</f>
        <v>Female2000 70-79</v>
      </c>
      <c r="Y2" t="str">
        <f>"Female2010 70-79"</f>
        <v>Female2010 70-79</v>
      </c>
      <c r="Z2" t="str">
        <f>"Female1960 80"</f>
        <v>Female1960 80</v>
      </c>
      <c r="AA2" t="str">
        <f>"Female1970 80"</f>
        <v>Female1970 80</v>
      </c>
      <c r="AB2" t="str">
        <f>"Female1980 80"</f>
        <v>Female1980 80</v>
      </c>
      <c r="AC2" t="str">
        <f>"Female1990 80"</f>
        <v>Female1990 80</v>
      </c>
      <c r="AD2" t="str">
        <f>"Female2000 80"</f>
        <v>Female2000 80</v>
      </c>
      <c r="AE2" t="str">
        <f>"Female2010 80"</f>
        <v>Female2010 80</v>
      </c>
      <c r="AF2" t="str">
        <f>"Male1960 40-49"</f>
        <v>Male1960 40-49</v>
      </c>
      <c r="AG2" t="str">
        <f>"Male1970 40-49"</f>
        <v>Male1970 40-49</v>
      </c>
      <c r="AH2" t="str">
        <f>"Male1980 40-49"</f>
        <v>Male1980 40-49</v>
      </c>
      <c r="AI2" t="str">
        <f>"Male1990 40-49"</f>
        <v>Male1990 40-49</v>
      </c>
      <c r="AJ2" t="str">
        <f>"Male2000 40-49"</f>
        <v>Male2000 40-49</v>
      </c>
      <c r="AK2" t="str">
        <f>"Male2010 40-49"</f>
        <v>Male2010 40-49</v>
      </c>
      <c r="AL2" t="str">
        <f>"Male1960 50-59"</f>
        <v>Male1960 50-59</v>
      </c>
      <c r="AM2" t="str">
        <f>"Male1970 50-59"</f>
        <v>Male1970 50-59</v>
      </c>
      <c r="AN2" t="str">
        <f>"Male1980 50-59"</f>
        <v>Male1980 50-59</v>
      </c>
      <c r="AO2" t="str">
        <f>"Male1990 50-59"</f>
        <v>Male1990 50-59</v>
      </c>
      <c r="AP2" t="str">
        <f>"Male2000 50-59"</f>
        <v>Male2000 50-59</v>
      </c>
      <c r="AQ2" t="str">
        <f>"Male2010 50-59"</f>
        <v>Male2010 50-59</v>
      </c>
      <c r="AR2" t="str">
        <f>"Male1960 60-69"</f>
        <v>Male1960 60-69</v>
      </c>
      <c r="AS2" t="str">
        <f>"Male1970 60-69"</f>
        <v>Male1970 60-69</v>
      </c>
      <c r="AT2" t="str">
        <f>"Male1980 60-69"</f>
        <v>Male1980 60-69</v>
      </c>
      <c r="AU2" t="str">
        <f>"Male1990 60-69"</f>
        <v>Male1990 60-69</v>
      </c>
      <c r="AV2" t="str">
        <f>"Male2000 60-69"</f>
        <v>Male2000 60-69</v>
      </c>
      <c r="AW2" t="str">
        <f>"Male2010 60-69"</f>
        <v>Male2010 60-69</v>
      </c>
      <c r="AX2" t="str">
        <f>"Male1960 70-79"</f>
        <v>Male1960 70-79</v>
      </c>
      <c r="AY2" t="str">
        <f>"Male1970 70-79"</f>
        <v>Male1970 70-79</v>
      </c>
      <c r="AZ2" t="str">
        <f>"Male1980 70-79"</f>
        <v>Male1980 70-79</v>
      </c>
      <c r="BA2" t="str">
        <f>"Male1990 70-79"</f>
        <v>Male1990 70-79</v>
      </c>
      <c r="BB2" t="str">
        <f>"Male2000 70-79"</f>
        <v>Male2000 70-79</v>
      </c>
      <c r="BC2" t="str">
        <f>"Male2010 70-79"</f>
        <v>Male2010 70-79</v>
      </c>
      <c r="BD2" t="str">
        <f>"Male1960 80"</f>
        <v>Male1960 80</v>
      </c>
      <c r="BE2" t="str">
        <f>"Male1970 80"</f>
        <v>Male1970 80</v>
      </c>
      <c r="BF2" t="str">
        <f>"Male1980 80"</f>
        <v>Male1980 80</v>
      </c>
      <c r="BG2" t="str">
        <f>"Male1990 80"</f>
        <v>Male1990 80</v>
      </c>
      <c r="BH2" t="str">
        <f>"Male2000 80"</f>
        <v>Male2000 80</v>
      </c>
      <c r="BI2" t="str">
        <f>"Male2010 80"</f>
        <v>Male2010 80</v>
      </c>
      <c r="BJ2" t="str">
        <f>"Total1960 40-49"</f>
        <v>Total1960 40-49</v>
      </c>
      <c r="BK2" t="str">
        <f>"Total1970 40-49"</f>
        <v>Total1970 40-49</v>
      </c>
      <c r="BL2" t="str">
        <f>"Total1980 40-49"</f>
        <v>Total1980 40-49</v>
      </c>
      <c r="BM2" t="str">
        <f>"Total1990 40-49"</f>
        <v>Total1990 40-49</v>
      </c>
      <c r="BN2" t="str">
        <f>"Total2000 40-49"</f>
        <v>Total2000 40-49</v>
      </c>
      <c r="BO2" t="str">
        <f>"Total2010 40-49"</f>
        <v>Total2010 40-49</v>
      </c>
      <c r="BP2" t="str">
        <f>"Total1960 50-59"</f>
        <v>Total1960 50-59</v>
      </c>
      <c r="BQ2" t="str">
        <f>"Total1970 50-59"</f>
        <v>Total1970 50-59</v>
      </c>
      <c r="BR2" t="str">
        <f>"Total1980 50-59"</f>
        <v>Total1980 50-59</v>
      </c>
      <c r="BS2" t="str">
        <f>"Total1990 50-59"</f>
        <v>Total1990 50-59</v>
      </c>
      <c r="BT2" t="str">
        <f>"Total2000 50-59"</f>
        <v>Total2000 50-59</v>
      </c>
      <c r="BU2" t="str">
        <f>"Total2010 50-59"</f>
        <v>Total2010 50-59</v>
      </c>
      <c r="BV2" t="str">
        <f>"Total1960 60-69"</f>
        <v>Total1960 60-69</v>
      </c>
      <c r="BW2" t="str">
        <f>"Total1970 60-69"</f>
        <v>Total1970 60-69</v>
      </c>
      <c r="BX2" t="str">
        <f>"Total1980 60-69"</f>
        <v>Total1980 60-69</v>
      </c>
      <c r="BY2" t="str">
        <f>"Total1990 60-69"</f>
        <v>Total1990 60-69</v>
      </c>
      <c r="BZ2" t="str">
        <f>"Total2000 60-69"</f>
        <v>Total2000 60-69</v>
      </c>
      <c r="CA2" t="str">
        <f>"Total2010 60-69"</f>
        <v>Total2010 60-69</v>
      </c>
      <c r="CB2" t="str">
        <f>"Total1960 70-79"</f>
        <v>Total1960 70-79</v>
      </c>
      <c r="CC2" t="str">
        <f>"Total1970 70-79"</f>
        <v>Total1970 70-79</v>
      </c>
      <c r="CD2" t="str">
        <f>"Total1980 70-79"</f>
        <v>Total1980 70-79</v>
      </c>
      <c r="CE2" t="str">
        <f>"Total1990 70-79"</f>
        <v>Total1990 70-79</v>
      </c>
      <c r="CF2" t="str">
        <f>"Total2000 70-79"</f>
        <v>Total2000 70-79</v>
      </c>
      <c r="CG2" t="str">
        <f>"Total2010 70-79"</f>
        <v>Total2010 70-79</v>
      </c>
      <c r="CH2" t="str">
        <f>"Total1960 80"</f>
        <v>Total1960 80</v>
      </c>
      <c r="CI2" t="str">
        <f>"Total1970 80"</f>
        <v>Total1970 80</v>
      </c>
      <c r="CJ2" t="str">
        <f>"Total1980 80"</f>
        <v>Total1980 80</v>
      </c>
      <c r="CK2" t="str">
        <f>"Total1990 80"</f>
        <v>Total1990 80</v>
      </c>
      <c r="CL2" t="str">
        <f>"Total2000 80"</f>
        <v>Total2000 80</v>
      </c>
      <c r="CM2" t="str">
        <f>"Total2010 80"</f>
        <v>Total2010 80</v>
      </c>
    </row>
    <row r="3" spans="1:91" x14ac:dyDescent="0.25">
      <c r="A3" t="str">
        <f>"Australia"</f>
        <v>Australia</v>
      </c>
      <c r="B3" t="str">
        <f>"-0.164"</f>
        <v>-0.164</v>
      </c>
      <c r="C3" t="str">
        <f>"-0.175"</f>
        <v>-0.175</v>
      </c>
      <c r="D3" t="str">
        <f>"-0.258"</f>
        <v>-0.258</v>
      </c>
      <c r="E3" t="str">
        <f>"-0.416"</f>
        <v>-0.416</v>
      </c>
      <c r="F3" t="str">
        <f>"-0.559"</f>
        <v>-0.559</v>
      </c>
      <c r="G3" t="str">
        <f>"-0.570"</f>
        <v>-0.570</v>
      </c>
      <c r="H3" t="str">
        <f>"-0.0835"</f>
        <v>-0.0835</v>
      </c>
      <c r="I3" t="str">
        <f>"-0.0900"</f>
        <v>-0.0900</v>
      </c>
      <c r="J3" t="str">
        <f>"-0.225"</f>
        <v>-0.225</v>
      </c>
      <c r="K3" t="str">
        <f>"-0.366"</f>
        <v>-0.366</v>
      </c>
      <c r="L3" t="str">
        <f>"-0.503"</f>
        <v>-0.503</v>
      </c>
      <c r="M3" t="str">
        <f>"-0.592"</f>
        <v>-0.592</v>
      </c>
      <c r="N3" t="str">
        <f>"-0.0184"</f>
        <v>-0.0184</v>
      </c>
      <c r="O3" t="str">
        <f>"0.000133"</f>
        <v>0.000133</v>
      </c>
      <c r="P3" t="str">
        <f>"-0.154"</f>
        <v>-0.154</v>
      </c>
      <c r="Q3" t="str">
        <f>"-0.317"</f>
        <v>-0.317</v>
      </c>
      <c r="R3" t="str">
        <f>"-0.456"</f>
        <v>-0.456</v>
      </c>
      <c r="S3" t="str">
        <f>"-0.500"</f>
        <v>-0.500</v>
      </c>
      <c r="T3" t="str">
        <f>"0.0889"</f>
        <v>0.0889</v>
      </c>
      <c r="U3" t="str">
        <f>"0.0985"</f>
        <v>0.0985</v>
      </c>
      <c r="V3" t="str">
        <f>"0.00901"</f>
        <v>0.00901</v>
      </c>
      <c r="W3" t="str">
        <f>"-0.127"</f>
        <v>-0.127</v>
      </c>
      <c r="X3" t="str">
        <f>"-0.312"</f>
        <v>-0.312</v>
      </c>
      <c r="Y3" t="str">
        <f>"-0.356"</f>
        <v>-0.356</v>
      </c>
      <c r="Z3" t="str">
        <f>"0.0599"</f>
        <v>0.0599</v>
      </c>
      <c r="AA3" t="str">
        <f>"0.120"</f>
        <v>0.120</v>
      </c>
      <c r="AB3" t="str">
        <f>"0.0700"</f>
        <v>0.0700</v>
      </c>
      <c r="AC3" t="str">
        <f>"-0.0356"</f>
        <v>-0.0356</v>
      </c>
      <c r="AD3" t="str">
        <f>"-0.197"</f>
        <v>-0.197</v>
      </c>
      <c r="AE3" t="str">
        <f>"-0.239"</f>
        <v>-0.239</v>
      </c>
      <c r="AF3" t="str">
        <f>"-0.214"</f>
        <v>-0.214</v>
      </c>
      <c r="AG3" t="str">
        <f>"-0.230"</f>
        <v>-0.230</v>
      </c>
      <c r="AH3" t="str">
        <f>"-0.347"</f>
        <v>-0.347</v>
      </c>
      <c r="AI3" t="str">
        <f>"-0.552"</f>
        <v>-0.552</v>
      </c>
      <c r="AJ3" t="str">
        <f>"-0.555"</f>
        <v>-0.555</v>
      </c>
      <c r="AK3" t="str">
        <f>"-0.518"</f>
        <v>-0.518</v>
      </c>
      <c r="AL3" t="str">
        <f>"-0.130"</f>
        <v>-0.130</v>
      </c>
      <c r="AM3" t="str">
        <f>"-0.107"</f>
        <v>-0.107</v>
      </c>
      <c r="AN3" t="str">
        <f>"-0.197"</f>
        <v>-0.197</v>
      </c>
      <c r="AO3" t="str">
        <f>"-0.383"</f>
        <v>-0.383</v>
      </c>
      <c r="AP3" t="str">
        <f>"-0.544"</f>
        <v>-0.544</v>
      </c>
      <c r="AQ3" t="str">
        <f>"-0.595"</f>
        <v>-0.595</v>
      </c>
      <c r="AR3" t="str">
        <f>"-0.00462"</f>
        <v>-0.00462</v>
      </c>
      <c r="AS3" t="str">
        <f>"-0.00305"</f>
        <v>-0.00305</v>
      </c>
      <c r="AT3" t="str">
        <f>"-0.0792"</f>
        <v>-0.0792</v>
      </c>
      <c r="AU3" t="str">
        <f>"-0.206"</f>
        <v>-0.206</v>
      </c>
      <c r="AV3" t="str">
        <f>"-0.358"</f>
        <v>-0.358</v>
      </c>
      <c r="AW3" t="str">
        <f>"-0.457"</f>
        <v>-0.457</v>
      </c>
      <c r="AX3" t="str">
        <f>"0.113"</f>
        <v>0.113</v>
      </c>
      <c r="AY3" t="str">
        <f>"0.0984"</f>
        <v>0.0984</v>
      </c>
      <c r="AZ3" t="str">
        <f>"0.0359"</f>
        <v>0.0359</v>
      </c>
      <c r="BA3" t="str">
        <f>"-0.0483"</f>
        <v>-0.0483</v>
      </c>
      <c r="BB3" t="str">
        <f>"-0.170"</f>
        <v>-0.170</v>
      </c>
      <c r="BC3" t="str">
        <f>"-0.259"</f>
        <v>-0.259</v>
      </c>
      <c r="BD3" t="str">
        <f>"0.0639"</f>
        <v>0.0639</v>
      </c>
      <c r="BE3" t="str">
        <f>"0.108"</f>
        <v>0.108</v>
      </c>
      <c r="BF3" t="str">
        <f>"0.0654"</f>
        <v>0.0654</v>
      </c>
      <c r="BG3" t="str">
        <f>"-0.0117"</f>
        <v>-0.0117</v>
      </c>
      <c r="BH3" t="str">
        <f>"-0.0900"</f>
        <v>-0.0900</v>
      </c>
      <c r="BI3" t="str">
        <f>"-0.148"</f>
        <v>-0.148</v>
      </c>
      <c r="BJ3" t="str">
        <f>"-0.183"</f>
        <v>-0.183</v>
      </c>
      <c r="BK3" t="str">
        <f>"-0.194"</f>
        <v>-0.194</v>
      </c>
      <c r="BL3" t="str">
        <f>"-0.301"</f>
        <v>-0.301</v>
      </c>
      <c r="BM3" t="str">
        <f>"-0.497"</f>
        <v>-0.497</v>
      </c>
      <c r="BN3" t="str">
        <f>"-0.555"</f>
        <v>-0.555</v>
      </c>
      <c r="BO3" t="str">
        <f>"-0.538"</f>
        <v>-0.538</v>
      </c>
      <c r="BP3" t="str">
        <f>"-0.0983"</f>
        <v>-0.0983</v>
      </c>
      <c r="BQ3" t="str">
        <f>"-0.0862"</f>
        <v>-0.0862</v>
      </c>
      <c r="BR3" t="str">
        <f>"-0.188"</f>
        <v>-0.188</v>
      </c>
      <c r="BS3" t="str">
        <f>"-0.364"</f>
        <v>-0.364</v>
      </c>
      <c r="BT3" t="str">
        <f>"-0.521"</f>
        <v>-0.521</v>
      </c>
      <c r="BU3" t="str">
        <f>"-0.591"</f>
        <v>-0.591</v>
      </c>
      <c r="BV3" t="str">
        <f>"-0.00576"</f>
        <v>-0.00576</v>
      </c>
      <c r="BW3" t="str">
        <f>"0.0133"</f>
        <v>0.0133</v>
      </c>
      <c r="BX3" t="str">
        <f>"-0.0931"</f>
        <v>-0.0931</v>
      </c>
      <c r="BY3" t="str">
        <f>"-0.232"</f>
        <v>-0.232</v>
      </c>
      <c r="BZ3" t="str">
        <f>"-0.384"</f>
        <v>-0.384</v>
      </c>
      <c r="CA3" t="str">
        <f>"-0.464"</f>
        <v>-0.464</v>
      </c>
      <c r="CB3" t="str">
        <f>"0.0935"</f>
        <v>0.0935</v>
      </c>
      <c r="CC3" t="str">
        <f>"0.101"</f>
        <v>0.101</v>
      </c>
      <c r="CD3" t="str">
        <f>"0.0372"</f>
        <v>0.0372</v>
      </c>
      <c r="CE3" t="str">
        <f>"-0.0709"</f>
        <v>-0.0709</v>
      </c>
      <c r="CF3" t="str">
        <f>"-0.218"</f>
        <v>-0.218</v>
      </c>
      <c r="CG3" t="str">
        <f>"-0.289"</f>
        <v>-0.289</v>
      </c>
      <c r="CH3" t="str">
        <f>"0.0551"</f>
        <v>0.0551</v>
      </c>
      <c r="CI3" t="str">
        <f>"0.106"</f>
        <v>0.106</v>
      </c>
      <c r="CJ3" t="str">
        <f>"0.0751"</f>
        <v>0.0751</v>
      </c>
      <c r="CK3" t="str">
        <f>"-0.0163"</f>
        <v>-0.0163</v>
      </c>
      <c r="CL3" t="str">
        <f>"-0.132"</f>
        <v>-0.132</v>
      </c>
      <c r="CM3" t="str">
        <f>"-0.181"</f>
        <v>-0.181</v>
      </c>
    </row>
    <row r="4" spans="1:91" x14ac:dyDescent="0.25">
      <c r="A4" t="str">
        <f>"Canada"</f>
        <v>Canada</v>
      </c>
      <c r="B4" t="str">
        <f>"-0.282"</f>
        <v>-0.282</v>
      </c>
      <c r="C4" t="str">
        <f>"-0.240"</f>
        <v>-0.240</v>
      </c>
      <c r="D4" t="str">
        <f>"-0.221"</f>
        <v>-0.221</v>
      </c>
      <c r="E4" t="str">
        <f>"-0.310"</f>
        <v>-0.310</v>
      </c>
      <c r="F4" t="str">
        <f>"-0.451"</f>
        <v>-0.451</v>
      </c>
      <c r="G4" t="str">
        <f>"-0.518"</f>
        <v>-0.518</v>
      </c>
      <c r="H4" t="str">
        <f>"-0.177"</f>
        <v>-0.177</v>
      </c>
      <c r="I4" t="str">
        <f>"-0.181"</f>
        <v>-0.181</v>
      </c>
      <c r="J4" t="str">
        <f>"-0.212"</f>
        <v>-0.212</v>
      </c>
      <c r="K4" t="str">
        <f>"-0.260"</f>
        <v>-0.260</v>
      </c>
      <c r="L4" t="str">
        <f>"-0.310"</f>
        <v>-0.310</v>
      </c>
      <c r="M4" t="str">
        <f>"-0.405"</f>
        <v>-0.405</v>
      </c>
      <c r="N4" t="str">
        <f>"-0.111"</f>
        <v>-0.111</v>
      </c>
      <c r="O4" t="str">
        <f>"-0.108"</f>
        <v>-0.108</v>
      </c>
      <c r="P4" t="str">
        <f>"-0.179"</f>
        <v>-0.179</v>
      </c>
      <c r="Q4" t="str">
        <f>"-0.238"</f>
        <v>-0.238</v>
      </c>
      <c r="R4" t="str">
        <f>"-0.266"</f>
        <v>-0.266</v>
      </c>
      <c r="S4" t="str">
        <f>"-0.280"</f>
        <v>-0.280</v>
      </c>
      <c r="T4" t="str">
        <f>"-0.0464"</f>
        <v>-0.0464</v>
      </c>
      <c r="U4" t="str">
        <f>"-0.0659"</f>
        <v>-0.0659</v>
      </c>
      <c r="V4" t="str">
        <f>"-0.0820"</f>
        <v>-0.0820</v>
      </c>
      <c r="W4" t="str">
        <f>"-0.135"</f>
        <v>-0.135</v>
      </c>
      <c r="X4" t="str">
        <f>"-0.195"</f>
        <v>-0.195</v>
      </c>
      <c r="Y4" t="str">
        <f>"-0.232"</f>
        <v>-0.232</v>
      </c>
      <c r="Z4" t="str">
        <f>"-0.0808"</f>
        <v>-0.0808</v>
      </c>
      <c r="AA4" t="str">
        <f>"-0.0425"</f>
        <v>-0.0425</v>
      </c>
      <c r="AB4" t="str">
        <f>"-0.0399"</f>
        <v>-0.0399</v>
      </c>
      <c r="AC4" t="str">
        <f>"-0.0674"</f>
        <v>-0.0674</v>
      </c>
      <c r="AD4" t="str">
        <f>"-0.143"</f>
        <v>-0.143</v>
      </c>
      <c r="AE4" t="str">
        <f>"-0.190"</f>
        <v>-0.190</v>
      </c>
      <c r="AF4" t="str">
        <f>"-0.287"</f>
        <v>-0.287</v>
      </c>
      <c r="AG4" t="str">
        <f>"-0.231"</f>
        <v>-0.231</v>
      </c>
      <c r="AH4" t="str">
        <f>"-0.318"</f>
        <v>-0.318</v>
      </c>
      <c r="AI4" t="str">
        <f>"-0.444"</f>
        <v>-0.444</v>
      </c>
      <c r="AJ4" t="str">
        <f>"-0.515"</f>
        <v>-0.515</v>
      </c>
      <c r="AK4" t="str">
        <f>"-0.538"</f>
        <v>-0.538</v>
      </c>
      <c r="AL4" t="str">
        <f>"-0.219"</f>
        <v>-0.219</v>
      </c>
      <c r="AM4" t="str">
        <f>"-0.161"</f>
        <v>-0.161</v>
      </c>
      <c r="AN4" t="str">
        <f>"-0.197"</f>
        <v>-0.197</v>
      </c>
      <c r="AO4" t="str">
        <f>"-0.283"</f>
        <v>-0.283</v>
      </c>
      <c r="AP4" t="str">
        <f>"-0.372"</f>
        <v>-0.372</v>
      </c>
      <c r="AQ4" t="str">
        <f>"-0.490"</f>
        <v>-0.490</v>
      </c>
      <c r="AR4" t="str">
        <f>"-0.163"</f>
        <v>-0.163</v>
      </c>
      <c r="AS4" t="str">
        <f>"-0.114"</f>
        <v>-0.114</v>
      </c>
      <c r="AT4" t="str">
        <f>"-0.106"</f>
        <v>-0.106</v>
      </c>
      <c r="AU4" t="str">
        <f>"-0.160"</f>
        <v>-0.160</v>
      </c>
      <c r="AV4" t="str">
        <f>"-0.212"</f>
        <v>-0.212</v>
      </c>
      <c r="AW4" t="str">
        <f>"-0.303"</f>
        <v>-0.303</v>
      </c>
      <c r="AX4" t="str">
        <f>"-0.0818"</f>
        <v>-0.0818</v>
      </c>
      <c r="AY4" t="str">
        <f>"-0.0685"</f>
        <v>-0.0685</v>
      </c>
      <c r="AZ4" t="str">
        <f>"-0.0459"</f>
        <v>-0.0459</v>
      </c>
      <c r="BA4" t="str">
        <f>"-0.0452"</f>
        <v>-0.0452</v>
      </c>
      <c r="BB4" t="str">
        <f>"-0.0994"</f>
        <v>-0.0994</v>
      </c>
      <c r="BC4" t="str">
        <f>"-0.177"</f>
        <v>-0.177</v>
      </c>
      <c r="BD4" t="str">
        <f>"-0.0937"</f>
        <v>-0.0937</v>
      </c>
      <c r="BE4" t="str">
        <f>"-0.0419"</f>
        <v>-0.0419</v>
      </c>
      <c r="BF4" t="str">
        <f>"-0.0218"</f>
        <v>-0.0218</v>
      </c>
      <c r="BG4" t="str">
        <f>"-0.00629"</f>
        <v>-0.00629</v>
      </c>
      <c r="BH4" t="str">
        <f>"-0.0386"</f>
        <v>-0.0386</v>
      </c>
      <c r="BI4" t="str">
        <f>"-0.109"</f>
        <v>-0.109</v>
      </c>
      <c r="BJ4" t="str">
        <f>"-0.278"</f>
        <v>-0.278</v>
      </c>
      <c r="BK4" t="str">
        <f>"-0.223"</f>
        <v>-0.223</v>
      </c>
      <c r="BL4" t="str">
        <f>"-0.273"</f>
        <v>-0.273</v>
      </c>
      <c r="BM4" t="str">
        <f>"-0.391"</f>
        <v>-0.391</v>
      </c>
      <c r="BN4" t="str">
        <f>"-0.488"</f>
        <v>-0.488</v>
      </c>
      <c r="BO4" t="str">
        <f>"-0.527"</f>
        <v>-0.527</v>
      </c>
      <c r="BP4" t="str">
        <f>"-0.191"</f>
        <v>-0.191</v>
      </c>
      <c r="BQ4" t="str">
        <f>"-0.159"</f>
        <v>-0.159</v>
      </c>
      <c r="BR4" t="str">
        <f>"-0.192"</f>
        <v>-0.192</v>
      </c>
      <c r="BS4" t="str">
        <f>"-0.266"</f>
        <v>-0.266</v>
      </c>
      <c r="BT4" t="str">
        <f>"-0.343"</f>
        <v>-0.343</v>
      </c>
      <c r="BU4" t="str">
        <f>"-0.451"</f>
        <v>-0.451</v>
      </c>
      <c r="BV4" t="str">
        <f>"-0.127"</f>
        <v>-0.127</v>
      </c>
      <c r="BW4" t="str">
        <f>"-0.0949"</f>
        <v>-0.0949</v>
      </c>
      <c r="BX4" t="str">
        <f>"-0.127"</f>
        <v>-0.127</v>
      </c>
      <c r="BY4" t="str">
        <f>"-0.181"</f>
        <v>-0.181</v>
      </c>
      <c r="BZ4" t="str">
        <f>"-0.227"</f>
        <v>-0.227</v>
      </c>
      <c r="CA4" t="str">
        <f>"-0.287"</f>
        <v>-0.287</v>
      </c>
      <c r="CB4" t="str">
        <f>"-0.0514"</f>
        <v>-0.0514</v>
      </c>
      <c r="CC4" t="str">
        <f>"-0.0505"</f>
        <v>-0.0505</v>
      </c>
      <c r="CD4" t="str">
        <f>"-0.0475"</f>
        <v>-0.0475</v>
      </c>
      <c r="CE4" t="str">
        <f>"-0.0799"</f>
        <v>-0.0799</v>
      </c>
      <c r="CF4" t="str">
        <f>"-0.136"</f>
        <v>-0.136</v>
      </c>
      <c r="CG4" t="str">
        <f>"-0.196"</f>
        <v>-0.196</v>
      </c>
      <c r="CH4" t="str">
        <f>"-0.0709"</f>
        <v>-0.0709</v>
      </c>
      <c r="CI4" t="str">
        <f>"-0.0286"</f>
        <v>-0.0286</v>
      </c>
      <c r="CJ4" t="str">
        <f>"-0.0144"</f>
        <v>-0.0144</v>
      </c>
      <c r="CK4" t="str">
        <f>"-0.0297"</f>
        <v>-0.0297</v>
      </c>
      <c r="CL4" t="str">
        <f>"-0.0880"</f>
        <v>-0.0880</v>
      </c>
      <c r="CM4" t="str">
        <f>"-0.142"</f>
        <v>-0.142</v>
      </c>
    </row>
    <row r="5" spans="1:91" x14ac:dyDescent="0.25">
      <c r="A5" t="str">
        <f>"Denmark"</f>
        <v>Denmark</v>
      </c>
      <c r="B5" t="str">
        <f>"-0.256"</f>
        <v>-0.256</v>
      </c>
      <c r="C5" t="str">
        <f>"-0.106"</f>
        <v>-0.106</v>
      </c>
      <c r="D5" t="str">
        <f>"0.0895"</f>
        <v>0.0895</v>
      </c>
      <c r="E5" t="str">
        <f>"0.0501"</f>
        <v>0.0501</v>
      </c>
      <c r="F5" t="str">
        <f>"-0.243"</f>
        <v>-0.243</v>
      </c>
      <c r="G5" t="str">
        <f>"-0.528"</f>
        <v>-0.528</v>
      </c>
      <c r="H5" t="str">
        <f>"-0.219"</f>
        <v>-0.219</v>
      </c>
      <c r="I5" t="str">
        <f>"-0.0880"</f>
        <v>-0.0880</v>
      </c>
      <c r="J5" t="str">
        <f>"0.109"</f>
        <v>0.109</v>
      </c>
      <c r="K5" t="str">
        <f>"0.110"</f>
        <v>0.110</v>
      </c>
      <c r="L5" t="str">
        <f>"-0.0103"</f>
        <v>-0.0103</v>
      </c>
      <c r="M5" t="str">
        <f>"-0.233"</f>
        <v>-0.233</v>
      </c>
      <c r="N5" t="str">
        <f>"-0.104"</f>
        <v>-0.104</v>
      </c>
      <c r="O5" t="str">
        <f>"-0.0619"</f>
        <v>-0.0619</v>
      </c>
      <c r="P5" t="str">
        <f>"0.0385"</f>
        <v>0.0385</v>
      </c>
      <c r="Q5" t="str">
        <f>"0.161"</f>
        <v>0.161</v>
      </c>
      <c r="R5" t="str">
        <f>"0.0380"</f>
        <v>0.0380</v>
      </c>
      <c r="S5" t="str">
        <f>"-0.0695"</f>
        <v>-0.0695</v>
      </c>
      <c r="T5" t="str">
        <f>"0.0949"</f>
        <v>0.0949</v>
      </c>
      <c r="U5" t="str">
        <f>"0.0378"</f>
        <v>0.0378</v>
      </c>
      <c r="V5" t="str">
        <f>"0.0737"</f>
        <v>0.0737</v>
      </c>
      <c r="W5" t="str">
        <f>"0.155"</f>
        <v>0.155</v>
      </c>
      <c r="X5" t="str">
        <f>"0.136"</f>
        <v>0.136</v>
      </c>
      <c r="Y5" t="str">
        <f>"0.00503"</f>
        <v>0.00503</v>
      </c>
      <c r="Z5" t="str">
        <f>"0.163"</f>
        <v>0.163</v>
      </c>
      <c r="AA5" t="str">
        <f>"0.0844"</f>
        <v>0.0844</v>
      </c>
      <c r="AB5" t="str">
        <f>"0.117"</f>
        <v>0.117</v>
      </c>
      <c r="AC5" t="str">
        <f>"0.131"</f>
        <v>0.131</v>
      </c>
      <c r="AD5" t="str">
        <f>"0.122"</f>
        <v>0.122</v>
      </c>
      <c r="AE5" t="str">
        <f>"0.0996"</f>
        <v>0.0996</v>
      </c>
      <c r="AF5" t="str">
        <f>"-0.550"</f>
        <v>-0.550</v>
      </c>
      <c r="AG5" t="str">
        <f>"-0.344"</f>
        <v>-0.344</v>
      </c>
      <c r="AH5" t="str">
        <f>"-0.145"</f>
        <v>-0.145</v>
      </c>
      <c r="AI5" t="str">
        <f>"-0.150"</f>
        <v>-0.150</v>
      </c>
      <c r="AJ5" t="str">
        <f>"-0.258"</f>
        <v>-0.258</v>
      </c>
      <c r="AK5" t="str">
        <f>"-0.476"</f>
        <v>-0.476</v>
      </c>
      <c r="AL5" t="str">
        <f>"-0.418"</f>
        <v>-0.418</v>
      </c>
      <c r="AM5" t="str">
        <f>"-0.255"</f>
        <v>-0.255</v>
      </c>
      <c r="AN5" t="str">
        <f>"-0.0450"</f>
        <v>-0.0450</v>
      </c>
      <c r="AO5" t="str">
        <f>"-0.0339"</f>
        <v>-0.0339</v>
      </c>
      <c r="AP5" t="str">
        <f>"-0.0786"</f>
        <v>-0.0786</v>
      </c>
      <c r="AQ5" t="str">
        <f>"-0.260"</f>
        <v>-0.260</v>
      </c>
      <c r="AR5" t="str">
        <f>"-0.256"</f>
        <v>-0.256</v>
      </c>
      <c r="AS5" t="str">
        <f>"-0.144"</f>
        <v>-0.144</v>
      </c>
      <c r="AT5" t="str">
        <f>"0.0305"</f>
        <v>0.0305</v>
      </c>
      <c r="AU5" t="str">
        <f>"0.0888"</f>
        <v>0.0888</v>
      </c>
      <c r="AV5" t="str">
        <f>"0.0190"</f>
        <v>0.0190</v>
      </c>
      <c r="AW5" t="str">
        <f>"-0.0946"</f>
        <v>-0.0946</v>
      </c>
      <c r="AX5" t="str">
        <f>"-0.0804"</f>
        <v>-0.0804</v>
      </c>
      <c r="AY5" t="str">
        <f>"-0.0228"</f>
        <v>-0.0228</v>
      </c>
      <c r="AZ5" t="str">
        <f>"0.0853"</f>
        <v>0.0853</v>
      </c>
      <c r="BA5" t="str">
        <f>"0.177"</f>
        <v>0.177</v>
      </c>
      <c r="BB5" t="str">
        <f>"0.150"</f>
        <v>0.150</v>
      </c>
      <c r="BC5" t="str">
        <f>"0.0267"</f>
        <v>0.0267</v>
      </c>
      <c r="BD5" t="str">
        <f>"-0.0104"</f>
        <v>-0.0104</v>
      </c>
      <c r="BE5" t="str">
        <f>"-0.00181"</f>
        <v>-0.00181</v>
      </c>
      <c r="BF5" t="str">
        <f>"0.105"</f>
        <v>0.105</v>
      </c>
      <c r="BG5" t="str">
        <f>"0.131"</f>
        <v>0.131</v>
      </c>
      <c r="BH5" t="str">
        <f>"0.172"</f>
        <v>0.172</v>
      </c>
      <c r="BI5" t="str">
        <f>"0.0909"</f>
        <v>0.0909</v>
      </c>
      <c r="BJ5" t="str">
        <f>"-0.424"</f>
        <v>-0.424</v>
      </c>
      <c r="BK5" t="str">
        <f>"-0.243"</f>
        <v>-0.243</v>
      </c>
      <c r="BL5" t="str">
        <f>"-0.0450"</f>
        <v>-0.0450</v>
      </c>
      <c r="BM5" t="str">
        <f>"-0.0668"</f>
        <v>-0.0668</v>
      </c>
      <c r="BN5" t="str">
        <f>"-0.243"</f>
        <v>-0.243</v>
      </c>
      <c r="BO5" t="str">
        <f>"-0.487"</f>
        <v>-0.487</v>
      </c>
      <c r="BP5" t="str">
        <f>"-0.341"</f>
        <v>-0.341</v>
      </c>
      <c r="BQ5" t="str">
        <f>"-0.184"</f>
        <v>-0.184</v>
      </c>
      <c r="BR5" t="str">
        <f>"0.0221"</f>
        <v>0.0221</v>
      </c>
      <c r="BS5" t="str">
        <f>"0.0311"</f>
        <v>0.0311</v>
      </c>
      <c r="BT5" t="str">
        <f>"-0.0440"</f>
        <v>-0.0440</v>
      </c>
      <c r="BU5" t="str">
        <f>"-0.242"</f>
        <v>-0.242</v>
      </c>
      <c r="BV5" t="str">
        <f>"-0.195"</f>
        <v>-0.195</v>
      </c>
      <c r="BW5" t="str">
        <f>"-0.103"</f>
        <v>-0.103</v>
      </c>
      <c r="BX5" t="str">
        <f>"0.0432"</f>
        <v>0.0432</v>
      </c>
      <c r="BY5" t="str">
        <f>"0.125"</f>
        <v>0.125</v>
      </c>
      <c r="BZ5" t="str">
        <f>"0.0346"</f>
        <v>0.0346</v>
      </c>
      <c r="CA5" t="str">
        <f>"-0.0764"</f>
        <v>-0.0764</v>
      </c>
      <c r="CB5" t="str">
        <f>"0.00481"</f>
        <v>0.00481</v>
      </c>
      <c r="CC5" t="str">
        <f>"0.0138"</f>
        <v>0.0138</v>
      </c>
      <c r="CD5" t="str">
        <f>"0.0901"</f>
        <v>0.0901</v>
      </c>
      <c r="CE5" t="str">
        <f>"0.171"</f>
        <v>0.171</v>
      </c>
      <c r="CF5" t="str">
        <f>"0.147"</f>
        <v>0.147</v>
      </c>
      <c r="CG5" t="str">
        <f>"0.0232"</f>
        <v>0.0232</v>
      </c>
      <c r="CH5" t="str">
        <f>"0.0864"</f>
        <v>0.0864</v>
      </c>
      <c r="CI5" t="str">
        <f>"0.0534"</f>
        <v>0.0534</v>
      </c>
      <c r="CJ5" t="str">
        <f>"0.118"</f>
        <v>0.118</v>
      </c>
      <c r="CK5" t="str">
        <f>"0.135"</f>
        <v>0.135</v>
      </c>
      <c r="CL5" t="str">
        <f>"0.148"</f>
        <v>0.148</v>
      </c>
      <c r="CM5" t="str">
        <f>"0.0984"</f>
        <v>0.0984</v>
      </c>
    </row>
    <row r="6" spans="1:91" x14ac:dyDescent="0.25">
      <c r="A6" t="str">
        <f>"France"</f>
        <v>France</v>
      </c>
      <c r="B6" t="str">
        <f>"-0.192"</f>
        <v>-0.192</v>
      </c>
      <c r="C6" t="str">
        <f>"-0.208"</f>
        <v>-0.208</v>
      </c>
      <c r="D6" t="str">
        <f>"-0.154"</f>
        <v>-0.154</v>
      </c>
      <c r="E6" t="str">
        <f>"-0.189"</f>
        <v>-0.189</v>
      </c>
      <c r="F6" t="str">
        <f>"-0.303"</f>
        <v>-0.303</v>
      </c>
      <c r="G6" t="str">
        <f>"-0.452"</f>
        <v>-0.452</v>
      </c>
      <c r="H6" t="str">
        <f>"-0.193"</f>
        <v>-0.193</v>
      </c>
      <c r="I6" t="str">
        <f>"-0.233"</f>
        <v>-0.233</v>
      </c>
      <c r="J6" t="str">
        <f>"-0.299"</f>
        <v>-0.299</v>
      </c>
      <c r="K6" t="str">
        <f>"-0.369"</f>
        <v>-0.369</v>
      </c>
      <c r="L6" t="str">
        <f>"-0.344"</f>
        <v>-0.344</v>
      </c>
      <c r="M6" t="str">
        <f>"-0.408"</f>
        <v>-0.408</v>
      </c>
      <c r="N6" t="str">
        <f>"-0.154"</f>
        <v>-0.154</v>
      </c>
      <c r="O6" t="str">
        <f>"-0.208"</f>
        <v>-0.208</v>
      </c>
      <c r="P6" t="str">
        <f>"-0.366"</f>
        <v>-0.366</v>
      </c>
      <c r="Q6" t="str">
        <f>"-0.499"</f>
        <v>-0.499</v>
      </c>
      <c r="R6" t="str">
        <f>"-0.539"</f>
        <v>-0.539</v>
      </c>
      <c r="S6" t="str">
        <f>"-0.482"</f>
        <v>-0.482</v>
      </c>
      <c r="T6" t="str">
        <f>"0.0117"</f>
        <v>0.0117</v>
      </c>
      <c r="U6" t="str">
        <f>"-0.0100"</f>
        <v>-0.0100</v>
      </c>
      <c r="V6" t="str">
        <f>"-0.133"</f>
        <v>-0.133</v>
      </c>
      <c r="W6" t="str">
        <f>"-0.333"</f>
        <v>-0.333</v>
      </c>
      <c r="X6" t="str">
        <f>"-0.459"</f>
        <v>-0.459</v>
      </c>
      <c r="Y6" t="str">
        <f>"-0.511"</f>
        <v>-0.511</v>
      </c>
      <c r="Z6" t="str">
        <f>"0.0719"</f>
        <v>0.0719</v>
      </c>
      <c r="AA6" t="str">
        <f>"0.101"</f>
        <v>0.101</v>
      </c>
      <c r="AB6" t="str">
        <f>"0.0335"</f>
        <v>0.0335</v>
      </c>
      <c r="AC6" t="str">
        <f>"-0.181"</f>
        <v>-0.181</v>
      </c>
      <c r="AD6" t="str">
        <f>"-0.307"</f>
        <v>-0.307</v>
      </c>
      <c r="AE6" t="str">
        <f>"-0.398"</f>
        <v>-0.398</v>
      </c>
      <c r="AF6" t="str">
        <f>"-0.0817"</f>
        <v>-0.0817</v>
      </c>
      <c r="AG6" t="str">
        <f>"0.0103"</f>
        <v>0.0103</v>
      </c>
      <c r="AH6" t="str">
        <f>"0.0683"</f>
        <v>0.0683</v>
      </c>
      <c r="AI6" t="str">
        <f>"0.00484"</f>
        <v>0.00484</v>
      </c>
      <c r="AJ6" t="str">
        <f>"-0.0907"</f>
        <v>-0.0907</v>
      </c>
      <c r="AK6" t="str">
        <f>"-0.246"</f>
        <v>-0.246</v>
      </c>
      <c r="AL6" t="str">
        <f>"-0.0935"</f>
        <v>-0.0935</v>
      </c>
      <c r="AM6" t="str">
        <f>"-0.0562"</f>
        <v>-0.0562</v>
      </c>
      <c r="AN6" t="str">
        <f>"0.0557"</f>
        <v>0.0557</v>
      </c>
      <c r="AO6" t="str">
        <f>"-0.00486"</f>
        <v>-0.00486</v>
      </c>
      <c r="AP6" t="str">
        <f>"-0.0234"</f>
        <v>-0.0234</v>
      </c>
      <c r="AQ6" t="str">
        <f>"-0.153"</f>
        <v>-0.153</v>
      </c>
      <c r="AR6" t="str">
        <f>"-0.0627"</f>
        <v>-0.0627</v>
      </c>
      <c r="AS6" t="str">
        <f>"-0.0712"</f>
        <v>-0.0712</v>
      </c>
      <c r="AT6" t="str">
        <f>"-0.0679"</f>
        <v>-0.0679</v>
      </c>
      <c r="AU6" t="str">
        <f>"-0.0847"</f>
        <v>-0.0847</v>
      </c>
      <c r="AV6" t="str">
        <f>"-0.119"</f>
        <v>-0.119</v>
      </c>
      <c r="AW6" t="str">
        <f>"-0.144"</f>
        <v>-0.144</v>
      </c>
      <c r="AX6" t="str">
        <f>"0.0308"</f>
        <v>0.0308</v>
      </c>
      <c r="AY6" t="str">
        <f>"0.0210"</f>
        <v>0.0210</v>
      </c>
      <c r="AZ6" t="str">
        <f>"-0.0295"</f>
        <v>-0.0295</v>
      </c>
      <c r="BA6" t="str">
        <f>"-0.0945"</f>
        <v>-0.0945</v>
      </c>
      <c r="BB6" t="str">
        <f>"-0.112"</f>
        <v>-0.112</v>
      </c>
      <c r="BC6" t="str">
        <f>"-0.193"</f>
        <v>-0.193</v>
      </c>
      <c r="BD6" t="str">
        <f>"0.0718"</f>
        <v>0.0718</v>
      </c>
      <c r="BE6" t="str">
        <f>"0.0825"</f>
        <v>0.0825</v>
      </c>
      <c r="BF6" t="str">
        <f>"0.0413"</f>
        <v>0.0413</v>
      </c>
      <c r="BG6" t="str">
        <f>"-0.0718"</f>
        <v>-0.0718</v>
      </c>
      <c r="BH6" t="str">
        <f>"-0.0624"</f>
        <v>-0.0624</v>
      </c>
      <c r="BI6" t="str">
        <f>"-0.149"</f>
        <v>-0.149</v>
      </c>
      <c r="BJ6" t="str">
        <f>"-0.116"</f>
        <v>-0.116</v>
      </c>
      <c r="BK6" t="str">
        <f>"-0.0519"</f>
        <v>-0.0519</v>
      </c>
      <c r="BL6" t="str">
        <f>"0.00705"</f>
        <v>0.00705</v>
      </c>
      <c r="BM6" t="str">
        <f>"-0.0515"</f>
        <v>-0.0515</v>
      </c>
      <c r="BN6" t="str">
        <f>"-0.167"</f>
        <v>-0.167</v>
      </c>
      <c r="BO6" t="str">
        <f>"-0.321"</f>
        <v>-0.321</v>
      </c>
      <c r="BP6" t="str">
        <f>"-0.128"</f>
        <v>-0.128</v>
      </c>
      <c r="BQ6" t="str">
        <f>"-0.110"</f>
        <v>-0.110</v>
      </c>
      <c r="BR6" t="str">
        <f>"-0.0529"</f>
        <v>-0.0529</v>
      </c>
      <c r="BS6" t="str">
        <f>"-0.119"</f>
        <v>-0.119</v>
      </c>
      <c r="BT6" t="str">
        <f>"-0.131"</f>
        <v>-0.131</v>
      </c>
      <c r="BU6" t="str">
        <f>"-0.245"</f>
        <v>-0.245</v>
      </c>
      <c r="BV6" t="str">
        <f>"-0.112"</f>
        <v>-0.112</v>
      </c>
      <c r="BW6" t="str">
        <f>"-0.120"</f>
        <v>-0.120</v>
      </c>
      <c r="BX6" t="str">
        <f>"-0.173"</f>
        <v>-0.173</v>
      </c>
      <c r="BY6" t="str">
        <f>"-0.231"</f>
        <v>-0.231</v>
      </c>
      <c r="BZ6" t="str">
        <f>"-0.271"</f>
        <v>-0.271</v>
      </c>
      <c r="CA6" t="str">
        <f>"-0.266"</f>
        <v>-0.266</v>
      </c>
      <c r="CB6" t="str">
        <f>"-0.0143"</f>
        <v>-0.0143</v>
      </c>
      <c r="CC6" t="str">
        <f>"-0.00479"</f>
        <v>-0.00479</v>
      </c>
      <c r="CD6" t="str">
        <f>"-0.0760"</f>
        <v>-0.0760</v>
      </c>
      <c r="CE6" t="str">
        <f>"-0.199"</f>
        <v>-0.199</v>
      </c>
      <c r="CF6" t="str">
        <f>"-0.267"</f>
        <v>-0.267</v>
      </c>
      <c r="CG6" t="str">
        <f>"-0.329"</f>
        <v>-0.329</v>
      </c>
      <c r="CH6" t="str">
        <f>"0.0464"</f>
        <v>0.0464</v>
      </c>
      <c r="CI6" t="str">
        <f>"0.0679"</f>
        <v>0.0679</v>
      </c>
      <c r="CJ6" t="str">
        <f>"0.0323"</f>
        <v>0.0323</v>
      </c>
      <c r="CK6" t="str">
        <f>"-0.131"</f>
        <v>-0.131</v>
      </c>
      <c r="CL6" t="str">
        <f>"-0.189"</f>
        <v>-0.189</v>
      </c>
      <c r="CM6" t="str">
        <f>"-0.276"</f>
        <v>-0.276</v>
      </c>
    </row>
    <row r="7" spans="1:91" x14ac:dyDescent="0.25">
      <c r="A7" t="str">
        <f>"Italy"</f>
        <v>Italy</v>
      </c>
      <c r="B7" t="str">
        <f>"-0.291"</f>
        <v>-0.291</v>
      </c>
      <c r="C7" t="str">
        <f>"-0.373"</f>
        <v>-0.373</v>
      </c>
      <c r="D7" t="str">
        <f>"-0.337"</f>
        <v>-0.337</v>
      </c>
      <c r="E7" t="str">
        <f>"-0.443"</f>
        <v>-0.443</v>
      </c>
      <c r="F7" t="str">
        <f>"-0.669"</f>
        <v>-0.669</v>
      </c>
      <c r="G7" t="str">
        <f>"-0.784"</f>
        <v>-0.784</v>
      </c>
      <c r="H7" t="str">
        <f>"-0.225"</f>
        <v>-0.225</v>
      </c>
      <c r="I7" t="str">
        <f>"-0.266"</f>
        <v>-0.266</v>
      </c>
      <c r="J7" t="str">
        <f>"-0.339"</f>
        <v>-0.339</v>
      </c>
      <c r="K7" t="str">
        <f>"-0.446"</f>
        <v>-0.446</v>
      </c>
      <c r="L7" t="str">
        <f>"-0.535"</f>
        <v>-0.535</v>
      </c>
      <c r="M7" t="str">
        <f>"-0.661"</f>
        <v>-0.661</v>
      </c>
      <c r="N7" t="str">
        <f>"-0.0933"</f>
        <v>-0.0933</v>
      </c>
      <c r="O7" t="str">
        <f>"-0.116"</f>
        <v>-0.116</v>
      </c>
      <c r="P7" t="str">
        <f>"-0.227"</f>
        <v>-0.227</v>
      </c>
      <c r="Q7" t="str">
        <f>"-0.401"</f>
        <v>-0.401</v>
      </c>
      <c r="R7" t="str">
        <f>"-0.519"</f>
        <v>-0.519</v>
      </c>
      <c r="S7" t="str">
        <f>"-0.515"</f>
        <v>-0.515</v>
      </c>
      <c r="T7" t="str">
        <f>"0.129"</f>
        <v>0.129</v>
      </c>
      <c r="U7" t="str">
        <f>"0.121"</f>
        <v>0.121</v>
      </c>
      <c r="V7" t="str">
        <f>"0.0401"</f>
        <v>0.0401</v>
      </c>
      <c r="W7" t="str">
        <f>"-0.146"</f>
        <v>-0.146</v>
      </c>
      <c r="X7" t="str">
        <f>"-0.329"</f>
        <v>-0.329</v>
      </c>
      <c r="Y7" t="str">
        <f>"-0.389"</f>
        <v>-0.389</v>
      </c>
      <c r="Z7" t="str">
        <f>"0.180"</f>
        <v>0.180</v>
      </c>
      <c r="AA7" t="str">
        <f>"0.232"</f>
        <v>0.232</v>
      </c>
      <c r="AB7" t="str">
        <f>"0.171"</f>
        <v>0.171</v>
      </c>
      <c r="AC7" t="str">
        <f>"-0.0328"</f>
        <v>-0.0328</v>
      </c>
      <c r="AD7" t="str">
        <f>"-0.168"</f>
        <v>-0.168</v>
      </c>
      <c r="AE7" t="str">
        <f>"-0.227"</f>
        <v>-0.227</v>
      </c>
      <c r="AF7" t="str">
        <f>"-0.292"</f>
        <v>-0.292</v>
      </c>
      <c r="AG7" t="str">
        <f>"-0.266"</f>
        <v>-0.266</v>
      </c>
      <c r="AH7" t="str">
        <f>"-0.297"</f>
        <v>-0.297</v>
      </c>
      <c r="AI7" t="str">
        <f>"-0.480"</f>
        <v>-0.480</v>
      </c>
      <c r="AJ7" t="str">
        <f>"-0.612"</f>
        <v>-0.612</v>
      </c>
      <c r="AK7" t="str">
        <f>"-0.748"</f>
        <v>-0.748</v>
      </c>
      <c r="AL7" t="str">
        <f>"-0.256"</f>
        <v>-0.256</v>
      </c>
      <c r="AM7" t="str">
        <f>"-0.180"</f>
        <v>-0.180</v>
      </c>
      <c r="AN7" t="str">
        <f>"-0.121"</f>
        <v>-0.121</v>
      </c>
      <c r="AO7" t="str">
        <f>"-0.259"</f>
        <v>-0.259</v>
      </c>
      <c r="AP7" t="str">
        <f>"-0.439"</f>
        <v>-0.439</v>
      </c>
      <c r="AQ7" t="str">
        <f>"-0.610"</f>
        <v>-0.610</v>
      </c>
      <c r="AR7" t="str">
        <f>"-0.151"</f>
        <v>-0.151</v>
      </c>
      <c r="AS7" t="str">
        <f>"-0.115"</f>
        <v>-0.115</v>
      </c>
      <c r="AT7" t="str">
        <f>"-0.0479"</f>
        <v>-0.0479</v>
      </c>
      <c r="AU7" t="str">
        <f>"-0.118"</f>
        <v>-0.118</v>
      </c>
      <c r="AV7" t="str">
        <f>"-0.245"</f>
        <v>-0.245</v>
      </c>
      <c r="AW7" t="str">
        <f>"-0.343"</f>
        <v>-0.343</v>
      </c>
      <c r="AX7" t="str">
        <f>"-0.0255"</f>
        <v>-0.0255</v>
      </c>
      <c r="AY7" t="str">
        <f>"0.0256"</f>
        <v>0.0256</v>
      </c>
      <c r="AZ7" t="str">
        <f>"0.0315"</f>
        <v>0.0315</v>
      </c>
      <c r="BA7" t="str">
        <f>"-0.0165"</f>
        <v>-0.0165</v>
      </c>
      <c r="BB7" t="str">
        <f>"-0.0727"</f>
        <v>-0.0727</v>
      </c>
      <c r="BC7" t="str">
        <f>"-0.163"</f>
        <v>-0.163</v>
      </c>
      <c r="BD7" t="str">
        <f>"0.0487"</f>
        <v>0.0487</v>
      </c>
      <c r="BE7" t="str">
        <f>"0.105"</f>
        <v>0.105</v>
      </c>
      <c r="BF7" t="str">
        <f>"0.0981"</f>
        <v>0.0981</v>
      </c>
      <c r="BG7" t="str">
        <f>"-0.00148"</f>
        <v>-0.00148</v>
      </c>
      <c r="BH7" t="str">
        <f>"-0.00510"</f>
        <v>-0.00510</v>
      </c>
      <c r="BI7" t="str">
        <f>"-0.0344"</f>
        <v>-0.0344</v>
      </c>
      <c r="BJ7" t="str">
        <f>"-0.296"</f>
        <v>-0.296</v>
      </c>
      <c r="BK7" t="str">
        <f>"-0.304"</f>
        <v>-0.304</v>
      </c>
      <c r="BL7" t="str">
        <f>"-0.310"</f>
        <v>-0.310</v>
      </c>
      <c r="BM7" t="str">
        <f>"-0.465"</f>
        <v>-0.465</v>
      </c>
      <c r="BN7" t="str">
        <f>"-0.632"</f>
        <v>-0.632</v>
      </c>
      <c r="BO7" t="str">
        <f>"-0.763"</f>
        <v>-0.763</v>
      </c>
      <c r="BP7" t="str">
        <f>"-0.249"</f>
        <v>-0.249</v>
      </c>
      <c r="BQ7" t="str">
        <f>"-0.213"</f>
        <v>-0.213</v>
      </c>
      <c r="BR7" t="str">
        <f>"-0.194"</f>
        <v>-0.194</v>
      </c>
      <c r="BS7" t="str">
        <f>"-0.324"</f>
        <v>-0.324</v>
      </c>
      <c r="BT7" t="str">
        <f>"-0.473"</f>
        <v>-0.473</v>
      </c>
      <c r="BU7" t="str">
        <f>"-0.630"</f>
        <v>-0.630</v>
      </c>
      <c r="BV7" t="str">
        <f>"-0.138"</f>
        <v>-0.138</v>
      </c>
      <c r="BW7" t="str">
        <f>"-0.112"</f>
        <v>-0.112</v>
      </c>
      <c r="BX7" t="str">
        <f>"-0.116"</f>
        <v>-0.116</v>
      </c>
      <c r="BY7" t="str">
        <f>"-0.222"</f>
        <v>-0.222</v>
      </c>
      <c r="BZ7" t="str">
        <f>"-0.349"</f>
        <v>-0.349</v>
      </c>
      <c r="CA7" t="str">
        <f>"-0.408"</f>
        <v>-0.408</v>
      </c>
      <c r="CB7" t="str">
        <f>"0.0384"</f>
        <v>0.0384</v>
      </c>
      <c r="CC7" t="str">
        <f>"0.0697"</f>
        <v>0.0697</v>
      </c>
      <c r="CD7" t="str">
        <f>"0.0403"</f>
        <v>0.0403</v>
      </c>
      <c r="CE7" t="str">
        <f>"-0.0755"</f>
        <v>-0.0755</v>
      </c>
      <c r="CF7" t="str">
        <f>"-0.188"</f>
        <v>-0.188</v>
      </c>
      <c r="CG7" t="str">
        <f>"-0.261"</f>
        <v>-0.261</v>
      </c>
      <c r="CH7" t="str">
        <f>"0.117"</f>
        <v>0.117</v>
      </c>
      <c r="CI7" t="str">
        <f>"0.168"</f>
        <v>0.168</v>
      </c>
      <c r="CJ7" t="str">
        <f>"0.137"</f>
        <v>0.137</v>
      </c>
      <c r="CK7" t="str">
        <f>"-0.0185"</f>
        <v>-0.0185</v>
      </c>
      <c r="CL7" t="str">
        <f>"-0.0937"</f>
        <v>-0.0937</v>
      </c>
      <c r="CM7" t="str">
        <f>"-0.131"</f>
        <v>-0.131</v>
      </c>
    </row>
    <row r="8" spans="1:91" x14ac:dyDescent="0.25">
      <c r="A8" t="str">
        <f>"Japan"</f>
        <v>Japan</v>
      </c>
      <c r="B8" t="str">
        <f>"-0.124"</f>
        <v>-0.124</v>
      </c>
      <c r="C8" t="str">
        <f>"-0.363"</f>
        <v>-0.363</v>
      </c>
      <c r="D8" t="str">
        <f>"-0.413"</f>
        <v>-0.413</v>
      </c>
      <c r="E8" t="str">
        <f>"-0.500"</f>
        <v>-0.500</v>
      </c>
      <c r="F8" t="str">
        <f>"-0.663"</f>
        <v>-0.663</v>
      </c>
      <c r="G8" t="str">
        <f>"-0.698"</f>
        <v>-0.698</v>
      </c>
      <c r="H8" t="str">
        <f>"-0.0680"</f>
        <v>-0.0680</v>
      </c>
      <c r="I8" t="str">
        <f>"-0.322"</f>
        <v>-0.322</v>
      </c>
      <c r="J8" t="str">
        <f>"-0.504"</f>
        <v>-0.504</v>
      </c>
      <c r="K8" t="str">
        <f>"-0.571"</f>
        <v>-0.571</v>
      </c>
      <c r="L8" t="str">
        <f>"-0.611"</f>
        <v>-0.611</v>
      </c>
      <c r="M8" t="str">
        <f>"-0.729"</f>
        <v>-0.729</v>
      </c>
      <c r="N8" t="str">
        <f>"0.0355"</f>
        <v>0.0355</v>
      </c>
      <c r="O8" t="str">
        <f>"-0.150"</f>
        <v>-0.150</v>
      </c>
      <c r="P8" t="str">
        <f>"-0.451"</f>
        <v>-0.451</v>
      </c>
      <c r="Q8" t="str">
        <f>"-0.618"</f>
        <v>-0.618</v>
      </c>
      <c r="R8" t="str">
        <f>"-0.728"</f>
        <v>-0.728</v>
      </c>
      <c r="S8" t="str">
        <f>"-0.725"</f>
        <v>-0.725</v>
      </c>
      <c r="T8" t="str">
        <f>"0.233"</f>
        <v>0.233</v>
      </c>
      <c r="U8" t="str">
        <f>"0.108"</f>
        <v>0.108</v>
      </c>
      <c r="V8" t="str">
        <f>"-0.136"</f>
        <v>-0.136</v>
      </c>
      <c r="W8" t="str">
        <f>"-0.389"</f>
        <v>-0.389</v>
      </c>
      <c r="X8" t="str">
        <f>"-0.596"</f>
        <v>-0.596</v>
      </c>
      <c r="Y8" t="str">
        <f>"-0.655"</f>
        <v>-0.655</v>
      </c>
      <c r="Z8" t="str">
        <f>"0.268"</f>
        <v>0.268</v>
      </c>
      <c r="AA8" t="str">
        <f>"0.232"</f>
        <v>0.232</v>
      </c>
      <c r="AB8" t="str">
        <f>"0.0478"</f>
        <v>0.0478</v>
      </c>
      <c r="AC8" t="str">
        <f>"-0.217"</f>
        <v>-0.217</v>
      </c>
      <c r="AD8" t="str">
        <f>"-0.468"</f>
        <v>-0.468</v>
      </c>
      <c r="AE8" t="str">
        <f>"-0.511"</f>
        <v>-0.511</v>
      </c>
      <c r="AF8" t="str">
        <f>"-0.250"</f>
        <v>-0.250</v>
      </c>
      <c r="AG8" t="str">
        <f>"-0.329"</f>
        <v>-0.329</v>
      </c>
      <c r="AH8" t="str">
        <f>"-0.381"</f>
        <v>-0.381</v>
      </c>
      <c r="AI8" t="str">
        <f>"-0.548"</f>
        <v>-0.548</v>
      </c>
      <c r="AJ8" t="str">
        <f>"-0.515"</f>
        <v>-0.515</v>
      </c>
      <c r="AK8" t="str">
        <f>"-0.613"</f>
        <v>-0.613</v>
      </c>
      <c r="AL8" t="str">
        <f>"-0.256"</f>
        <v>-0.256</v>
      </c>
      <c r="AM8" t="str">
        <f>"-0.421"</f>
        <v>-0.421</v>
      </c>
      <c r="AN8" t="str">
        <f>"-0.356"</f>
        <v>-0.356</v>
      </c>
      <c r="AO8" t="str">
        <f>"-0.342"</f>
        <v>-0.342</v>
      </c>
      <c r="AP8" t="str">
        <f>"-0.359"</f>
        <v>-0.359</v>
      </c>
      <c r="AQ8" t="str">
        <f>"-0.542"</f>
        <v>-0.542</v>
      </c>
      <c r="AR8" t="str">
        <f>"-0.101"</f>
        <v>-0.101</v>
      </c>
      <c r="AS8" t="str">
        <f>"-0.279"</f>
        <v>-0.279</v>
      </c>
      <c r="AT8" t="str">
        <f>"-0.386"</f>
        <v>-0.386</v>
      </c>
      <c r="AU8" t="str">
        <f>"-0.294"</f>
        <v>-0.294</v>
      </c>
      <c r="AV8" t="str">
        <f>"-0.292"</f>
        <v>-0.292</v>
      </c>
      <c r="AW8" t="str">
        <f>"-0.332"</f>
        <v>-0.332</v>
      </c>
      <c r="AX8" t="str">
        <f>"0.150"</f>
        <v>0.150</v>
      </c>
      <c r="AY8" t="str">
        <f>"-0.0142"</f>
        <v>-0.0142</v>
      </c>
      <c r="AZ8" t="str">
        <f>"-0.159"</f>
        <v>-0.159</v>
      </c>
      <c r="BA8" t="str">
        <f>"-0.188"</f>
        <v>-0.188</v>
      </c>
      <c r="BB8" t="str">
        <f>"-0.178"</f>
        <v>-0.178</v>
      </c>
      <c r="BC8" t="str">
        <f>"-0.204"</f>
        <v>-0.204</v>
      </c>
      <c r="BD8" t="str">
        <f>"0.221"</f>
        <v>0.221</v>
      </c>
      <c r="BE8" t="str">
        <f>"0.107"</f>
        <v>0.107</v>
      </c>
      <c r="BF8" t="str">
        <f>"-0.0258"</f>
        <v>-0.0258</v>
      </c>
      <c r="BG8" t="str">
        <f>"-0.102"</f>
        <v>-0.102</v>
      </c>
      <c r="BH8" t="str">
        <f>"-0.111"</f>
        <v>-0.111</v>
      </c>
      <c r="BI8" t="str">
        <f>"-0.0978"</f>
        <v>-0.0978</v>
      </c>
      <c r="BJ8" t="str">
        <f>"-0.212"</f>
        <v>-0.212</v>
      </c>
      <c r="BK8" t="str">
        <f>"-0.336"</f>
        <v>-0.336</v>
      </c>
      <c r="BL8" t="str">
        <f>"-0.388"</f>
        <v>-0.388</v>
      </c>
      <c r="BM8" t="str">
        <f>"-0.526"</f>
        <v>-0.526</v>
      </c>
      <c r="BN8" t="str">
        <f>"-0.562"</f>
        <v>-0.562</v>
      </c>
      <c r="BO8" t="str">
        <f>"-0.640"</f>
        <v>-0.640</v>
      </c>
      <c r="BP8" t="str">
        <f>"-0.191"</f>
        <v>-0.191</v>
      </c>
      <c r="BQ8" t="str">
        <f>"-0.399"</f>
        <v>-0.399</v>
      </c>
      <c r="BR8" t="str">
        <f>"-0.403"</f>
        <v>-0.403</v>
      </c>
      <c r="BS8" t="str">
        <f>"-0.417"</f>
        <v>-0.417</v>
      </c>
      <c r="BT8" t="str">
        <f>"-0.441"</f>
        <v>-0.441</v>
      </c>
      <c r="BU8" t="str">
        <f>"-0.602"</f>
        <v>-0.602</v>
      </c>
      <c r="BV8" t="str">
        <f>"-0.0407"</f>
        <v>-0.0407</v>
      </c>
      <c r="BW8" t="str">
        <f>"-0.229"</f>
        <v>-0.229</v>
      </c>
      <c r="BX8" t="str">
        <f>"-0.423"</f>
        <v>-0.423</v>
      </c>
      <c r="BY8" t="str">
        <f>"-0.406"</f>
        <v>-0.406</v>
      </c>
      <c r="BZ8" t="str">
        <f>"-0.444"</f>
        <v>-0.444</v>
      </c>
      <c r="CA8" t="str">
        <f>"-0.464"</f>
        <v>-0.464</v>
      </c>
      <c r="CB8" t="str">
        <f>"0.185"</f>
        <v>0.185</v>
      </c>
      <c r="CC8" t="str">
        <f>"0.0535"</f>
        <v>0.0535</v>
      </c>
      <c r="CD8" t="str">
        <f>"-0.142"</f>
        <v>-0.142</v>
      </c>
      <c r="CE8" t="str">
        <f>"-0.285"</f>
        <v>-0.285</v>
      </c>
      <c r="CF8" t="str">
        <f>"-0.348"</f>
        <v>-0.348</v>
      </c>
      <c r="CG8" t="str">
        <f>"-0.383"</f>
        <v>-0.383</v>
      </c>
      <c r="CH8" t="str">
        <f>"0.236"</f>
        <v>0.236</v>
      </c>
      <c r="CI8" t="str">
        <f>"0.181"</f>
        <v>0.181</v>
      </c>
      <c r="CJ8" t="str">
        <f>"0.0288"</f>
        <v>0.0288</v>
      </c>
      <c r="CK8" t="str">
        <f>"-0.158"</f>
        <v>-0.158</v>
      </c>
      <c r="CL8" t="str">
        <f>"-0.290"</f>
        <v>-0.290</v>
      </c>
      <c r="CM8" t="str">
        <f>"-0.286"</f>
        <v>-0.286</v>
      </c>
    </row>
    <row r="9" spans="1:91" x14ac:dyDescent="0.25">
      <c r="A9" t="str">
        <f>"Netherlands"</f>
        <v>Netherlands</v>
      </c>
      <c r="B9" t="str">
        <f>"-0.474"</f>
        <v>-0.474</v>
      </c>
      <c r="C9" t="str">
        <f>"-0.390"</f>
        <v>-0.390</v>
      </c>
      <c r="D9" t="str">
        <f>"-0.300"</f>
        <v>-0.300</v>
      </c>
      <c r="E9" t="str">
        <f>"-0.208"</f>
        <v>-0.208</v>
      </c>
      <c r="F9" t="str">
        <f>"-0.330"</f>
        <v>-0.330</v>
      </c>
      <c r="G9" t="str">
        <f>"-0.538"</f>
        <v>-0.538</v>
      </c>
      <c r="H9" t="str">
        <f>"-0.387"</f>
        <v>-0.387</v>
      </c>
      <c r="I9" t="str">
        <f>"-0.342"</f>
        <v>-0.342</v>
      </c>
      <c r="J9" t="str">
        <f>"-0.306"</f>
        <v>-0.306</v>
      </c>
      <c r="K9" t="str">
        <f>"-0.247"</f>
        <v>-0.247</v>
      </c>
      <c r="L9" t="str">
        <f>"-0.189"</f>
        <v>-0.189</v>
      </c>
      <c r="M9" t="str">
        <f>"-0.315"</f>
        <v>-0.315</v>
      </c>
      <c r="N9" t="str">
        <f>"-0.228"</f>
        <v>-0.228</v>
      </c>
      <c r="O9" t="str">
        <f>"-0.213"</f>
        <v>-0.213</v>
      </c>
      <c r="P9" t="str">
        <f>"-0.277"</f>
        <v>-0.277</v>
      </c>
      <c r="Q9" t="str">
        <f>"-0.234"</f>
        <v>-0.234</v>
      </c>
      <c r="R9" t="str">
        <f>"-0.242"</f>
        <v>-0.242</v>
      </c>
      <c r="S9" t="str">
        <f>"-0.200"</f>
        <v>-0.200</v>
      </c>
      <c r="T9" t="str">
        <f>"0.0171"</f>
        <v>0.0171</v>
      </c>
      <c r="U9" t="str">
        <f>"0.0101"</f>
        <v>0.0101</v>
      </c>
      <c r="V9" t="str">
        <f>"-0.0690"</f>
        <v>-0.0690</v>
      </c>
      <c r="W9" t="str">
        <f>"-0.0774"</f>
        <v>-0.0774</v>
      </c>
      <c r="X9" t="str">
        <f>"-0.114"</f>
        <v>-0.114</v>
      </c>
      <c r="Y9" t="str">
        <f>"-0.171"</f>
        <v>-0.171</v>
      </c>
      <c r="Z9" t="str">
        <f>"0.0876"</f>
        <v>0.0876</v>
      </c>
      <c r="AA9" t="str">
        <f>"0.112"</f>
        <v>0.112</v>
      </c>
      <c r="AB9" t="str">
        <f>"0.0459"</f>
        <v>0.0459</v>
      </c>
      <c r="AC9" t="str">
        <f>"0.0262"</f>
        <v>0.0262</v>
      </c>
      <c r="AD9" t="str">
        <f>"0.00143"</f>
        <v>0.00143</v>
      </c>
      <c r="AE9" t="str">
        <f>"-0.0518"</f>
        <v>-0.0518</v>
      </c>
      <c r="AF9" t="str">
        <f>"-0.589"</f>
        <v>-0.589</v>
      </c>
      <c r="AG9" t="str">
        <f>"-0.503"</f>
        <v>-0.503</v>
      </c>
      <c r="AH9" t="str">
        <f>"-0.465"</f>
        <v>-0.465</v>
      </c>
      <c r="AI9" t="str">
        <f>"-0.540"</f>
        <v>-0.540</v>
      </c>
      <c r="AJ9" t="str">
        <f>"-0.633"</f>
        <v>-0.633</v>
      </c>
      <c r="AK9" t="str">
        <f>"-0.754"</f>
        <v>-0.754</v>
      </c>
      <c r="AL9" t="str">
        <f>"-0.425"</f>
        <v>-0.425</v>
      </c>
      <c r="AM9" t="str">
        <f>"-0.313"</f>
        <v>-0.313</v>
      </c>
      <c r="AN9" t="str">
        <f>"-0.256"</f>
        <v>-0.256</v>
      </c>
      <c r="AO9" t="str">
        <f>"-0.282"</f>
        <v>-0.282</v>
      </c>
      <c r="AP9" t="str">
        <f>"-0.376"</f>
        <v>-0.376</v>
      </c>
      <c r="AQ9" t="str">
        <f>"-0.564"</f>
        <v>-0.564</v>
      </c>
      <c r="AR9" t="str">
        <f>"-0.284"</f>
        <v>-0.284</v>
      </c>
      <c r="AS9" t="str">
        <f>"-0.130"</f>
        <v>-0.130</v>
      </c>
      <c r="AT9" t="str">
        <f>"-0.0681"</f>
        <v>-0.0681</v>
      </c>
      <c r="AU9" t="str">
        <f>"-0.0655"</f>
        <v>-0.0655</v>
      </c>
      <c r="AV9" t="str">
        <f>"-0.147"</f>
        <v>-0.147</v>
      </c>
      <c r="AW9" t="str">
        <f>"-0.285"</f>
        <v>-0.285</v>
      </c>
      <c r="AX9" t="str">
        <f>"-0.145"</f>
        <v>-0.145</v>
      </c>
      <c r="AY9" t="str">
        <f>"-0.0171"</f>
        <v>-0.0171</v>
      </c>
      <c r="AZ9" t="str">
        <f>"0.0694"</f>
        <v>0.0694</v>
      </c>
      <c r="BA9" t="str">
        <f>"0.125"</f>
        <v>0.125</v>
      </c>
      <c r="BB9" t="str">
        <f>"0.0808"</f>
        <v>0.0808</v>
      </c>
      <c r="BC9" t="str">
        <f>"-0.0588"</f>
        <v>-0.0588</v>
      </c>
      <c r="BD9" t="str">
        <f>"-0.0845"</f>
        <v>-0.0845</v>
      </c>
      <c r="BE9" t="str">
        <f>"0.0125"</f>
        <v>0.0125</v>
      </c>
      <c r="BF9" t="str">
        <f>"0.0784"</f>
        <v>0.0784</v>
      </c>
      <c r="BG9" t="str">
        <f>"0.146"</f>
        <v>0.146</v>
      </c>
      <c r="BH9" t="str">
        <f>"0.157"</f>
        <v>0.157</v>
      </c>
      <c r="BI9" t="str">
        <f>"0.0758"</f>
        <v>0.0758</v>
      </c>
      <c r="BJ9" t="str">
        <f>"-0.542"</f>
        <v>-0.542</v>
      </c>
      <c r="BK9" t="str">
        <f>"-0.452"</f>
        <v>-0.452</v>
      </c>
      <c r="BL9" t="str">
        <f>"-0.391"</f>
        <v>-0.391</v>
      </c>
      <c r="BM9" t="str">
        <f>"-0.406"</f>
        <v>-0.406</v>
      </c>
      <c r="BN9" t="str">
        <f>"-0.504"</f>
        <v>-0.504</v>
      </c>
      <c r="BO9" t="str">
        <f>"-0.661"</f>
        <v>-0.661</v>
      </c>
      <c r="BP9" t="str">
        <f>"-0.413"</f>
        <v>-0.413</v>
      </c>
      <c r="BQ9" t="str">
        <f>"-0.318"</f>
        <v>-0.318</v>
      </c>
      <c r="BR9" t="str">
        <f>"-0.264"</f>
        <v>-0.264</v>
      </c>
      <c r="BS9" t="str">
        <f>"-0.257"</f>
        <v>-0.257</v>
      </c>
      <c r="BT9" t="str">
        <f>"-0.293"</f>
        <v>-0.293</v>
      </c>
      <c r="BU9" t="str">
        <f>"-0.455"</f>
        <v>-0.455</v>
      </c>
      <c r="BV9" t="str">
        <f>"-0.262"</f>
        <v>-0.262</v>
      </c>
      <c r="BW9" t="str">
        <f>"-0.156"</f>
        <v>-0.156</v>
      </c>
      <c r="BX9" t="str">
        <f>"-0.140"</f>
        <v>-0.140</v>
      </c>
      <c r="BY9" t="str">
        <f>"-0.123"</f>
        <v>-0.123</v>
      </c>
      <c r="BZ9" t="str">
        <f>"-0.175"</f>
        <v>-0.175</v>
      </c>
      <c r="CA9" t="str">
        <f>"-0.241"</f>
        <v>-0.241</v>
      </c>
      <c r="CB9" t="str">
        <f>"-0.0641"</f>
        <v>-0.0641</v>
      </c>
      <c r="CC9" t="str">
        <f>"0.00234"</f>
        <v>0.00234</v>
      </c>
      <c r="CD9" t="str">
        <f>"0.00962"</f>
        <v>0.00962</v>
      </c>
      <c r="CE9" t="str">
        <f>"0.0321"</f>
        <v>0.0321</v>
      </c>
      <c r="CF9" t="str">
        <f>"-0.00512"</f>
        <v>-0.00512</v>
      </c>
      <c r="CG9" t="str">
        <f>"-0.102"</f>
        <v>-0.102</v>
      </c>
      <c r="CH9" t="str">
        <f>"0.0134"</f>
        <v>0.0134</v>
      </c>
      <c r="CI9" t="str">
        <f>"0.0747"</f>
        <v>0.0747</v>
      </c>
      <c r="CJ9" t="str">
        <f>"0.0610"</f>
        <v>0.0610</v>
      </c>
      <c r="CK9" t="str">
        <f>"0.0754"</f>
        <v>0.0754</v>
      </c>
      <c r="CL9" t="str">
        <f>"0.0716"</f>
        <v>0.0716</v>
      </c>
      <c r="CM9" t="str">
        <f>"0.0139"</f>
        <v>0.0139</v>
      </c>
    </row>
    <row r="10" spans="1:91" x14ac:dyDescent="0.25">
      <c r="A10" t="str">
        <f>"Norway"</f>
        <v>Norway</v>
      </c>
      <c r="B10" t="str">
        <f>"-0.582"</f>
        <v>-0.582</v>
      </c>
      <c r="C10" t="str">
        <f>"-0.556"</f>
        <v>-0.556</v>
      </c>
      <c r="D10" t="str">
        <f>"-0.347"</f>
        <v>-0.347</v>
      </c>
      <c r="E10" t="str">
        <f>"-0.336"</f>
        <v>-0.336</v>
      </c>
      <c r="F10" t="str">
        <f>"-0.543"</f>
        <v>-0.543</v>
      </c>
      <c r="G10" t="str">
        <f>"-0.706"</f>
        <v>-0.706</v>
      </c>
      <c r="H10" t="str">
        <f>"-0.466"</f>
        <v>-0.466</v>
      </c>
      <c r="I10" t="str">
        <f>"-0.428"</f>
        <v>-0.428</v>
      </c>
      <c r="J10" t="str">
        <f>"-0.349"</f>
        <v>-0.349</v>
      </c>
      <c r="K10" t="str">
        <f>"-0.307"</f>
        <v>-0.307</v>
      </c>
      <c r="L10" t="str">
        <f>"-0.340"</f>
        <v>-0.340</v>
      </c>
      <c r="M10" t="str">
        <f>"-0.487"</f>
        <v>-0.487</v>
      </c>
      <c r="N10" t="str">
        <f>"-0.251"</f>
        <v>-0.251</v>
      </c>
      <c r="O10" t="str">
        <f>"-0.252"</f>
        <v>-0.252</v>
      </c>
      <c r="P10" t="str">
        <f>"-0.282"</f>
        <v>-0.282</v>
      </c>
      <c r="Q10" t="str">
        <f>"-0.287"</f>
        <v>-0.287</v>
      </c>
      <c r="R10" t="str">
        <f>"-0.318"</f>
        <v>-0.318</v>
      </c>
      <c r="S10" t="str">
        <f>"-0.296"</f>
        <v>-0.296</v>
      </c>
      <c r="T10" t="str">
        <f>"0.00664"</f>
        <v>0.00664</v>
      </c>
      <c r="U10" t="str">
        <f>"0.00471"</f>
        <v>0.00471</v>
      </c>
      <c r="V10" t="str">
        <f>"-0.0345"</f>
        <v>-0.0345</v>
      </c>
      <c r="W10" t="str">
        <f>"-0.0916"</f>
        <v>-0.0916</v>
      </c>
      <c r="X10" t="str">
        <f>"-0.191"</f>
        <v>-0.191</v>
      </c>
      <c r="Y10" t="str">
        <f>"-0.212"</f>
        <v>-0.212</v>
      </c>
      <c r="Z10" t="str">
        <f>"0.0575"</f>
        <v>0.0575</v>
      </c>
      <c r="AA10" t="str">
        <f>"0.118"</f>
        <v>0.118</v>
      </c>
      <c r="AB10" t="str">
        <f>"0.0784"</f>
        <v>0.0784</v>
      </c>
      <c r="AC10" t="str">
        <f>"0.0370"</f>
        <v>0.0370</v>
      </c>
      <c r="AD10" t="str">
        <f>"-0.0675"</f>
        <v>-0.0675</v>
      </c>
      <c r="AE10" t="str">
        <f>"-0.110"</f>
        <v>-0.110</v>
      </c>
      <c r="AF10" t="str">
        <f>"-0.536"</f>
        <v>-0.536</v>
      </c>
      <c r="AG10" t="str">
        <f>"-0.438"</f>
        <v>-0.438</v>
      </c>
      <c r="AH10" t="str">
        <f>"-0.314"</f>
        <v>-0.314</v>
      </c>
      <c r="AI10" t="str">
        <f>"-0.465"</f>
        <v>-0.465</v>
      </c>
      <c r="AJ10" t="str">
        <f>"-0.602"</f>
        <v>-0.602</v>
      </c>
      <c r="AK10" t="str">
        <f>"-0.703"</f>
        <v>-0.703</v>
      </c>
      <c r="AL10" t="str">
        <f>"-0.494"</f>
        <v>-0.494</v>
      </c>
      <c r="AM10" t="str">
        <f>"-0.341"</f>
        <v>-0.341</v>
      </c>
      <c r="AN10" t="str">
        <f>"-0.218"</f>
        <v>-0.218</v>
      </c>
      <c r="AO10" t="str">
        <f>"-0.289"</f>
        <v>-0.289</v>
      </c>
      <c r="AP10" t="str">
        <f>"-0.441"</f>
        <v>-0.441</v>
      </c>
      <c r="AQ10" t="str">
        <f>"-0.595"</f>
        <v>-0.595</v>
      </c>
      <c r="AR10" t="str">
        <f>"-0.340"</f>
        <v>-0.340</v>
      </c>
      <c r="AS10" t="str">
        <f>"-0.234"</f>
        <v>-0.234</v>
      </c>
      <c r="AT10" t="str">
        <f>"-0.106"</f>
        <v>-0.106</v>
      </c>
      <c r="AU10" t="str">
        <f>"-0.133"</f>
        <v>-0.133</v>
      </c>
      <c r="AV10" t="str">
        <f>"-0.227"</f>
        <v>-0.227</v>
      </c>
      <c r="AW10" t="str">
        <f>"-0.317"</f>
        <v>-0.317</v>
      </c>
      <c r="AX10" t="str">
        <f>"-0.159"</f>
        <v>-0.159</v>
      </c>
      <c r="AY10" t="str">
        <f>"-0.0640"</f>
        <v>-0.0640</v>
      </c>
      <c r="AZ10" t="str">
        <f>"0.0152"</f>
        <v>0.0152</v>
      </c>
      <c r="BA10" t="str">
        <f>"0.0535"</f>
        <v>0.0535</v>
      </c>
      <c r="BB10" t="str">
        <f>"-0.0411"</f>
        <v>-0.0411</v>
      </c>
      <c r="BC10" t="str">
        <f>"-0.106"</f>
        <v>-0.106</v>
      </c>
      <c r="BD10" t="str">
        <f>"-0.0734"</f>
        <v>-0.0734</v>
      </c>
      <c r="BE10" t="str">
        <f>"0.00418"</f>
        <v>0.00418</v>
      </c>
      <c r="BF10" t="str">
        <f>"0.0497"</f>
        <v>0.0497</v>
      </c>
      <c r="BG10" t="str">
        <f>"0.0740"</f>
        <v>0.0740</v>
      </c>
      <c r="BH10" t="str">
        <f>"0.0608"</f>
        <v>0.0608</v>
      </c>
      <c r="BI10" t="str">
        <f>"-0.00287"</f>
        <v>-0.00287</v>
      </c>
      <c r="BJ10" t="str">
        <f>"-0.543"</f>
        <v>-0.543</v>
      </c>
      <c r="BK10" t="str">
        <f>"-0.466"</f>
        <v>-0.466</v>
      </c>
      <c r="BL10" t="str">
        <f>"-0.310"</f>
        <v>-0.310</v>
      </c>
      <c r="BM10" t="str">
        <f>"-0.404"</f>
        <v>-0.404</v>
      </c>
      <c r="BN10" t="str">
        <f>"-0.568"</f>
        <v>-0.568</v>
      </c>
      <c r="BO10" t="str">
        <f>"-0.691"</f>
        <v>-0.691</v>
      </c>
      <c r="BP10" t="str">
        <f>"-0.479"</f>
        <v>-0.479</v>
      </c>
      <c r="BQ10" t="str">
        <f>"-0.359"</f>
        <v>-0.359</v>
      </c>
      <c r="BR10" t="str">
        <f>"-0.249"</f>
        <v>-0.249</v>
      </c>
      <c r="BS10" t="str">
        <f>"-0.283"</f>
        <v>-0.283</v>
      </c>
      <c r="BT10" t="str">
        <f>"-0.391"</f>
        <v>-0.391</v>
      </c>
      <c r="BU10" t="str">
        <f>"-0.541"</f>
        <v>-0.541</v>
      </c>
      <c r="BV10" t="str">
        <f>"-0.304"</f>
        <v>-0.304</v>
      </c>
      <c r="BW10" t="str">
        <f>"-0.228"</f>
        <v>-0.228</v>
      </c>
      <c r="BX10" t="str">
        <f>"-0.157"</f>
        <v>-0.157</v>
      </c>
      <c r="BY10" t="str">
        <f>"-0.181"</f>
        <v>-0.181</v>
      </c>
      <c r="BZ10" t="str">
        <f>"-0.254"</f>
        <v>-0.254</v>
      </c>
      <c r="CA10" t="str">
        <f>"-0.297"</f>
        <v>-0.297</v>
      </c>
      <c r="CB10" t="str">
        <f>"-0.0797"</f>
        <v>-0.0797</v>
      </c>
      <c r="CC10" t="str">
        <f>"-0.0231"</f>
        <v>-0.0231</v>
      </c>
      <c r="CD10" t="str">
        <f>"0.00644"</f>
        <v>0.00644</v>
      </c>
      <c r="CE10" t="str">
        <f>"-0.00317"</f>
        <v>-0.00317</v>
      </c>
      <c r="CF10" t="str">
        <f>"-0.102"</f>
        <v>-0.102</v>
      </c>
      <c r="CG10" t="str">
        <f>"-0.147"</f>
        <v>-0.147</v>
      </c>
      <c r="CH10" t="str">
        <f>"-0.00218"</f>
        <v>-0.00218</v>
      </c>
      <c r="CI10" t="str">
        <f>"0.0739"</f>
        <v>0.0739</v>
      </c>
      <c r="CJ10" t="str">
        <f>"0.0732"</f>
        <v>0.0732</v>
      </c>
      <c r="CK10" t="str">
        <f>"0.0595"</f>
        <v>0.0595</v>
      </c>
      <c r="CL10" t="str">
        <f>"-0.000795"</f>
        <v>-0.000795</v>
      </c>
      <c r="CM10" t="str">
        <f>"-0.0511"</f>
        <v>-0.0511</v>
      </c>
    </row>
    <row r="11" spans="1:91" x14ac:dyDescent="0.25">
      <c r="A11" t="str">
        <f>"Spain"</f>
        <v>Spain</v>
      </c>
      <c r="B11" t="str">
        <f>"-0.274"</f>
        <v>-0.274</v>
      </c>
      <c r="C11" t="str">
        <f>"-0.397"</f>
        <v>-0.397</v>
      </c>
      <c r="D11" t="str">
        <f>"-0.411"</f>
        <v>-0.411</v>
      </c>
      <c r="E11" t="str">
        <f>"-0.450"</f>
        <v>-0.450</v>
      </c>
      <c r="F11" t="str">
        <f>"-0.573"</f>
        <v>-0.573</v>
      </c>
      <c r="G11" t="str">
        <f>"-0.730"</f>
        <v>-0.730</v>
      </c>
      <c r="H11" t="str">
        <f>"-0.247"</f>
        <v>-0.247</v>
      </c>
      <c r="I11" t="str">
        <f>"-0.319"</f>
        <v>-0.319</v>
      </c>
      <c r="J11" t="str">
        <f>"-0.476"</f>
        <v>-0.476</v>
      </c>
      <c r="K11" t="str">
        <f>"-0.566"</f>
        <v>-0.566</v>
      </c>
      <c r="L11" t="str">
        <f>"-0.612"</f>
        <v>-0.612</v>
      </c>
      <c r="M11" t="str">
        <f>"-0.644"</f>
        <v>-0.644</v>
      </c>
      <c r="N11" t="str">
        <f>"-0.102"</f>
        <v>-0.102</v>
      </c>
      <c r="O11" t="str">
        <f>"-0.157"</f>
        <v>-0.157</v>
      </c>
      <c r="P11" t="str">
        <f>"-0.375"</f>
        <v>-0.375</v>
      </c>
      <c r="Q11" t="str">
        <f>"-0.557"</f>
        <v>-0.557</v>
      </c>
      <c r="R11" t="str">
        <f>"-0.660"</f>
        <v>-0.660</v>
      </c>
      <c r="S11" t="str">
        <f>"-0.665"</f>
        <v>-0.665</v>
      </c>
      <c r="T11" t="str">
        <f>"0.118"</f>
        <v>0.118</v>
      </c>
      <c r="U11" t="str">
        <f>"0.118"</f>
        <v>0.118</v>
      </c>
      <c r="V11" t="str">
        <f>"-0.0582"</f>
        <v>-0.0582</v>
      </c>
      <c r="W11" t="str">
        <f>"-0.233"</f>
        <v>-0.233</v>
      </c>
      <c r="X11" t="str">
        <f>"-0.393"</f>
        <v>-0.393</v>
      </c>
      <c r="Y11" t="str">
        <f>"-0.507"</f>
        <v>-0.507</v>
      </c>
      <c r="Z11" t="str">
        <f>"0.176"</f>
        <v>0.176</v>
      </c>
      <c r="AA11" t="str">
        <f>"0.224"</f>
        <v>0.224</v>
      </c>
      <c r="AB11" t="str">
        <f>"0.0992"</f>
        <v>0.0992</v>
      </c>
      <c r="AC11" t="str">
        <f>"-0.0464"</f>
        <v>-0.0464</v>
      </c>
      <c r="AD11" t="str">
        <f>"-0.186"</f>
        <v>-0.186</v>
      </c>
      <c r="AE11" t="str">
        <f>"-0.304"</f>
        <v>-0.304</v>
      </c>
      <c r="AF11" t="str">
        <f>"-0.351"</f>
        <v>-0.351</v>
      </c>
      <c r="AG11" t="str">
        <f>"-0.339"</f>
        <v>-0.339</v>
      </c>
      <c r="AH11" t="str">
        <f>"-0.243"</f>
        <v>-0.243</v>
      </c>
      <c r="AI11" t="str">
        <f>"-0.239"</f>
        <v>-0.239</v>
      </c>
      <c r="AJ11" t="str">
        <f>"-0.305"</f>
        <v>-0.305</v>
      </c>
      <c r="AK11" t="str">
        <f>"-0.579"</f>
        <v>-0.579</v>
      </c>
      <c r="AL11" t="str">
        <f>"-0.367"</f>
        <v>-0.367</v>
      </c>
      <c r="AM11" t="str">
        <f>"-0.308"</f>
        <v>-0.308</v>
      </c>
      <c r="AN11" t="str">
        <f>"-0.245"</f>
        <v>-0.245</v>
      </c>
      <c r="AO11" t="str">
        <f>"-0.177"</f>
        <v>-0.177</v>
      </c>
      <c r="AP11" t="str">
        <f>"-0.211"</f>
        <v>-0.211</v>
      </c>
      <c r="AQ11" t="str">
        <f>"-0.366"</f>
        <v>-0.366</v>
      </c>
      <c r="AR11" t="str">
        <f>"-0.223"</f>
        <v>-0.223</v>
      </c>
      <c r="AS11" t="str">
        <f>"-0.215"</f>
        <v>-0.215</v>
      </c>
      <c r="AT11" t="str">
        <f>"-0.214"</f>
        <v>-0.214</v>
      </c>
      <c r="AU11" t="str">
        <f>"-0.179"</f>
        <v>-0.179</v>
      </c>
      <c r="AV11" t="str">
        <f>"-0.161"</f>
        <v>-0.161</v>
      </c>
      <c r="AW11" t="str">
        <f>"-0.234"</f>
        <v>-0.234</v>
      </c>
      <c r="AX11" t="str">
        <f>"-0.000853"</f>
        <v>-0.000853</v>
      </c>
      <c r="AY11" t="str">
        <f>"-0.0162"</f>
        <v>-0.0162</v>
      </c>
      <c r="AZ11" t="str">
        <f>"-0.0898"</f>
        <v>-0.0898</v>
      </c>
      <c r="BA11" t="str">
        <f>"-0.0641"</f>
        <v>-0.0641</v>
      </c>
      <c r="BB11" t="str">
        <f>"-0.0645"</f>
        <v>-0.0645</v>
      </c>
      <c r="BC11" t="str">
        <f>"-0.133"</f>
        <v>-0.133</v>
      </c>
      <c r="BD11" t="str">
        <f>"0.0737"</f>
        <v>0.0737</v>
      </c>
      <c r="BE11" t="str">
        <f>"0.0879"</f>
        <v>0.0879</v>
      </c>
      <c r="BF11" t="str">
        <f>"-0.0107"</f>
        <v>-0.0107</v>
      </c>
      <c r="BG11" t="str">
        <f>"-0.0415"</f>
        <v>-0.0415</v>
      </c>
      <c r="BH11" t="str">
        <f>"-0.00659"</f>
        <v>-0.00659</v>
      </c>
      <c r="BI11" t="str">
        <f>"-0.0624"</f>
        <v>-0.0624</v>
      </c>
      <c r="BJ11" t="str">
        <f>"-0.325"</f>
        <v>-0.325</v>
      </c>
      <c r="BK11" t="str">
        <f>"-0.356"</f>
        <v>-0.356</v>
      </c>
      <c r="BL11" t="str">
        <f>"-0.295"</f>
        <v>-0.295</v>
      </c>
      <c r="BM11" t="str">
        <f>"-0.303"</f>
        <v>-0.303</v>
      </c>
      <c r="BN11" t="str">
        <f>"-0.392"</f>
        <v>-0.392</v>
      </c>
      <c r="BO11" t="str">
        <f>"-0.627"</f>
        <v>-0.627</v>
      </c>
      <c r="BP11" t="str">
        <f>"-0.334"</f>
        <v>-0.334</v>
      </c>
      <c r="BQ11" t="str">
        <f>"-0.314"</f>
        <v>-0.314</v>
      </c>
      <c r="BR11" t="str">
        <f>"-0.318"</f>
        <v>-0.318</v>
      </c>
      <c r="BS11" t="str">
        <f>"-0.305"</f>
        <v>-0.305</v>
      </c>
      <c r="BT11" t="str">
        <f>"-0.341"</f>
        <v>-0.341</v>
      </c>
      <c r="BU11" t="str">
        <f>"-0.459"</f>
        <v>-0.459</v>
      </c>
      <c r="BV11" t="str">
        <f>"-0.188"</f>
        <v>-0.188</v>
      </c>
      <c r="BW11" t="str">
        <f>"-0.198"</f>
        <v>-0.198</v>
      </c>
      <c r="BX11" t="str">
        <f>"-0.273"</f>
        <v>-0.273</v>
      </c>
      <c r="BY11" t="str">
        <f>"-0.309"</f>
        <v>-0.309</v>
      </c>
      <c r="BZ11" t="str">
        <f>"-0.336"</f>
        <v>-0.336</v>
      </c>
      <c r="CA11" t="str">
        <f>"-0.383"</f>
        <v>-0.383</v>
      </c>
      <c r="CB11" t="str">
        <f>"0.0433"</f>
        <v>0.0433</v>
      </c>
      <c r="CC11" t="str">
        <f>"0.0459"</f>
        <v>0.0459</v>
      </c>
      <c r="CD11" t="str">
        <f>"-0.0728"</f>
        <v>-0.0728</v>
      </c>
      <c r="CE11" t="str">
        <f>"-0.136"</f>
        <v>-0.136</v>
      </c>
      <c r="CF11" t="str">
        <f>"-0.202"</f>
        <v>-0.202</v>
      </c>
      <c r="CG11" t="str">
        <f>"-0.287"</f>
        <v>-0.287</v>
      </c>
      <c r="CH11" t="str">
        <f>"0.119"</f>
        <v>0.119</v>
      </c>
      <c r="CI11" t="str">
        <f>"0.159"</f>
        <v>0.159</v>
      </c>
      <c r="CJ11" t="str">
        <f>"0.0515"</f>
        <v>0.0515</v>
      </c>
      <c r="CK11" t="str">
        <f>"-0.0467"</f>
        <v>-0.0467</v>
      </c>
      <c r="CL11" t="str">
        <f>"-0.0955"</f>
        <v>-0.0955</v>
      </c>
      <c r="CM11" t="str">
        <f>"-0.179"</f>
        <v>-0.179</v>
      </c>
    </row>
    <row r="12" spans="1:91" x14ac:dyDescent="0.25">
      <c r="A12" t="str">
        <f>"Sweden"</f>
        <v>Sweden</v>
      </c>
      <c r="B12" t="str">
        <f>"-0.467"</f>
        <v>-0.467</v>
      </c>
      <c r="C12" t="str">
        <f>"-0.418"</f>
        <v>-0.418</v>
      </c>
      <c r="D12" t="str">
        <f>"-0.301"</f>
        <v>-0.301</v>
      </c>
      <c r="E12" t="str">
        <f>"-0.381"</f>
        <v>-0.381</v>
      </c>
      <c r="F12" t="str">
        <f>"-0.647"</f>
        <v>-0.647</v>
      </c>
      <c r="G12" t="str">
        <f>"-0.799"</f>
        <v>-0.799</v>
      </c>
      <c r="H12" t="str">
        <f>"-0.380"</f>
        <v>-0.380</v>
      </c>
      <c r="I12" t="str">
        <f>"-0.375"</f>
        <v>-0.375</v>
      </c>
      <c r="J12" t="str">
        <f>"-0.366"</f>
        <v>-0.366</v>
      </c>
      <c r="K12" t="str">
        <f>"-0.356"</f>
        <v>-0.356</v>
      </c>
      <c r="L12" t="str">
        <f>"-0.387"</f>
        <v>-0.387</v>
      </c>
      <c r="M12" t="str">
        <f>"-0.590"</f>
        <v>-0.590</v>
      </c>
      <c r="N12" t="str">
        <f>"-0.223"</f>
        <v>-0.223</v>
      </c>
      <c r="O12" t="str">
        <f>"-0.246"</f>
        <v>-0.246</v>
      </c>
      <c r="P12" t="str">
        <f>"-0.301"</f>
        <v>-0.301</v>
      </c>
      <c r="Q12" t="str">
        <f>"-0.341"</f>
        <v>-0.341</v>
      </c>
      <c r="R12" t="str">
        <f>"-0.332"</f>
        <v>-0.332</v>
      </c>
      <c r="S12" t="str">
        <f>"-0.333"</f>
        <v>-0.333</v>
      </c>
      <c r="T12" t="str">
        <f>"0.0515"</f>
        <v>0.0515</v>
      </c>
      <c r="U12" t="str">
        <f>"-0.00252"</f>
        <v>-0.00252</v>
      </c>
      <c r="V12" t="str">
        <f>"-0.0594"</f>
        <v>-0.0594</v>
      </c>
      <c r="W12" t="str">
        <f>"-0.162"</f>
        <v>-0.162</v>
      </c>
      <c r="X12" t="str">
        <f>"-0.218"</f>
        <v>-0.218</v>
      </c>
      <c r="Y12" t="str">
        <f>"-0.212"</f>
        <v>-0.212</v>
      </c>
      <c r="Z12" t="str">
        <f>"0.100"</f>
        <v>0.100</v>
      </c>
      <c r="AA12" t="str">
        <f>"0.0979"</f>
        <v>0.0979</v>
      </c>
      <c r="AB12" t="str">
        <f>"0.0665"</f>
        <v>0.0665</v>
      </c>
      <c r="AC12" t="str">
        <f>"-0.0137"</f>
        <v>-0.0137</v>
      </c>
      <c r="AD12" t="str">
        <f>"-0.0972"</f>
        <v>-0.0972</v>
      </c>
      <c r="AE12" t="str">
        <f>"-0.106"</f>
        <v>-0.106</v>
      </c>
      <c r="AF12" t="str">
        <f>"-0.626"</f>
        <v>-0.626</v>
      </c>
      <c r="AG12" t="str">
        <f>"-0.419"</f>
        <v>-0.419</v>
      </c>
      <c r="AH12" t="str">
        <f>"-0.361"</f>
        <v>-0.361</v>
      </c>
      <c r="AI12" t="str">
        <f>"-0.557"</f>
        <v>-0.557</v>
      </c>
      <c r="AJ12" t="str">
        <f>"-0.709"</f>
        <v>-0.709</v>
      </c>
      <c r="AK12" t="str">
        <f>"-0.814"</f>
        <v>-0.814</v>
      </c>
      <c r="AL12" t="str">
        <f>"-0.586"</f>
        <v>-0.586</v>
      </c>
      <c r="AM12" t="str">
        <f>"-0.426"</f>
        <v>-0.426</v>
      </c>
      <c r="AN12" t="str">
        <f>"-0.322"</f>
        <v>-0.322</v>
      </c>
      <c r="AO12" t="str">
        <f>"-0.390"</f>
        <v>-0.390</v>
      </c>
      <c r="AP12" t="str">
        <f>"-0.500"</f>
        <v>-0.500</v>
      </c>
      <c r="AQ12" t="str">
        <f>"-0.680"</f>
        <v>-0.680</v>
      </c>
      <c r="AR12" t="str">
        <f>"-0.383"</f>
        <v>-0.383</v>
      </c>
      <c r="AS12" t="str">
        <f>"-0.295"</f>
        <v>-0.295</v>
      </c>
      <c r="AT12" t="str">
        <f>"-0.213"</f>
        <v>-0.213</v>
      </c>
      <c r="AU12" t="str">
        <f>"-0.252"</f>
        <v>-0.252</v>
      </c>
      <c r="AV12" t="str">
        <f>"-0.296"</f>
        <v>-0.296</v>
      </c>
      <c r="AW12" t="str">
        <f>"-0.389"</f>
        <v>-0.389</v>
      </c>
      <c r="AX12" t="str">
        <f>"-0.117"</f>
        <v>-0.117</v>
      </c>
      <c r="AY12" t="str">
        <f>"-0.0763"</f>
        <v>-0.0763</v>
      </c>
      <c r="AZ12" t="str">
        <f>"-0.0443"</f>
        <v>-0.0443</v>
      </c>
      <c r="BA12" t="str">
        <f>"-0.0612"</f>
        <v>-0.0612</v>
      </c>
      <c r="BB12" t="str">
        <f>"-0.101"</f>
        <v>-0.101</v>
      </c>
      <c r="BC12" t="str">
        <f>"-0.161"</f>
        <v>-0.161</v>
      </c>
      <c r="BD12" t="str">
        <f>"-0.0292"</f>
        <v>-0.0292</v>
      </c>
      <c r="BE12" t="str">
        <f>"0.0209"</f>
        <v>0.0209</v>
      </c>
      <c r="BF12" t="str">
        <f>"0.0287"</f>
        <v>0.0287</v>
      </c>
      <c r="BG12" t="str">
        <f>"-0.00266"</f>
        <v>-0.00266</v>
      </c>
      <c r="BH12" t="str">
        <f>"-0.000895"</f>
        <v>-0.000895</v>
      </c>
      <c r="BI12" t="str">
        <f>"-0.0230"</f>
        <v>-0.0230</v>
      </c>
      <c r="BJ12" t="str">
        <f>"-0.555"</f>
        <v>-0.555</v>
      </c>
      <c r="BK12" t="str">
        <f>"-0.408"</f>
        <v>-0.408</v>
      </c>
      <c r="BL12" t="str">
        <f>"-0.327"</f>
        <v>-0.327</v>
      </c>
      <c r="BM12" t="str">
        <f>"-0.483"</f>
        <v>-0.483</v>
      </c>
      <c r="BN12" t="str">
        <f>"-0.676"</f>
        <v>-0.676</v>
      </c>
      <c r="BO12" t="str">
        <f>"-0.798"</f>
        <v>-0.798</v>
      </c>
      <c r="BP12" t="str">
        <f>"-0.503"</f>
        <v>-0.503</v>
      </c>
      <c r="BQ12" t="str">
        <f>"-0.395"</f>
        <v>-0.395</v>
      </c>
      <c r="BR12" t="str">
        <f>"-0.327"</f>
        <v>-0.327</v>
      </c>
      <c r="BS12" t="str">
        <f>"-0.366"</f>
        <v>-0.366</v>
      </c>
      <c r="BT12" t="str">
        <f>"-0.447"</f>
        <v>-0.447</v>
      </c>
      <c r="BU12" t="str">
        <f>"-0.635"</f>
        <v>-0.635</v>
      </c>
      <c r="BV12" t="str">
        <f>"-0.315"</f>
        <v>-0.315</v>
      </c>
      <c r="BW12" t="str">
        <f>"-0.259"</f>
        <v>-0.259</v>
      </c>
      <c r="BX12" t="str">
        <f>"-0.230"</f>
        <v>-0.230</v>
      </c>
      <c r="BY12" t="str">
        <f>"-0.278"</f>
        <v>-0.278</v>
      </c>
      <c r="BZ12" t="str">
        <f>"-0.301"</f>
        <v>-0.301</v>
      </c>
      <c r="CA12" t="str">
        <f>"-0.357"</f>
        <v>-0.357</v>
      </c>
      <c r="CB12" t="str">
        <f>"-0.0353"</f>
        <v>-0.0353</v>
      </c>
      <c r="CC12" t="str">
        <f>"-0.0278"</f>
        <v>-0.0278</v>
      </c>
      <c r="CD12" t="str">
        <f>"-0.0315"</f>
        <v>-0.0315</v>
      </c>
      <c r="CE12" t="str">
        <f>"-0.0927"</f>
        <v>-0.0927</v>
      </c>
      <c r="CF12" t="str">
        <f>"-0.147"</f>
        <v>-0.147</v>
      </c>
      <c r="CG12" t="str">
        <f>"-0.175"</f>
        <v>-0.175</v>
      </c>
      <c r="CH12" t="str">
        <f>"0.0443"</f>
        <v>0.0443</v>
      </c>
      <c r="CI12" t="str">
        <f>"0.0741"</f>
        <v>0.0741</v>
      </c>
      <c r="CJ12" t="str">
        <f>"0.0636"</f>
        <v>0.0636</v>
      </c>
      <c r="CK12" t="str">
        <f>"0.00489"</f>
        <v>0.00489</v>
      </c>
      <c r="CL12" t="str">
        <f>"-0.0410"</f>
        <v>-0.0410</v>
      </c>
      <c r="CM12" t="str">
        <f>"-0.0578"</f>
        <v>-0.0578</v>
      </c>
    </row>
    <row r="13" spans="1:91" x14ac:dyDescent="0.25">
      <c r="A13" t="str">
        <f>"UK"</f>
        <v>UK</v>
      </c>
      <c r="B13" t="str">
        <f>"-0.214"</f>
        <v>-0.214</v>
      </c>
      <c r="C13" t="str">
        <f>"-0.161"</f>
        <v>-0.161</v>
      </c>
      <c r="D13" t="str">
        <f>"-0.142"</f>
        <v>-0.142</v>
      </c>
      <c r="E13" t="str">
        <f>"-0.213"</f>
        <v>-0.213</v>
      </c>
      <c r="F13" t="str">
        <f>"-0.341"</f>
        <v>-0.341</v>
      </c>
      <c r="G13" t="str">
        <f>"-0.390"</f>
        <v>-0.390</v>
      </c>
      <c r="H13" t="str">
        <f>"-0.123"</f>
        <v>-0.123</v>
      </c>
      <c r="I13" t="str">
        <f>"-0.0285"</f>
        <v>-0.0285</v>
      </c>
      <c r="J13" t="str">
        <f>"-0.0317"</f>
        <v>-0.0317</v>
      </c>
      <c r="K13" t="str">
        <f>"-0.138"</f>
        <v>-0.138</v>
      </c>
      <c r="L13" t="str">
        <f>"-0.206"</f>
        <v>-0.206</v>
      </c>
      <c r="M13" t="str">
        <f>"-0.338"</f>
        <v>-0.338</v>
      </c>
      <c r="N13" t="str">
        <f>"-0.0138"</f>
        <v>-0.0138</v>
      </c>
      <c r="O13" t="str">
        <f>"0.0659"</f>
        <v>0.0659</v>
      </c>
      <c r="P13" t="str">
        <f>"0.0784"</f>
        <v>0.0784</v>
      </c>
      <c r="Q13" t="str">
        <f>"-0.0173"</f>
        <v>-0.0173</v>
      </c>
      <c r="R13" t="str">
        <f>"-0.152"</f>
        <v>-0.152</v>
      </c>
      <c r="S13" t="str">
        <f>"-0.197"</f>
        <v>-0.197</v>
      </c>
      <c r="T13" t="str">
        <f>"0.120"</f>
        <v>0.120</v>
      </c>
      <c r="U13" t="str">
        <f>"0.171"</f>
        <v>0.171</v>
      </c>
      <c r="V13" t="str">
        <f>"0.175"</f>
        <v>0.175</v>
      </c>
      <c r="W13" t="str">
        <f>"0.124"</f>
        <v>0.124</v>
      </c>
      <c r="X13" t="str">
        <f>"-0.00873"</f>
        <v>-0.00873</v>
      </c>
      <c r="Y13" t="str">
        <f>"-0.0918"</f>
        <v>-0.0918</v>
      </c>
      <c r="Z13" t="str">
        <f>"0.113"</f>
        <v>0.113</v>
      </c>
      <c r="AA13" t="str">
        <f>"0.207"</f>
        <v>0.207</v>
      </c>
      <c r="AB13" t="str">
        <f>"0.208"</f>
        <v>0.208</v>
      </c>
      <c r="AC13" t="str">
        <f>"0.138"</f>
        <v>0.138</v>
      </c>
      <c r="AD13" t="str">
        <f>"0.0711"</f>
        <v>0.0711</v>
      </c>
      <c r="AE13" t="str">
        <f>"-0.0146"</f>
        <v>-0.0146</v>
      </c>
      <c r="AF13" t="str">
        <f>"-0.374"</f>
        <v>-0.374</v>
      </c>
      <c r="AG13" t="str">
        <f>"-0.340"</f>
        <v>-0.340</v>
      </c>
      <c r="AH13" t="str">
        <f>"-0.329"</f>
        <v>-0.329</v>
      </c>
      <c r="AI13" t="str">
        <f>"-0.448"</f>
        <v>-0.448</v>
      </c>
      <c r="AJ13" t="str">
        <f>"-0.412"</f>
        <v>-0.412</v>
      </c>
      <c r="AK13" t="str">
        <f>"-0.377"</f>
        <v>-0.377</v>
      </c>
      <c r="AL13" t="str">
        <f>"-0.186"</f>
        <v>-0.186</v>
      </c>
      <c r="AM13" t="str">
        <f>"-0.114"</f>
        <v>-0.114</v>
      </c>
      <c r="AN13" t="str">
        <f>"-0.107"</f>
        <v>-0.107</v>
      </c>
      <c r="AO13" t="str">
        <f>"-0.193"</f>
        <v>-0.193</v>
      </c>
      <c r="AP13" t="str">
        <f>"-0.298"</f>
        <v>-0.298</v>
      </c>
      <c r="AQ13" t="str">
        <f>"-0.442"</f>
        <v>-0.442</v>
      </c>
      <c r="AR13" t="str">
        <f>"0.0201"</f>
        <v>0.0201</v>
      </c>
      <c r="AS13" t="str">
        <f>"0.0416"</f>
        <v>0.0416</v>
      </c>
      <c r="AT13" t="str">
        <f>"0.0703"</f>
        <v>0.0703</v>
      </c>
      <c r="AU13" t="str">
        <f>"-0.00530"</f>
        <v>-0.00530</v>
      </c>
      <c r="AV13" t="str">
        <f>"-0.117"</f>
        <v>-0.117</v>
      </c>
      <c r="AW13" t="str">
        <f>"-0.247"</f>
        <v>-0.247</v>
      </c>
      <c r="AX13" t="str">
        <f>"0.145"</f>
        <v>0.145</v>
      </c>
      <c r="AY13" t="str">
        <f>"0.178"</f>
        <v>0.178</v>
      </c>
      <c r="AZ13" t="str">
        <f>"0.172"</f>
        <v>0.172</v>
      </c>
      <c r="BA13" t="str">
        <f>"0.146"</f>
        <v>0.146</v>
      </c>
      <c r="BB13" t="str">
        <f>"0.0342"</f>
        <v>0.0342</v>
      </c>
      <c r="BC13" t="str">
        <f>"-0.0689"</f>
        <v>-0.0689</v>
      </c>
      <c r="BD13" t="str">
        <f>"0.130"</f>
        <v>0.130</v>
      </c>
      <c r="BE13" t="str">
        <f>"0.196"</f>
        <v>0.196</v>
      </c>
      <c r="BF13" t="str">
        <f>"0.198"</f>
        <v>0.198</v>
      </c>
      <c r="BG13" t="str">
        <f>"0.142"</f>
        <v>0.142</v>
      </c>
      <c r="BH13" t="str">
        <f>"0.0890"</f>
        <v>0.0890</v>
      </c>
      <c r="BI13" t="str">
        <f>"-0.00117"</f>
        <v>-0.00117</v>
      </c>
      <c r="BJ13" t="str">
        <f>"-0.308"</f>
        <v>-0.308</v>
      </c>
      <c r="BK13" t="str">
        <f>"-0.265"</f>
        <v>-0.265</v>
      </c>
      <c r="BL13" t="str">
        <f>"-0.253"</f>
        <v>-0.253</v>
      </c>
      <c r="BM13" t="str">
        <f>"-0.358"</f>
        <v>-0.358</v>
      </c>
      <c r="BN13" t="str">
        <f>"-0.385"</f>
        <v>-0.385</v>
      </c>
      <c r="BO13" t="str">
        <f>"-0.382"</f>
        <v>-0.382</v>
      </c>
      <c r="BP13" t="str">
        <f>"-0.165"</f>
        <v>-0.165</v>
      </c>
      <c r="BQ13" t="str">
        <f>"-0.0779"</f>
        <v>-0.0779</v>
      </c>
      <c r="BR13" t="str">
        <f>"-0.0710"</f>
        <v>-0.0710</v>
      </c>
      <c r="BS13" t="str">
        <f>"-0.165"</f>
        <v>-0.165</v>
      </c>
      <c r="BT13" t="str">
        <f>"-0.258"</f>
        <v>-0.258</v>
      </c>
      <c r="BU13" t="str">
        <f>"-0.398"</f>
        <v>-0.398</v>
      </c>
      <c r="BV13" t="str">
        <f>"-0.00901"</f>
        <v>-0.00901</v>
      </c>
      <c r="BW13" t="str">
        <f>"0.0521"</f>
        <v>0.0521</v>
      </c>
      <c r="BX13" t="str">
        <f>"0.0782"</f>
        <v>0.0782</v>
      </c>
      <c r="BY13" t="str">
        <f>"-0.00271"</f>
        <v>-0.00271</v>
      </c>
      <c r="BZ13" t="str">
        <f>"-0.125"</f>
        <v>-0.125</v>
      </c>
      <c r="CA13" t="str">
        <f>"-0.222"</f>
        <v>-0.222</v>
      </c>
      <c r="CB13" t="str">
        <f>"0.103"</f>
        <v>0.103</v>
      </c>
      <c r="CC13" t="str">
        <f>"0.158"</f>
        <v>0.158</v>
      </c>
      <c r="CD13" t="str">
        <f>"0.171"</f>
        <v>0.171</v>
      </c>
      <c r="CE13" t="str">
        <f>"0.136"</f>
        <v>0.136</v>
      </c>
      <c r="CF13" t="str">
        <f>"0.0187"</f>
        <v>0.0187</v>
      </c>
      <c r="CG13" t="str">
        <f>"-0.0737"</f>
        <v>-0.0737</v>
      </c>
      <c r="CH13" t="str">
        <f>"0.0959"</f>
        <v>0.0959</v>
      </c>
      <c r="CI13" t="str">
        <f>"0.176"</f>
        <v>0.176</v>
      </c>
      <c r="CJ13" t="str">
        <f>"0.192"</f>
        <v>0.192</v>
      </c>
      <c r="CK13" t="str">
        <f>"0.136"</f>
        <v>0.136</v>
      </c>
      <c r="CL13" t="str">
        <f>"0.0810"</f>
        <v>0.0810</v>
      </c>
      <c r="CM13" t="str">
        <f>"-0.00343"</f>
        <v>-0.00343</v>
      </c>
    </row>
    <row r="14" spans="1:91" x14ac:dyDescent="0.25">
      <c r="A14" t="str">
        <f>"USA"</f>
        <v>USA</v>
      </c>
      <c r="B14" t="str">
        <f t="shared" ref="B14:BM14" si="0">"0"</f>
        <v>0</v>
      </c>
      <c r="C14" t="str">
        <f t="shared" si="0"/>
        <v>0</v>
      </c>
      <c r="D14" t="str">
        <f t="shared" si="0"/>
        <v>0</v>
      </c>
      <c r="E14" t="str">
        <f t="shared" si="0"/>
        <v>0</v>
      </c>
      <c r="F14" t="str">
        <f t="shared" si="0"/>
        <v>0</v>
      </c>
      <c r="G14" t="str">
        <f t="shared" si="0"/>
        <v>0</v>
      </c>
      <c r="H14" t="str">
        <f t="shared" si="0"/>
        <v>0</v>
      </c>
      <c r="I14" t="str">
        <f t="shared" si="0"/>
        <v>0</v>
      </c>
      <c r="J14" t="str">
        <f t="shared" si="0"/>
        <v>0</v>
      </c>
      <c r="K14" t="str">
        <f t="shared" si="0"/>
        <v>0</v>
      </c>
      <c r="L14" t="str">
        <f t="shared" si="0"/>
        <v>0</v>
      </c>
      <c r="M14" t="str">
        <f t="shared" si="0"/>
        <v>0</v>
      </c>
      <c r="N14" t="str">
        <f t="shared" si="0"/>
        <v>0</v>
      </c>
      <c r="O14" t="str">
        <f t="shared" si="0"/>
        <v>0</v>
      </c>
      <c r="P14" t="str">
        <f t="shared" si="0"/>
        <v>0</v>
      </c>
      <c r="Q14" t="str">
        <f t="shared" si="0"/>
        <v>0</v>
      </c>
      <c r="R14" t="str">
        <f t="shared" si="0"/>
        <v>0</v>
      </c>
      <c r="S14" t="str">
        <f t="shared" si="0"/>
        <v>0</v>
      </c>
      <c r="T14" t="str">
        <f t="shared" si="0"/>
        <v>0</v>
      </c>
      <c r="U14" t="str">
        <f t="shared" si="0"/>
        <v>0</v>
      </c>
      <c r="V14" t="str">
        <f t="shared" si="0"/>
        <v>0</v>
      </c>
      <c r="W14" t="str">
        <f t="shared" si="0"/>
        <v>0</v>
      </c>
      <c r="X14" t="str">
        <f t="shared" si="0"/>
        <v>0</v>
      </c>
      <c r="Y14" t="str">
        <f t="shared" si="0"/>
        <v>0</v>
      </c>
      <c r="Z14" t="str">
        <f t="shared" si="0"/>
        <v>0</v>
      </c>
      <c r="AA14" t="str">
        <f t="shared" si="0"/>
        <v>0</v>
      </c>
      <c r="AB14" t="str">
        <f t="shared" si="0"/>
        <v>0</v>
      </c>
      <c r="AC14" t="str">
        <f t="shared" si="0"/>
        <v>0</v>
      </c>
      <c r="AD14" t="str">
        <f t="shared" si="0"/>
        <v>0</v>
      </c>
      <c r="AE14" t="str">
        <f t="shared" si="0"/>
        <v>0</v>
      </c>
      <c r="AF14" t="str">
        <f t="shared" si="0"/>
        <v>0</v>
      </c>
      <c r="AG14" t="str">
        <f t="shared" si="0"/>
        <v>0</v>
      </c>
      <c r="AH14" t="str">
        <f t="shared" si="0"/>
        <v>0</v>
      </c>
      <c r="AI14" t="str">
        <f t="shared" si="0"/>
        <v>0</v>
      </c>
      <c r="AJ14" t="str">
        <f t="shared" si="0"/>
        <v>0</v>
      </c>
      <c r="AK14" t="str">
        <f t="shared" si="0"/>
        <v>0</v>
      </c>
      <c r="AL14" t="str">
        <f t="shared" si="0"/>
        <v>0</v>
      </c>
      <c r="AM14" t="str">
        <f t="shared" si="0"/>
        <v>0</v>
      </c>
      <c r="AN14" t="str">
        <f t="shared" si="0"/>
        <v>0</v>
      </c>
      <c r="AO14" t="str">
        <f t="shared" si="0"/>
        <v>0</v>
      </c>
      <c r="AP14" t="str">
        <f t="shared" si="0"/>
        <v>0</v>
      </c>
      <c r="AQ14" t="str">
        <f t="shared" si="0"/>
        <v>0</v>
      </c>
      <c r="AR14" t="str">
        <f t="shared" si="0"/>
        <v>0</v>
      </c>
      <c r="AS14" t="str">
        <f t="shared" si="0"/>
        <v>0</v>
      </c>
      <c r="AT14" t="str">
        <f t="shared" si="0"/>
        <v>0</v>
      </c>
      <c r="AU14" t="str">
        <f t="shared" si="0"/>
        <v>0</v>
      </c>
      <c r="AV14" t="str">
        <f t="shared" si="0"/>
        <v>0</v>
      </c>
      <c r="AW14" t="str">
        <f t="shared" si="0"/>
        <v>0</v>
      </c>
      <c r="AX14" t="str">
        <f t="shared" si="0"/>
        <v>0</v>
      </c>
      <c r="AY14" t="str">
        <f t="shared" si="0"/>
        <v>0</v>
      </c>
      <c r="AZ14" t="str">
        <f t="shared" si="0"/>
        <v>0</v>
      </c>
      <c r="BA14" t="str">
        <f t="shared" si="0"/>
        <v>0</v>
      </c>
      <c r="BB14" t="str">
        <f t="shared" si="0"/>
        <v>0</v>
      </c>
      <c r="BC14" t="str">
        <f t="shared" si="0"/>
        <v>0</v>
      </c>
      <c r="BD14" t="str">
        <f t="shared" si="0"/>
        <v>0</v>
      </c>
      <c r="BE14" t="str">
        <f t="shared" si="0"/>
        <v>0</v>
      </c>
      <c r="BF14" t="str">
        <f t="shared" si="0"/>
        <v>0</v>
      </c>
      <c r="BG14" t="str">
        <f t="shared" si="0"/>
        <v>0</v>
      </c>
      <c r="BH14" t="str">
        <f t="shared" si="0"/>
        <v>0</v>
      </c>
      <c r="BI14" t="str">
        <f t="shared" si="0"/>
        <v>0</v>
      </c>
      <c r="BJ14" t="str">
        <f t="shared" si="0"/>
        <v>0</v>
      </c>
      <c r="BK14" t="str">
        <f t="shared" si="0"/>
        <v>0</v>
      </c>
      <c r="BL14" t="str">
        <f t="shared" si="0"/>
        <v>0</v>
      </c>
      <c r="BM14" t="str">
        <f t="shared" si="0"/>
        <v>0</v>
      </c>
      <c r="BN14" t="str">
        <f t="shared" ref="BN14:CM14" si="1">"0"</f>
        <v>0</v>
      </c>
      <c r="BO14" t="str">
        <f t="shared" si="1"/>
        <v>0</v>
      </c>
      <c r="BP14" t="str">
        <f t="shared" si="1"/>
        <v>0</v>
      </c>
      <c r="BQ14" t="str">
        <f t="shared" si="1"/>
        <v>0</v>
      </c>
      <c r="BR14" t="str">
        <f t="shared" si="1"/>
        <v>0</v>
      </c>
      <c r="BS14" t="str">
        <f t="shared" si="1"/>
        <v>0</v>
      </c>
      <c r="BT14" t="str">
        <f t="shared" si="1"/>
        <v>0</v>
      </c>
      <c r="BU14" t="str">
        <f t="shared" si="1"/>
        <v>0</v>
      </c>
      <c r="BV14" t="str">
        <f t="shared" si="1"/>
        <v>0</v>
      </c>
      <c r="BW14" t="str">
        <f t="shared" si="1"/>
        <v>0</v>
      </c>
      <c r="BX14" t="str">
        <f t="shared" si="1"/>
        <v>0</v>
      </c>
      <c r="BY14" t="str">
        <f t="shared" si="1"/>
        <v>0</v>
      </c>
      <c r="BZ14" t="str">
        <f t="shared" si="1"/>
        <v>0</v>
      </c>
      <c r="CA14" t="str">
        <f t="shared" si="1"/>
        <v>0</v>
      </c>
      <c r="CB14" t="str">
        <f t="shared" si="1"/>
        <v>0</v>
      </c>
      <c r="CC14" t="str">
        <f t="shared" si="1"/>
        <v>0</v>
      </c>
      <c r="CD14" t="str">
        <f t="shared" si="1"/>
        <v>0</v>
      </c>
      <c r="CE14" t="str">
        <f t="shared" si="1"/>
        <v>0</v>
      </c>
      <c r="CF14" t="str">
        <f t="shared" si="1"/>
        <v>0</v>
      </c>
      <c r="CG14" t="str">
        <f t="shared" si="1"/>
        <v>0</v>
      </c>
      <c r="CH14" t="str">
        <f t="shared" si="1"/>
        <v>0</v>
      </c>
      <c r="CI14" t="str">
        <f t="shared" si="1"/>
        <v>0</v>
      </c>
      <c r="CJ14" t="str">
        <f t="shared" si="1"/>
        <v>0</v>
      </c>
      <c r="CK14" t="str">
        <f t="shared" si="1"/>
        <v>0</v>
      </c>
      <c r="CL14" t="str">
        <f t="shared" si="1"/>
        <v>0</v>
      </c>
      <c r="CM14" t="str">
        <f t="shared" si="1"/>
        <v>0</v>
      </c>
    </row>
    <row r="15" spans="1:91" x14ac:dyDescent="0.25">
      <c r="A15" t="str">
        <f>"WestGermany"</f>
        <v>WestGermany</v>
      </c>
      <c r="B15" t="str">
        <f>"-0.192"</f>
        <v>-0.192</v>
      </c>
      <c r="C15" t="str">
        <f>"-0.166"</f>
        <v>-0.166</v>
      </c>
      <c r="D15" t="str">
        <f>"-0.152"</f>
        <v>-0.152</v>
      </c>
      <c r="E15" t="str">
        <f>"-0.165"</f>
        <v>-0.165</v>
      </c>
      <c r="F15" t="str">
        <f>"-0.408"</f>
        <v>-0.408</v>
      </c>
      <c r="G15" t="str">
        <f>"-0.569"</f>
        <v>-0.569</v>
      </c>
      <c r="H15" t="str">
        <f>"-0.155"</f>
        <v>-0.155</v>
      </c>
      <c r="I15" t="str">
        <f>"-0.127"</f>
        <v>-0.127</v>
      </c>
      <c r="J15" t="str">
        <f>"-0.202"</f>
        <v>-0.202</v>
      </c>
      <c r="K15" t="str">
        <f>"-0.247"</f>
        <v>-0.247</v>
      </c>
      <c r="L15" t="str">
        <f>"-0.241"</f>
        <v>-0.241</v>
      </c>
      <c r="M15" t="str">
        <f>"-0.347"</f>
        <v>-0.347</v>
      </c>
      <c r="N15" t="str">
        <f>"0.00347"</f>
        <v>0.00347</v>
      </c>
      <c r="O15" t="str">
        <f>"0.00473"</f>
        <v>0.00473</v>
      </c>
      <c r="P15" t="str">
        <f>"-0.129"</f>
        <v>-0.129</v>
      </c>
      <c r="Q15" t="str">
        <f>"-0.234"</f>
        <v>-0.234</v>
      </c>
      <c r="R15" t="str">
        <f>"-0.318"</f>
        <v>-0.318</v>
      </c>
      <c r="S15" t="str">
        <f>"-0.206"</f>
        <v>-0.206</v>
      </c>
      <c r="T15" t="str">
        <f>"0.216"</f>
        <v>0.216</v>
      </c>
      <c r="U15" t="str">
        <f>"0.244"</f>
        <v>0.244</v>
      </c>
      <c r="V15" t="str">
        <f>"0.124"</f>
        <v>0.124</v>
      </c>
      <c r="W15" t="str">
        <f>"-0.0132"</f>
        <v>-0.0132</v>
      </c>
      <c r="X15" t="str">
        <f>"-0.159"</f>
        <v>-0.159</v>
      </c>
      <c r="Y15" t="str">
        <f>"-0.195"</f>
        <v>-0.195</v>
      </c>
      <c r="Z15" t="str">
        <f>"0.257"</f>
        <v>0.257</v>
      </c>
      <c r="AA15" t="str">
        <f>"0.324"</f>
        <v>0.324</v>
      </c>
      <c r="AB15" t="str">
        <f>"0.249"</f>
        <v>0.249</v>
      </c>
      <c r="AC15" t="str">
        <f>"0.0923"</f>
        <v>0.0923</v>
      </c>
      <c r="AD15" t="str">
        <f>"0.00811"</f>
        <v>0.00811</v>
      </c>
      <c r="AE15" t="str">
        <f>"-0.0563"</f>
        <v>-0.0563</v>
      </c>
      <c r="AF15" t="str">
        <f>"-0.298"</f>
        <v>-0.298</v>
      </c>
      <c r="AG15" t="str">
        <f>"-0.150"</f>
        <v>-0.150</v>
      </c>
      <c r="AH15" t="str">
        <f>"-0.110"</f>
        <v>-0.110</v>
      </c>
      <c r="AI15" t="str">
        <f>"-0.231"</f>
        <v>-0.231</v>
      </c>
      <c r="AJ15" t="str">
        <f>"-0.356"</f>
        <v>-0.356</v>
      </c>
      <c r="AK15" t="str">
        <f>"-0.509"</f>
        <v>-0.509</v>
      </c>
      <c r="AL15" t="str">
        <f>"-0.210"</f>
        <v>-0.210</v>
      </c>
      <c r="AM15" t="str">
        <f>"-0.143"</f>
        <v>-0.143</v>
      </c>
      <c r="AN15" t="str">
        <f>"-0.0512"</f>
        <v>-0.0512</v>
      </c>
      <c r="AO15" t="str">
        <f>"-0.0675"</f>
        <v>-0.0675</v>
      </c>
      <c r="AP15" t="str">
        <f>"-0.142"</f>
        <v>-0.142</v>
      </c>
      <c r="AQ15" t="str">
        <f>"-0.277"</f>
        <v>-0.277</v>
      </c>
      <c r="AR15" t="str">
        <f>"-0.0142"</f>
        <v>-0.0142</v>
      </c>
      <c r="AS15" t="str">
        <f>"0.00462"</f>
        <v>0.00462</v>
      </c>
      <c r="AT15" t="str">
        <f>"-0.00210"</f>
        <v>-0.00210</v>
      </c>
      <c r="AU15" t="str">
        <f>"0.00744"</f>
        <v>0.00744</v>
      </c>
      <c r="AV15" t="str">
        <f>"-0.0528"</f>
        <v>-0.0528</v>
      </c>
      <c r="AW15" t="str">
        <f>"-0.0725"</f>
        <v>-0.0725</v>
      </c>
      <c r="AX15" t="str">
        <f>"0.109"</f>
        <v>0.109</v>
      </c>
      <c r="AY15" t="str">
        <f>"0.180"</f>
        <v>0.180</v>
      </c>
      <c r="AZ15" t="str">
        <f>"0.134"</f>
        <v>0.134</v>
      </c>
      <c r="BA15" t="str">
        <f>"0.0922"</f>
        <v>0.0922</v>
      </c>
      <c r="BB15" t="str">
        <f>"0.0499"</f>
        <v>0.0499</v>
      </c>
      <c r="BC15" t="str">
        <f>"-0.00609"</f>
        <v>-0.00609</v>
      </c>
      <c r="BD15" t="str">
        <f>"0.124"</f>
        <v>0.124</v>
      </c>
      <c r="BE15" t="str">
        <f>"0.213"</f>
        <v>0.213</v>
      </c>
      <c r="BF15" t="str">
        <f>"0.187"</f>
        <v>0.187</v>
      </c>
      <c r="BG15" t="str">
        <f>"0.109"</f>
        <v>0.109</v>
      </c>
      <c r="BH15" t="str">
        <f>"0.100"</f>
        <v>0.100</v>
      </c>
      <c r="BI15" t="str">
        <f>"0.0665"</f>
        <v>0.0665</v>
      </c>
      <c r="BJ15" t="str">
        <f>"-0.282"</f>
        <v>-0.282</v>
      </c>
      <c r="BK15" t="str">
        <f>"-0.149"</f>
        <v>-0.149</v>
      </c>
      <c r="BL15" t="str">
        <f>"-0.111"</f>
        <v>-0.111</v>
      </c>
      <c r="BM15" t="str">
        <f>"-0.199"</f>
        <v>-0.199</v>
      </c>
      <c r="BN15" t="str">
        <f>"-0.369"</f>
        <v>-0.369</v>
      </c>
      <c r="BO15" t="str">
        <f>"-0.528"</f>
        <v>-0.528</v>
      </c>
      <c r="BP15" t="str">
        <f>"-0.221"</f>
        <v>-0.221</v>
      </c>
      <c r="BQ15" t="str">
        <f>"-0.174"</f>
        <v>-0.174</v>
      </c>
      <c r="BR15" t="str">
        <f>"-0.102"</f>
        <v>-0.102</v>
      </c>
      <c r="BS15" t="str">
        <f>"-0.119"</f>
        <v>-0.119</v>
      </c>
      <c r="BT15" t="str">
        <f>"-0.172"</f>
        <v>-0.172</v>
      </c>
      <c r="BU15" t="str">
        <f>"-0.297"</f>
        <v>-0.297</v>
      </c>
      <c r="BV15" t="str">
        <f>"-0.0337"</f>
        <v>-0.0337</v>
      </c>
      <c r="BW15" t="str">
        <f>"-0.0295"</f>
        <v>-0.0295</v>
      </c>
      <c r="BX15" t="str">
        <f>"-0.0946"</f>
        <v>-0.0946</v>
      </c>
      <c r="BY15" t="str">
        <f>"-0.0848"</f>
        <v>-0.0848</v>
      </c>
      <c r="BZ15" t="str">
        <f>"-0.146"</f>
        <v>-0.146</v>
      </c>
      <c r="CA15" t="str">
        <f>"-0.120"</f>
        <v>-0.120</v>
      </c>
      <c r="CB15" t="str">
        <f>"0.137"</f>
        <v>0.137</v>
      </c>
      <c r="CC15" t="str">
        <f>"0.189"</f>
        <v>0.189</v>
      </c>
      <c r="CD15" t="str">
        <f>"0.0985"</f>
        <v>0.0985</v>
      </c>
      <c r="CE15" t="str">
        <f>"0.00558"</f>
        <v>0.00558</v>
      </c>
      <c r="CF15" t="str">
        <f>"-0.0490"</f>
        <v>-0.0490</v>
      </c>
      <c r="CG15" t="str">
        <f>"-0.0858"</f>
        <v>-0.0858</v>
      </c>
      <c r="CH15" t="str">
        <f>"0.188"</f>
        <v>0.188</v>
      </c>
      <c r="CI15" t="str">
        <f>"0.253"</f>
        <v>0.253</v>
      </c>
      <c r="CJ15" t="str">
        <f>"0.202"</f>
        <v>0.202</v>
      </c>
      <c r="CK15" t="str">
        <f>"0.0660"</f>
        <v>0.0660</v>
      </c>
      <c r="CL15" t="str">
        <f>"0.0271"</f>
        <v>0.0271</v>
      </c>
      <c r="CM15" t="str">
        <f>"0.00394"</f>
        <v>0.00394</v>
      </c>
    </row>
    <row r="16" spans="1:91" x14ac:dyDescent="0.25">
      <c r="A16" t="str">
        <f>"Taiwan"</f>
        <v>Taiwan</v>
      </c>
      <c r="B16" t="str">
        <f>""</f>
        <v/>
      </c>
      <c r="C16" t="str">
        <f>"0.0434"</f>
        <v>0.0434</v>
      </c>
      <c r="D16" t="str">
        <f>"0.0471"</f>
        <v>0.0471</v>
      </c>
      <c r="E16" t="str">
        <f>"-0.0565"</f>
        <v>-0.0565</v>
      </c>
      <c r="F16" t="str">
        <f>"-0.277"</f>
        <v>-0.277</v>
      </c>
      <c r="G16" t="str">
        <f>"-0.354"</f>
        <v>-0.354</v>
      </c>
      <c r="H16" t="str">
        <f>""</f>
        <v/>
      </c>
      <c r="I16" t="str">
        <f>"0.0992"</f>
        <v>0.0992</v>
      </c>
      <c r="J16" t="str">
        <f>"0.0315"</f>
        <v>0.0315</v>
      </c>
      <c r="K16" t="str">
        <f>"-0.0749"</f>
        <v>-0.0749</v>
      </c>
      <c r="L16" t="str">
        <f>"-0.213"</f>
        <v>-0.213</v>
      </c>
      <c r="M16" t="str">
        <f>"-0.397"</f>
        <v>-0.397</v>
      </c>
      <c r="N16" t="str">
        <f>""</f>
        <v/>
      </c>
      <c r="O16" t="str">
        <f>"0.267"</f>
        <v>0.267</v>
      </c>
      <c r="P16" t="str">
        <f>"0.174"</f>
        <v>0.174</v>
      </c>
      <c r="Q16" t="str">
        <f>"0.0149"</f>
        <v>0.0149</v>
      </c>
      <c r="R16" t="str">
        <f>"-0.129"</f>
        <v>-0.129</v>
      </c>
      <c r="S16" t="str">
        <f>"-0.249"</f>
        <v>-0.249</v>
      </c>
      <c r="T16" t="str">
        <f>""</f>
        <v/>
      </c>
      <c r="U16" t="str">
        <f>"0.385"</f>
        <v>0.385</v>
      </c>
      <c r="V16" t="str">
        <f>"0.371"</f>
        <v>0.371</v>
      </c>
      <c r="W16" t="str">
        <f>"0.237"</f>
        <v>0.237</v>
      </c>
      <c r="X16" t="str">
        <f>"0.0294"</f>
        <v>0.0294</v>
      </c>
      <c r="Y16" t="str">
        <f>"-0.0666"</f>
        <v>-0.0666</v>
      </c>
      <c r="Z16" t="str">
        <f>""</f>
        <v/>
      </c>
      <c r="AA16" t="str">
        <f>"0.412"</f>
        <v>0.412</v>
      </c>
      <c r="AB16" t="str">
        <f>"0.437"</f>
        <v>0.437</v>
      </c>
      <c r="AC16" t="str">
        <f>"0.325"</f>
        <v>0.325</v>
      </c>
      <c r="AD16" t="str">
        <f>"0.0938"</f>
        <v>0.0938</v>
      </c>
      <c r="AE16" t="str">
        <f>"0.0246"</f>
        <v>0.0246</v>
      </c>
      <c r="AF16" t="str">
        <f>""</f>
        <v/>
      </c>
      <c r="AG16" t="str">
        <f>"-0.0425"</f>
        <v>-0.0425</v>
      </c>
      <c r="AH16" t="str">
        <f>"0.155"</f>
        <v>0.155</v>
      </c>
      <c r="AI16" t="str">
        <f>"0.133"</f>
        <v>0.133</v>
      </c>
      <c r="AJ16" t="str">
        <f>"0.196"</f>
        <v>0.196</v>
      </c>
      <c r="AK16" t="str">
        <f>"0.237"</f>
        <v>0.237</v>
      </c>
      <c r="AL16" t="str">
        <f>""</f>
        <v/>
      </c>
      <c r="AM16" t="str">
        <f>"-0.105"</f>
        <v>-0.105</v>
      </c>
      <c r="AN16" t="str">
        <f>"-0.0492"</f>
        <v>-0.0492</v>
      </c>
      <c r="AO16" t="str">
        <f>"0.103"</f>
        <v>0.103</v>
      </c>
      <c r="AP16" t="str">
        <f>"0.0817"</f>
        <v>0.0817</v>
      </c>
      <c r="AQ16" t="str">
        <f>"-0.00739"</f>
        <v>-0.00739</v>
      </c>
      <c r="AR16" t="str">
        <f>""</f>
        <v/>
      </c>
      <c r="AS16" t="str">
        <f>"0.00284"</f>
        <v>0.00284</v>
      </c>
      <c r="AT16" t="str">
        <f>"-0.0391"</f>
        <v>-0.0391</v>
      </c>
      <c r="AU16" t="str">
        <f>"-0.0108"</f>
        <v>-0.0108</v>
      </c>
      <c r="AV16" t="str">
        <f>"0.0566"</f>
        <v>0.0566</v>
      </c>
      <c r="AW16" t="str">
        <f>"-0.0111"</f>
        <v>-0.0111</v>
      </c>
      <c r="AX16" t="str">
        <f>""</f>
        <v/>
      </c>
      <c r="AY16" t="str">
        <f>"0.147"</f>
        <v>0.147</v>
      </c>
      <c r="AZ16" t="str">
        <f>"0.0704"</f>
        <v>0.0704</v>
      </c>
      <c r="BA16" t="str">
        <f>"0.0399"</f>
        <v>0.0399</v>
      </c>
      <c r="BB16" t="str">
        <f>"0.0519"</f>
        <v>0.0519</v>
      </c>
      <c r="BC16" t="str">
        <f>"0.0743"</f>
        <v>0.0743</v>
      </c>
      <c r="BD16" t="str">
        <f>""</f>
        <v/>
      </c>
      <c r="BE16" t="str">
        <f>"0.192"</f>
        <v>0.192</v>
      </c>
      <c r="BF16" t="str">
        <f>"0.144"</f>
        <v>0.144</v>
      </c>
      <c r="BG16" t="str">
        <f>"0.118"</f>
        <v>0.118</v>
      </c>
      <c r="BH16" t="str">
        <f>"0.0519"</f>
        <v>0.0519</v>
      </c>
      <c r="BI16" t="str">
        <f>"0.0687"</f>
        <v>0.0687</v>
      </c>
      <c r="BJ16" t="str">
        <f>""</f>
        <v/>
      </c>
      <c r="BK16" t="str">
        <f>"0.0298"</f>
        <v>0.0298</v>
      </c>
      <c r="BL16" t="str">
        <f>"0.134"</f>
        <v>0.134</v>
      </c>
      <c r="BM16" t="str">
        <f>"0.0840"</f>
        <v>0.0840</v>
      </c>
      <c r="BN16" t="str">
        <f>"0.0520"</f>
        <v>0.0520</v>
      </c>
      <c r="BO16" t="str">
        <f>"0.0488"</f>
        <v>0.0488</v>
      </c>
      <c r="BP16" t="str">
        <f>""</f>
        <v/>
      </c>
      <c r="BQ16" t="str">
        <f>"0.0208"</f>
        <v>0.0208</v>
      </c>
      <c r="BR16" t="str">
        <f>"0.0250"</f>
        <v>0.0250</v>
      </c>
      <c r="BS16" t="str">
        <f>"0.0517"</f>
        <v>0.0517</v>
      </c>
      <c r="BT16" t="str">
        <f>"-0.0125"</f>
        <v>-0.0125</v>
      </c>
      <c r="BU16" t="str">
        <f>"-0.135"</f>
        <v>-0.135</v>
      </c>
      <c r="BV16" t="str">
        <f>""</f>
        <v/>
      </c>
      <c r="BW16" t="str">
        <f>"0.141"</f>
        <v>0.141</v>
      </c>
      <c r="BX16" t="str">
        <f>"0.0950"</f>
        <v>0.0950</v>
      </c>
      <c r="BY16" t="str">
        <f>"0.0412"</f>
        <v>0.0412</v>
      </c>
      <c r="BZ16" t="str">
        <f>"-0.00801"</f>
        <v>-0.00801</v>
      </c>
      <c r="CA16" t="str">
        <f>"-0.0962"</f>
        <v>-0.0962</v>
      </c>
      <c r="CB16" t="str">
        <f>""</f>
        <v/>
      </c>
      <c r="CC16" t="str">
        <f>"0.271"</f>
        <v>0.271</v>
      </c>
      <c r="CD16" t="str">
        <f>"0.242"</f>
        <v>0.242</v>
      </c>
      <c r="CE16" t="str">
        <f>"0.172"</f>
        <v>0.172</v>
      </c>
      <c r="CF16" t="str">
        <f>"0.0760"</f>
        <v>0.0760</v>
      </c>
      <c r="CG16" t="str">
        <f>"0.0188"</f>
        <v>0.0188</v>
      </c>
      <c r="CH16" t="str">
        <f>""</f>
        <v/>
      </c>
      <c r="CI16" t="str">
        <f>"0.316"</f>
        <v>0.316</v>
      </c>
      <c r="CJ16" t="str">
        <f>"0.320"</f>
        <v>0.320</v>
      </c>
      <c r="CK16" t="str">
        <f>"0.257"</f>
        <v>0.257</v>
      </c>
      <c r="CL16" t="str">
        <f>"0.113"</f>
        <v>0.113</v>
      </c>
      <c r="CM16" t="str">
        <f>"0.0707"</f>
        <v>0.0707</v>
      </c>
    </row>
    <row r="17" spans="1:91" x14ac:dyDescent="0.25">
      <c r="A17" t="str">
        <f>"Israel"</f>
        <v>Israel</v>
      </c>
      <c r="B17" t="str">
        <f>""</f>
        <v/>
      </c>
      <c r="C17" t="str">
        <f>""</f>
        <v/>
      </c>
      <c r="D17" t="str">
        <f>"-0.317"</f>
        <v>-0.317</v>
      </c>
      <c r="E17" t="str">
        <f>"-0.385"</f>
        <v>-0.385</v>
      </c>
      <c r="F17" t="str">
        <f>"-0.629"</f>
        <v>-0.629</v>
      </c>
      <c r="G17" t="str">
        <f>"-0.770"</f>
        <v>-0.770</v>
      </c>
      <c r="H17" t="str">
        <f>""</f>
        <v/>
      </c>
      <c r="I17" t="str">
        <f>""</f>
        <v/>
      </c>
      <c r="J17" t="str">
        <f>"-0.164"</f>
        <v>-0.164</v>
      </c>
      <c r="K17" t="str">
        <f>"-0.299"</f>
        <v>-0.299</v>
      </c>
      <c r="L17" t="str">
        <f>"-0.446"</f>
        <v>-0.446</v>
      </c>
      <c r="M17" t="str">
        <f>"-0.604"</f>
        <v>-0.604</v>
      </c>
      <c r="N17" t="str">
        <f>""</f>
        <v/>
      </c>
      <c r="O17" t="str">
        <f>""</f>
        <v/>
      </c>
      <c r="P17" t="str">
        <f>"0.0578"</f>
        <v>0.0578</v>
      </c>
      <c r="Q17" t="str">
        <f>"-0.0946"</f>
        <v>-0.0946</v>
      </c>
      <c r="R17" t="str">
        <f>"-0.327"</f>
        <v>-0.327</v>
      </c>
      <c r="S17" t="str">
        <f>"-0.403"</f>
        <v>-0.403</v>
      </c>
      <c r="T17" t="str">
        <f>""</f>
        <v/>
      </c>
      <c r="U17" t="str">
        <f>""</f>
        <v/>
      </c>
      <c r="V17" t="str">
        <f>"0.303"</f>
        <v>0.303</v>
      </c>
      <c r="W17" t="str">
        <f>"0.123"</f>
        <v>0.123</v>
      </c>
      <c r="X17" t="str">
        <f>"-0.0814"</f>
        <v>-0.0814</v>
      </c>
      <c r="Y17" t="str">
        <f>"-0.203"</f>
        <v>-0.203</v>
      </c>
      <c r="Z17" t="str">
        <f>""</f>
        <v/>
      </c>
      <c r="AA17" t="str">
        <f>""</f>
        <v/>
      </c>
      <c r="AB17" t="str">
        <f>"0.219"</f>
        <v>0.219</v>
      </c>
      <c r="AC17" t="str">
        <f>"0.110"</f>
        <v>0.110</v>
      </c>
      <c r="AD17" t="str">
        <f>"-0.00159"</f>
        <v>-0.00159</v>
      </c>
      <c r="AE17" t="str">
        <f>"-0.0144"</f>
        <v>-0.0144</v>
      </c>
      <c r="AF17" t="str">
        <f>""</f>
        <v/>
      </c>
      <c r="AG17" t="str">
        <f>""</f>
        <v/>
      </c>
      <c r="AH17" t="str">
        <f>"-0.443"</f>
        <v>-0.443</v>
      </c>
      <c r="AI17" t="str">
        <f>"-0.594"</f>
        <v>-0.594</v>
      </c>
      <c r="AJ17" t="str">
        <f>"-0.542"</f>
        <v>-0.542</v>
      </c>
      <c r="AK17" t="str">
        <f>"-0.685"</f>
        <v>-0.685</v>
      </c>
      <c r="AL17" t="str">
        <f>""</f>
        <v/>
      </c>
      <c r="AM17" t="str">
        <f>""</f>
        <v/>
      </c>
      <c r="AN17" t="str">
        <f>"-0.246"</f>
        <v>-0.246</v>
      </c>
      <c r="AO17" t="str">
        <f>"-0.327"</f>
        <v>-0.327</v>
      </c>
      <c r="AP17" t="str">
        <f>"-0.423"</f>
        <v>-0.423</v>
      </c>
      <c r="AQ17" t="str">
        <f>"-0.520"</f>
        <v>-0.520</v>
      </c>
      <c r="AR17" t="str">
        <f>""</f>
        <v/>
      </c>
      <c r="AS17" t="str">
        <f>""</f>
        <v/>
      </c>
      <c r="AT17" t="str">
        <f>"-0.169"</f>
        <v>-0.169</v>
      </c>
      <c r="AU17" t="str">
        <f>"-0.167"</f>
        <v>-0.167</v>
      </c>
      <c r="AV17" t="str">
        <f>"-0.240"</f>
        <v>-0.240</v>
      </c>
      <c r="AW17" t="str">
        <f>"-0.331"</f>
        <v>-0.331</v>
      </c>
      <c r="AX17" t="str">
        <f>""</f>
        <v/>
      </c>
      <c r="AY17" t="str">
        <f>""</f>
        <v/>
      </c>
      <c r="AZ17" t="str">
        <f>"-0.0533"</f>
        <v>-0.0533</v>
      </c>
      <c r="BA17" t="str">
        <f>"-0.0837"</f>
        <v>-0.0837</v>
      </c>
      <c r="BB17" t="str">
        <f>"-0.0858"</f>
        <v>-0.0858</v>
      </c>
      <c r="BC17" t="str">
        <f>"-0.141"</f>
        <v>-0.141</v>
      </c>
      <c r="BD17" t="str">
        <f>""</f>
        <v/>
      </c>
      <c r="BE17" t="str">
        <f>""</f>
        <v/>
      </c>
      <c r="BF17" t="str">
        <f>"-0.0574"</f>
        <v>-0.0574</v>
      </c>
      <c r="BG17" t="str">
        <f>"-0.0960"</f>
        <v>-0.0960</v>
      </c>
      <c r="BH17" t="str">
        <f>"-0.101"</f>
        <v>-0.101</v>
      </c>
      <c r="BI17" t="str">
        <f>"-0.0744"</f>
        <v>-0.0744</v>
      </c>
      <c r="BJ17" t="str">
        <f>""</f>
        <v/>
      </c>
      <c r="BK17" t="str">
        <f>""</f>
        <v/>
      </c>
      <c r="BL17" t="str">
        <f>"-0.390"</f>
        <v>-0.390</v>
      </c>
      <c r="BM17" t="str">
        <f>"-0.512"</f>
        <v>-0.512</v>
      </c>
      <c r="BN17" t="str">
        <f>"-0.573"</f>
        <v>-0.573</v>
      </c>
      <c r="BO17" t="str">
        <f>"-0.714"</f>
        <v>-0.714</v>
      </c>
      <c r="BP17" t="str">
        <f>""</f>
        <v/>
      </c>
      <c r="BQ17" t="str">
        <f>""</f>
        <v/>
      </c>
      <c r="BR17" t="str">
        <f>"-0.217"</f>
        <v>-0.217</v>
      </c>
      <c r="BS17" t="str">
        <f>"-0.315"</f>
        <v>-0.315</v>
      </c>
      <c r="BT17" t="str">
        <f>"-0.433"</f>
        <v>-0.433</v>
      </c>
      <c r="BU17" t="str">
        <f>"-0.552"</f>
        <v>-0.552</v>
      </c>
      <c r="BV17" t="str">
        <f>""</f>
        <v/>
      </c>
      <c r="BW17" t="str">
        <f>""</f>
        <v/>
      </c>
      <c r="BX17" t="str">
        <f>"-0.0708"</f>
        <v>-0.0708</v>
      </c>
      <c r="BY17" t="str">
        <f>"-0.139"</f>
        <v>-0.139</v>
      </c>
      <c r="BZ17" t="str">
        <f>"-0.279"</f>
        <v>-0.279</v>
      </c>
      <c r="CA17" t="str">
        <f>"-0.361"</f>
        <v>-0.361</v>
      </c>
      <c r="CB17" t="str">
        <f>""</f>
        <v/>
      </c>
      <c r="CC17" t="str">
        <f>""</f>
        <v/>
      </c>
      <c r="CD17" t="str">
        <f>"0.136"</f>
        <v>0.136</v>
      </c>
      <c r="CE17" t="str">
        <f>"0.0232"</f>
        <v>0.0232</v>
      </c>
      <c r="CF17" t="str">
        <f>"-0.0853"</f>
        <v>-0.0853</v>
      </c>
      <c r="CG17" t="str">
        <f>"-0.170"</f>
        <v>-0.170</v>
      </c>
      <c r="CH17" t="str">
        <f>""</f>
        <v/>
      </c>
      <c r="CI17" t="str">
        <f>""</f>
        <v/>
      </c>
      <c r="CJ17" t="str">
        <f>"0.118"</f>
        <v>0.118</v>
      </c>
      <c r="CK17" t="str">
        <f>"0.0272"</f>
        <v>0.0272</v>
      </c>
      <c r="CL17" t="str">
        <f>"-0.0473"</f>
        <v>-0.0473</v>
      </c>
      <c r="CM17" t="str">
        <f>"-0.0445"</f>
        <v>-0.0445</v>
      </c>
    </row>
    <row r="18" spans="1:91" x14ac:dyDescent="0.25">
      <c r="A18" t="str">
        <f>"Germany"</f>
        <v>Germany</v>
      </c>
      <c r="B18" t="str">
        <f>""</f>
        <v/>
      </c>
      <c r="C18" t="str">
        <f>""</f>
        <v/>
      </c>
      <c r="D18" t="str">
        <f>""</f>
        <v/>
      </c>
      <c r="E18" t="str">
        <f>"-0.139"</f>
        <v>-0.139</v>
      </c>
      <c r="F18" t="str">
        <f>"-0.401"</f>
        <v>-0.401</v>
      </c>
      <c r="G18" t="str">
        <f>"-0.554"</f>
        <v>-0.554</v>
      </c>
      <c r="H18" t="str">
        <f>""</f>
        <v/>
      </c>
      <c r="I18" t="str">
        <f>""</f>
        <v/>
      </c>
      <c r="J18" t="str">
        <f>""</f>
        <v/>
      </c>
      <c r="K18" t="str">
        <f>"-0.222"</f>
        <v>-0.222</v>
      </c>
      <c r="L18" t="str">
        <f>"-0.256"</f>
        <v>-0.256</v>
      </c>
      <c r="M18" t="str">
        <f>"-0.348"</f>
        <v>-0.348</v>
      </c>
      <c r="N18" t="str">
        <f>""</f>
        <v/>
      </c>
      <c r="O18" t="str">
        <f>""</f>
        <v/>
      </c>
      <c r="P18" t="str">
        <f>""</f>
        <v/>
      </c>
      <c r="Q18" t="str">
        <f>"-0.192"</f>
        <v>-0.192</v>
      </c>
      <c r="R18" t="str">
        <f>"-0.319"</f>
        <v>-0.319</v>
      </c>
      <c r="S18" t="str">
        <f>"-0.221"</f>
        <v>-0.221</v>
      </c>
      <c r="T18" t="str">
        <f>""</f>
        <v/>
      </c>
      <c r="U18" t="str">
        <f>""</f>
        <v/>
      </c>
      <c r="V18" t="str">
        <f>""</f>
        <v/>
      </c>
      <c r="W18" t="str">
        <f>"0.0287"</f>
        <v>0.0287</v>
      </c>
      <c r="X18" t="str">
        <f>"-0.143"</f>
        <v>-0.143</v>
      </c>
      <c r="Y18" t="str">
        <f>"-0.194"</f>
        <v>-0.194</v>
      </c>
      <c r="Z18" t="str">
        <f>""</f>
        <v/>
      </c>
      <c r="AA18" t="str">
        <f>""</f>
        <v/>
      </c>
      <c r="AB18" t="str">
        <f>""</f>
        <v/>
      </c>
      <c r="AC18" t="str">
        <f>"0.126"</f>
        <v>0.126</v>
      </c>
      <c r="AD18" t="str">
        <f>"0.0206"</f>
        <v>0.0206</v>
      </c>
      <c r="AE18" t="str">
        <f>"-0.0438"</f>
        <v>-0.0438</v>
      </c>
      <c r="AF18" t="str">
        <f>""</f>
        <v/>
      </c>
      <c r="AG18" t="str">
        <f>""</f>
        <v/>
      </c>
      <c r="AH18" t="str">
        <f>""</f>
        <v/>
      </c>
      <c r="AI18" t="str">
        <f>"-0.142"</f>
        <v>-0.142</v>
      </c>
      <c r="AJ18" t="str">
        <f>"-0.282"</f>
        <v>-0.282</v>
      </c>
      <c r="AK18" t="str">
        <f>"-0.450"</f>
        <v>-0.450</v>
      </c>
      <c r="AL18" t="str">
        <f>""</f>
        <v/>
      </c>
      <c r="AM18" t="str">
        <f>""</f>
        <v/>
      </c>
      <c r="AN18" t="str">
        <f>""</f>
        <v/>
      </c>
      <c r="AO18" t="str">
        <f>"-0.0109"</f>
        <v>-0.0109</v>
      </c>
      <c r="AP18" t="str">
        <f>"-0.102"</f>
        <v>-0.102</v>
      </c>
      <c r="AQ18" t="str">
        <f>"-0.217"</f>
        <v>-0.217</v>
      </c>
      <c r="AR18" t="str">
        <f>""</f>
        <v/>
      </c>
      <c r="AS18" t="str">
        <f>""</f>
        <v/>
      </c>
      <c r="AT18" t="str">
        <f>""</f>
        <v/>
      </c>
      <c r="AU18" t="str">
        <f>"0.0459"</f>
        <v>0.0459</v>
      </c>
      <c r="AV18" t="str">
        <f>"-0.0354"</f>
        <v>-0.0354</v>
      </c>
      <c r="AW18" t="str">
        <f>"-0.0457"</f>
        <v>-0.0457</v>
      </c>
      <c r="AX18" t="str">
        <f>""</f>
        <v/>
      </c>
      <c r="AY18" t="str">
        <f>""</f>
        <v/>
      </c>
      <c r="AZ18" t="str">
        <f>""</f>
        <v/>
      </c>
      <c r="BA18" t="str">
        <f>"0.116"</f>
        <v>0.116</v>
      </c>
      <c r="BB18" t="str">
        <f>"0.0631"</f>
        <v>0.0631</v>
      </c>
      <c r="BC18" t="str">
        <f>"0.00566"</f>
        <v>0.00566</v>
      </c>
      <c r="BD18" t="str">
        <f>""</f>
        <v/>
      </c>
      <c r="BE18" t="str">
        <f>""</f>
        <v/>
      </c>
      <c r="BF18" t="str">
        <f>""</f>
        <v/>
      </c>
      <c r="BG18" t="str">
        <f>"0.127"</f>
        <v>0.127</v>
      </c>
      <c r="BH18" t="str">
        <f>"0.104"</f>
        <v>0.104</v>
      </c>
      <c r="BI18" t="str">
        <f>"0.0777"</f>
        <v>0.0777</v>
      </c>
      <c r="BJ18" t="str">
        <f>""</f>
        <v/>
      </c>
      <c r="BK18" t="str">
        <f>""</f>
        <v/>
      </c>
      <c r="BL18" t="str">
        <f>""</f>
        <v/>
      </c>
      <c r="BM18" t="str">
        <f>"-0.132"</f>
        <v>-0.132</v>
      </c>
      <c r="BN18" t="str">
        <f>"-0.317"</f>
        <v>-0.317</v>
      </c>
      <c r="BO18" t="str">
        <f>"-0.484"</f>
        <v>-0.484</v>
      </c>
      <c r="BP18" t="str">
        <f>""</f>
        <v/>
      </c>
      <c r="BQ18" t="str">
        <f>""</f>
        <v/>
      </c>
      <c r="BR18" t="str">
        <f>""</f>
        <v/>
      </c>
      <c r="BS18" t="str">
        <f>"-0.0738"</f>
        <v>-0.0738</v>
      </c>
      <c r="BT18" t="str">
        <f>"-0.151"</f>
        <v>-0.151</v>
      </c>
      <c r="BU18" t="str">
        <f>"-0.259"</f>
        <v>-0.259</v>
      </c>
      <c r="BV18" t="str">
        <f>""</f>
        <v/>
      </c>
      <c r="BW18" t="str">
        <f>""</f>
        <v/>
      </c>
      <c r="BX18" t="str">
        <f>""</f>
        <v/>
      </c>
      <c r="BY18" t="str">
        <f>"-0.0481"</f>
        <v>-0.0481</v>
      </c>
      <c r="BZ18" t="str">
        <f>"-0.137"</f>
        <v>-0.137</v>
      </c>
      <c r="CA18" t="str">
        <f>"-0.108"</f>
        <v>-0.108</v>
      </c>
      <c r="CB18" t="str">
        <f>""</f>
        <v/>
      </c>
      <c r="CC18" t="str">
        <f>""</f>
        <v/>
      </c>
      <c r="CD18" t="str">
        <f>""</f>
        <v/>
      </c>
      <c r="CE18" t="str">
        <f>"0.0350"</f>
        <v>0.0350</v>
      </c>
      <c r="CF18" t="str">
        <f>"-0.0374"</f>
        <v>-0.0374</v>
      </c>
      <c r="CG18" t="str">
        <f>"-0.0797"</f>
        <v>-0.0797</v>
      </c>
      <c r="CH18" t="str">
        <f>""</f>
        <v/>
      </c>
      <c r="CI18" t="str">
        <f>""</f>
        <v/>
      </c>
      <c r="CJ18" t="str">
        <f>""</f>
        <v/>
      </c>
      <c r="CK18" t="str">
        <f>"0.0913"</f>
        <v>0.0913</v>
      </c>
      <c r="CL18" t="str">
        <f>"0.0327"</f>
        <v>0.0327</v>
      </c>
      <c r="CM18" t="str">
        <f>"0.0144"</f>
        <v>0.0144</v>
      </c>
    </row>
    <row r="19" spans="1:91" x14ac:dyDescent="0.25">
      <c r="A19" t="str">
        <f>"Observations"</f>
        <v>Observations</v>
      </c>
      <c r="B19" t="str">
        <f>"1300"</f>
        <v>1300</v>
      </c>
      <c r="C19" t="str">
        <f>"1400"</f>
        <v>1400</v>
      </c>
      <c r="D19" t="str">
        <f>"1470"</f>
        <v>1470</v>
      </c>
      <c r="E19" t="str">
        <f>"1600"</f>
        <v>1600</v>
      </c>
      <c r="F19" t="str">
        <f>"1600"</f>
        <v>1600</v>
      </c>
      <c r="G19" t="str">
        <f>"1110"</f>
        <v>1110</v>
      </c>
      <c r="H19" t="str">
        <f>"1300"</f>
        <v>1300</v>
      </c>
      <c r="I19" t="str">
        <f>"1400"</f>
        <v>1400</v>
      </c>
      <c r="J19" t="str">
        <f>"1470"</f>
        <v>1470</v>
      </c>
      <c r="K19" t="str">
        <f>"1600"</f>
        <v>1600</v>
      </c>
      <c r="L19" t="str">
        <f>"1600"</f>
        <v>1600</v>
      </c>
      <c r="M19" t="str">
        <f>"1110"</f>
        <v>1110</v>
      </c>
      <c r="N19" t="str">
        <f>"1300"</f>
        <v>1300</v>
      </c>
      <c r="O19" t="str">
        <f>"1400"</f>
        <v>1400</v>
      </c>
      <c r="P19" t="str">
        <f>"1470"</f>
        <v>1470</v>
      </c>
      <c r="Q19" t="str">
        <f>"1600"</f>
        <v>1600</v>
      </c>
      <c r="R19" t="str">
        <f>"1600"</f>
        <v>1600</v>
      </c>
      <c r="S19" t="str">
        <f>"1110"</f>
        <v>1110</v>
      </c>
      <c r="T19" t="str">
        <f>"1300"</f>
        <v>1300</v>
      </c>
      <c r="U19" t="str">
        <f>"1400"</f>
        <v>1400</v>
      </c>
      <c r="V19" t="str">
        <f>"1470"</f>
        <v>1470</v>
      </c>
      <c r="W19" t="str">
        <f>"1600"</f>
        <v>1600</v>
      </c>
      <c r="X19" t="str">
        <f>"1600"</f>
        <v>1600</v>
      </c>
      <c r="Y19" t="str">
        <f>"1110"</f>
        <v>1110</v>
      </c>
      <c r="Z19" t="str">
        <f>"130"</f>
        <v>130</v>
      </c>
      <c r="AA19" t="str">
        <f>"140"</f>
        <v>140</v>
      </c>
      <c r="AB19" t="str">
        <f>"147"</f>
        <v>147</v>
      </c>
      <c r="AC19" t="str">
        <f>"160"</f>
        <v>160</v>
      </c>
      <c r="AD19" t="str">
        <f>"160"</f>
        <v>160</v>
      </c>
      <c r="AE19" t="str">
        <f>"111"</f>
        <v>111</v>
      </c>
      <c r="AF19" t="str">
        <f>"1300"</f>
        <v>1300</v>
      </c>
      <c r="AG19" t="str">
        <f>"1400"</f>
        <v>1400</v>
      </c>
      <c r="AH19" t="str">
        <f>"1470"</f>
        <v>1470</v>
      </c>
      <c r="AI19" t="str">
        <f>"1600"</f>
        <v>1600</v>
      </c>
      <c r="AJ19" t="str">
        <f>"1600"</f>
        <v>1600</v>
      </c>
      <c r="AK19" t="str">
        <f>"1110"</f>
        <v>1110</v>
      </c>
      <c r="AL19" t="str">
        <f>"1300"</f>
        <v>1300</v>
      </c>
      <c r="AM19" t="str">
        <f>"1400"</f>
        <v>1400</v>
      </c>
      <c r="AN19" t="str">
        <f>"1470"</f>
        <v>1470</v>
      </c>
      <c r="AO19" t="str">
        <f>"1600"</f>
        <v>1600</v>
      </c>
      <c r="AP19" t="str">
        <f>"1600"</f>
        <v>1600</v>
      </c>
      <c r="AQ19" t="str">
        <f>"1110"</f>
        <v>1110</v>
      </c>
      <c r="AR19" t="str">
        <f>"1300"</f>
        <v>1300</v>
      </c>
      <c r="AS19" t="str">
        <f>"1400"</f>
        <v>1400</v>
      </c>
      <c r="AT19" t="str">
        <f>"1470"</f>
        <v>1470</v>
      </c>
      <c r="AU19" t="str">
        <f>"1600"</f>
        <v>1600</v>
      </c>
      <c r="AV19" t="str">
        <f>"1600"</f>
        <v>1600</v>
      </c>
      <c r="AW19" t="str">
        <f>"1110"</f>
        <v>1110</v>
      </c>
      <c r="AX19" t="str">
        <f>"1300"</f>
        <v>1300</v>
      </c>
      <c r="AY19" t="str">
        <f>"1400"</f>
        <v>1400</v>
      </c>
      <c r="AZ19" t="str">
        <f>"1470"</f>
        <v>1470</v>
      </c>
      <c r="BA19" t="str">
        <f>"1600"</f>
        <v>1600</v>
      </c>
      <c r="BB19" t="str">
        <f>"1600"</f>
        <v>1600</v>
      </c>
      <c r="BC19" t="str">
        <f>"1110"</f>
        <v>1110</v>
      </c>
      <c r="BD19" t="str">
        <f>"130"</f>
        <v>130</v>
      </c>
      <c r="BE19" t="str">
        <f>"140"</f>
        <v>140</v>
      </c>
      <c r="BF19" t="str">
        <f>"147"</f>
        <v>147</v>
      </c>
      <c r="BG19" t="str">
        <f>"160"</f>
        <v>160</v>
      </c>
      <c r="BH19" t="str">
        <f>"160"</f>
        <v>160</v>
      </c>
      <c r="BI19" t="str">
        <f>"111"</f>
        <v>111</v>
      </c>
      <c r="BJ19" t="str">
        <f>"1300"</f>
        <v>1300</v>
      </c>
      <c r="BK19" t="str">
        <f>"1400"</f>
        <v>1400</v>
      </c>
      <c r="BL19" t="str">
        <f>"1470"</f>
        <v>1470</v>
      </c>
      <c r="BM19" t="str">
        <f>"1600"</f>
        <v>1600</v>
      </c>
      <c r="BN19" t="str">
        <f>"1600"</f>
        <v>1600</v>
      </c>
      <c r="BO19" t="str">
        <f>"1110"</f>
        <v>1110</v>
      </c>
      <c r="BP19" t="str">
        <f>"1300"</f>
        <v>1300</v>
      </c>
      <c r="BQ19" t="str">
        <f>"1400"</f>
        <v>1400</v>
      </c>
      <c r="BR19" t="str">
        <f>"1470"</f>
        <v>1470</v>
      </c>
      <c r="BS19" t="str">
        <f>"1600"</f>
        <v>1600</v>
      </c>
      <c r="BT19" t="str">
        <f>"1600"</f>
        <v>1600</v>
      </c>
      <c r="BU19" t="str">
        <f>"1110"</f>
        <v>1110</v>
      </c>
      <c r="BV19" t="str">
        <f>"1300"</f>
        <v>1300</v>
      </c>
      <c r="BW19" t="str">
        <f>"1400"</f>
        <v>1400</v>
      </c>
      <c r="BX19" t="str">
        <f>"1470"</f>
        <v>1470</v>
      </c>
      <c r="BY19" t="str">
        <f>"1600"</f>
        <v>1600</v>
      </c>
      <c r="BZ19" t="str">
        <f>"1600"</f>
        <v>1600</v>
      </c>
      <c r="CA19" t="str">
        <f>"1110"</f>
        <v>1110</v>
      </c>
      <c r="CB19" t="str">
        <f>"1300"</f>
        <v>1300</v>
      </c>
      <c r="CC19" t="str">
        <f>"1400"</f>
        <v>1400</v>
      </c>
      <c r="CD19" t="str">
        <f>"1470"</f>
        <v>1470</v>
      </c>
      <c r="CE19" t="str">
        <f>"1600"</f>
        <v>1600</v>
      </c>
      <c r="CF19" t="str">
        <f>"1600"</f>
        <v>1600</v>
      </c>
      <c r="CG19" t="str">
        <f>"1110"</f>
        <v>1110</v>
      </c>
      <c r="CH19" t="str">
        <f>"130"</f>
        <v>130</v>
      </c>
      <c r="CI19" t="str">
        <f>"140"</f>
        <v>140</v>
      </c>
      <c r="CJ19" t="str">
        <f>"147"</f>
        <v>147</v>
      </c>
      <c r="CK19" t="str">
        <f>"160"</f>
        <v>160</v>
      </c>
      <c r="CL19" t="str">
        <f>"160"</f>
        <v>160</v>
      </c>
      <c r="CM19" t="str">
        <f>"111"</f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9FAE-16AA-4CA3-9F86-2D91C9E6A7CB}">
  <dimension ref="A1:BC34"/>
  <sheetViews>
    <sheetView tabSelected="1" workbookViewId="0">
      <selection activeCell="C6" sqref="A1:XFD1048576"/>
    </sheetView>
  </sheetViews>
  <sheetFormatPr defaultRowHeight="15" x14ac:dyDescent="0.25"/>
  <sheetData>
    <row r="1" spans="1:55" x14ac:dyDescent="0.25">
      <c r="A1" t="s">
        <v>0</v>
      </c>
      <c r="J1" t="s">
        <v>1</v>
      </c>
      <c r="R1" t="s">
        <v>2</v>
      </c>
      <c r="Z1" t="s">
        <v>3</v>
      </c>
      <c r="AH1" t="s">
        <v>4</v>
      </c>
      <c r="AO1" t="s">
        <v>15</v>
      </c>
      <c r="AX1" t="s">
        <v>17</v>
      </c>
    </row>
    <row r="2" spans="1:55" x14ac:dyDescent="0.25">
      <c r="B2">
        <v>1960</v>
      </c>
      <c r="C2">
        <v>1970</v>
      </c>
      <c r="D2">
        <v>1980</v>
      </c>
      <c r="E2">
        <v>1990</v>
      </c>
      <c r="F2">
        <v>2000</v>
      </c>
      <c r="G2">
        <v>2010</v>
      </c>
      <c r="J2">
        <v>1960</v>
      </c>
      <c r="K2">
        <v>1970</v>
      </c>
      <c r="L2">
        <v>1980</v>
      </c>
      <c r="M2">
        <v>1990</v>
      </c>
      <c r="N2">
        <v>2000</v>
      </c>
      <c r="O2">
        <v>2010</v>
      </c>
      <c r="R2">
        <v>1960</v>
      </c>
      <c r="S2">
        <v>1970</v>
      </c>
      <c r="T2">
        <v>1980</v>
      </c>
      <c r="U2">
        <v>1990</v>
      </c>
      <c r="V2">
        <v>2000</v>
      </c>
      <c r="W2">
        <v>2010</v>
      </c>
      <c r="Z2">
        <v>1960</v>
      </c>
      <c r="AA2">
        <v>1970</v>
      </c>
      <c r="AB2">
        <v>1980</v>
      </c>
      <c r="AC2">
        <v>1990</v>
      </c>
      <c r="AD2">
        <v>2000</v>
      </c>
      <c r="AE2">
        <v>2010</v>
      </c>
      <c r="AH2">
        <v>1960</v>
      </c>
      <c r="AI2">
        <v>1970</v>
      </c>
      <c r="AJ2">
        <v>1980</v>
      </c>
      <c r="AK2">
        <v>1990</v>
      </c>
      <c r="AL2">
        <v>2000</v>
      </c>
      <c r="AM2">
        <v>2010</v>
      </c>
      <c r="AP2">
        <v>1960</v>
      </c>
      <c r="AQ2">
        <v>1970</v>
      </c>
      <c r="AR2">
        <v>1980</v>
      </c>
      <c r="AS2">
        <v>1990</v>
      </c>
      <c r="AT2">
        <v>2000</v>
      </c>
      <c r="AU2">
        <v>2010</v>
      </c>
      <c r="AX2">
        <v>1960</v>
      </c>
      <c r="AY2">
        <v>1970</v>
      </c>
      <c r="AZ2">
        <v>1980</v>
      </c>
      <c r="BA2">
        <v>1990</v>
      </c>
      <c r="BB2">
        <v>2000</v>
      </c>
      <c r="BC2">
        <v>2010</v>
      </c>
    </row>
    <row r="3" spans="1:55" x14ac:dyDescent="0.25">
      <c r="A3" t="s">
        <v>5</v>
      </c>
      <c r="B3" s="1" t="str">
        <f>'lnMortality by DecadeAgeCaT'!B3</f>
        <v>-0.164</v>
      </c>
      <c r="C3" s="1" t="str">
        <f>'lnMortality by DecadeAgeCaT'!C3</f>
        <v>-0.175</v>
      </c>
      <c r="D3" s="1" t="str">
        <f>'lnMortality by DecadeAgeCaT'!D3</f>
        <v>-0.258</v>
      </c>
      <c r="E3" s="1" t="str">
        <f>'lnMortality by DecadeAgeCaT'!E3</f>
        <v>-0.416</v>
      </c>
      <c r="F3" s="1" t="str">
        <f>'lnMortality by DecadeAgeCaT'!F3</f>
        <v>-0.559</v>
      </c>
      <c r="G3" s="1" t="str">
        <f>'lnMortality by DecadeAgeCaT'!G3</f>
        <v>-0.570</v>
      </c>
      <c r="I3" t="s">
        <v>5</v>
      </c>
      <c r="J3" s="1" t="str">
        <f>'lnMortality by DecadeAgeCaT'!$B$4</f>
        <v>-0.282</v>
      </c>
      <c r="K3" s="1" t="str">
        <f>'lnMortality by DecadeAgeCaT'!$C$4</f>
        <v>-0.240</v>
      </c>
      <c r="L3" s="1" t="str">
        <f>'lnMortality by DecadeAgeCaT'!$D$4</f>
        <v>-0.221</v>
      </c>
      <c r="M3" s="1" t="str">
        <f>'lnMortality by DecadeAgeCaT'!$E$4</f>
        <v>-0.310</v>
      </c>
      <c r="N3" s="1" t="str">
        <f>'lnMortality by DecadeAgeCaT'!$F$4</f>
        <v>-0.451</v>
      </c>
      <c r="O3" s="1" t="str">
        <f>'lnMortality by DecadeAgeCaT'!$G$4</f>
        <v>-0.518</v>
      </c>
      <c r="Q3" t="s">
        <v>5</v>
      </c>
      <c r="R3" s="1" t="str">
        <f>'lnMortality by DecadeAgeCaT'!B$13</f>
        <v>-0.214</v>
      </c>
      <c r="S3" s="1" t="str">
        <f>'lnMortality by DecadeAgeCaT'!C$13</f>
        <v>-0.161</v>
      </c>
      <c r="T3" s="1" t="str">
        <f>'lnMortality by DecadeAgeCaT'!D$13</f>
        <v>-0.142</v>
      </c>
      <c r="U3" s="1" t="str">
        <f>'lnMortality by DecadeAgeCaT'!E$13</f>
        <v>-0.213</v>
      </c>
      <c r="V3" s="1" t="str">
        <f>'lnMortality by DecadeAgeCaT'!F$13</f>
        <v>-0.341</v>
      </c>
      <c r="W3" s="1" t="str">
        <f>'lnMortality by DecadeAgeCaT'!G$13</f>
        <v>-0.390</v>
      </c>
      <c r="Y3" t="s">
        <v>5</v>
      </c>
      <c r="Z3" s="1" t="str">
        <f>'lnMortality by DecadeAgeCaT'!B$6</f>
        <v>-0.192</v>
      </c>
      <c r="AA3" s="1" t="str">
        <f>'lnMortality by DecadeAgeCaT'!C$6</f>
        <v>-0.208</v>
      </c>
      <c r="AB3" s="1" t="str">
        <f>'lnMortality by DecadeAgeCaT'!D$6</f>
        <v>-0.154</v>
      </c>
      <c r="AC3" s="1" t="str">
        <f>'lnMortality by DecadeAgeCaT'!E$6</f>
        <v>-0.189</v>
      </c>
      <c r="AD3" s="1" t="str">
        <f>'lnMortality by DecadeAgeCaT'!F$6</f>
        <v>-0.303</v>
      </c>
      <c r="AE3" s="1" t="str">
        <f>'lnMortality by DecadeAgeCaT'!G$6</f>
        <v>-0.452</v>
      </c>
      <c r="AG3" t="s">
        <v>5</v>
      </c>
      <c r="AH3" s="1" t="str">
        <f>'lnMortality by DecadeAgeCaT'!B$5</f>
        <v>-0.256</v>
      </c>
      <c r="AI3" s="1" t="str">
        <f>'lnMortality by DecadeAgeCaT'!C$5</f>
        <v>-0.106</v>
      </c>
      <c r="AJ3" s="1" t="str">
        <f>'lnMortality by DecadeAgeCaT'!D$5</f>
        <v>0.0895</v>
      </c>
      <c r="AK3" s="1" t="str">
        <f>'lnMortality by DecadeAgeCaT'!E$5</f>
        <v>0.0501</v>
      </c>
      <c r="AL3" s="1" t="str">
        <f>'lnMortality by DecadeAgeCaT'!F$5</f>
        <v>-0.243</v>
      </c>
      <c r="AM3" s="1" t="str">
        <f>'lnMortality by DecadeAgeCaT'!G$5</f>
        <v>-0.528</v>
      </c>
      <c r="AO3" t="s">
        <v>5</v>
      </c>
      <c r="AP3" s="1" t="str">
        <f>'lnMortality by DecadeAgeCaT'!$B$9</f>
        <v>-0.474</v>
      </c>
      <c r="AQ3" s="1" t="str">
        <f>'lnMortality by DecadeAgeCaT'!$C$9</f>
        <v>-0.390</v>
      </c>
      <c r="AR3" s="1" t="str">
        <f>'lnMortality by DecadeAgeCaT'!$D$9</f>
        <v>-0.300</v>
      </c>
      <c r="AS3" s="1" t="str">
        <f>'lnMortality by DecadeAgeCaT'!$E$9</f>
        <v>-0.208</v>
      </c>
      <c r="AT3" s="1" t="str">
        <f>'lnMortality by DecadeAgeCaT'!$F$9</f>
        <v>-0.330</v>
      </c>
      <c r="AU3" s="1" t="str">
        <f>'lnMortality by DecadeAgeCaT'!$G$9</f>
        <v>-0.538</v>
      </c>
      <c r="AW3" t="s">
        <v>5</v>
      </c>
      <c r="AX3" s="1" t="str">
        <f>'lnMortality by DecadeAgeCaT'!B$16</f>
        <v/>
      </c>
      <c r="AY3" s="1" t="str">
        <f>'lnMortality by DecadeAgeCaT'!C$16</f>
        <v>0.0434</v>
      </c>
      <c r="AZ3" s="1" t="str">
        <f>'lnMortality by DecadeAgeCaT'!D$16</f>
        <v>0.0471</v>
      </c>
      <c r="BA3" s="1" t="str">
        <f>'lnMortality by DecadeAgeCaT'!E$16</f>
        <v>-0.0565</v>
      </c>
      <c r="BB3" s="1" t="str">
        <f>'lnMortality by DecadeAgeCaT'!F$16</f>
        <v>-0.277</v>
      </c>
      <c r="BC3" s="1" t="str">
        <f>'lnMortality by DecadeAgeCaT'!G$16</f>
        <v>-0.354</v>
      </c>
    </row>
    <row r="4" spans="1:55" x14ac:dyDescent="0.25">
      <c r="A4" t="s">
        <v>6</v>
      </c>
      <c r="B4" s="1" t="str">
        <f>'lnMortality by DecadeAgeCaT'!H3</f>
        <v>-0.0835</v>
      </c>
      <c r="C4" s="1" t="str">
        <f>'lnMortality by DecadeAgeCaT'!I3</f>
        <v>-0.0900</v>
      </c>
      <c r="D4" s="1" t="str">
        <f>'lnMortality by DecadeAgeCaT'!J3</f>
        <v>-0.225</v>
      </c>
      <c r="E4" s="1" t="str">
        <f>'lnMortality by DecadeAgeCaT'!K3</f>
        <v>-0.366</v>
      </c>
      <c r="F4" s="1" t="str">
        <f>'lnMortality by DecadeAgeCaT'!L3</f>
        <v>-0.503</v>
      </c>
      <c r="G4" s="1" t="str">
        <f>'lnMortality by DecadeAgeCaT'!M3</f>
        <v>-0.592</v>
      </c>
      <c r="I4" t="s">
        <v>6</v>
      </c>
      <c r="J4" s="1" t="str">
        <f>'lnMortality by DecadeAgeCaT'!$H$4</f>
        <v>-0.177</v>
      </c>
      <c r="K4" s="1" t="str">
        <f>'lnMortality by DecadeAgeCaT'!$I$4</f>
        <v>-0.181</v>
      </c>
      <c r="L4" s="1" t="str">
        <f>'lnMortality by DecadeAgeCaT'!$J$4</f>
        <v>-0.212</v>
      </c>
      <c r="M4" s="1" t="str">
        <f>'lnMortality by DecadeAgeCaT'!$K$4</f>
        <v>-0.260</v>
      </c>
      <c r="N4" s="1" t="str">
        <f>'lnMortality by DecadeAgeCaT'!$L$4</f>
        <v>-0.310</v>
      </c>
      <c r="O4" s="1" t="str">
        <f>'lnMortality by DecadeAgeCaT'!$M$4</f>
        <v>-0.405</v>
      </c>
      <c r="Q4" t="s">
        <v>6</v>
      </c>
      <c r="R4" s="1" t="str">
        <f>'lnMortality by DecadeAgeCaT'!H$13</f>
        <v>-0.123</v>
      </c>
      <c r="S4" s="1" t="str">
        <f>'lnMortality by DecadeAgeCaT'!I$13</f>
        <v>-0.0285</v>
      </c>
      <c r="T4" s="1" t="str">
        <f>'lnMortality by DecadeAgeCaT'!J$13</f>
        <v>-0.0317</v>
      </c>
      <c r="U4" s="1" t="str">
        <f>'lnMortality by DecadeAgeCaT'!K$13</f>
        <v>-0.138</v>
      </c>
      <c r="V4" s="1" t="str">
        <f>'lnMortality by DecadeAgeCaT'!L$13</f>
        <v>-0.206</v>
      </c>
      <c r="W4" s="1" t="str">
        <f>'lnMortality by DecadeAgeCaT'!M$13</f>
        <v>-0.338</v>
      </c>
      <c r="Y4" t="s">
        <v>6</v>
      </c>
      <c r="Z4" s="1" t="str">
        <f>'lnMortality by DecadeAgeCaT'!H$6</f>
        <v>-0.193</v>
      </c>
      <c r="AA4" s="1" t="str">
        <f>'lnMortality by DecadeAgeCaT'!I$6</f>
        <v>-0.233</v>
      </c>
      <c r="AB4" s="1" t="str">
        <f>'lnMortality by DecadeAgeCaT'!J$6</f>
        <v>-0.299</v>
      </c>
      <c r="AC4" s="1" t="str">
        <f>'lnMortality by DecadeAgeCaT'!K$6</f>
        <v>-0.369</v>
      </c>
      <c r="AD4" s="1" t="str">
        <f>'lnMortality by DecadeAgeCaT'!L$6</f>
        <v>-0.344</v>
      </c>
      <c r="AE4" s="1" t="str">
        <f>'lnMortality by DecadeAgeCaT'!M$6</f>
        <v>-0.408</v>
      </c>
      <c r="AG4" t="s">
        <v>6</v>
      </c>
      <c r="AH4" s="1" t="str">
        <f>'lnMortality by DecadeAgeCaT'!H$5</f>
        <v>-0.219</v>
      </c>
      <c r="AI4" s="1" t="str">
        <f>'lnMortality by DecadeAgeCaT'!I$5</f>
        <v>-0.0880</v>
      </c>
      <c r="AJ4" s="1" t="str">
        <f>'lnMortality by DecadeAgeCaT'!J$5</f>
        <v>0.109</v>
      </c>
      <c r="AK4" s="1" t="str">
        <f>'lnMortality by DecadeAgeCaT'!K$5</f>
        <v>0.110</v>
      </c>
      <c r="AL4" s="1" t="str">
        <f>'lnMortality by DecadeAgeCaT'!L$5</f>
        <v>-0.0103</v>
      </c>
      <c r="AM4" s="1" t="str">
        <f>'lnMortality by DecadeAgeCaT'!M$5</f>
        <v>-0.233</v>
      </c>
      <c r="AO4" t="s">
        <v>6</v>
      </c>
      <c r="AP4" s="1" t="str">
        <f>'lnMortality by DecadeAgeCaT'!$H$9</f>
        <v>-0.387</v>
      </c>
      <c r="AQ4" s="1" t="str">
        <f>'lnMortality by DecadeAgeCaT'!$I$9</f>
        <v>-0.342</v>
      </c>
      <c r="AR4" s="1" t="str">
        <f>'lnMortality by DecadeAgeCaT'!$J$9</f>
        <v>-0.306</v>
      </c>
      <c r="AS4" s="1" t="str">
        <f>'lnMortality by DecadeAgeCaT'!$K$9</f>
        <v>-0.247</v>
      </c>
      <c r="AT4" s="1" t="str">
        <f>'lnMortality by DecadeAgeCaT'!$L$9</f>
        <v>-0.189</v>
      </c>
      <c r="AU4" s="1" t="str">
        <f>'lnMortality by DecadeAgeCaT'!$M$9</f>
        <v>-0.315</v>
      </c>
      <c r="AW4" t="s">
        <v>6</v>
      </c>
      <c r="AX4" s="1" t="str">
        <f>'lnMortality by DecadeAgeCaT'!H$16</f>
        <v/>
      </c>
      <c r="AY4" s="1" t="str">
        <f>'lnMortality by DecadeAgeCaT'!I$16</f>
        <v>0.0992</v>
      </c>
      <c r="AZ4" s="1" t="str">
        <f>'lnMortality by DecadeAgeCaT'!J$16</f>
        <v>0.0315</v>
      </c>
      <c r="BA4" s="1" t="str">
        <f>'lnMortality by DecadeAgeCaT'!K$16</f>
        <v>-0.0749</v>
      </c>
      <c r="BB4" s="1" t="str">
        <f>'lnMortality by DecadeAgeCaT'!L$16</f>
        <v>-0.213</v>
      </c>
      <c r="BC4" s="1" t="str">
        <f>'lnMortality by DecadeAgeCaT'!M$16</f>
        <v>-0.397</v>
      </c>
    </row>
    <row r="5" spans="1:55" x14ac:dyDescent="0.25">
      <c r="A5" t="s">
        <v>7</v>
      </c>
      <c r="B5" s="1" t="str">
        <f>'lnMortality by DecadeAgeCaT'!N3</f>
        <v>-0.0184</v>
      </c>
      <c r="C5" s="1" t="str">
        <f>'lnMortality by DecadeAgeCaT'!O3</f>
        <v>0.000133</v>
      </c>
      <c r="D5" s="1" t="str">
        <f>'lnMortality by DecadeAgeCaT'!P3</f>
        <v>-0.154</v>
      </c>
      <c r="E5" s="1" t="str">
        <f>'lnMortality by DecadeAgeCaT'!Q3</f>
        <v>-0.317</v>
      </c>
      <c r="F5" s="1" t="str">
        <f>'lnMortality by DecadeAgeCaT'!R3</f>
        <v>-0.456</v>
      </c>
      <c r="G5" s="1" t="str">
        <f>'lnMortality by DecadeAgeCaT'!S3</f>
        <v>-0.500</v>
      </c>
      <c r="I5" t="s">
        <v>7</v>
      </c>
      <c r="J5" s="1" t="str">
        <f>'lnMortality by DecadeAgeCaT'!$N$4</f>
        <v>-0.111</v>
      </c>
      <c r="K5" s="1" t="str">
        <f>'lnMortality by DecadeAgeCaT'!$O$4</f>
        <v>-0.108</v>
      </c>
      <c r="L5" s="1" t="str">
        <f>'lnMortality by DecadeAgeCaT'!$P$4</f>
        <v>-0.179</v>
      </c>
      <c r="M5" s="1" t="str">
        <f>'lnMortality by DecadeAgeCaT'!$Q$4</f>
        <v>-0.238</v>
      </c>
      <c r="N5" s="1" t="str">
        <f>'lnMortality by DecadeAgeCaT'!$R$4</f>
        <v>-0.266</v>
      </c>
      <c r="O5" s="1" t="str">
        <f>'lnMortality by DecadeAgeCaT'!$S$4</f>
        <v>-0.280</v>
      </c>
      <c r="Q5" t="s">
        <v>7</v>
      </c>
      <c r="R5" s="1" t="str">
        <f>'lnMortality by DecadeAgeCaT'!N$13</f>
        <v>-0.0138</v>
      </c>
      <c r="S5" s="1" t="str">
        <f>'lnMortality by DecadeAgeCaT'!O$13</f>
        <v>0.0659</v>
      </c>
      <c r="T5" s="1" t="str">
        <f>'lnMortality by DecadeAgeCaT'!P$13</f>
        <v>0.0784</v>
      </c>
      <c r="U5" s="1" t="str">
        <f>'lnMortality by DecadeAgeCaT'!Q$13</f>
        <v>-0.0173</v>
      </c>
      <c r="V5" s="1" t="str">
        <f>'lnMortality by DecadeAgeCaT'!R$13</f>
        <v>-0.152</v>
      </c>
      <c r="W5" s="1" t="str">
        <f>'lnMortality by DecadeAgeCaT'!S$13</f>
        <v>-0.197</v>
      </c>
      <c r="Y5" t="s">
        <v>7</v>
      </c>
      <c r="Z5" s="1" t="str">
        <f>'lnMortality by DecadeAgeCaT'!N$6</f>
        <v>-0.154</v>
      </c>
      <c r="AA5" s="1" t="str">
        <f>'lnMortality by DecadeAgeCaT'!O$6</f>
        <v>-0.208</v>
      </c>
      <c r="AB5" s="1" t="str">
        <f>'lnMortality by DecadeAgeCaT'!P$6</f>
        <v>-0.366</v>
      </c>
      <c r="AC5" s="1" t="str">
        <f>'lnMortality by DecadeAgeCaT'!Q$6</f>
        <v>-0.499</v>
      </c>
      <c r="AD5" s="1" t="str">
        <f>'lnMortality by DecadeAgeCaT'!R$6</f>
        <v>-0.539</v>
      </c>
      <c r="AE5" s="1" t="str">
        <f>'lnMortality by DecadeAgeCaT'!S$6</f>
        <v>-0.482</v>
      </c>
      <c r="AG5" t="s">
        <v>7</v>
      </c>
      <c r="AH5" s="1" t="str">
        <f>'lnMortality by DecadeAgeCaT'!N$5</f>
        <v>-0.104</v>
      </c>
      <c r="AI5" s="1" t="str">
        <f>'lnMortality by DecadeAgeCaT'!O$5</f>
        <v>-0.0619</v>
      </c>
      <c r="AJ5" s="1" t="str">
        <f>'lnMortality by DecadeAgeCaT'!P$5</f>
        <v>0.0385</v>
      </c>
      <c r="AK5" s="1" t="str">
        <f>'lnMortality by DecadeAgeCaT'!Q$5</f>
        <v>0.161</v>
      </c>
      <c r="AL5" s="1" t="str">
        <f>'lnMortality by DecadeAgeCaT'!R$5</f>
        <v>0.0380</v>
      </c>
      <c r="AM5" s="1" t="str">
        <f>'lnMortality by DecadeAgeCaT'!S$5</f>
        <v>-0.0695</v>
      </c>
      <c r="AO5" t="s">
        <v>7</v>
      </c>
      <c r="AP5" s="1" t="str">
        <f>'lnMortality by DecadeAgeCaT'!$N$9</f>
        <v>-0.228</v>
      </c>
      <c r="AQ5" s="1" t="str">
        <f>'lnMortality by DecadeAgeCaT'!$O$9</f>
        <v>-0.213</v>
      </c>
      <c r="AR5" s="1" t="str">
        <f>'lnMortality by DecadeAgeCaT'!$P$9</f>
        <v>-0.277</v>
      </c>
      <c r="AS5" s="1" t="str">
        <f>'lnMortality by DecadeAgeCaT'!$Q$9</f>
        <v>-0.234</v>
      </c>
      <c r="AT5" s="1" t="str">
        <f>'lnMortality by DecadeAgeCaT'!$R$9</f>
        <v>-0.242</v>
      </c>
      <c r="AU5" s="1" t="str">
        <f>'lnMortality by DecadeAgeCaT'!$S$9</f>
        <v>-0.200</v>
      </c>
      <c r="AW5" t="s">
        <v>7</v>
      </c>
      <c r="AX5" s="1" t="str">
        <f>'lnMortality by DecadeAgeCaT'!N$16</f>
        <v/>
      </c>
      <c r="AY5" s="1" t="str">
        <f>'lnMortality by DecadeAgeCaT'!O$16</f>
        <v>0.267</v>
      </c>
      <c r="AZ5" s="1" t="str">
        <f>'lnMortality by DecadeAgeCaT'!P$16</f>
        <v>0.174</v>
      </c>
      <c r="BA5" s="1" t="str">
        <f>'lnMortality by DecadeAgeCaT'!Q$16</f>
        <v>0.0149</v>
      </c>
      <c r="BB5" s="1" t="str">
        <f>'lnMortality by DecadeAgeCaT'!R$16</f>
        <v>-0.129</v>
      </c>
      <c r="BC5" s="1" t="str">
        <f>'lnMortality by DecadeAgeCaT'!S$16</f>
        <v>-0.249</v>
      </c>
    </row>
    <row r="6" spans="1:55" x14ac:dyDescent="0.25">
      <c r="A6" t="s">
        <v>8</v>
      </c>
      <c r="B6" s="1" t="str">
        <f>'lnMortality by DecadeAgeCaT'!T3</f>
        <v>0.0889</v>
      </c>
      <c r="C6" s="1" t="str">
        <f>'lnMortality by DecadeAgeCaT'!U3</f>
        <v>0.0985</v>
      </c>
      <c r="D6" s="1" t="str">
        <f>'lnMortality by DecadeAgeCaT'!V3</f>
        <v>0.00901</v>
      </c>
      <c r="E6" s="1" t="str">
        <f>'lnMortality by DecadeAgeCaT'!W3</f>
        <v>-0.127</v>
      </c>
      <c r="F6" s="1" t="str">
        <f>'lnMortality by DecadeAgeCaT'!X3</f>
        <v>-0.312</v>
      </c>
      <c r="G6" s="1" t="str">
        <f>'lnMortality by DecadeAgeCaT'!Y3</f>
        <v>-0.356</v>
      </c>
      <c r="I6" t="s">
        <v>8</v>
      </c>
      <c r="J6" s="1" t="str">
        <f>'lnMortality by DecadeAgeCaT'!$T$4</f>
        <v>-0.0464</v>
      </c>
      <c r="K6" s="1" t="str">
        <f>'lnMortality by DecadeAgeCaT'!$U$4</f>
        <v>-0.0659</v>
      </c>
      <c r="L6" s="1" t="str">
        <f>'lnMortality by DecadeAgeCaT'!$V$4</f>
        <v>-0.0820</v>
      </c>
      <c r="M6" s="1" t="str">
        <f>'lnMortality by DecadeAgeCaT'!$W$4</f>
        <v>-0.135</v>
      </c>
      <c r="N6" s="1" t="str">
        <f>'lnMortality by DecadeAgeCaT'!$X$4</f>
        <v>-0.195</v>
      </c>
      <c r="O6" s="1" t="str">
        <f>'lnMortality by DecadeAgeCaT'!$Y$4</f>
        <v>-0.232</v>
      </c>
      <c r="Q6" t="s">
        <v>8</v>
      </c>
      <c r="R6" s="1" t="str">
        <f>'lnMortality by DecadeAgeCaT'!T$13</f>
        <v>0.120</v>
      </c>
      <c r="S6" s="1" t="str">
        <f>'lnMortality by DecadeAgeCaT'!U$13</f>
        <v>0.171</v>
      </c>
      <c r="T6" s="1" t="str">
        <f>'lnMortality by DecadeAgeCaT'!V$13</f>
        <v>0.175</v>
      </c>
      <c r="U6" s="1" t="str">
        <f>'lnMortality by DecadeAgeCaT'!W$13</f>
        <v>0.124</v>
      </c>
      <c r="V6" s="1" t="str">
        <f>'lnMortality by DecadeAgeCaT'!X$13</f>
        <v>-0.00873</v>
      </c>
      <c r="W6" s="1" t="str">
        <f>'lnMortality by DecadeAgeCaT'!Y$13</f>
        <v>-0.0918</v>
      </c>
      <c r="Y6" t="s">
        <v>8</v>
      </c>
      <c r="Z6" s="1" t="str">
        <f>'lnMortality by DecadeAgeCaT'!T$6</f>
        <v>0.0117</v>
      </c>
      <c r="AA6" s="1" t="str">
        <f>'lnMortality by DecadeAgeCaT'!U$6</f>
        <v>-0.0100</v>
      </c>
      <c r="AB6" s="1" t="str">
        <f>'lnMortality by DecadeAgeCaT'!V$6</f>
        <v>-0.133</v>
      </c>
      <c r="AC6" s="1" t="str">
        <f>'lnMortality by DecadeAgeCaT'!W$6</f>
        <v>-0.333</v>
      </c>
      <c r="AD6" s="1" t="str">
        <f>'lnMortality by DecadeAgeCaT'!X$6</f>
        <v>-0.459</v>
      </c>
      <c r="AE6" s="1" t="str">
        <f>'lnMortality by DecadeAgeCaT'!Y$6</f>
        <v>-0.511</v>
      </c>
      <c r="AG6" t="s">
        <v>8</v>
      </c>
      <c r="AH6" s="1" t="str">
        <f>'lnMortality by DecadeAgeCaT'!T$5</f>
        <v>0.0949</v>
      </c>
      <c r="AI6" s="1" t="str">
        <f>'lnMortality by DecadeAgeCaT'!U$5</f>
        <v>0.0378</v>
      </c>
      <c r="AJ6" s="1" t="str">
        <f>'lnMortality by DecadeAgeCaT'!V$5</f>
        <v>0.0737</v>
      </c>
      <c r="AK6" s="1" t="str">
        <f>'lnMortality by DecadeAgeCaT'!W$5</f>
        <v>0.155</v>
      </c>
      <c r="AL6" s="1" t="str">
        <f>'lnMortality by DecadeAgeCaT'!X$5</f>
        <v>0.136</v>
      </c>
      <c r="AM6" s="1" t="str">
        <f>'lnMortality by DecadeAgeCaT'!Y$5</f>
        <v>0.00503</v>
      </c>
      <c r="AO6" t="s">
        <v>8</v>
      </c>
      <c r="AP6" s="1" t="str">
        <f>'lnMortality by DecadeAgeCaT'!$T$9</f>
        <v>0.0171</v>
      </c>
      <c r="AQ6" s="1" t="str">
        <f>'lnMortality by DecadeAgeCaT'!$U$9</f>
        <v>0.0101</v>
      </c>
      <c r="AR6" s="1" t="str">
        <f>'lnMortality by DecadeAgeCaT'!$V$9</f>
        <v>-0.0690</v>
      </c>
      <c r="AS6" s="1" t="str">
        <f>'lnMortality by DecadeAgeCaT'!$W$9</f>
        <v>-0.0774</v>
      </c>
      <c r="AT6" s="1" t="str">
        <f>'lnMortality by DecadeAgeCaT'!$X$9</f>
        <v>-0.114</v>
      </c>
      <c r="AU6" s="1" t="str">
        <f>'lnMortality by DecadeAgeCaT'!$Y$9</f>
        <v>-0.171</v>
      </c>
      <c r="AW6" t="s">
        <v>8</v>
      </c>
      <c r="AX6" s="1" t="str">
        <f>'lnMortality by DecadeAgeCaT'!T$16</f>
        <v/>
      </c>
      <c r="AY6" s="1" t="str">
        <f>'lnMortality by DecadeAgeCaT'!U$16</f>
        <v>0.385</v>
      </c>
      <c r="AZ6" s="1" t="str">
        <f>'lnMortality by DecadeAgeCaT'!V$16</f>
        <v>0.371</v>
      </c>
      <c r="BA6" s="1" t="str">
        <f>'lnMortality by DecadeAgeCaT'!W$16</f>
        <v>0.237</v>
      </c>
      <c r="BB6" s="1" t="str">
        <f>'lnMortality by DecadeAgeCaT'!X$16</f>
        <v>0.0294</v>
      </c>
      <c r="BC6" s="1" t="str">
        <f>'lnMortality by DecadeAgeCaT'!Y$16</f>
        <v>-0.0666</v>
      </c>
    </row>
    <row r="7" spans="1:55" x14ac:dyDescent="0.25">
      <c r="A7" t="s">
        <v>9</v>
      </c>
      <c r="B7" s="1" t="str">
        <f>'lnMortality by DecadeAgeCaT'!Z3</f>
        <v>0.0599</v>
      </c>
      <c r="C7" s="1" t="str">
        <f>'lnMortality by DecadeAgeCaT'!AA3</f>
        <v>0.120</v>
      </c>
      <c r="D7" s="1" t="str">
        <f>'lnMortality by DecadeAgeCaT'!AB3</f>
        <v>0.0700</v>
      </c>
      <c r="E7" s="1" t="str">
        <f>'lnMortality by DecadeAgeCaT'!AC3</f>
        <v>-0.0356</v>
      </c>
      <c r="F7" s="1" t="str">
        <f>'lnMortality by DecadeAgeCaT'!AD3</f>
        <v>-0.197</v>
      </c>
      <c r="G7" s="1" t="str">
        <f>'lnMortality by DecadeAgeCaT'!AE3</f>
        <v>-0.239</v>
      </c>
      <c r="I7" t="s">
        <v>9</v>
      </c>
      <c r="J7" s="1" t="str">
        <f>'lnMortality by DecadeAgeCaT'!$Z$4</f>
        <v>-0.0808</v>
      </c>
      <c r="K7" s="1" t="str">
        <f>'lnMortality by DecadeAgeCaT'!$AA$4</f>
        <v>-0.0425</v>
      </c>
      <c r="L7" s="1" t="str">
        <f>'lnMortality by DecadeAgeCaT'!$AB$4</f>
        <v>-0.0399</v>
      </c>
      <c r="M7" s="1" t="str">
        <f>'lnMortality by DecadeAgeCaT'!$AC$4</f>
        <v>-0.0674</v>
      </c>
      <c r="N7" s="1" t="str">
        <f>'lnMortality by DecadeAgeCaT'!$AD$4</f>
        <v>-0.143</v>
      </c>
      <c r="O7" s="1" t="str">
        <f>'lnMortality by DecadeAgeCaT'!$AE$4</f>
        <v>-0.190</v>
      </c>
      <c r="Q7" t="s">
        <v>9</v>
      </c>
      <c r="R7" s="1" t="str">
        <f>'lnMortality by DecadeAgeCaT'!Z$13</f>
        <v>0.113</v>
      </c>
      <c r="S7" s="1" t="str">
        <f>'lnMortality by DecadeAgeCaT'!AA$13</f>
        <v>0.207</v>
      </c>
      <c r="T7" s="1" t="str">
        <f>'lnMortality by DecadeAgeCaT'!AB$13</f>
        <v>0.208</v>
      </c>
      <c r="U7" s="1" t="str">
        <f>'lnMortality by DecadeAgeCaT'!AC$13</f>
        <v>0.138</v>
      </c>
      <c r="V7" s="1" t="str">
        <f>'lnMortality by DecadeAgeCaT'!AD$13</f>
        <v>0.0711</v>
      </c>
      <c r="W7" s="1" t="str">
        <f>'lnMortality by DecadeAgeCaT'!AE$13</f>
        <v>-0.0146</v>
      </c>
      <c r="Y7" t="s">
        <v>9</v>
      </c>
      <c r="Z7" s="1" t="str">
        <f>'lnMortality by DecadeAgeCaT'!Z$6</f>
        <v>0.0719</v>
      </c>
      <c r="AA7" s="1" t="str">
        <f>'lnMortality by DecadeAgeCaT'!AA$6</f>
        <v>0.101</v>
      </c>
      <c r="AB7" s="1" t="str">
        <f>'lnMortality by DecadeAgeCaT'!AB$6</f>
        <v>0.0335</v>
      </c>
      <c r="AC7" s="1" t="str">
        <f>'lnMortality by DecadeAgeCaT'!AC$6</f>
        <v>-0.181</v>
      </c>
      <c r="AD7" s="1" t="str">
        <f>'lnMortality by DecadeAgeCaT'!AD$6</f>
        <v>-0.307</v>
      </c>
      <c r="AE7" s="1" t="str">
        <f>'lnMortality by DecadeAgeCaT'!AE$6</f>
        <v>-0.398</v>
      </c>
      <c r="AG7" t="s">
        <v>9</v>
      </c>
      <c r="AH7" s="1" t="str">
        <f>'lnMortality by DecadeAgeCaT'!Z$5</f>
        <v>0.163</v>
      </c>
      <c r="AI7" s="1" t="str">
        <f>'lnMortality by DecadeAgeCaT'!AA$5</f>
        <v>0.0844</v>
      </c>
      <c r="AJ7" s="1" t="str">
        <f>'lnMortality by DecadeAgeCaT'!AB$5</f>
        <v>0.117</v>
      </c>
      <c r="AK7" s="1" t="str">
        <f>'lnMortality by DecadeAgeCaT'!AC$5</f>
        <v>0.131</v>
      </c>
      <c r="AL7" s="1" t="str">
        <f>'lnMortality by DecadeAgeCaT'!AD$5</f>
        <v>0.122</v>
      </c>
      <c r="AM7" s="1" t="str">
        <f>'lnMortality by DecadeAgeCaT'!AE$5</f>
        <v>0.0996</v>
      </c>
      <c r="AO7" t="s">
        <v>9</v>
      </c>
      <c r="AP7" s="1" t="str">
        <f>'lnMortality by DecadeAgeCaT'!$Z$9</f>
        <v>0.0876</v>
      </c>
      <c r="AQ7" s="1" t="str">
        <f>'lnMortality by DecadeAgeCaT'!$AA$9</f>
        <v>0.112</v>
      </c>
      <c r="AR7" s="1" t="str">
        <f>'lnMortality by DecadeAgeCaT'!$AB$9</f>
        <v>0.0459</v>
      </c>
      <c r="AS7" s="1" t="str">
        <f>'lnMortality by DecadeAgeCaT'!$AC$9</f>
        <v>0.0262</v>
      </c>
      <c r="AT7" s="1" t="str">
        <f>'lnMortality by DecadeAgeCaT'!$AD$9</f>
        <v>0.00143</v>
      </c>
      <c r="AU7" s="1" t="str">
        <f>'lnMortality by DecadeAgeCaT'!$AE$9</f>
        <v>-0.0518</v>
      </c>
      <c r="AW7" t="s">
        <v>9</v>
      </c>
      <c r="AX7" s="1" t="str">
        <f>'lnMortality by DecadeAgeCaT'!Z$16</f>
        <v/>
      </c>
      <c r="AY7" s="1" t="str">
        <f>'lnMortality by DecadeAgeCaT'!AA$16</f>
        <v>0.412</v>
      </c>
      <c r="AZ7" s="1" t="str">
        <f>'lnMortality by DecadeAgeCaT'!AB$16</f>
        <v>0.437</v>
      </c>
      <c r="BA7" s="1" t="str">
        <f>'lnMortality by DecadeAgeCaT'!AC$16</f>
        <v>0.325</v>
      </c>
      <c r="BB7" s="1" t="str">
        <f>'lnMortality by DecadeAgeCaT'!AD$16</f>
        <v>0.0938</v>
      </c>
      <c r="BC7" s="1" t="str">
        <f>'lnMortality by DecadeAgeCaT'!AE$16</f>
        <v>0.0246</v>
      </c>
    </row>
    <row r="10" spans="1:55" x14ac:dyDescent="0.25">
      <c r="B10">
        <v>1960</v>
      </c>
      <c r="C10">
        <v>1970</v>
      </c>
      <c r="D10">
        <v>1980</v>
      </c>
      <c r="E10">
        <v>1990</v>
      </c>
      <c r="F10">
        <v>2000</v>
      </c>
      <c r="G10">
        <v>2010</v>
      </c>
      <c r="J10">
        <v>1960</v>
      </c>
      <c r="K10">
        <v>1970</v>
      </c>
      <c r="L10">
        <v>1980</v>
      </c>
      <c r="M10">
        <v>1990</v>
      </c>
      <c r="N10">
        <v>2000</v>
      </c>
      <c r="O10">
        <v>2010</v>
      </c>
      <c r="R10">
        <v>1960</v>
      </c>
      <c r="S10">
        <v>1970</v>
      </c>
      <c r="T10">
        <v>1980</v>
      </c>
      <c r="U10">
        <v>1990</v>
      </c>
      <c r="V10">
        <v>2000</v>
      </c>
      <c r="W10">
        <v>2010</v>
      </c>
      <c r="Z10">
        <v>1960</v>
      </c>
      <c r="AA10">
        <v>1970</v>
      </c>
      <c r="AB10">
        <v>1980</v>
      </c>
      <c r="AC10">
        <v>1990</v>
      </c>
      <c r="AD10">
        <v>2000</v>
      </c>
      <c r="AE10">
        <v>2010</v>
      </c>
      <c r="AH10">
        <v>1960</v>
      </c>
      <c r="AI10">
        <v>1970</v>
      </c>
      <c r="AJ10">
        <v>1980</v>
      </c>
      <c r="AK10">
        <v>1990</v>
      </c>
      <c r="AL10">
        <v>2000</v>
      </c>
      <c r="AM10">
        <v>2010</v>
      </c>
      <c r="AP10">
        <v>1960</v>
      </c>
      <c r="AQ10">
        <v>1970</v>
      </c>
      <c r="AR10">
        <v>1980</v>
      </c>
      <c r="AS10">
        <v>1990</v>
      </c>
      <c r="AT10">
        <v>2000</v>
      </c>
      <c r="AU10">
        <v>2010</v>
      </c>
      <c r="AX10">
        <v>1960</v>
      </c>
      <c r="AY10">
        <v>1970</v>
      </c>
      <c r="AZ10">
        <v>1980</v>
      </c>
      <c r="BA10">
        <v>1990</v>
      </c>
      <c r="BB10">
        <v>2000</v>
      </c>
      <c r="BC10">
        <v>2010</v>
      </c>
    </row>
    <row r="11" spans="1:55" x14ac:dyDescent="0.25">
      <c r="A11" t="s">
        <v>10</v>
      </c>
      <c r="B11" s="1" t="str">
        <f>'lnMortality by DecadeAgeCaT'!AF3</f>
        <v>-0.214</v>
      </c>
      <c r="C11" s="1" t="str">
        <f>'lnMortality by DecadeAgeCaT'!AG3</f>
        <v>-0.230</v>
      </c>
      <c r="D11" s="1" t="str">
        <f>'lnMortality by DecadeAgeCaT'!AH3</f>
        <v>-0.347</v>
      </c>
      <c r="E11" s="1" t="str">
        <f>'lnMortality by DecadeAgeCaT'!AI3</f>
        <v>-0.552</v>
      </c>
      <c r="F11" s="1" t="str">
        <f>'lnMortality by DecadeAgeCaT'!AJ3</f>
        <v>-0.555</v>
      </c>
      <c r="G11" s="1" t="str">
        <f>'lnMortality by DecadeAgeCaT'!AK3</f>
        <v>-0.518</v>
      </c>
      <c r="I11" t="s">
        <v>10</v>
      </c>
      <c r="J11" s="1" t="str">
        <f>'lnMortality by DecadeAgeCaT'!$AF$4</f>
        <v>-0.287</v>
      </c>
      <c r="K11" s="1" t="str">
        <f>'lnMortality by DecadeAgeCaT'!$AG$4</f>
        <v>-0.231</v>
      </c>
      <c r="L11" s="1" t="str">
        <f>'lnMortality by DecadeAgeCaT'!$AH$4</f>
        <v>-0.318</v>
      </c>
      <c r="M11" s="1" t="str">
        <f>'lnMortality by DecadeAgeCaT'!$AI$4</f>
        <v>-0.444</v>
      </c>
      <c r="N11" s="1" t="str">
        <f>'lnMortality by DecadeAgeCaT'!$AJ$4</f>
        <v>-0.515</v>
      </c>
      <c r="O11" s="1" t="str">
        <f>'lnMortality by DecadeAgeCaT'!$AK$4</f>
        <v>-0.538</v>
      </c>
      <c r="Q11" t="s">
        <v>10</v>
      </c>
      <c r="R11" s="1" t="str">
        <f>'lnMortality by DecadeAgeCaT'!AF$13</f>
        <v>-0.374</v>
      </c>
      <c r="S11" s="1" t="str">
        <f>'lnMortality by DecadeAgeCaT'!AG$13</f>
        <v>-0.340</v>
      </c>
      <c r="T11" s="1" t="str">
        <f>'lnMortality by DecadeAgeCaT'!AH$13</f>
        <v>-0.329</v>
      </c>
      <c r="U11" s="1" t="str">
        <f>'lnMortality by DecadeAgeCaT'!AI$13</f>
        <v>-0.448</v>
      </c>
      <c r="V11" s="1" t="str">
        <f>'lnMortality by DecadeAgeCaT'!AJ$13</f>
        <v>-0.412</v>
      </c>
      <c r="W11" s="1" t="str">
        <f>'lnMortality by DecadeAgeCaT'!AK$13</f>
        <v>-0.377</v>
      </c>
      <c r="Y11" t="s">
        <v>10</v>
      </c>
      <c r="Z11" s="1" t="str">
        <f>'lnMortality by DecadeAgeCaT'!AF$6</f>
        <v>-0.0817</v>
      </c>
      <c r="AA11" s="1" t="str">
        <f>'lnMortality by DecadeAgeCaT'!AG$6</f>
        <v>0.0103</v>
      </c>
      <c r="AB11" s="1" t="str">
        <f>'lnMortality by DecadeAgeCaT'!AH$6</f>
        <v>0.0683</v>
      </c>
      <c r="AC11" s="1" t="str">
        <f>'lnMortality by DecadeAgeCaT'!AI$6</f>
        <v>0.00484</v>
      </c>
      <c r="AD11" s="1" t="str">
        <f>'lnMortality by DecadeAgeCaT'!AJ$6</f>
        <v>-0.0907</v>
      </c>
      <c r="AE11" s="1" t="str">
        <f>'lnMortality by DecadeAgeCaT'!AK$6</f>
        <v>-0.246</v>
      </c>
      <c r="AG11" t="s">
        <v>10</v>
      </c>
      <c r="AH11" s="1" t="str">
        <f>'lnMortality by DecadeAgeCaT'!AF$5</f>
        <v>-0.550</v>
      </c>
      <c r="AI11" s="1" t="str">
        <f>'lnMortality by DecadeAgeCaT'!AG$5</f>
        <v>-0.344</v>
      </c>
      <c r="AJ11" s="1" t="str">
        <f>'lnMortality by DecadeAgeCaT'!AH$5</f>
        <v>-0.145</v>
      </c>
      <c r="AK11" s="1" t="str">
        <f>'lnMortality by DecadeAgeCaT'!AI$5</f>
        <v>-0.150</v>
      </c>
      <c r="AL11" s="1" t="str">
        <f>'lnMortality by DecadeAgeCaT'!AJ$5</f>
        <v>-0.258</v>
      </c>
      <c r="AM11" s="1" t="str">
        <f>'lnMortality by DecadeAgeCaT'!AK$5</f>
        <v>-0.476</v>
      </c>
      <c r="AO11" t="s">
        <v>10</v>
      </c>
      <c r="AP11" s="1" t="str">
        <f>'lnMortality by DecadeAgeCaT'!$AF$9</f>
        <v>-0.589</v>
      </c>
      <c r="AQ11" s="1" t="str">
        <f>'lnMortality by DecadeAgeCaT'!$AG$9</f>
        <v>-0.503</v>
      </c>
      <c r="AR11" s="1" t="str">
        <f>'lnMortality by DecadeAgeCaT'!$AH$9</f>
        <v>-0.465</v>
      </c>
      <c r="AS11" s="1" t="str">
        <f>'lnMortality by DecadeAgeCaT'!$AI$9</f>
        <v>-0.540</v>
      </c>
      <c r="AT11" s="1" t="str">
        <f>'lnMortality by DecadeAgeCaT'!$AJ$9</f>
        <v>-0.633</v>
      </c>
      <c r="AU11" s="1" t="str">
        <f>'lnMortality by DecadeAgeCaT'!$AK$9</f>
        <v>-0.754</v>
      </c>
      <c r="AW11" t="s">
        <v>10</v>
      </c>
      <c r="AX11" s="1" t="str">
        <f>'lnMortality by DecadeAgeCaT'!AF$16</f>
        <v/>
      </c>
      <c r="AY11" s="1" t="str">
        <f>'lnMortality by DecadeAgeCaT'!AG$16</f>
        <v>-0.0425</v>
      </c>
      <c r="AZ11" s="1" t="str">
        <f>'lnMortality by DecadeAgeCaT'!AH$16</f>
        <v>0.155</v>
      </c>
      <c r="BA11" s="1" t="str">
        <f>'lnMortality by DecadeAgeCaT'!AI$16</f>
        <v>0.133</v>
      </c>
      <c r="BB11" s="1" t="str">
        <f>'lnMortality by DecadeAgeCaT'!AJ$16</f>
        <v>0.196</v>
      </c>
      <c r="BC11" s="1" t="str">
        <f>'lnMortality by DecadeAgeCaT'!AK$16</f>
        <v>0.237</v>
      </c>
    </row>
    <row r="12" spans="1:55" x14ac:dyDescent="0.25">
      <c r="A12" t="s">
        <v>11</v>
      </c>
      <c r="B12" s="1" t="str">
        <f>'lnMortality by DecadeAgeCaT'!AL3</f>
        <v>-0.130</v>
      </c>
      <c r="C12" s="1" t="str">
        <f>'lnMortality by DecadeAgeCaT'!AM3</f>
        <v>-0.107</v>
      </c>
      <c r="D12" s="1" t="str">
        <f>'lnMortality by DecadeAgeCaT'!AN3</f>
        <v>-0.197</v>
      </c>
      <c r="E12" s="1" t="str">
        <f>'lnMortality by DecadeAgeCaT'!AO3</f>
        <v>-0.383</v>
      </c>
      <c r="F12" s="1" t="str">
        <f>'lnMortality by DecadeAgeCaT'!AP3</f>
        <v>-0.544</v>
      </c>
      <c r="G12" s="1" t="str">
        <f>'lnMortality by DecadeAgeCaT'!AQ3</f>
        <v>-0.595</v>
      </c>
      <c r="I12" t="s">
        <v>11</v>
      </c>
      <c r="J12" s="1" t="str">
        <f>'lnMortality by DecadeAgeCaT'!$AL$4</f>
        <v>-0.219</v>
      </c>
      <c r="K12" s="1" t="str">
        <f>'lnMortality by DecadeAgeCaT'!$AM$4</f>
        <v>-0.161</v>
      </c>
      <c r="L12" s="1" t="str">
        <f>'lnMortality by DecadeAgeCaT'!$AN$4</f>
        <v>-0.197</v>
      </c>
      <c r="M12" s="1" t="str">
        <f>'lnMortality by DecadeAgeCaT'!$AO$4</f>
        <v>-0.283</v>
      </c>
      <c r="N12" s="1" t="str">
        <f>'lnMortality by DecadeAgeCaT'!$AP$4</f>
        <v>-0.372</v>
      </c>
      <c r="O12" s="1" t="str">
        <f>'lnMortality by DecadeAgeCaT'!$AQ$4</f>
        <v>-0.490</v>
      </c>
      <c r="Q12" t="s">
        <v>11</v>
      </c>
      <c r="R12" s="1" t="str">
        <f>'lnMortality by DecadeAgeCaT'!AL$13</f>
        <v>-0.186</v>
      </c>
      <c r="S12" s="1" t="str">
        <f>'lnMortality by DecadeAgeCaT'!AM$13</f>
        <v>-0.114</v>
      </c>
      <c r="T12" s="1" t="str">
        <f>'lnMortality by DecadeAgeCaT'!AN$13</f>
        <v>-0.107</v>
      </c>
      <c r="U12" s="1" t="str">
        <f>'lnMortality by DecadeAgeCaT'!AO$13</f>
        <v>-0.193</v>
      </c>
      <c r="V12" s="1" t="str">
        <f>'lnMortality by DecadeAgeCaT'!AP$13</f>
        <v>-0.298</v>
      </c>
      <c r="W12" s="1" t="str">
        <f>'lnMortality by DecadeAgeCaT'!AQ$13</f>
        <v>-0.442</v>
      </c>
      <c r="Y12" t="s">
        <v>11</v>
      </c>
      <c r="Z12" s="1" t="str">
        <f>'lnMortality by DecadeAgeCaT'!AL$6</f>
        <v>-0.0935</v>
      </c>
      <c r="AA12" s="1" t="str">
        <f>'lnMortality by DecadeAgeCaT'!AM$6</f>
        <v>-0.0562</v>
      </c>
      <c r="AB12" s="1" t="str">
        <f>'lnMortality by DecadeAgeCaT'!AN$6</f>
        <v>0.0557</v>
      </c>
      <c r="AC12" s="1" t="str">
        <f>'lnMortality by DecadeAgeCaT'!AO$6</f>
        <v>-0.00486</v>
      </c>
      <c r="AD12" s="1" t="str">
        <f>'lnMortality by DecadeAgeCaT'!AP$6</f>
        <v>-0.0234</v>
      </c>
      <c r="AE12" s="1" t="str">
        <f>'lnMortality by DecadeAgeCaT'!AQ$6</f>
        <v>-0.153</v>
      </c>
      <c r="AG12" t="s">
        <v>11</v>
      </c>
      <c r="AH12" s="1" t="str">
        <f>'lnMortality by DecadeAgeCaT'!AL$5</f>
        <v>-0.418</v>
      </c>
      <c r="AI12" s="1" t="str">
        <f>'lnMortality by DecadeAgeCaT'!AM$5</f>
        <v>-0.255</v>
      </c>
      <c r="AJ12" s="1" t="str">
        <f>'lnMortality by DecadeAgeCaT'!AN$5</f>
        <v>-0.0450</v>
      </c>
      <c r="AK12" s="1" t="str">
        <f>'lnMortality by DecadeAgeCaT'!AO$5</f>
        <v>-0.0339</v>
      </c>
      <c r="AL12" s="1" t="str">
        <f>'lnMortality by DecadeAgeCaT'!AP$5</f>
        <v>-0.0786</v>
      </c>
      <c r="AM12" s="1" t="str">
        <f>'lnMortality by DecadeAgeCaT'!AQ$5</f>
        <v>-0.260</v>
      </c>
      <c r="AO12" t="s">
        <v>11</v>
      </c>
      <c r="AP12" s="1" t="str">
        <f>'lnMortality by DecadeAgeCaT'!$AL$9</f>
        <v>-0.425</v>
      </c>
      <c r="AQ12" s="1" t="str">
        <f>'lnMortality by DecadeAgeCaT'!$AM$9</f>
        <v>-0.313</v>
      </c>
      <c r="AR12" s="1" t="str">
        <f>'lnMortality by DecadeAgeCaT'!$AN$9</f>
        <v>-0.256</v>
      </c>
      <c r="AS12" s="1" t="str">
        <f>'lnMortality by DecadeAgeCaT'!$AO$9</f>
        <v>-0.282</v>
      </c>
      <c r="AT12" s="1" t="str">
        <f>'lnMortality by DecadeAgeCaT'!$AP$9</f>
        <v>-0.376</v>
      </c>
      <c r="AU12" s="1" t="str">
        <f>'lnMortality by DecadeAgeCaT'!$AQ$9</f>
        <v>-0.564</v>
      </c>
      <c r="AW12" t="s">
        <v>11</v>
      </c>
      <c r="AX12" s="1" t="str">
        <f>'lnMortality by DecadeAgeCaT'!AL$16</f>
        <v/>
      </c>
      <c r="AY12" s="1" t="str">
        <f>'lnMortality by DecadeAgeCaT'!AM$16</f>
        <v>-0.105</v>
      </c>
      <c r="AZ12" s="1" t="str">
        <f>'lnMortality by DecadeAgeCaT'!AN$16</f>
        <v>-0.0492</v>
      </c>
      <c r="BA12" s="1" t="str">
        <f>'lnMortality by DecadeAgeCaT'!AO$16</f>
        <v>0.103</v>
      </c>
      <c r="BB12" s="1" t="str">
        <f>'lnMortality by DecadeAgeCaT'!AP$16</f>
        <v>0.0817</v>
      </c>
      <c r="BC12" s="1" t="str">
        <f>'lnMortality by DecadeAgeCaT'!AQ$16</f>
        <v>-0.00739</v>
      </c>
    </row>
    <row r="13" spans="1:55" x14ac:dyDescent="0.25">
      <c r="A13" t="s">
        <v>12</v>
      </c>
      <c r="B13" s="1" t="str">
        <f>'lnMortality by DecadeAgeCaT'!AR3</f>
        <v>-0.00462</v>
      </c>
      <c r="C13" s="1" t="str">
        <f>'lnMortality by DecadeAgeCaT'!AS3</f>
        <v>-0.00305</v>
      </c>
      <c r="D13" s="1" t="str">
        <f>'lnMortality by DecadeAgeCaT'!AT3</f>
        <v>-0.0792</v>
      </c>
      <c r="E13" s="1" t="str">
        <f>'lnMortality by DecadeAgeCaT'!AU3</f>
        <v>-0.206</v>
      </c>
      <c r="F13" s="1" t="str">
        <f>'lnMortality by DecadeAgeCaT'!AV3</f>
        <v>-0.358</v>
      </c>
      <c r="G13" s="1" t="str">
        <f>'lnMortality by DecadeAgeCaT'!AW3</f>
        <v>-0.457</v>
      </c>
      <c r="I13" t="s">
        <v>12</v>
      </c>
      <c r="J13" s="1" t="str">
        <f>'lnMortality by DecadeAgeCaT'!$AR$4</f>
        <v>-0.163</v>
      </c>
      <c r="K13" s="1" t="str">
        <f>'lnMortality by DecadeAgeCaT'!$AS$4</f>
        <v>-0.114</v>
      </c>
      <c r="L13" s="1" t="str">
        <f>'lnMortality by DecadeAgeCaT'!$AT$4</f>
        <v>-0.106</v>
      </c>
      <c r="M13" s="1" t="str">
        <f>'lnMortality by DecadeAgeCaT'!$AU$4</f>
        <v>-0.160</v>
      </c>
      <c r="N13" s="1" t="str">
        <f>'lnMortality by DecadeAgeCaT'!$AV$4</f>
        <v>-0.212</v>
      </c>
      <c r="O13" s="1" t="str">
        <f>'lnMortality by DecadeAgeCaT'!$AW$4</f>
        <v>-0.303</v>
      </c>
      <c r="Q13" t="s">
        <v>12</v>
      </c>
      <c r="R13" s="1" t="str">
        <f>'lnMortality by DecadeAgeCaT'!AR$13</f>
        <v>0.0201</v>
      </c>
      <c r="S13" s="1" t="str">
        <f>'lnMortality by DecadeAgeCaT'!AS$13</f>
        <v>0.0416</v>
      </c>
      <c r="T13" s="1" t="str">
        <f>'lnMortality by DecadeAgeCaT'!AT$13</f>
        <v>0.0703</v>
      </c>
      <c r="U13" s="1" t="str">
        <f>'lnMortality by DecadeAgeCaT'!AU$13</f>
        <v>-0.00530</v>
      </c>
      <c r="V13" s="1" t="str">
        <f>'lnMortality by DecadeAgeCaT'!AV$13</f>
        <v>-0.117</v>
      </c>
      <c r="W13" s="1" t="str">
        <f>'lnMortality by DecadeAgeCaT'!AW$13</f>
        <v>-0.247</v>
      </c>
      <c r="Y13" t="s">
        <v>12</v>
      </c>
      <c r="Z13" s="1" t="str">
        <f>'lnMortality by DecadeAgeCaT'!AR$6</f>
        <v>-0.0627</v>
      </c>
      <c r="AA13" s="1" t="str">
        <f>'lnMortality by DecadeAgeCaT'!AS$6</f>
        <v>-0.0712</v>
      </c>
      <c r="AB13" s="1" t="str">
        <f>'lnMortality by DecadeAgeCaT'!AT$6</f>
        <v>-0.0679</v>
      </c>
      <c r="AC13" s="1" t="str">
        <f>'lnMortality by DecadeAgeCaT'!AU$6</f>
        <v>-0.0847</v>
      </c>
      <c r="AD13" s="1" t="str">
        <f>'lnMortality by DecadeAgeCaT'!AV$6</f>
        <v>-0.119</v>
      </c>
      <c r="AE13" s="1" t="str">
        <f>'lnMortality by DecadeAgeCaT'!AW$6</f>
        <v>-0.144</v>
      </c>
      <c r="AG13" t="s">
        <v>12</v>
      </c>
      <c r="AH13" s="1" t="str">
        <f>'lnMortality by DecadeAgeCaT'!AR$5</f>
        <v>-0.256</v>
      </c>
      <c r="AI13" s="1" t="str">
        <f>'lnMortality by DecadeAgeCaT'!AS$5</f>
        <v>-0.144</v>
      </c>
      <c r="AJ13" s="1" t="str">
        <f>'lnMortality by DecadeAgeCaT'!AT$5</f>
        <v>0.0305</v>
      </c>
      <c r="AK13" s="1" t="str">
        <f>'lnMortality by DecadeAgeCaT'!AU$5</f>
        <v>0.0888</v>
      </c>
      <c r="AL13" s="1" t="str">
        <f>'lnMortality by DecadeAgeCaT'!AV$5</f>
        <v>0.0190</v>
      </c>
      <c r="AM13" s="1" t="str">
        <f>'lnMortality by DecadeAgeCaT'!AW$5</f>
        <v>-0.0946</v>
      </c>
      <c r="AO13" t="s">
        <v>12</v>
      </c>
      <c r="AP13" s="1" t="str">
        <f>'lnMortality by DecadeAgeCaT'!$AR$9</f>
        <v>-0.284</v>
      </c>
      <c r="AQ13" s="1" t="str">
        <f>'lnMortality by DecadeAgeCaT'!$AS$9</f>
        <v>-0.130</v>
      </c>
      <c r="AR13" s="1" t="str">
        <f>'lnMortality by DecadeAgeCaT'!$AT$9</f>
        <v>-0.0681</v>
      </c>
      <c r="AS13" s="1" t="str">
        <f>'lnMortality by DecadeAgeCaT'!$AU$9</f>
        <v>-0.0655</v>
      </c>
      <c r="AT13" s="1" t="str">
        <f>'lnMortality by DecadeAgeCaT'!$AV$9</f>
        <v>-0.147</v>
      </c>
      <c r="AU13" s="1" t="str">
        <f>'lnMortality by DecadeAgeCaT'!$AW$9</f>
        <v>-0.285</v>
      </c>
      <c r="AW13" t="s">
        <v>12</v>
      </c>
      <c r="AX13" s="1" t="str">
        <f>'lnMortality by DecadeAgeCaT'!AR$16</f>
        <v/>
      </c>
      <c r="AY13" s="1" t="str">
        <f>'lnMortality by DecadeAgeCaT'!AS$16</f>
        <v>0.00284</v>
      </c>
      <c r="AZ13" s="1" t="str">
        <f>'lnMortality by DecadeAgeCaT'!AT$16</f>
        <v>-0.0391</v>
      </c>
      <c r="BA13" s="1" t="str">
        <f>'lnMortality by DecadeAgeCaT'!AU$16</f>
        <v>-0.0108</v>
      </c>
      <c r="BB13" s="1" t="str">
        <f>'lnMortality by DecadeAgeCaT'!AV$16</f>
        <v>0.0566</v>
      </c>
      <c r="BC13" s="1" t="str">
        <f>'lnMortality by DecadeAgeCaT'!AW$16</f>
        <v>-0.0111</v>
      </c>
    </row>
    <row r="14" spans="1:55" x14ac:dyDescent="0.25">
      <c r="A14" t="s">
        <v>13</v>
      </c>
      <c r="B14" s="1" t="str">
        <f>'lnMortality by DecadeAgeCaT'!AX3</f>
        <v>0.113</v>
      </c>
      <c r="C14" s="1" t="str">
        <f>'lnMortality by DecadeAgeCaT'!AY3</f>
        <v>0.0984</v>
      </c>
      <c r="D14" s="1" t="str">
        <f>'lnMortality by DecadeAgeCaT'!AZ3</f>
        <v>0.0359</v>
      </c>
      <c r="E14" s="1" t="str">
        <f>'lnMortality by DecadeAgeCaT'!BA3</f>
        <v>-0.0483</v>
      </c>
      <c r="F14" s="1" t="str">
        <f>'lnMortality by DecadeAgeCaT'!BB3</f>
        <v>-0.170</v>
      </c>
      <c r="G14" s="1" t="str">
        <f>'lnMortality by DecadeAgeCaT'!BC3</f>
        <v>-0.259</v>
      </c>
      <c r="I14" t="s">
        <v>13</v>
      </c>
      <c r="J14" s="1" t="str">
        <f>'lnMortality by DecadeAgeCaT'!$AX$4</f>
        <v>-0.0818</v>
      </c>
      <c r="K14" s="1" t="str">
        <f>'lnMortality by DecadeAgeCaT'!$AY$4</f>
        <v>-0.0685</v>
      </c>
      <c r="L14" s="1" t="str">
        <f>'lnMortality by DecadeAgeCaT'!$AZ$4</f>
        <v>-0.0459</v>
      </c>
      <c r="M14" s="1" t="str">
        <f>'lnMortality by DecadeAgeCaT'!$BA$4</f>
        <v>-0.0452</v>
      </c>
      <c r="N14" s="1" t="str">
        <f>'lnMortality by DecadeAgeCaT'!$BB$4</f>
        <v>-0.0994</v>
      </c>
      <c r="O14" s="1" t="str">
        <f>'lnMortality by DecadeAgeCaT'!$BC$4</f>
        <v>-0.177</v>
      </c>
      <c r="Q14" t="s">
        <v>13</v>
      </c>
      <c r="R14" s="1" t="str">
        <f>'lnMortality by DecadeAgeCaT'!AX$13</f>
        <v>0.145</v>
      </c>
      <c r="S14" s="1" t="str">
        <f>'lnMortality by DecadeAgeCaT'!AY$13</f>
        <v>0.178</v>
      </c>
      <c r="T14" s="1" t="str">
        <f>'lnMortality by DecadeAgeCaT'!AZ$13</f>
        <v>0.172</v>
      </c>
      <c r="U14" s="1" t="str">
        <f>'lnMortality by DecadeAgeCaT'!BA$13</f>
        <v>0.146</v>
      </c>
      <c r="V14" s="1" t="str">
        <f>'lnMortality by DecadeAgeCaT'!BB$13</f>
        <v>0.0342</v>
      </c>
      <c r="W14" s="1" t="str">
        <f>'lnMortality by DecadeAgeCaT'!BC$13</f>
        <v>-0.0689</v>
      </c>
      <c r="Y14" t="s">
        <v>13</v>
      </c>
      <c r="Z14" s="1" t="str">
        <f>'lnMortality by DecadeAgeCaT'!AX$6</f>
        <v>0.0308</v>
      </c>
      <c r="AA14" s="1" t="str">
        <f>'lnMortality by DecadeAgeCaT'!AY$6</f>
        <v>0.0210</v>
      </c>
      <c r="AB14" s="1" t="str">
        <f>'lnMortality by DecadeAgeCaT'!AZ$6</f>
        <v>-0.0295</v>
      </c>
      <c r="AC14" s="1" t="str">
        <f>'lnMortality by DecadeAgeCaT'!BA$6</f>
        <v>-0.0945</v>
      </c>
      <c r="AD14" s="1" t="str">
        <f>'lnMortality by DecadeAgeCaT'!BB$6</f>
        <v>-0.112</v>
      </c>
      <c r="AE14" s="1" t="str">
        <f>'lnMortality by DecadeAgeCaT'!BC$6</f>
        <v>-0.193</v>
      </c>
      <c r="AG14" t="s">
        <v>13</v>
      </c>
      <c r="AH14" s="1" t="str">
        <f>'lnMortality by DecadeAgeCaT'!AX$5</f>
        <v>-0.0804</v>
      </c>
      <c r="AI14" s="1" t="str">
        <f>'lnMortality by DecadeAgeCaT'!AY$5</f>
        <v>-0.0228</v>
      </c>
      <c r="AJ14" s="1" t="str">
        <f>'lnMortality by DecadeAgeCaT'!AZ$5</f>
        <v>0.0853</v>
      </c>
      <c r="AK14" s="1" t="str">
        <f>'lnMortality by DecadeAgeCaT'!BA$5</f>
        <v>0.177</v>
      </c>
      <c r="AL14" s="1" t="str">
        <f>'lnMortality by DecadeAgeCaT'!BB$5</f>
        <v>0.150</v>
      </c>
      <c r="AM14" s="1" t="str">
        <f>'lnMortality by DecadeAgeCaT'!BC$5</f>
        <v>0.0267</v>
      </c>
      <c r="AO14" t="s">
        <v>13</v>
      </c>
      <c r="AP14" s="1" t="str">
        <f>'lnMortality by DecadeAgeCaT'!$AX$9</f>
        <v>-0.145</v>
      </c>
      <c r="AQ14" s="1" t="str">
        <f>'lnMortality by DecadeAgeCaT'!$AY$9</f>
        <v>-0.0171</v>
      </c>
      <c r="AR14" s="1" t="str">
        <f>'lnMortality by DecadeAgeCaT'!$AZ$9</f>
        <v>0.0694</v>
      </c>
      <c r="AS14" s="1" t="str">
        <f>'lnMortality by DecadeAgeCaT'!$BA$9</f>
        <v>0.125</v>
      </c>
      <c r="AT14" s="1" t="str">
        <f>'lnMortality by DecadeAgeCaT'!$BB$9</f>
        <v>0.0808</v>
      </c>
      <c r="AU14" s="1" t="str">
        <f>'lnMortality by DecadeAgeCaT'!$BC$9</f>
        <v>-0.0588</v>
      </c>
      <c r="AW14" t="s">
        <v>13</v>
      </c>
      <c r="AX14" s="1" t="str">
        <f>'lnMortality by DecadeAgeCaT'!AX$16</f>
        <v/>
      </c>
      <c r="AY14" s="1" t="str">
        <f>'lnMortality by DecadeAgeCaT'!AY$16</f>
        <v>0.147</v>
      </c>
      <c r="AZ14" s="1" t="str">
        <f>'lnMortality by DecadeAgeCaT'!AZ$16</f>
        <v>0.0704</v>
      </c>
      <c r="BA14" s="1" t="str">
        <f>'lnMortality by DecadeAgeCaT'!BA$16</f>
        <v>0.0399</v>
      </c>
      <c r="BB14" s="1" t="str">
        <f>'lnMortality by DecadeAgeCaT'!BB$16</f>
        <v>0.0519</v>
      </c>
      <c r="BC14" s="1" t="str">
        <f>'lnMortality by DecadeAgeCaT'!BC$16</f>
        <v>0.0743</v>
      </c>
    </row>
    <row r="15" spans="1:55" x14ac:dyDescent="0.25">
      <c r="A15" t="s">
        <v>14</v>
      </c>
      <c r="B15" s="1" t="str">
        <f>'lnMortality by DecadeAgeCaT'!BD3</f>
        <v>0.0639</v>
      </c>
      <c r="C15" s="1" t="str">
        <f>'lnMortality by DecadeAgeCaT'!BE3</f>
        <v>0.108</v>
      </c>
      <c r="D15" s="1" t="str">
        <f>'lnMortality by DecadeAgeCaT'!BF3</f>
        <v>0.0654</v>
      </c>
      <c r="E15" s="1" t="str">
        <f>'lnMortality by DecadeAgeCaT'!BG3</f>
        <v>-0.0117</v>
      </c>
      <c r="F15" s="1" t="str">
        <f>'lnMortality by DecadeAgeCaT'!BH3</f>
        <v>-0.0900</v>
      </c>
      <c r="G15" s="1" t="str">
        <f>'lnMortality by DecadeAgeCaT'!BI3</f>
        <v>-0.148</v>
      </c>
      <c r="I15" t="s">
        <v>14</v>
      </c>
      <c r="J15" s="1" t="str">
        <f>'lnMortality by DecadeAgeCaT'!$BD$4</f>
        <v>-0.0937</v>
      </c>
      <c r="K15" s="1" t="str">
        <f>'lnMortality by DecadeAgeCaT'!$BE$4</f>
        <v>-0.0419</v>
      </c>
      <c r="L15" s="1" t="str">
        <f>'lnMortality by DecadeAgeCaT'!$BF$4</f>
        <v>-0.0218</v>
      </c>
      <c r="M15" s="1" t="str">
        <f>'lnMortality by DecadeAgeCaT'!$BG$4</f>
        <v>-0.00629</v>
      </c>
      <c r="N15" s="1" t="str">
        <f>'lnMortality by DecadeAgeCaT'!$BH$4</f>
        <v>-0.0386</v>
      </c>
      <c r="O15" s="1" t="str">
        <f>'lnMortality by DecadeAgeCaT'!$BI$4</f>
        <v>-0.109</v>
      </c>
      <c r="Q15" t="s">
        <v>14</v>
      </c>
      <c r="R15" s="1" t="str">
        <f>'lnMortality by DecadeAgeCaT'!BD$13</f>
        <v>0.130</v>
      </c>
      <c r="S15" s="1" t="str">
        <f>'lnMortality by DecadeAgeCaT'!BE$13</f>
        <v>0.196</v>
      </c>
      <c r="T15" s="1" t="str">
        <f>'lnMortality by DecadeAgeCaT'!BF$13</f>
        <v>0.198</v>
      </c>
      <c r="U15" s="1" t="str">
        <f>'lnMortality by DecadeAgeCaT'!BG$13</f>
        <v>0.142</v>
      </c>
      <c r="V15" s="1" t="str">
        <f>'lnMortality by DecadeAgeCaT'!BH$13</f>
        <v>0.0890</v>
      </c>
      <c r="W15" s="1" t="str">
        <f>'lnMortality by DecadeAgeCaT'!BI$13</f>
        <v>-0.00117</v>
      </c>
      <c r="Y15" t="s">
        <v>14</v>
      </c>
      <c r="Z15" s="1" t="str">
        <f>'lnMortality by DecadeAgeCaT'!BD$6</f>
        <v>0.0718</v>
      </c>
      <c r="AA15" s="1" t="str">
        <f>'lnMortality by DecadeAgeCaT'!BE$6</f>
        <v>0.0825</v>
      </c>
      <c r="AB15" s="1" t="str">
        <f>'lnMortality by DecadeAgeCaT'!BF$6</f>
        <v>0.0413</v>
      </c>
      <c r="AC15" s="1" t="str">
        <f>'lnMortality by DecadeAgeCaT'!BG$6</f>
        <v>-0.0718</v>
      </c>
      <c r="AD15" s="1" t="str">
        <f>'lnMortality by DecadeAgeCaT'!BH$6</f>
        <v>-0.0624</v>
      </c>
      <c r="AE15" s="1" t="str">
        <f>'lnMortality by DecadeAgeCaT'!BI$6</f>
        <v>-0.149</v>
      </c>
      <c r="AG15" t="s">
        <v>14</v>
      </c>
      <c r="AH15" s="1" t="str">
        <f>'lnMortality by DecadeAgeCaT'!BD$5</f>
        <v>-0.0104</v>
      </c>
      <c r="AI15" s="1" t="str">
        <f>'lnMortality by DecadeAgeCaT'!BE$5</f>
        <v>-0.00181</v>
      </c>
      <c r="AJ15" s="1" t="str">
        <f>'lnMortality by DecadeAgeCaT'!BF$5</f>
        <v>0.105</v>
      </c>
      <c r="AK15" s="1" t="str">
        <f>'lnMortality by DecadeAgeCaT'!BG$5</f>
        <v>0.131</v>
      </c>
      <c r="AL15" s="1" t="str">
        <f>'lnMortality by DecadeAgeCaT'!BH$5</f>
        <v>0.172</v>
      </c>
      <c r="AM15" s="1" t="str">
        <f>'lnMortality by DecadeAgeCaT'!BI$5</f>
        <v>0.0909</v>
      </c>
      <c r="AO15" t="s">
        <v>14</v>
      </c>
      <c r="AP15" s="1" t="str">
        <f>'lnMortality by DecadeAgeCaT'!$BD$9</f>
        <v>-0.0845</v>
      </c>
      <c r="AQ15" s="1" t="str">
        <f>'lnMortality by DecadeAgeCaT'!$BE$9</f>
        <v>0.0125</v>
      </c>
      <c r="AR15" s="1" t="str">
        <f>'lnMortality by DecadeAgeCaT'!$BF$9</f>
        <v>0.0784</v>
      </c>
      <c r="AS15" s="1" t="str">
        <f>'lnMortality by DecadeAgeCaT'!$BG$9</f>
        <v>0.146</v>
      </c>
      <c r="AT15" s="1" t="str">
        <f>'lnMortality by DecadeAgeCaT'!$BH$9</f>
        <v>0.157</v>
      </c>
      <c r="AU15" s="1" t="str">
        <f>'lnMortality by DecadeAgeCaT'!$BI$9</f>
        <v>0.0758</v>
      </c>
      <c r="AW15" t="s">
        <v>14</v>
      </c>
      <c r="AX15" s="1" t="str">
        <f>'lnMortality by DecadeAgeCaT'!BD$16</f>
        <v/>
      </c>
      <c r="AY15" s="1" t="str">
        <f>'lnMortality by DecadeAgeCaT'!BE$16</f>
        <v>0.192</v>
      </c>
      <c r="AZ15" s="1" t="str">
        <f>'lnMortality by DecadeAgeCaT'!BF$16</f>
        <v>0.144</v>
      </c>
      <c r="BA15" s="1" t="str">
        <f>'lnMortality by DecadeAgeCaT'!BG$16</f>
        <v>0.118</v>
      </c>
      <c r="BB15" s="1" t="str">
        <f>'lnMortality by DecadeAgeCaT'!BH$16</f>
        <v>0.0519</v>
      </c>
      <c r="BC15" s="1" t="str">
        <f>'lnMortality by DecadeAgeCaT'!BI$16</f>
        <v>0.0687</v>
      </c>
    </row>
    <row r="20" spans="1:54" x14ac:dyDescent="0.25">
      <c r="A20" t="s">
        <v>0</v>
      </c>
      <c r="J20" t="s">
        <v>1</v>
      </c>
      <c r="R20" t="s">
        <v>2</v>
      </c>
      <c r="Z20" t="s">
        <v>3</v>
      </c>
      <c r="AH20" t="s">
        <v>4</v>
      </c>
      <c r="AO20" t="s">
        <v>15</v>
      </c>
      <c r="AX20" t="s">
        <v>17</v>
      </c>
    </row>
    <row r="21" spans="1:54" x14ac:dyDescent="0.25">
      <c r="B21">
        <v>1960</v>
      </c>
      <c r="C21">
        <v>1970</v>
      </c>
      <c r="D21">
        <v>1980</v>
      </c>
      <c r="E21">
        <v>1990</v>
      </c>
      <c r="F21">
        <v>2000</v>
      </c>
      <c r="G21">
        <v>2010</v>
      </c>
      <c r="J21">
        <v>1960</v>
      </c>
      <c r="K21">
        <v>1970</v>
      </c>
      <c r="L21">
        <v>1980</v>
      </c>
      <c r="M21">
        <v>1990</v>
      </c>
      <c r="N21">
        <v>2000</v>
      </c>
      <c r="O21">
        <v>2010</v>
      </c>
      <c r="R21">
        <v>1960</v>
      </c>
      <c r="S21">
        <v>1970</v>
      </c>
      <c r="T21">
        <v>1980</v>
      </c>
      <c r="U21">
        <v>1990</v>
      </c>
      <c r="V21">
        <v>2000</v>
      </c>
      <c r="W21">
        <v>2010</v>
      </c>
      <c r="Z21">
        <v>1960</v>
      </c>
      <c r="AA21">
        <v>1970</v>
      </c>
      <c r="AB21">
        <v>1980</v>
      </c>
      <c r="AC21">
        <v>1990</v>
      </c>
      <c r="AD21">
        <v>2000</v>
      </c>
      <c r="AE21">
        <v>2010</v>
      </c>
      <c r="AH21">
        <v>1960</v>
      </c>
      <c r="AI21">
        <v>1970</v>
      </c>
      <c r="AJ21">
        <v>1980</v>
      </c>
      <c r="AK21">
        <v>1990</v>
      </c>
      <c r="AL21">
        <v>2000</v>
      </c>
      <c r="AM21">
        <v>2010</v>
      </c>
      <c r="AP21">
        <v>1960</v>
      </c>
      <c r="AQ21">
        <v>1970</v>
      </c>
      <c r="AR21">
        <v>1980</v>
      </c>
      <c r="AS21">
        <v>1990</v>
      </c>
      <c r="AT21">
        <v>2000</v>
      </c>
      <c r="AU21">
        <v>2010</v>
      </c>
      <c r="AX21">
        <v>1970</v>
      </c>
      <c r="AY21">
        <v>1980</v>
      </c>
      <c r="AZ21">
        <v>1990</v>
      </c>
      <c r="BA21">
        <v>2000</v>
      </c>
      <c r="BB21">
        <v>2010</v>
      </c>
    </row>
    <row r="22" spans="1:54" x14ac:dyDescent="0.25">
      <c r="A22" t="s">
        <v>5</v>
      </c>
      <c r="B22" s="2">
        <v>-0.16400000000000001</v>
      </c>
      <c r="C22" s="2">
        <v>-0.17499999999999999</v>
      </c>
      <c r="D22" s="2">
        <v>-0.25800000000000001</v>
      </c>
      <c r="E22" s="2">
        <v>-0.41599999999999998</v>
      </c>
      <c r="F22" s="2">
        <v>-0.55900000000000005</v>
      </c>
      <c r="G22" s="2">
        <v>-0.56999999999999995</v>
      </c>
      <c r="I22" t="s">
        <v>5</v>
      </c>
      <c r="J22" s="2">
        <v>-0.28199999999999997</v>
      </c>
      <c r="K22" s="2">
        <v>-0.24</v>
      </c>
      <c r="L22" s="2">
        <v>-0.221</v>
      </c>
      <c r="M22" s="2">
        <v>-0.31</v>
      </c>
      <c r="N22" s="2">
        <v>-0.45100000000000001</v>
      </c>
      <c r="O22" s="2">
        <v>-0.51800000000000002</v>
      </c>
      <c r="Q22" t="s">
        <v>5</v>
      </c>
      <c r="R22" s="2">
        <v>-0.214</v>
      </c>
      <c r="S22" s="2">
        <v>-0.161</v>
      </c>
      <c r="T22" s="2">
        <v>-0.14199999999999999</v>
      </c>
      <c r="U22" s="2">
        <v>-0.21299999999999999</v>
      </c>
      <c r="V22" s="2">
        <v>-0.34100000000000003</v>
      </c>
      <c r="W22" s="2">
        <v>-0.39</v>
      </c>
      <c r="Y22" t="s">
        <v>5</v>
      </c>
      <c r="Z22" s="2">
        <v>-0.192</v>
      </c>
      <c r="AA22" s="2">
        <v>-0.20799999999999999</v>
      </c>
      <c r="AB22" s="2">
        <v>-0.154</v>
      </c>
      <c r="AC22" s="2">
        <v>-0.189</v>
      </c>
      <c r="AD22" s="2">
        <v>-0.30299999999999999</v>
      </c>
      <c r="AE22" s="2">
        <v>-0.45200000000000001</v>
      </c>
      <c r="AG22" t="s">
        <v>5</v>
      </c>
      <c r="AH22" s="2">
        <v>-0.25600000000000001</v>
      </c>
      <c r="AI22" s="2">
        <v>-0.106</v>
      </c>
      <c r="AJ22" s="2">
        <v>8.9499999999999996E-2</v>
      </c>
      <c r="AK22" s="2">
        <v>5.0099999999999999E-2</v>
      </c>
      <c r="AL22" s="2">
        <v>-0.24299999999999999</v>
      </c>
      <c r="AM22" s="2">
        <v>-0.52800000000000002</v>
      </c>
      <c r="AO22" t="s">
        <v>5</v>
      </c>
      <c r="AP22" s="2">
        <v>-0.47399999999999998</v>
      </c>
      <c r="AQ22" s="2">
        <v>-0.39</v>
      </c>
      <c r="AR22" s="2">
        <v>-0.3</v>
      </c>
      <c r="AS22" s="2">
        <v>-0.20799999999999999</v>
      </c>
      <c r="AT22" s="2">
        <v>-0.33</v>
      </c>
      <c r="AU22" s="2">
        <v>-0.53800000000000003</v>
      </c>
      <c r="AW22" t="s">
        <v>5</v>
      </c>
      <c r="AX22" s="2">
        <v>4.3400000000000001E-2</v>
      </c>
      <c r="AY22" s="2">
        <v>4.7100000000000003E-2</v>
      </c>
      <c r="AZ22" s="2">
        <v>-5.6500000000000002E-2</v>
      </c>
      <c r="BA22" s="2">
        <v>-0.27700000000000002</v>
      </c>
      <c r="BB22" s="2">
        <v>-0.35399999999999998</v>
      </c>
    </row>
    <row r="23" spans="1:54" x14ac:dyDescent="0.25">
      <c r="A23" t="s">
        <v>6</v>
      </c>
      <c r="B23" s="2">
        <v>-8.3500000000000005E-2</v>
      </c>
      <c r="C23" s="2">
        <v>-0.09</v>
      </c>
      <c r="D23" s="2">
        <v>-0.22500000000000001</v>
      </c>
      <c r="E23" s="2">
        <v>-0.36599999999999999</v>
      </c>
      <c r="F23" s="2">
        <v>-0.503</v>
      </c>
      <c r="G23" s="2">
        <v>-0.59199999999999997</v>
      </c>
      <c r="I23" t="s">
        <v>6</v>
      </c>
      <c r="J23" s="2">
        <v>-0.17699999999999999</v>
      </c>
      <c r="K23" s="2">
        <v>-0.18099999999999999</v>
      </c>
      <c r="L23" s="2">
        <v>-0.21199999999999999</v>
      </c>
      <c r="M23" s="2">
        <v>-0.26</v>
      </c>
      <c r="N23" s="2">
        <v>-0.31</v>
      </c>
      <c r="O23" s="2">
        <v>-0.40500000000000003</v>
      </c>
      <c r="Q23" t="s">
        <v>6</v>
      </c>
      <c r="R23" s="2">
        <v>-0.123</v>
      </c>
      <c r="S23" s="2">
        <v>-2.8500000000000001E-2</v>
      </c>
      <c r="T23" s="2">
        <v>-3.1699999999999999E-2</v>
      </c>
      <c r="U23" s="2">
        <v>-0.13800000000000001</v>
      </c>
      <c r="V23" s="2">
        <v>-0.20599999999999999</v>
      </c>
      <c r="W23" s="2">
        <v>-0.33800000000000002</v>
      </c>
      <c r="Y23" t="s">
        <v>6</v>
      </c>
      <c r="Z23" s="2">
        <v>-0.193</v>
      </c>
      <c r="AA23" s="2">
        <v>-0.23300000000000001</v>
      </c>
      <c r="AB23" s="2">
        <v>-0.29899999999999999</v>
      </c>
      <c r="AC23" s="2">
        <v>-0.36899999999999999</v>
      </c>
      <c r="AD23" s="2">
        <v>-0.34399999999999997</v>
      </c>
      <c r="AE23" s="2">
        <v>-0.40799999999999997</v>
      </c>
      <c r="AG23" t="s">
        <v>6</v>
      </c>
      <c r="AH23" s="2">
        <v>-0.219</v>
      </c>
      <c r="AI23" s="2">
        <v>-8.7999999999999995E-2</v>
      </c>
      <c r="AJ23" s="2">
        <v>0.109</v>
      </c>
      <c r="AK23" s="2">
        <v>0.11</v>
      </c>
      <c r="AL23" s="2">
        <v>-1.03E-2</v>
      </c>
      <c r="AM23" s="2">
        <v>-0.23300000000000001</v>
      </c>
      <c r="AO23" t="s">
        <v>6</v>
      </c>
      <c r="AP23" s="2">
        <v>-0.38700000000000001</v>
      </c>
      <c r="AQ23" s="2">
        <v>-0.34200000000000003</v>
      </c>
      <c r="AR23" s="2">
        <v>-0.30599999999999999</v>
      </c>
      <c r="AS23" s="2">
        <v>-0.247</v>
      </c>
      <c r="AT23" s="2">
        <v>-0.189</v>
      </c>
      <c r="AU23" s="2">
        <v>-0.315</v>
      </c>
      <c r="AW23" t="s">
        <v>6</v>
      </c>
      <c r="AX23" s="2">
        <v>9.9199999999999997E-2</v>
      </c>
      <c r="AY23" s="2">
        <v>3.15E-2</v>
      </c>
      <c r="AZ23" s="2">
        <v>-7.4899999999999994E-2</v>
      </c>
      <c r="BA23" s="2">
        <v>-0.21299999999999999</v>
      </c>
      <c r="BB23" s="2">
        <v>-0.39700000000000002</v>
      </c>
    </row>
    <row r="24" spans="1:54" x14ac:dyDescent="0.25">
      <c r="A24" t="s">
        <v>7</v>
      </c>
      <c r="B24" s="2">
        <v>-1.84E-2</v>
      </c>
      <c r="C24" s="2">
        <v>1.3300000000000001E-4</v>
      </c>
      <c r="D24" s="2">
        <v>-0.154</v>
      </c>
      <c r="E24" s="2">
        <v>-0.317</v>
      </c>
      <c r="F24" s="2">
        <v>-0.45600000000000002</v>
      </c>
      <c r="G24" s="2">
        <v>-0.5</v>
      </c>
      <c r="I24" t="s">
        <v>7</v>
      </c>
      <c r="J24" s="2">
        <v>-0.111</v>
      </c>
      <c r="K24" s="2">
        <v>-0.108</v>
      </c>
      <c r="L24" s="2">
        <v>-0.17899999999999999</v>
      </c>
      <c r="M24" s="2">
        <v>-0.23799999999999999</v>
      </c>
      <c r="N24" s="2">
        <v>-0.26600000000000001</v>
      </c>
      <c r="O24" s="2">
        <v>-0.28000000000000003</v>
      </c>
      <c r="Q24" t="s">
        <v>7</v>
      </c>
      <c r="R24" s="2">
        <v>-1.38E-2</v>
      </c>
      <c r="S24" s="2">
        <v>6.59E-2</v>
      </c>
      <c r="T24" s="2">
        <v>7.8399999999999997E-2</v>
      </c>
      <c r="U24" s="2">
        <v>-1.7299999999999999E-2</v>
      </c>
      <c r="V24" s="2">
        <v>-0.152</v>
      </c>
      <c r="W24" s="2">
        <v>-0.19700000000000001</v>
      </c>
      <c r="Y24" t="s">
        <v>7</v>
      </c>
      <c r="Z24" s="2">
        <v>-0.154</v>
      </c>
      <c r="AA24" s="2">
        <v>-0.20799999999999999</v>
      </c>
      <c r="AB24" s="2">
        <v>-0.36599999999999999</v>
      </c>
      <c r="AC24" s="2">
        <v>-0.499</v>
      </c>
      <c r="AD24" s="2">
        <v>-0.53900000000000003</v>
      </c>
      <c r="AE24" s="2">
        <v>-0.48199999999999998</v>
      </c>
      <c r="AG24" t="s">
        <v>7</v>
      </c>
      <c r="AH24" s="2">
        <v>-0.104</v>
      </c>
      <c r="AI24" s="2">
        <v>-6.1899999999999997E-2</v>
      </c>
      <c r="AJ24" s="2">
        <v>3.85E-2</v>
      </c>
      <c r="AK24" s="2">
        <v>0.161</v>
      </c>
      <c r="AL24" s="2">
        <v>3.7999999999999999E-2</v>
      </c>
      <c r="AM24" s="2">
        <v>-6.9500000000000006E-2</v>
      </c>
      <c r="AO24" t="s">
        <v>7</v>
      </c>
      <c r="AP24" s="2">
        <v>-0.22800000000000001</v>
      </c>
      <c r="AQ24" s="2">
        <v>-0.21299999999999999</v>
      </c>
      <c r="AR24" s="2">
        <v>-0.27700000000000002</v>
      </c>
      <c r="AS24" s="2">
        <v>-0.23400000000000001</v>
      </c>
      <c r="AT24" s="2">
        <v>-0.24199999999999999</v>
      </c>
      <c r="AU24" s="2">
        <v>-0.2</v>
      </c>
      <c r="AW24" t="s">
        <v>7</v>
      </c>
      <c r="AX24" s="2">
        <v>0.26700000000000002</v>
      </c>
      <c r="AY24" s="2">
        <v>0.17399999999999999</v>
      </c>
      <c r="AZ24" s="2">
        <v>1.49E-2</v>
      </c>
      <c r="BA24" s="2">
        <v>-0.129</v>
      </c>
      <c r="BB24" s="2">
        <v>-0.249</v>
      </c>
    </row>
    <row r="25" spans="1:54" x14ac:dyDescent="0.25">
      <c r="A25" t="s">
        <v>8</v>
      </c>
      <c r="B25" s="2">
        <v>8.8900000000000007E-2</v>
      </c>
      <c r="C25" s="2">
        <v>9.8500000000000004E-2</v>
      </c>
      <c r="D25" s="2">
        <v>9.0100000000000006E-3</v>
      </c>
      <c r="E25" s="2">
        <v>-0.127</v>
      </c>
      <c r="F25" s="2">
        <v>-0.312</v>
      </c>
      <c r="G25" s="2">
        <v>-0.35599999999999998</v>
      </c>
      <c r="I25" t="s">
        <v>8</v>
      </c>
      <c r="J25" s="2">
        <v>-4.6399999999999997E-2</v>
      </c>
      <c r="K25" s="2">
        <v>-6.59E-2</v>
      </c>
      <c r="L25" s="2">
        <v>-8.2000000000000003E-2</v>
      </c>
      <c r="M25" s="2">
        <v>-0.13500000000000001</v>
      </c>
      <c r="N25" s="2">
        <v>-0.19500000000000001</v>
      </c>
      <c r="O25" s="2">
        <v>-0.23200000000000001</v>
      </c>
      <c r="Q25" t="s">
        <v>8</v>
      </c>
      <c r="R25" s="2">
        <v>0.12</v>
      </c>
      <c r="S25" s="2">
        <v>0.17100000000000001</v>
      </c>
      <c r="T25" s="2">
        <v>0.17499999999999999</v>
      </c>
      <c r="U25" s="2">
        <v>0.124</v>
      </c>
      <c r="V25" s="2">
        <v>-8.7299999999999999E-3</v>
      </c>
      <c r="W25" s="2">
        <v>-9.1800000000000007E-2</v>
      </c>
      <c r="Y25" t="s">
        <v>8</v>
      </c>
      <c r="Z25" s="2">
        <v>1.17E-2</v>
      </c>
      <c r="AA25" s="2">
        <v>-0.01</v>
      </c>
      <c r="AB25" s="2">
        <v>-0.13300000000000001</v>
      </c>
      <c r="AC25" s="2">
        <v>-0.33300000000000002</v>
      </c>
      <c r="AD25" s="2">
        <v>-0.45900000000000002</v>
      </c>
      <c r="AE25" s="2">
        <v>-0.51100000000000001</v>
      </c>
      <c r="AG25" t="s">
        <v>8</v>
      </c>
      <c r="AH25" s="2">
        <v>9.4899999999999998E-2</v>
      </c>
      <c r="AI25" s="2">
        <v>3.78E-2</v>
      </c>
      <c r="AJ25" s="2">
        <v>7.3700000000000002E-2</v>
      </c>
      <c r="AK25" s="2">
        <v>0.155</v>
      </c>
      <c r="AL25" s="2">
        <v>0.13600000000000001</v>
      </c>
      <c r="AM25" s="2">
        <v>5.0299999999999997E-3</v>
      </c>
      <c r="AO25" t="s">
        <v>8</v>
      </c>
      <c r="AP25" s="2">
        <v>1.7100000000000001E-2</v>
      </c>
      <c r="AQ25" s="2">
        <v>1.01E-2</v>
      </c>
      <c r="AR25" s="2">
        <v>-6.9000000000000006E-2</v>
      </c>
      <c r="AS25" s="2">
        <v>-7.7399999999999997E-2</v>
      </c>
      <c r="AT25" s="2">
        <v>-0.114</v>
      </c>
      <c r="AU25" s="2">
        <v>-0.17100000000000001</v>
      </c>
      <c r="AW25" t="s">
        <v>8</v>
      </c>
      <c r="AX25" s="2">
        <v>0.38500000000000001</v>
      </c>
      <c r="AY25" s="2">
        <v>0.371</v>
      </c>
      <c r="AZ25" s="2">
        <v>0.23699999999999999</v>
      </c>
      <c r="BA25" s="2">
        <v>2.9399999999999999E-2</v>
      </c>
      <c r="BB25" s="2">
        <v>-6.6600000000000006E-2</v>
      </c>
    </row>
    <row r="26" spans="1:54" x14ac:dyDescent="0.25">
      <c r="A26" t="s">
        <v>9</v>
      </c>
      <c r="B26" s="2">
        <v>5.9900000000000002E-2</v>
      </c>
      <c r="C26" s="2">
        <v>0.12</v>
      </c>
      <c r="D26" s="2">
        <v>7.0000000000000007E-2</v>
      </c>
      <c r="E26" s="2">
        <v>-3.56E-2</v>
      </c>
      <c r="F26" s="2">
        <v>-0.19700000000000001</v>
      </c>
      <c r="G26" s="2">
        <v>-0.23899999999999999</v>
      </c>
      <c r="I26" t="s">
        <v>9</v>
      </c>
      <c r="J26" s="2">
        <v>-8.0799999999999997E-2</v>
      </c>
      <c r="K26" s="2">
        <v>-4.2500000000000003E-2</v>
      </c>
      <c r="L26" s="2">
        <v>-3.9899999999999998E-2</v>
      </c>
      <c r="M26" s="2">
        <v>-6.7400000000000002E-2</v>
      </c>
      <c r="N26" s="2">
        <v>-0.14299999999999999</v>
      </c>
      <c r="O26" s="2">
        <v>-0.19</v>
      </c>
      <c r="Q26" t="s">
        <v>9</v>
      </c>
      <c r="R26" s="2">
        <v>0.113</v>
      </c>
      <c r="S26" s="2">
        <v>0.20699999999999999</v>
      </c>
      <c r="T26" s="2">
        <v>0.20799999999999999</v>
      </c>
      <c r="U26" s="2">
        <v>0.13800000000000001</v>
      </c>
      <c r="V26" s="2">
        <v>7.1099999999999997E-2</v>
      </c>
      <c r="W26" s="2">
        <v>-1.46E-2</v>
      </c>
      <c r="Y26" t="s">
        <v>9</v>
      </c>
      <c r="Z26" s="2">
        <v>7.1900000000000006E-2</v>
      </c>
      <c r="AA26" s="2">
        <v>0.10100000000000001</v>
      </c>
      <c r="AB26" s="2">
        <v>3.3500000000000002E-2</v>
      </c>
      <c r="AC26" s="2">
        <v>-0.18099999999999999</v>
      </c>
      <c r="AD26" s="2">
        <v>-0.307</v>
      </c>
      <c r="AE26" s="2">
        <v>-0.39800000000000002</v>
      </c>
      <c r="AG26" t="s">
        <v>9</v>
      </c>
      <c r="AH26" s="2">
        <v>0.16300000000000001</v>
      </c>
      <c r="AI26" s="2">
        <v>8.4400000000000003E-2</v>
      </c>
      <c r="AJ26" s="2">
        <v>0.11700000000000001</v>
      </c>
      <c r="AK26" s="2">
        <v>0.13100000000000001</v>
      </c>
      <c r="AL26" s="2">
        <v>0.122</v>
      </c>
      <c r="AM26" s="2">
        <v>9.9599999999999994E-2</v>
      </c>
      <c r="AO26" t="s">
        <v>9</v>
      </c>
      <c r="AP26" s="2">
        <v>8.7599999999999997E-2</v>
      </c>
      <c r="AQ26" s="2">
        <v>0.112</v>
      </c>
      <c r="AR26" s="2">
        <v>4.5900000000000003E-2</v>
      </c>
      <c r="AS26" s="2">
        <v>2.6200000000000001E-2</v>
      </c>
      <c r="AT26" s="2">
        <v>1.4300000000000001E-3</v>
      </c>
      <c r="AU26" s="2">
        <v>-5.1799999999999999E-2</v>
      </c>
      <c r="AW26" t="s">
        <v>9</v>
      </c>
      <c r="AX26" s="2">
        <v>0.41199999999999998</v>
      </c>
      <c r="AY26" s="2">
        <v>0.437</v>
      </c>
      <c r="AZ26" s="2">
        <v>0.32500000000000001</v>
      </c>
      <c r="BA26" s="2">
        <v>9.3799999999999994E-2</v>
      </c>
      <c r="BB26" s="2">
        <v>2.46E-2</v>
      </c>
    </row>
    <row r="29" spans="1:54" x14ac:dyDescent="0.25">
      <c r="B29">
        <v>1960</v>
      </c>
      <c r="C29">
        <v>1970</v>
      </c>
      <c r="D29">
        <v>1980</v>
      </c>
      <c r="E29">
        <v>1990</v>
      </c>
      <c r="F29">
        <v>2000</v>
      </c>
      <c r="G29">
        <v>2010</v>
      </c>
      <c r="J29">
        <v>1960</v>
      </c>
      <c r="K29">
        <v>1970</v>
      </c>
      <c r="L29">
        <v>1980</v>
      </c>
      <c r="M29">
        <v>1990</v>
      </c>
      <c r="N29">
        <v>2000</v>
      </c>
      <c r="O29">
        <v>2010</v>
      </c>
      <c r="R29">
        <v>1960</v>
      </c>
      <c r="S29">
        <v>1970</v>
      </c>
      <c r="T29">
        <v>1980</v>
      </c>
      <c r="U29">
        <v>1990</v>
      </c>
      <c r="V29">
        <v>2000</v>
      </c>
      <c r="W29">
        <v>2010</v>
      </c>
      <c r="Z29">
        <v>1960</v>
      </c>
      <c r="AA29">
        <v>1970</v>
      </c>
      <c r="AB29">
        <v>1980</v>
      </c>
      <c r="AC29">
        <v>1990</v>
      </c>
      <c r="AD29">
        <v>2000</v>
      </c>
      <c r="AE29">
        <v>2010</v>
      </c>
      <c r="AH29">
        <v>1960</v>
      </c>
      <c r="AI29">
        <v>1970</v>
      </c>
      <c r="AJ29">
        <v>1980</v>
      </c>
      <c r="AK29">
        <v>1990</v>
      </c>
      <c r="AL29">
        <v>2000</v>
      </c>
      <c r="AM29">
        <v>2010</v>
      </c>
      <c r="AP29">
        <v>1960</v>
      </c>
      <c r="AQ29">
        <v>1970</v>
      </c>
      <c r="AR29">
        <v>1980</v>
      </c>
      <c r="AS29">
        <v>1990</v>
      </c>
      <c r="AT29">
        <v>2000</v>
      </c>
      <c r="AU29">
        <v>2010</v>
      </c>
      <c r="AX29">
        <v>1970</v>
      </c>
      <c r="AY29">
        <v>1980</v>
      </c>
      <c r="AZ29">
        <v>1990</v>
      </c>
      <c r="BA29">
        <v>2000</v>
      </c>
      <c r="BB29">
        <v>2010</v>
      </c>
    </row>
    <row r="30" spans="1:54" x14ac:dyDescent="0.25">
      <c r="A30" t="s">
        <v>10</v>
      </c>
      <c r="B30" s="2">
        <v>-0.214</v>
      </c>
      <c r="C30" s="2">
        <v>-0.23</v>
      </c>
      <c r="D30" s="2">
        <v>-0.34699999999999998</v>
      </c>
      <c r="E30" s="2">
        <v>-0.55200000000000005</v>
      </c>
      <c r="F30" s="2">
        <v>-0.55500000000000005</v>
      </c>
      <c r="G30" s="2">
        <v>-0.51800000000000002</v>
      </c>
      <c r="I30" t="s">
        <v>10</v>
      </c>
      <c r="J30" s="2">
        <v>-0.28699999999999998</v>
      </c>
      <c r="K30" s="2">
        <v>-0.23100000000000001</v>
      </c>
      <c r="L30" s="2">
        <v>-0.318</v>
      </c>
      <c r="M30" s="2">
        <v>-0.44400000000000001</v>
      </c>
      <c r="N30" s="2">
        <v>-0.51500000000000001</v>
      </c>
      <c r="O30" s="2">
        <v>-0.53800000000000003</v>
      </c>
      <c r="Q30" t="s">
        <v>10</v>
      </c>
      <c r="R30" s="2">
        <v>-0.374</v>
      </c>
      <c r="S30" s="2">
        <v>-0.34</v>
      </c>
      <c r="T30" s="2">
        <v>-0.32900000000000001</v>
      </c>
      <c r="U30" s="2">
        <v>-0.44800000000000001</v>
      </c>
      <c r="V30" s="2">
        <v>-0.41199999999999998</v>
      </c>
      <c r="W30" s="2">
        <v>-0.377</v>
      </c>
      <c r="Y30" t="s">
        <v>10</v>
      </c>
      <c r="Z30" s="2">
        <v>-8.1699999999999995E-2</v>
      </c>
      <c r="AA30" s="2">
        <v>1.03E-2</v>
      </c>
      <c r="AB30" s="2">
        <v>6.83E-2</v>
      </c>
      <c r="AC30" s="2">
        <v>4.8399999999999997E-3</v>
      </c>
      <c r="AD30" s="2">
        <v>-9.0700000000000003E-2</v>
      </c>
      <c r="AE30" s="2">
        <v>-0.246</v>
      </c>
      <c r="AG30" t="s">
        <v>10</v>
      </c>
      <c r="AH30" s="2">
        <v>-0.55000000000000004</v>
      </c>
      <c r="AI30" s="2">
        <v>-0.34399999999999997</v>
      </c>
      <c r="AJ30" s="2">
        <v>-0.14499999999999999</v>
      </c>
      <c r="AK30" s="2">
        <v>-0.15</v>
      </c>
      <c r="AL30" s="2">
        <v>-0.25800000000000001</v>
      </c>
      <c r="AM30" s="2">
        <v>-0.47599999999999998</v>
      </c>
      <c r="AO30" t="s">
        <v>10</v>
      </c>
      <c r="AP30" s="2">
        <v>-0.58899999999999997</v>
      </c>
      <c r="AQ30" s="2">
        <v>-0.503</v>
      </c>
      <c r="AR30" s="2">
        <v>-0.46500000000000002</v>
      </c>
      <c r="AS30" s="2">
        <v>-0.54</v>
      </c>
      <c r="AT30" s="2">
        <v>-0.63300000000000001</v>
      </c>
      <c r="AU30" s="2">
        <v>-0.754</v>
      </c>
      <c r="AW30" t="s">
        <v>10</v>
      </c>
      <c r="AX30" s="2">
        <v>-4.2500000000000003E-2</v>
      </c>
      <c r="AY30" s="2">
        <v>0.155</v>
      </c>
      <c r="AZ30" s="2">
        <v>0.13300000000000001</v>
      </c>
      <c r="BA30" s="2">
        <v>0.19600000000000001</v>
      </c>
      <c r="BB30" s="2">
        <v>0.23699999999999999</v>
      </c>
    </row>
    <row r="31" spans="1:54" x14ac:dyDescent="0.25">
      <c r="A31" t="s">
        <v>11</v>
      </c>
      <c r="B31" s="2">
        <v>-0.13</v>
      </c>
      <c r="C31" s="2">
        <v>-0.107</v>
      </c>
      <c r="D31" s="2">
        <v>-0.19700000000000001</v>
      </c>
      <c r="E31" s="2">
        <v>-0.38300000000000001</v>
      </c>
      <c r="F31" s="2">
        <v>-0.54400000000000004</v>
      </c>
      <c r="G31" s="2">
        <v>-0.59499999999999997</v>
      </c>
      <c r="I31" t="s">
        <v>11</v>
      </c>
      <c r="J31" s="2">
        <v>-0.219</v>
      </c>
      <c r="K31" s="2">
        <v>-0.161</v>
      </c>
      <c r="L31" s="2">
        <v>-0.19700000000000001</v>
      </c>
      <c r="M31" s="2">
        <v>-0.28299999999999997</v>
      </c>
      <c r="N31" s="2">
        <v>-0.372</v>
      </c>
      <c r="O31" s="2">
        <v>-0.49</v>
      </c>
      <c r="Q31" t="s">
        <v>11</v>
      </c>
      <c r="R31" s="2">
        <v>-0.186</v>
      </c>
      <c r="S31" s="2">
        <v>-0.114</v>
      </c>
      <c r="T31" s="2">
        <v>-0.107</v>
      </c>
      <c r="U31" s="2">
        <v>-0.193</v>
      </c>
      <c r="V31" s="2">
        <v>-0.29799999999999999</v>
      </c>
      <c r="W31" s="2">
        <v>-0.442</v>
      </c>
      <c r="Y31" t="s">
        <v>11</v>
      </c>
      <c r="Z31" s="2">
        <v>-9.35E-2</v>
      </c>
      <c r="AA31" s="2">
        <v>-5.62E-2</v>
      </c>
      <c r="AB31" s="2">
        <v>5.57E-2</v>
      </c>
      <c r="AC31" s="2">
        <v>-4.8599999999999997E-3</v>
      </c>
      <c r="AD31" s="2">
        <v>-2.3400000000000001E-2</v>
      </c>
      <c r="AE31" s="2">
        <v>-0.153</v>
      </c>
      <c r="AG31" t="s">
        <v>11</v>
      </c>
      <c r="AH31" s="2">
        <v>-0.41799999999999998</v>
      </c>
      <c r="AI31" s="2">
        <v>-0.255</v>
      </c>
      <c r="AJ31" s="2">
        <v>-4.4999999999999998E-2</v>
      </c>
      <c r="AK31" s="2">
        <v>-3.39E-2</v>
      </c>
      <c r="AL31" s="2">
        <v>-7.8600000000000003E-2</v>
      </c>
      <c r="AM31" s="2">
        <v>-0.26</v>
      </c>
      <c r="AO31" t="s">
        <v>11</v>
      </c>
      <c r="AP31" s="2">
        <v>-0.42499999999999999</v>
      </c>
      <c r="AQ31" s="2">
        <v>-0.313</v>
      </c>
      <c r="AR31" s="2">
        <v>-0.25600000000000001</v>
      </c>
      <c r="AS31" s="2">
        <v>-0.28199999999999997</v>
      </c>
      <c r="AT31" s="2">
        <v>-0.376</v>
      </c>
      <c r="AU31" s="2">
        <v>-0.56399999999999995</v>
      </c>
      <c r="AW31" t="s">
        <v>11</v>
      </c>
      <c r="AX31" s="2">
        <v>-0.105</v>
      </c>
      <c r="AY31" s="2">
        <v>-4.9200000000000001E-2</v>
      </c>
      <c r="AZ31" s="2">
        <v>0.10299999999999999</v>
      </c>
      <c r="BA31" s="2">
        <v>8.1699999999999995E-2</v>
      </c>
      <c r="BB31" s="2">
        <v>-7.3899999999999999E-3</v>
      </c>
    </row>
    <row r="32" spans="1:54" x14ac:dyDescent="0.25">
      <c r="A32" t="s">
        <v>12</v>
      </c>
      <c r="B32" s="2">
        <v>-4.62E-3</v>
      </c>
      <c r="C32" s="2">
        <v>-3.0500000000000002E-3</v>
      </c>
      <c r="D32" s="2">
        <v>-7.9200000000000007E-2</v>
      </c>
      <c r="E32" s="2">
        <v>-0.20599999999999999</v>
      </c>
      <c r="F32" s="2">
        <v>-0.35799999999999998</v>
      </c>
      <c r="G32" s="2">
        <v>-0.45700000000000002</v>
      </c>
      <c r="I32" t="s">
        <v>12</v>
      </c>
      <c r="J32" s="2">
        <v>-0.16300000000000001</v>
      </c>
      <c r="K32" s="2">
        <v>-0.114</v>
      </c>
      <c r="L32" s="2">
        <v>-0.106</v>
      </c>
      <c r="M32" s="2">
        <v>-0.16</v>
      </c>
      <c r="N32" s="2">
        <v>-0.21199999999999999</v>
      </c>
      <c r="O32" s="2">
        <v>-0.30299999999999999</v>
      </c>
      <c r="Q32" t="s">
        <v>12</v>
      </c>
      <c r="R32" s="2">
        <v>2.01E-2</v>
      </c>
      <c r="S32" s="2">
        <v>4.1599999999999998E-2</v>
      </c>
      <c r="T32" s="2">
        <v>7.0300000000000001E-2</v>
      </c>
      <c r="U32" s="2">
        <v>-5.3E-3</v>
      </c>
      <c r="V32" s="2">
        <v>-0.11700000000000001</v>
      </c>
      <c r="W32" s="2">
        <v>-0.247</v>
      </c>
      <c r="Y32" t="s">
        <v>12</v>
      </c>
      <c r="Z32" s="2">
        <v>-6.2700000000000006E-2</v>
      </c>
      <c r="AA32" s="2">
        <v>-7.1199999999999999E-2</v>
      </c>
      <c r="AB32" s="2">
        <v>-6.7900000000000002E-2</v>
      </c>
      <c r="AC32" s="2">
        <v>-8.4699999999999998E-2</v>
      </c>
      <c r="AD32" s="2">
        <v>-0.11899999999999999</v>
      </c>
      <c r="AE32" s="2">
        <v>-0.14399999999999999</v>
      </c>
      <c r="AG32" t="s">
        <v>12</v>
      </c>
      <c r="AH32" s="2">
        <v>-0.25600000000000001</v>
      </c>
      <c r="AI32" s="2">
        <v>-0.14399999999999999</v>
      </c>
      <c r="AJ32" s="2">
        <v>3.0499999999999999E-2</v>
      </c>
      <c r="AK32" s="2">
        <v>8.8800000000000004E-2</v>
      </c>
      <c r="AL32" s="2">
        <v>1.9E-2</v>
      </c>
      <c r="AM32" s="2">
        <v>-9.4600000000000004E-2</v>
      </c>
      <c r="AO32" t="s">
        <v>12</v>
      </c>
      <c r="AP32" s="2">
        <v>-0.28399999999999997</v>
      </c>
      <c r="AQ32" s="2">
        <v>-0.13</v>
      </c>
      <c r="AR32" s="2">
        <v>-6.8099999999999994E-2</v>
      </c>
      <c r="AS32" s="2">
        <v>-6.5500000000000003E-2</v>
      </c>
      <c r="AT32" s="2">
        <v>-0.14699999999999999</v>
      </c>
      <c r="AU32" s="2">
        <v>-0.28499999999999998</v>
      </c>
      <c r="AW32" t="s">
        <v>12</v>
      </c>
      <c r="AX32" s="2">
        <v>2.8400000000000001E-3</v>
      </c>
      <c r="AY32" s="2">
        <v>-3.9100000000000003E-2</v>
      </c>
      <c r="AZ32" s="2">
        <v>-1.0800000000000001E-2</v>
      </c>
      <c r="BA32" s="2">
        <v>5.6599999999999998E-2</v>
      </c>
      <c r="BB32" s="2">
        <v>-1.11E-2</v>
      </c>
    </row>
    <row r="33" spans="1:54" x14ac:dyDescent="0.25">
      <c r="A33" t="s">
        <v>13</v>
      </c>
      <c r="B33" s="2">
        <v>0.113</v>
      </c>
      <c r="C33" s="2">
        <v>9.8400000000000001E-2</v>
      </c>
      <c r="D33" s="2">
        <v>3.5900000000000001E-2</v>
      </c>
      <c r="E33" s="2">
        <v>-4.8300000000000003E-2</v>
      </c>
      <c r="F33" s="2">
        <v>-0.17</v>
      </c>
      <c r="G33" s="2">
        <v>-0.25900000000000001</v>
      </c>
      <c r="I33" t="s">
        <v>13</v>
      </c>
      <c r="J33" s="2">
        <v>-8.1799999999999998E-2</v>
      </c>
      <c r="K33" s="2">
        <v>-6.8500000000000005E-2</v>
      </c>
      <c r="L33" s="2">
        <v>-4.5900000000000003E-2</v>
      </c>
      <c r="M33" s="2">
        <v>-4.5199999999999997E-2</v>
      </c>
      <c r="N33" s="2">
        <v>-9.9400000000000002E-2</v>
      </c>
      <c r="O33" s="2">
        <v>-0.17699999999999999</v>
      </c>
      <c r="Q33" t="s">
        <v>13</v>
      </c>
      <c r="R33" s="2">
        <v>0.14499999999999999</v>
      </c>
      <c r="S33" s="2">
        <v>0.17799999999999999</v>
      </c>
      <c r="T33" s="2">
        <v>0.17199999999999999</v>
      </c>
      <c r="U33" s="2">
        <v>0.14599999999999999</v>
      </c>
      <c r="V33" s="2">
        <v>3.4200000000000001E-2</v>
      </c>
      <c r="W33" s="2">
        <v>-6.8900000000000003E-2</v>
      </c>
      <c r="Y33" t="s">
        <v>13</v>
      </c>
      <c r="Z33" s="2">
        <v>3.0800000000000001E-2</v>
      </c>
      <c r="AA33" s="2">
        <v>2.1000000000000001E-2</v>
      </c>
      <c r="AB33" s="2">
        <v>-2.9499999999999998E-2</v>
      </c>
      <c r="AC33" s="2">
        <v>-9.4500000000000001E-2</v>
      </c>
      <c r="AD33" s="2">
        <v>-0.112</v>
      </c>
      <c r="AE33" s="2">
        <v>-0.193</v>
      </c>
      <c r="AG33" t="s">
        <v>13</v>
      </c>
      <c r="AH33" s="2">
        <v>-8.0399999999999999E-2</v>
      </c>
      <c r="AI33" s="2">
        <v>-2.2800000000000001E-2</v>
      </c>
      <c r="AJ33" s="2">
        <v>8.5300000000000001E-2</v>
      </c>
      <c r="AK33" s="2">
        <v>0.17699999999999999</v>
      </c>
      <c r="AL33" s="2">
        <v>0.15</v>
      </c>
      <c r="AM33" s="2">
        <v>2.6700000000000002E-2</v>
      </c>
      <c r="AO33" t="s">
        <v>13</v>
      </c>
      <c r="AP33" s="2">
        <v>-0.14499999999999999</v>
      </c>
      <c r="AQ33" s="2">
        <v>-1.7100000000000001E-2</v>
      </c>
      <c r="AR33" s="2">
        <v>6.9400000000000003E-2</v>
      </c>
      <c r="AS33" s="2">
        <v>0.125</v>
      </c>
      <c r="AT33" s="2">
        <v>8.0799999999999997E-2</v>
      </c>
      <c r="AU33" s="2">
        <v>-5.8799999999999998E-2</v>
      </c>
      <c r="AW33" t="s">
        <v>13</v>
      </c>
      <c r="AX33" s="2">
        <v>0.14699999999999999</v>
      </c>
      <c r="AY33" s="2">
        <v>7.0400000000000004E-2</v>
      </c>
      <c r="AZ33" s="2">
        <v>3.9899999999999998E-2</v>
      </c>
      <c r="BA33" s="2">
        <v>5.1900000000000002E-2</v>
      </c>
      <c r="BB33" s="2">
        <v>7.4300000000000005E-2</v>
      </c>
    </row>
    <row r="34" spans="1:54" x14ac:dyDescent="0.25">
      <c r="A34" t="s">
        <v>14</v>
      </c>
      <c r="B34" s="2">
        <v>6.3899999999999998E-2</v>
      </c>
      <c r="C34" s="2">
        <v>0.108</v>
      </c>
      <c r="D34" s="2">
        <v>6.54E-2</v>
      </c>
      <c r="E34" s="2">
        <v>-1.17E-2</v>
      </c>
      <c r="F34" s="2">
        <v>-0.09</v>
      </c>
      <c r="G34" s="2">
        <v>-0.14799999999999999</v>
      </c>
      <c r="I34" t="s">
        <v>14</v>
      </c>
      <c r="J34" s="2">
        <v>-9.3700000000000006E-2</v>
      </c>
      <c r="K34" s="2">
        <v>-4.19E-2</v>
      </c>
      <c r="L34" s="2">
        <v>-2.18E-2</v>
      </c>
      <c r="M34" s="2">
        <v>-6.2899999999999996E-3</v>
      </c>
      <c r="N34" s="2">
        <v>-3.8600000000000002E-2</v>
      </c>
      <c r="O34" s="2">
        <v>-0.109</v>
      </c>
      <c r="Q34" t="s">
        <v>14</v>
      </c>
      <c r="R34" s="2">
        <v>0.13</v>
      </c>
      <c r="S34" s="2">
        <v>0.19600000000000001</v>
      </c>
      <c r="T34" s="2">
        <v>0.19800000000000001</v>
      </c>
      <c r="U34" s="2">
        <v>0.14199999999999999</v>
      </c>
      <c r="V34" s="2">
        <v>8.8999999999999996E-2</v>
      </c>
      <c r="W34" s="2">
        <v>-1.17E-3</v>
      </c>
      <c r="Y34" t="s">
        <v>14</v>
      </c>
      <c r="Z34" s="2">
        <v>7.1800000000000003E-2</v>
      </c>
      <c r="AA34" s="2">
        <v>8.2500000000000004E-2</v>
      </c>
      <c r="AB34" s="2">
        <v>4.1300000000000003E-2</v>
      </c>
      <c r="AC34" s="2">
        <v>-7.1800000000000003E-2</v>
      </c>
      <c r="AD34" s="2">
        <v>-6.2399999999999997E-2</v>
      </c>
      <c r="AE34" s="2">
        <v>-0.14899999999999999</v>
      </c>
      <c r="AG34" t="s">
        <v>14</v>
      </c>
      <c r="AH34" s="2">
        <v>-1.04E-2</v>
      </c>
      <c r="AI34" s="2">
        <v>-1.81E-3</v>
      </c>
      <c r="AJ34" s="2">
        <v>0.105</v>
      </c>
      <c r="AK34" s="2">
        <v>0.13100000000000001</v>
      </c>
      <c r="AL34" s="2">
        <v>0.17199999999999999</v>
      </c>
      <c r="AM34" s="2">
        <v>9.0899999999999995E-2</v>
      </c>
      <c r="AO34" t="s">
        <v>14</v>
      </c>
      <c r="AP34" s="2">
        <v>-8.4500000000000006E-2</v>
      </c>
      <c r="AQ34" s="2">
        <v>1.2500000000000001E-2</v>
      </c>
      <c r="AR34" s="2">
        <v>7.8399999999999997E-2</v>
      </c>
      <c r="AS34" s="2">
        <v>0.14599999999999999</v>
      </c>
      <c r="AT34" s="2">
        <v>0.157</v>
      </c>
      <c r="AU34" s="2">
        <v>7.5800000000000006E-2</v>
      </c>
      <c r="AW34" t="s">
        <v>14</v>
      </c>
      <c r="AX34" s="2">
        <v>0.192</v>
      </c>
      <c r="AY34" s="2">
        <v>0.14399999999999999</v>
      </c>
      <c r="AZ34" s="2">
        <v>0.11799999999999999</v>
      </c>
      <c r="BA34" s="2">
        <v>5.1900000000000002E-2</v>
      </c>
      <c r="BB34" s="2">
        <v>6.8699999999999997E-2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EFD1-804B-4BCB-B635-A9CF77D43DCD}">
  <dimension ref="BJ4"/>
  <sheetViews>
    <sheetView topLeftCell="I1" workbookViewId="0">
      <selection activeCell="BI42" sqref="BI42"/>
    </sheetView>
  </sheetViews>
  <sheetFormatPr defaultRowHeight="15" x14ac:dyDescent="0.25"/>
  <sheetData>
    <row r="4" spans="62:62" x14ac:dyDescent="0.25">
      <c r="BJ4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lnMortality by DecadeAgeCaT</vt:lpstr>
      <vt:lpstr>Sheet2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2019-06-07T18:45:31Z</dcterms:created>
  <dcterms:modified xsi:type="dcterms:W3CDTF">2019-06-25T15:54:29Z</dcterms:modified>
</cp:coreProperties>
</file>