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limpens\Nextcloud\Personnel\Enabel\Projects\Tools\Design a solar system\"/>
    </mc:Choice>
  </mc:AlternateContent>
  <bookViews>
    <workbookView xWindow="0" yWindow="0" windowWidth="28800" windowHeight="12300" firstSheet="1" activeTab="9"/>
    <workbookView xWindow="0" yWindow="0" windowWidth="28800" windowHeight="11700" firstSheet="2" activeTab="2"/>
  </bookViews>
  <sheets>
    <sheet name="Readme" sheetId="2" r:id="rId1"/>
    <sheet name="0. Info" sheetId="11" r:id="rId2"/>
    <sheet name="1. Appliances" sheetId="1" r:id="rId3"/>
    <sheet name="2. System" sheetId="7" r:id="rId4"/>
    <sheet name="2bis. Panels" sheetId="3" r:id="rId5"/>
    <sheet name="2bis. Batteries" sheetId="5" r:id="rId6"/>
    <sheet name="2bis. Hyb. Inverter" sheetId="6" r:id="rId7"/>
    <sheet name="3. Design performances" sheetId="9" r:id="rId8"/>
    <sheet name="3. BoQ" sheetId="10" r:id="rId9"/>
    <sheet name="3. BoQ_tech_specs" sheetId="12"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9" i="5" l="1"/>
  <c r="B34" i="7"/>
  <c r="B8" i="9" s="1"/>
  <c r="H38" i="5" l="1"/>
  <c r="G38" i="5"/>
  <c r="A38" i="5"/>
  <c r="D11" i="10" l="1"/>
  <c r="C12" i="6"/>
  <c r="A108" i="1"/>
  <c r="A107" i="1"/>
  <c r="A94" i="1"/>
  <c r="A95" i="1"/>
  <c r="A96" i="1"/>
  <c r="A97" i="1"/>
  <c r="A98" i="1"/>
  <c r="A99" i="1"/>
  <c r="A100" i="1"/>
  <c r="A101" i="1"/>
  <c r="A102" i="1"/>
  <c r="A103" i="1"/>
  <c r="A104" i="1"/>
  <c r="A105" i="1"/>
  <c r="A10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46" i="1"/>
  <c r="E59" i="1"/>
  <c r="E64" i="1"/>
  <c r="F64" i="1"/>
  <c r="E67" i="1"/>
  <c r="F67" i="1"/>
  <c r="F11" i="10" l="1"/>
  <c r="D10" i="10"/>
  <c r="F10" i="10" s="1"/>
  <c r="B12" i="5" l="1"/>
  <c r="C10" i="6"/>
  <c r="A36" i="5" l="1"/>
  <c r="A37" i="5"/>
  <c r="B13" i="5" l="1"/>
  <c r="D17" i="10" l="1"/>
  <c r="F17" i="10" s="1"/>
  <c r="D15" i="10"/>
  <c r="F15" i="10" s="1"/>
  <c r="D9" i="10"/>
  <c r="F9" i="10" s="1"/>
  <c r="D8" i="10"/>
  <c r="F8" i="10" s="1"/>
  <c r="D6" i="10"/>
  <c r="F6" i="10" s="1"/>
  <c r="D13" i="10"/>
  <c r="F13" i="10" s="1"/>
  <c r="D12" i="10"/>
  <c r="D4" i="10"/>
  <c r="D5" i="10" s="1"/>
  <c r="F5" i="10" s="1"/>
  <c r="F39" i="10"/>
  <c r="F38" i="10"/>
  <c r="F37" i="10"/>
  <c r="F34" i="10"/>
  <c r="F33" i="10"/>
  <c r="F32" i="10"/>
  <c r="F31" i="10"/>
  <c r="F30" i="10"/>
  <c r="F29" i="10"/>
  <c r="F28" i="10"/>
  <c r="F27" i="10"/>
  <c r="F24" i="10"/>
  <c r="F23" i="10"/>
  <c r="F22" i="10"/>
  <c r="F21" i="10"/>
  <c r="F18" i="10"/>
  <c r="F25" i="10" l="1"/>
  <c r="F35" i="10"/>
  <c r="F40" i="10"/>
  <c r="F12" i="10"/>
  <c r="D14" i="10"/>
  <c r="F14" i="10" s="1"/>
  <c r="D7" i="10"/>
  <c r="F7" i="10" s="1"/>
  <c r="F4" i="10"/>
  <c r="B25" i="7" l="1"/>
  <c r="D25" i="7" s="1"/>
  <c r="D25" i="3" l="1"/>
  <c r="D26" i="3"/>
  <c r="D27" i="3"/>
  <c r="D24" i="3"/>
  <c r="E12" i="1" l="1"/>
  <c r="F12" i="1"/>
  <c r="H53" i="7" l="1"/>
  <c r="H40" i="7" l="1"/>
  <c r="B69" i="7" l="1"/>
  <c r="A37" i="6"/>
  <c r="A31" i="6"/>
  <c r="A30" i="6"/>
  <c r="A29" i="6"/>
  <c r="A28" i="6"/>
  <c r="A27" i="6"/>
  <c r="C14" i="6" s="1"/>
  <c r="E50" i="7" l="1"/>
  <c r="C15" i="6"/>
  <c r="B70" i="7" s="1"/>
  <c r="H42" i="7" s="1"/>
  <c r="C16" i="6"/>
  <c r="H50" i="7" s="1"/>
  <c r="C11" i="6"/>
  <c r="E53" i="7" s="1"/>
  <c r="E41" i="7"/>
  <c r="C8" i="6"/>
  <c r="C13" i="6"/>
  <c r="C17" i="6"/>
  <c r="C9" i="6"/>
  <c r="B11" i="10" l="1"/>
  <c r="E47" i="7"/>
  <c r="E44" i="7"/>
  <c r="H41" i="7"/>
  <c r="E59" i="7"/>
  <c r="B59" i="7"/>
  <c r="B3" i="5" l="1"/>
  <c r="A3" i="5"/>
  <c r="A46" i="5"/>
  <c r="A40" i="5"/>
  <c r="A39" i="5"/>
  <c r="B24" i="5" l="1"/>
  <c r="H59" i="7" s="1"/>
  <c r="B18" i="5"/>
  <c r="B17" i="5"/>
  <c r="B6" i="5" s="1"/>
  <c r="B16" i="5"/>
  <c r="A25" i="3"/>
  <c r="A26" i="3"/>
  <c r="A27" i="3"/>
  <c r="A28" i="3"/>
  <c r="A34" i="3"/>
  <c r="A24" i="3"/>
  <c r="B9" i="3" s="1"/>
  <c r="B4" i="10" l="1"/>
  <c r="E52" i="7"/>
  <c r="B9" i="5"/>
  <c r="B22" i="5" s="1"/>
  <c r="H46" i="7" s="1"/>
  <c r="B8" i="5"/>
  <c r="B7" i="5"/>
  <c r="B11" i="5"/>
  <c r="B32" i="7"/>
  <c r="B33" i="7" s="1"/>
  <c r="B13" i="3"/>
  <c r="B11" i="3"/>
  <c r="E49" i="7" s="1"/>
  <c r="E51" i="7" s="1"/>
  <c r="B12" i="3"/>
  <c r="B10" i="3"/>
  <c r="E40" i="7" s="1"/>
  <c r="I12" i="1"/>
  <c r="I13" i="1"/>
  <c r="I14" i="1"/>
  <c r="I15" i="1"/>
  <c r="I16" i="1"/>
  <c r="I17" i="1"/>
  <c r="I18" i="1"/>
  <c r="I19" i="1"/>
  <c r="I20" i="1"/>
  <c r="I21" i="1"/>
  <c r="I22" i="1"/>
  <c r="I23" i="1"/>
  <c r="E13" i="1"/>
  <c r="F13" i="1"/>
  <c r="E14" i="1"/>
  <c r="F14" i="1"/>
  <c r="E15" i="1"/>
  <c r="F15" i="1"/>
  <c r="E16" i="1"/>
  <c r="F16" i="1"/>
  <c r="E17" i="1"/>
  <c r="F17" i="1"/>
  <c r="E18" i="1"/>
  <c r="F18" i="1"/>
  <c r="E19" i="1"/>
  <c r="F19" i="1"/>
  <c r="E20" i="1"/>
  <c r="F20" i="1"/>
  <c r="E21" i="1"/>
  <c r="F21" i="1"/>
  <c r="E22" i="1"/>
  <c r="F22" i="1"/>
  <c r="E23" i="1"/>
  <c r="F23" i="1"/>
  <c r="I5" i="1"/>
  <c r="I6" i="1"/>
  <c r="I7" i="1"/>
  <c r="I8" i="1"/>
  <c r="I9" i="1"/>
  <c r="I10" i="1"/>
  <c r="I11" i="1"/>
  <c r="I4" i="1"/>
  <c r="D33" i="7" l="1"/>
  <c r="D16" i="10"/>
  <c r="F16" i="10" s="1"/>
  <c r="F19" i="10" s="1"/>
  <c r="F42" i="10" s="1"/>
  <c r="B19" i="3"/>
  <c r="B18" i="3"/>
  <c r="B23" i="5"/>
  <c r="B30" i="5"/>
  <c r="B35" i="7" s="1"/>
  <c r="B7" i="9" s="1"/>
  <c r="B10" i="5"/>
  <c r="B19" i="5"/>
  <c r="H55" i="7"/>
  <c r="H57" i="7" s="1"/>
  <c r="B20" i="3"/>
  <c r="E43" i="7"/>
  <c r="E45" i="7" s="1"/>
  <c r="E42" i="7"/>
  <c r="I24" i="1"/>
  <c r="E46" i="7"/>
  <c r="E48" i="7" s="1"/>
  <c r="E5" i="1"/>
  <c r="E6" i="1"/>
  <c r="E7" i="1"/>
  <c r="E8" i="1"/>
  <c r="E9" i="1"/>
  <c r="E10" i="1"/>
  <c r="E11" i="1"/>
  <c r="E4" i="1"/>
  <c r="B5" i="9" l="1"/>
  <c r="H52" i="7"/>
  <c r="H54" i="7" s="1"/>
  <c r="B12" i="10"/>
  <c r="B20" i="5"/>
  <c r="H43" i="7" s="1"/>
  <c r="H49" i="7" s="1"/>
  <c r="H51" i="7" s="1"/>
  <c r="B21" i="5"/>
  <c r="E24" i="1"/>
  <c r="B23" i="7"/>
  <c r="D24" i="7" s="1"/>
  <c r="F5" i="1"/>
  <c r="F6" i="1"/>
  <c r="F7" i="1"/>
  <c r="F8" i="1"/>
  <c r="F9" i="1"/>
  <c r="F10" i="1"/>
  <c r="F11" i="1"/>
  <c r="F4" i="1"/>
  <c r="E28" i="1" l="1"/>
  <c r="B3" i="6" s="1"/>
  <c r="L5" i="1" s="1"/>
  <c r="B3" i="9"/>
  <c r="F24" i="1"/>
  <c r="B4" i="9" s="1"/>
  <c r="B3" i="3"/>
  <c r="B16" i="3" s="1"/>
  <c r="B45" i="7" s="1"/>
  <c r="B5" i="5"/>
  <c r="B28" i="5" s="1"/>
  <c r="H44" i="7"/>
  <c r="H45" i="7" s="1"/>
  <c r="F28" i="1" l="1"/>
  <c r="B4" i="5"/>
  <c r="B20" i="6"/>
  <c r="B17" i="3"/>
  <c r="B20" i="7" s="1"/>
  <c r="B21" i="7" s="1"/>
  <c r="B4" i="6"/>
  <c r="H47" i="7"/>
  <c r="H48" i="7" s="1"/>
  <c r="B27" i="5" l="1"/>
  <c r="B28" i="7" s="1"/>
  <c r="L4" i="1" s="1"/>
  <c r="B30" i="7"/>
  <c r="L3" i="1"/>
  <c r="B21" i="6" s="1"/>
  <c r="B22" i="6" s="1"/>
  <c r="B17" i="7" l="1"/>
  <c r="B42" i="7"/>
  <c r="B26" i="7"/>
  <c r="E54" i="7" l="1"/>
</calcChain>
</file>

<file path=xl/comments1.xml><?xml version="1.0" encoding="utf-8"?>
<comments xmlns="http://schemas.openxmlformats.org/spreadsheetml/2006/main">
  <authors>
    <author>Gauthier Limpens</author>
  </authors>
  <commentList>
    <comment ref="A24" authorId="0" shapeId="0">
      <text>
        <r>
          <rPr>
            <b/>
            <sz val="9"/>
            <color indexed="81"/>
            <rFont val="Tahoma"/>
            <family val="2"/>
          </rPr>
          <t>Gauthier Limpens:</t>
        </r>
        <r>
          <rPr>
            <sz val="9"/>
            <color indexed="81"/>
            <rFont val="Tahoma"/>
            <family val="2"/>
          </rPr>
          <t xml:space="preserve">
Good practice: maximise the number in series to increase system voltage and decrease Wiring losses (RI²)</t>
        </r>
      </text>
    </comment>
    <comment ref="A33" authorId="0" shapeId="0">
      <text>
        <r>
          <rPr>
            <b/>
            <sz val="9"/>
            <color indexed="81"/>
            <rFont val="Tahoma"/>
            <family val="2"/>
          </rPr>
          <t>Gauthier Limpens:</t>
        </r>
        <r>
          <rPr>
            <sz val="9"/>
            <color indexed="81"/>
            <rFont val="Tahoma"/>
            <family val="2"/>
          </rPr>
          <t xml:space="preserve">
Good practice: maximise the number in series to increase system voltage and decrease Wiring losses (RI²)</t>
        </r>
      </text>
    </comment>
    <comment ref="H56" authorId="0" shapeId="0">
      <text>
        <r>
          <rPr>
            <b/>
            <sz val="9"/>
            <color indexed="81"/>
            <rFont val="Tahoma"/>
            <family val="2"/>
          </rPr>
          <t>Gauthier Limpens:</t>
        </r>
        <r>
          <rPr>
            <sz val="9"/>
            <color indexed="81"/>
            <rFont val="Tahoma"/>
            <family val="2"/>
          </rPr>
          <t xml:space="preserve">
MARGE advise max 3 batteries in parallel. Indeed, the battery status will be lead by the worst one. Thus it is better to have a lower number of batteries in parallel.</t>
        </r>
      </text>
    </comment>
  </commentList>
</comments>
</file>

<file path=xl/comments2.xml><?xml version="1.0" encoding="utf-8"?>
<comments xmlns="http://schemas.openxmlformats.org/spreadsheetml/2006/main">
  <authors>
    <author>Gauthier Limpens</author>
  </authors>
  <commentList>
    <comment ref="A10" authorId="0" shapeId="0">
      <text>
        <r>
          <rPr>
            <b/>
            <sz val="9"/>
            <color indexed="81"/>
            <rFont val="Tahoma"/>
            <family val="2"/>
          </rPr>
          <t>Gauthier Limpens:</t>
        </r>
        <r>
          <rPr>
            <sz val="9"/>
            <color indexed="81"/>
            <rFont val="Tahoma"/>
            <family val="2"/>
          </rPr>
          <t xml:space="preserve">
Can be slightly higher than charge, but recommended to keep more or less the same
</t>
        </r>
      </text>
    </comment>
  </commentList>
</comments>
</file>

<file path=xl/sharedStrings.xml><?xml version="1.0" encoding="utf-8"?>
<sst xmlns="http://schemas.openxmlformats.org/spreadsheetml/2006/main" count="806" uniqueCount="611">
  <si>
    <t>Printer Epson LX-300-II 220V</t>
  </si>
  <si>
    <t>Scanner HP Scanjet G3010</t>
  </si>
  <si>
    <t>Watts</t>
  </si>
  <si>
    <t>Total :</t>
  </si>
  <si>
    <t>Calculation sheet:</t>
  </si>
  <si>
    <t>Key outcomes:</t>
  </si>
  <si>
    <t>Color code of the sheets:</t>
  </si>
  <si>
    <t>Grey scale</t>
  </si>
  <si>
    <t>Comments</t>
  </si>
  <si>
    <t>Input</t>
  </si>
  <si>
    <t>User must give a numerical value</t>
  </si>
  <si>
    <t xml:space="preserve">Calculation </t>
  </si>
  <si>
    <t>Automatic calculation</t>
  </si>
  <si>
    <t>Output</t>
  </si>
  <si>
    <t>Procedure:</t>
  </si>
  <si>
    <t>Name</t>
  </si>
  <si>
    <t>Nominal power</t>
  </si>
  <si>
    <t>Surge power</t>
  </si>
  <si>
    <t>Short indicative name</t>
  </si>
  <si>
    <t>We also advise to take a picture of each appliance with the brand name</t>
  </si>
  <si>
    <t>Indicated on the appliance</t>
  </si>
  <si>
    <t>example 10 Tube LED 40W</t>
  </si>
  <si>
    <t>Usually indicated on the product</t>
  </si>
  <si>
    <t>Ask users</t>
  </si>
  <si>
    <t>Quantity</t>
  </si>
  <si>
    <t>Day use</t>
  </si>
  <si>
    <t>Nigh use</t>
  </si>
  <si>
    <t>Hours</t>
  </si>
  <si>
    <t>[-]</t>
  </si>
  <si>
    <t>Nominal power per unit</t>
  </si>
  <si>
    <t>Surge power per unit</t>
  </si>
  <si>
    <t>Daily use</t>
  </si>
  <si>
    <t>Simultaneous coefficient :</t>
  </si>
  <si>
    <r>
      <rPr>
        <u/>
        <sz val="11"/>
        <color theme="1"/>
        <rFont val="Calibri"/>
        <family val="2"/>
        <scheme val="minor"/>
      </rPr>
      <t>Total nominal power :</t>
    </r>
    <r>
      <rPr>
        <sz val="11"/>
        <color theme="1"/>
        <rFont val="Calibri"/>
        <family val="2"/>
        <scheme val="minor"/>
      </rPr>
      <t xml:space="preserve"> 
Estimate the nominal/averaged power that must deliver the inverter.</t>
    </r>
  </si>
  <si>
    <t>- Name:</t>
  </si>
  <si>
    <t>- Model:</t>
  </si>
  <si>
    <t>- Number of items:</t>
  </si>
  <si>
    <t>- Nominal power:</t>
  </si>
  <si>
    <t>- Surge power:</t>
  </si>
  <si>
    <t>- Hours of use during day:</t>
  </si>
  <si>
    <t>- Hours of use during night:</t>
  </si>
  <si>
    <t>Office computer</t>
  </si>
  <si>
    <t>Light LED - big (outside)</t>
  </si>
  <si>
    <t>Light LED - big (office)</t>
  </si>
  <si>
    <t>Light LED - small (office)</t>
  </si>
  <si>
    <t>wifi box</t>
  </si>
  <si>
    <t>Watt-hours</t>
  </si>
  <si>
    <t>Units</t>
  </si>
  <si>
    <t>Hours of autonomy</t>
  </si>
  <si>
    <t>Time when backup must be available. It should be between 1 and 48 hours.</t>
  </si>
  <si>
    <t>This is case specific and should be estimate with the user based on their needs.</t>
  </si>
  <si>
    <t>Rarely indicated, can be find on internet based on the model
Surge power is the peak demand power of the appliance 
(e.g. a printer requires an extra power at the beginning to heat the ink)</t>
  </si>
  <si>
    <t>Panels</t>
  </si>
  <si>
    <t>Daily demand</t>
  </si>
  <si>
    <t>Database Solar panels</t>
  </si>
  <si>
    <t>Manufacturer</t>
  </si>
  <si>
    <t>Type</t>
  </si>
  <si>
    <t>Power</t>
  </si>
  <si>
    <t>Vmpp</t>
  </si>
  <si>
    <t>Impp</t>
  </si>
  <si>
    <t>Voc</t>
  </si>
  <si>
    <t>Isc</t>
  </si>
  <si>
    <t>Comment</t>
  </si>
  <si>
    <t>Victron Energy</t>
  </si>
  <si>
    <t>SPM20-12</t>
  </si>
  <si>
    <t>Data from VE-MPPT-Calc-4_0</t>
  </si>
  <si>
    <t>risen</t>
  </si>
  <si>
    <t>RSM144-410M</t>
  </si>
  <si>
    <t>risen_RSM144</t>
  </si>
  <si>
    <t>FUTURASUN</t>
  </si>
  <si>
    <t>FU 310 P</t>
  </si>
  <si>
    <t>2020_FuturaSun_72p_300-330W_en</t>
  </si>
  <si>
    <t xml:space="preserve">risen </t>
  </si>
  <si>
    <t>RSM150-8-485M</t>
  </si>
  <si>
    <t>risen_RSM150</t>
  </si>
  <si>
    <t>Model</t>
  </si>
  <si>
    <t>Datasheet</t>
  </si>
  <si>
    <t>Panels properties</t>
  </si>
  <si>
    <t>Voltage (nominal)</t>
  </si>
  <si>
    <t>Current (nominal)</t>
  </si>
  <si>
    <t>Voltage (open circuit)</t>
  </si>
  <si>
    <t>Current (short circuit)</t>
  </si>
  <si>
    <t>V</t>
  </si>
  <si>
    <t>Result</t>
  </si>
  <si>
    <t>Number of panels advised</t>
  </si>
  <si>
    <t>Batteries</t>
  </si>
  <si>
    <t>hours</t>
  </si>
  <si>
    <t>Average power</t>
  </si>
  <si>
    <t>-</t>
  </si>
  <si>
    <t>Battery properties</t>
  </si>
  <si>
    <t>System voltage</t>
  </si>
  <si>
    <t>Volts</t>
  </si>
  <si>
    <t xml:space="preserve">         in series</t>
  </si>
  <si>
    <t xml:space="preserve">         in parallel</t>
  </si>
  <si>
    <t>Voltage</t>
  </si>
  <si>
    <t>Battery type</t>
  </si>
  <si>
    <t>Depth of Discharge</t>
  </si>
  <si>
    <t>[%]</t>
  </si>
  <si>
    <t>Capacity</t>
  </si>
  <si>
    <t>Discharge current</t>
  </si>
  <si>
    <t>Ah</t>
  </si>
  <si>
    <t>Vision</t>
  </si>
  <si>
    <t>CG12-200XA</t>
  </si>
  <si>
    <t>V_min</t>
  </si>
  <si>
    <t>V_max</t>
  </si>
  <si>
    <t>Surge current</t>
  </si>
  <si>
    <t>Cycles at 50 DoD</t>
  </si>
  <si>
    <t>No confident on the data</t>
  </si>
  <si>
    <t>Cycles (50% DoD)</t>
  </si>
  <si>
    <t>Surge (max 5s)</t>
  </si>
  <si>
    <t>Inverter</t>
  </si>
  <si>
    <t>Items</t>
  </si>
  <si>
    <t>Hybird inverter properties</t>
  </si>
  <si>
    <t>Solaredge</t>
  </si>
  <si>
    <t>SE3000H</t>
  </si>
  <si>
    <t>Rated output</t>
  </si>
  <si>
    <t>V_PV max</t>
  </si>
  <si>
    <t>I_PV max</t>
  </si>
  <si>
    <t>SE3000H_</t>
  </si>
  <si>
    <t>Alpha Outback Energy</t>
  </si>
  <si>
    <t>SPC III 3000-24</t>
  </si>
  <si>
    <t>Surge output</t>
  </si>
  <si>
    <t>Batt</t>
  </si>
  <si>
    <t>V_charge</t>
  </si>
  <si>
    <t>MPPT</t>
  </si>
  <si>
    <t>Alpha_OutBack_SPC_III</t>
  </si>
  <si>
    <t>Output power</t>
  </si>
  <si>
    <t>Output surge power</t>
  </si>
  <si>
    <t xml:space="preserve">          In series</t>
  </si>
  <si>
    <t xml:space="preserve">          In parallel</t>
  </si>
  <si>
    <t>Vmin ok?</t>
  </si>
  <si>
    <t>Vmax ok?</t>
  </si>
  <si>
    <t>Imax ok?</t>
  </si>
  <si>
    <t>V_PV start</t>
  </si>
  <si>
    <t>V_PV min</t>
  </si>
  <si>
    <t>OUTPUT</t>
  </si>
  <si>
    <t>PV</t>
  </si>
  <si>
    <t>Battery</t>
  </si>
  <si>
    <t>Vmin PV</t>
  </si>
  <si>
    <t>Voc PV</t>
  </si>
  <si>
    <t>Vstart Inverter</t>
  </si>
  <si>
    <t>Vmin Inverter</t>
  </si>
  <si>
    <t>Vstart ok?</t>
  </si>
  <si>
    <t>Vmax Inverter</t>
  </si>
  <si>
    <t>Imax PV</t>
  </si>
  <si>
    <t>Imax inverter</t>
  </si>
  <si>
    <t>Amps</t>
  </si>
  <si>
    <t>Power max batt</t>
  </si>
  <si>
    <t>Power max demand</t>
  </si>
  <si>
    <t>System power</t>
  </si>
  <si>
    <t>I_max</t>
  </si>
  <si>
    <t>"Missing information in datasheet:
No clear data on Solar input constraints (V_PV start), 
no surge power"</t>
  </si>
  <si>
    <t>"Missing information in datasheet:
- No current for battery indicated. 
- No minimal voltage for PV input minimum"</t>
  </si>
  <si>
    <t>Surge power batt</t>
  </si>
  <si>
    <t>Surge power demand</t>
  </si>
  <si>
    <t>System surge power</t>
  </si>
  <si>
    <t>Max current batt</t>
  </si>
  <si>
    <t>Max current Inv</t>
  </si>
  <si>
    <t>System current check</t>
  </si>
  <si>
    <t>Comment:</t>
  </si>
  <si>
    <t>Inverter-PV</t>
  </si>
  <si>
    <t>Inverter-batteries</t>
  </si>
  <si>
    <t>Inverter-demand-utility</t>
  </si>
  <si>
    <t>Other</t>
  </si>
  <si>
    <t>Mean irradiation</t>
  </si>
  <si>
    <t>Data from Renewable ninja - https://www.renewables.ninja/</t>
  </si>
  <si>
    <t>Peak power required</t>
  </si>
  <si>
    <t>Round trip efficiency</t>
  </si>
  <si>
    <t>System efficiency (panel to user)</t>
  </si>
  <si>
    <t>Panel efficiency (shadow, tilt,…)</t>
  </si>
  <si>
    <t>Comments:</t>
  </si>
  <si>
    <t>[Panels]</t>
  </si>
  <si>
    <t>[hours]</t>
  </si>
  <si>
    <t>[Watt-hours]</t>
  </si>
  <si>
    <t>[Watt-hours/day]</t>
  </si>
  <si>
    <t>[Watt]</t>
  </si>
  <si>
    <t>[Volt]</t>
  </si>
  <si>
    <t>[Amper]</t>
  </si>
  <si>
    <t>[Amper-hours]</t>
  </si>
  <si>
    <t>Security coefficient</t>
  </si>
  <si>
    <t>Batt. Voltage system</t>
  </si>
  <si>
    <t>Inv. Voltage system</t>
  </si>
  <si>
    <t>Source:  https://www.dolphin-charger.com/media/global/news/bulletins/current-vs-voltage.jpg</t>
  </si>
  <si>
    <t>Charging voltage &amp; current stages:</t>
  </si>
  <si>
    <t>Default Voltage value for different technologies:</t>
  </si>
  <si>
    <t>Source : PV MINI-GRID INSTALLATION
Dos &amp; Don’ts</t>
  </si>
  <si>
    <t>V_float</t>
  </si>
  <si>
    <t>Battery lifetime</t>
  </si>
  <si>
    <t>Cycle batt</t>
  </si>
  <si>
    <t>Cycle expected</t>
  </si>
  <si>
    <t>Number of cycles per year</t>
  </si>
  <si>
    <t>[cycles]</t>
  </si>
  <si>
    <t>Batteries (advanced)</t>
  </si>
  <si>
    <t>Hybrid inverter (advanced)</t>
  </si>
  <si>
    <t>Panels (advanced)</t>
  </si>
  <si>
    <t>Advised to take around 65-75% (source : Victron training)</t>
  </si>
  <si>
    <t>Usually between 80% and 90% (source : Victron training)</t>
  </si>
  <si>
    <t>Battery is sized to support x hours of autonomy</t>
  </si>
  <si>
    <t>Average power to be supplied</t>
  </si>
  <si>
    <t>Maximum capacity of battery used (for lead battery, this dictate the lifetime)</t>
  </si>
  <si>
    <t>Demand surge power</t>
  </si>
  <si>
    <t>Demand nominal power</t>
  </si>
  <si>
    <t>[Amp]</t>
  </si>
  <si>
    <t>Rated output power</t>
  </si>
  <si>
    <t>Optimal output voltage</t>
  </si>
  <si>
    <t>Optimal output current</t>
  </si>
  <si>
    <t>Open circuit voltage</t>
  </si>
  <si>
    <t>Short circuit current</t>
  </si>
  <si>
    <t>Rated battery voltage</t>
  </si>
  <si>
    <t>Type of battery</t>
  </si>
  <si>
    <t>Capacity of battery</t>
  </si>
  <si>
    <t>Power to charge battery in 5 hours</t>
  </si>
  <si>
    <t>Power to discharge battery in 5 hours</t>
  </si>
  <si>
    <t>Maximum Surge power output</t>
  </si>
  <si>
    <t>Number of cycles (see 3rd image)</t>
  </si>
  <si>
    <t>Number of cycles for different Depth of Discharge (DoD)</t>
  </si>
  <si>
    <t>Source : https://www.researchgate.net/publication/333988217/figure/fig3/AS:773483957063680@1561424354034/The-number-of-cycles-of-the-battery-versus-the-depth-of-discharge-DOD-DOD-1-state.png</t>
  </si>
  <si>
    <t>Security to avoid over-tension/current. 1.25 is advised. Source : Do &amp; Don'ts</t>
  </si>
  <si>
    <t>Peak power to be supplied</t>
  </si>
  <si>
    <t>Nominal power that inverter can supply to load</t>
  </si>
  <si>
    <t>Surge power that inverter can supply to load</t>
  </si>
  <si>
    <t>Max acceptable voltage from DC PV</t>
  </si>
  <si>
    <t>Min acceptable voltage from DC PV</t>
  </si>
  <si>
    <t>Min voltage to start the controller</t>
  </si>
  <si>
    <t>Max acceptable current from DC PV</t>
  </si>
  <si>
    <t>Recommanded voltage system for batteries</t>
  </si>
  <si>
    <t>Max acceptable current from DC batteries</t>
  </si>
  <si>
    <t>System design</t>
  </si>
  <si>
    <t>Panel type</t>
  </si>
  <si>
    <t>Components choice (chose from the lists)</t>
  </si>
  <si>
    <t xml:space="preserve">User choice </t>
  </si>
  <si>
    <t>System adequacy:</t>
  </si>
  <si>
    <t>Inverter-panels</t>
  </si>
  <si>
    <t>Recommended design (based on 1. Appliances &amp; components chosen)</t>
  </si>
  <si>
    <t>New panel can be implemented in 'Panels' tab</t>
  </si>
  <si>
    <t>New battery can be implemented in 'Battery' tab</t>
  </si>
  <si>
    <t>New Hybrid inverter can be implemented in 'Hyb. Inverter' tab</t>
  </si>
  <si>
    <t>Hybrid Inverter type</t>
  </si>
  <si>
    <t>Lifetime</t>
  </si>
  <si>
    <t>address carefully the comments. Red is a design error, orange is a data comment.</t>
  </si>
  <si>
    <t>Backup characteristic</t>
  </si>
  <si>
    <t>[years]</t>
  </si>
  <si>
    <t>INPUT:</t>
  </si>
  <si>
    <t>DESIGN OUTPUT (results):</t>
  </si>
  <si>
    <t>Check system adequacy:</t>
  </si>
  <si>
    <t>Schematic representation of the system:</t>
  </si>
  <si>
    <t>I./</t>
  </si>
  <si>
    <t>Backup characteristic:</t>
  </si>
  <si>
    <t>Characterise the backup required (hours of backup and lifetime)</t>
  </si>
  <si>
    <t>Components choice:</t>
  </si>
  <si>
    <t>Pick the inverter, panels &amp; battery you want from existing lists (possibility to add new models to the lists</t>
  </si>
  <si>
    <t>Recommended design:</t>
  </si>
  <si>
    <t>Adjust the design to your need based on an automatic sizing</t>
  </si>
  <si>
    <t>Verify the adequacy between the different components (list of warnings)</t>
  </si>
  <si>
    <r>
      <rPr>
        <b/>
        <sz val="12"/>
        <color rgb="FFFF0000"/>
        <rFont val="Calibri"/>
        <family val="2"/>
        <scheme val="minor"/>
      </rPr>
      <t>1st:</t>
    </r>
    <r>
      <rPr>
        <b/>
        <sz val="12"/>
        <color theme="0"/>
        <rFont val="Calibri"/>
        <family val="2"/>
        <scheme val="minor"/>
      </rPr>
      <t xml:space="preserve"> list in tab '1. Appliances' the ones that require backup and collect the following data:</t>
    </r>
  </si>
  <si>
    <r>
      <rPr>
        <b/>
        <sz val="12"/>
        <color rgb="FFFF0000"/>
        <rFont val="Calibri"/>
        <family val="2"/>
        <scheme val="minor"/>
      </rPr>
      <t>2nd:</t>
    </r>
    <r>
      <rPr>
        <b/>
        <sz val="12"/>
        <color theme="0"/>
        <rFont val="Calibri"/>
        <family val="2"/>
        <scheme val="minor"/>
      </rPr>
      <t xml:space="preserve"> design your system in '2. System'. Advanced options are available for each technology in tabs '2bis …'</t>
    </r>
  </si>
  <si>
    <t>Authorship &amp; Licence</t>
  </si>
  <si>
    <t>This tool was developed by:</t>
  </si>
  <si>
    <t>Database for common appliances</t>
  </si>
  <si>
    <t>Source:</t>
  </si>
  <si>
    <t>This tool is inspired from the work of Victron &amp; System Advisor Model (NREL (USA))</t>
  </si>
  <si>
    <t>Controller &amp; Solar</t>
  </si>
  <si>
    <t>Max P_dc_in</t>
  </si>
  <si>
    <t>Database available in tool System Advisory Model 2021.12.2 https://sam.nrel.gov/</t>
  </si>
  <si>
    <t>Account the probability that all appliances are used at the same time. 
(use 80% if no measurements)</t>
  </si>
  <si>
    <t>Power discharge (1CA)</t>
  </si>
  <si>
    <t>Advised charge current. 10h means a charge in 10h</t>
  </si>
  <si>
    <t>Advised discharge current. 10h means a charge in 10h</t>
  </si>
  <si>
    <t>Capacity [hours]</t>
  </si>
  <si>
    <t>Advised (dis)-charge time</t>
  </si>
  <si>
    <t>Power charge (advised)</t>
  </si>
  <si>
    <t>Default 150 for grid connected system, 365 otherwise</t>
  </si>
  <si>
    <t>Oxygen concentrator</t>
  </si>
  <si>
    <t>Occurrence of shortage</t>
  </si>
  <si>
    <t>[times per week]</t>
  </si>
  <si>
    <t>Available budget</t>
  </si>
  <si>
    <t>Financial info</t>
  </si>
  <si>
    <t>Funding source</t>
  </si>
  <si>
    <t>Description</t>
  </si>
  <si>
    <t>Beneficiairies</t>
  </si>
  <si>
    <t>Beneficiaries info</t>
  </si>
  <si>
    <t>Adress</t>
  </si>
  <si>
    <t>City</t>
  </si>
  <si>
    <t>Country</t>
  </si>
  <si>
    <t>General info</t>
  </si>
  <si>
    <t>CEPHIED</t>
  </si>
  <si>
    <t>GX - IV R2</t>
  </si>
  <si>
    <t>Kanmed AB</t>
  </si>
  <si>
    <t>Babywarmer BW3</t>
  </si>
  <si>
    <t>Medpath</t>
  </si>
  <si>
    <t>OLV-10</t>
  </si>
  <si>
    <t>Phoenix Medical Systems</t>
  </si>
  <si>
    <t>Phototherapy unit Brilliance pro</t>
  </si>
  <si>
    <t>Airsep</t>
  </si>
  <si>
    <t>Newlife</t>
  </si>
  <si>
    <t>Heal Force</t>
  </si>
  <si>
    <t>INFANT INCUBATOR YXK-6G</t>
  </si>
  <si>
    <t>Being</t>
  </si>
  <si>
    <t>BRW-3000B</t>
  </si>
  <si>
    <t>Dison/Lotus</t>
  </si>
  <si>
    <t>BB-100</t>
  </si>
  <si>
    <t>SMAF</t>
  </si>
  <si>
    <t>YX930D</t>
  </si>
  <si>
    <t>Yuwell</t>
  </si>
  <si>
    <t xml:space="preserve">7F-5 </t>
  </si>
  <si>
    <t>Zybio</t>
  </si>
  <si>
    <t>Z3</t>
  </si>
  <si>
    <t>Pima Alere</t>
  </si>
  <si>
    <t>CD4</t>
  </si>
  <si>
    <t>Haier</t>
  </si>
  <si>
    <t>4℃ Blood Bank Refrigerator</t>
  </si>
  <si>
    <t>Blood bank refrigerator</t>
  </si>
  <si>
    <t>XY-190</t>
  </si>
  <si>
    <t xml:space="preserve">EDAN </t>
  </si>
  <si>
    <t>X10</t>
  </si>
  <si>
    <t>Pima EID</t>
  </si>
  <si>
    <t>Sysmex</t>
  </si>
  <si>
    <t>DC 112F</t>
  </si>
  <si>
    <t>Hettich</t>
  </si>
  <si>
    <t>EBA200</t>
  </si>
  <si>
    <t>Olympus</t>
  </si>
  <si>
    <t>CX21FSI</t>
  </si>
  <si>
    <t>AEROplus</t>
  </si>
  <si>
    <t>AE5.00</t>
  </si>
  <si>
    <t>JIANGSU</t>
  </si>
  <si>
    <t>8F-5A</t>
  </si>
  <si>
    <t>Famed lodz</t>
  </si>
  <si>
    <t>Solis 30FA</t>
  </si>
  <si>
    <t>ADH</t>
  </si>
  <si>
    <t>BCD30-898</t>
  </si>
  <si>
    <t>Dufex Ohmeda</t>
  </si>
  <si>
    <t>9100C</t>
  </si>
  <si>
    <t>Longfian</t>
  </si>
  <si>
    <t>Jay-10</t>
  </si>
  <si>
    <t>YDK-L01</t>
  </si>
  <si>
    <t>Power not sure</t>
  </si>
  <si>
    <t>Fazzini</t>
  </si>
  <si>
    <t>F-18.00</t>
  </si>
  <si>
    <t>Ningbo David medical</t>
  </si>
  <si>
    <t>HKN-90</t>
  </si>
  <si>
    <t>Titanox</t>
  </si>
  <si>
    <t>Hemocue</t>
  </si>
  <si>
    <t>HB301</t>
  </si>
  <si>
    <t>CENCE</t>
  </si>
  <si>
    <t>TDZ5-WS</t>
  </si>
  <si>
    <t>Number of battery 
(power based)</t>
  </si>
  <si>
    <t>Number of battery 
(energy based)</t>
  </si>
  <si>
    <t>[Wh]</t>
  </si>
  <si>
    <t>Big lights LED</t>
  </si>
  <si>
    <t>Outside lights LED</t>
  </si>
  <si>
    <t>Baby incubators</t>
  </si>
  <si>
    <t>Phototherapy lamp</t>
  </si>
  <si>
    <t>Fast design:</t>
  </si>
  <si>
    <t>[kWh]</t>
  </si>
  <si>
    <t>[kW]</t>
  </si>
  <si>
    <t>min</t>
  </si>
  <si>
    <t>max</t>
  </si>
  <si>
    <t>Voltage advised</t>
  </si>
  <si>
    <t>Good practices on battery voltage system (from MARGE):</t>
  </si>
  <si>
    <t>PV size [Wp]</t>
  </si>
  <si>
    <t>Voltage system</t>
  </si>
  <si>
    <t>[V]</t>
  </si>
  <si>
    <t>Component</t>
  </si>
  <si>
    <t>Technical specifications to respect:</t>
  </si>
  <si>
    <t>PV panels</t>
  </si>
  <si>
    <t>Lifetime of at least 25 years</t>
  </si>
  <si>
    <t>Conform to CEI 61215 et CEI 61730-1-2</t>
  </si>
  <si>
    <t>Warranty of min 90% of power after 10 years and 80% at 25 years</t>
  </si>
  <si>
    <t>Aluminium frame</t>
  </si>
  <si>
    <t>Provided wired with junction box with at least 3 by-pass diodes, with connectors PV type MC4 and wire at least 4mm²</t>
  </si>
  <si>
    <t>Solar wire</t>
  </si>
  <si>
    <t>Wire of 4 mm² section on the pannels in serie and at least 6mm² for the rest. They should be with connectors of type MC4</t>
  </si>
  <si>
    <t>Conform to UTE C32-502</t>
  </si>
  <si>
    <t>Junction box</t>
  </si>
  <si>
    <t>Lifetime of at least 15 years</t>
  </si>
  <si>
    <t>Put as close as possible to the Pannels</t>
  </si>
  <si>
    <t>Accessible to a technician from outside without need of tools.</t>
  </si>
  <si>
    <t xml:space="preserve">At least IP44 </t>
  </si>
  <si>
    <t>Protection of mechanical chocks conform to the norm IK07 according to NF EN 62262 norm</t>
  </si>
  <si>
    <t>Conception should be in line with UTE 15-712-1 (July 2013).</t>
  </si>
  <si>
    <t>Disconnecting switches: disconnecting the entire PV array</t>
  </si>
  <si>
    <t>Implementation of surge protectors downstream of the disconnecting switches; It should be of type 2 (or type B) conform to the norm NF EN 50539-11</t>
  </si>
  <si>
    <t>Spare lightning arrestor cartridges (01 unit per box).</t>
  </si>
  <si>
    <t>Grouding of panels and its structure</t>
  </si>
  <si>
    <t>- Lifetime 25 years</t>
  </si>
  <si>
    <t>- Connected to the earth distributor and up to the earth rod ;</t>
  </si>
  <si>
    <t>- HO5 V/K copper cable (flexible) single-pole / minimum cross-section 16mm2 for all equipotential connections and earthing;</t>
  </si>
  <si>
    <t>- Compliant with the NFC 32-201 standard.</t>
  </si>
  <si>
    <t>Surge protector (ligthning) earthing</t>
  </si>
  <si>
    <t>- Connected to the main equipotential cable</t>
  </si>
  <si>
    <t>- HO5 V/K copper cable (flexible) single-pole / minimum section 16mm2 ;</t>
  </si>
  <si>
    <t>- Compliant with the NFC 32-201 standard;</t>
  </si>
  <si>
    <t>- Compliance with the installation distances as specified in the UTE C15-712-1 guide</t>
  </si>
  <si>
    <t xml:space="preserve">Ground stakes </t>
  </si>
  <si>
    <t>- Life span 25 years</t>
  </si>
  <si>
    <t>- Minimum size: 01 metre ;</t>
  </si>
  <si>
    <t>- Copper plated steel with its connecting lug (for bare copper cable from 16 to 70mm²);</t>
  </si>
  <si>
    <t>- 16mm diameter, 254 micron copper plating;</t>
  </si>
  <si>
    <t>- Supplied with a copper earthing strip, to isolate the earth network when measuring earth.</t>
  </si>
  <si>
    <t>Inverter (hybrid or not)</t>
  </si>
  <si>
    <t>- Lifetime 10 years</t>
  </si>
  <si>
    <t>- Available power from -25°C to 60°C ;</t>
  </si>
  <si>
    <t>- Rated power (KVA) greater than or equal to 95% of the peak power (kWp) connected to the inverter;</t>
  </si>
  <si>
    <t>- MPPT tracker controllers in-built;</t>
  </si>
  <si>
    <t>- Maximum efficiency &gt; 90 % ;</t>
  </si>
  <si>
    <t>- Efficiency at 10% PNOM &gt; 85%;</t>
  </si>
  <si>
    <t>- Internal short circuit protection on AC output;</t>
  </si>
  <si>
    <t>- In-built surge protection</t>
  </si>
  <si>
    <t>- Reverse polarity protection;</t>
  </si>
  <si>
    <t>- Overload protection;</t>
  </si>
  <si>
    <t>- Display and function button accessible for operation of various inverter functions;</t>
  </si>
  <si>
    <t>- Minimum protection class I ;</t>
  </si>
  <si>
    <t>- Low self-consumption</t>
  </si>
  <si>
    <t>- SCADA status and error visualisation tools Available via SD card and remote tool</t>
  </si>
  <si>
    <t>- Minimum 5 year manufacturer's warranty</t>
  </si>
  <si>
    <t>- Charging algorithm adapted to the battery technology, compatible with lithium batteries;</t>
  </si>
  <si>
    <t>- Output voltage 230V pure sine (TDH &lt; 3%), 50Hz ;</t>
  </si>
  <si>
    <t>- Voltage thresholds for different charging modes (absorption, equalisation, boost), alarms and low battery protection, with adjustable voltage threshold, period and duration</t>
  </si>
  <si>
    <t>Low Voltage Switchboard</t>
  </si>
  <si>
    <t>- Lifetime 25 years except for the active components and protection components;</t>
  </si>
  <si>
    <t>- the AC input (from utility or generator) should be protected by a surge protector.</t>
  </si>
  <si>
    <t>- The AC board will group together all the AC outputs of the inverters and the power supply outlets of the buildings through the AC busbar;</t>
  </si>
  <si>
    <t>- PVC enclosure or IP54 metal cabinet;</t>
  </si>
  <si>
    <t>- Wall mounting ;</t>
  </si>
  <si>
    <t>- Cable gland for flexible cable at the bottom of the enclosure;</t>
  </si>
  <si>
    <t>- Rated current of the circuit breakers &gt; or = 1.4 times the maximum transit current in the associated rated regime;</t>
  </si>
  <si>
    <t>- Protection of the cables by thermal-magnetic circuit breakers curve C or fuses;</t>
  </si>
  <si>
    <t>- AC lightning protection type II (or type B);</t>
  </si>
  <si>
    <t>- Spare lightning arrester cartridges (01 unit per cabinet).</t>
  </si>
  <si>
    <t>Batteries specifications</t>
  </si>
  <si>
    <t>Lifetime of 1500 cycles at 50% depth of Discharge and ambiant tempearture.</t>
  </si>
  <si>
    <t>Capacity, brand and manufactured year should be clearly visible on each battery</t>
  </si>
  <si>
    <t>Procured with datasheet and user manual.</t>
  </si>
  <si>
    <t>Connection of batteries</t>
  </si>
  <si>
    <t>Lifetime of 25 years</t>
  </si>
  <si>
    <t>DC connector with box</t>
  </si>
  <si>
    <t xml:space="preserve">Item               </t>
  </si>
  <si>
    <t>Unit</t>
  </si>
  <si>
    <t>Qty</t>
  </si>
  <si>
    <t>Rate (EUR)</t>
  </si>
  <si>
    <t>Amount  (EUR)</t>
  </si>
  <si>
    <t>A</t>
  </si>
  <si>
    <t>A.1</t>
  </si>
  <si>
    <t>pcs</t>
  </si>
  <si>
    <t>A.2</t>
  </si>
  <si>
    <t>PV Solar cable 4mm² with the MC4-male and femal connectors propely crimped.  Cable used to connect PV pannels in serie</t>
  </si>
  <si>
    <t>m</t>
  </si>
  <si>
    <t>PV Solar cable 6mm² with the MC4-male and femal connectors propely crimped.  Cable used to connect PV pannels in parallel up to the junction box</t>
  </si>
  <si>
    <t>A.3</t>
  </si>
  <si>
    <t>Lightning protection HO5 V/K copper cable (flexible) single-pole / minimum section 16mm² ; should be compliant with NFC 32-201 standard and installed according to UTE C15-712-1 guide</t>
  </si>
  <si>
    <t>A.4</t>
  </si>
  <si>
    <t>Junction Box installed near the panels. It collect the parallel circuits and send the power to the controller. (see tech specs)</t>
  </si>
  <si>
    <t>A.6</t>
  </si>
  <si>
    <t>Cable 3G6mm²   from the junction box and inverter</t>
  </si>
  <si>
    <t>A.7</t>
  </si>
  <si>
    <t xml:space="preserve">Supply and install Lightning Surge Protection Device (type II or type B) on the 2 phases between Solar panels and controller and between Umeme connection and Power adaptor. Provide 1 spare lightning arrester cartridges </t>
  </si>
  <si>
    <t>A.9</t>
  </si>
  <si>
    <t>A.10</t>
  </si>
  <si>
    <t>DC breaker for battery system or equivalent fuse. Lifetime of at least 25 years. If fuse is procured, provide 1 spare catridge).</t>
  </si>
  <si>
    <t>A.11</t>
  </si>
  <si>
    <t>Lockable steel battery cabinet of dimensions 1500 x 600 x 500 mm to store 8 batteries, covered with 1.2 mm mild steel plates on all side with air vents and lockable door at the front.</t>
  </si>
  <si>
    <t>A.12</t>
  </si>
  <si>
    <t xml:space="preserve">Battery cable of 16mm² or above connected between the inverter and the battery bank. </t>
  </si>
  <si>
    <t>A.13</t>
  </si>
  <si>
    <t>Low Voltage Switchboard containing AC input for inverter and AC output from inverter to load. (see tech specs)</t>
  </si>
  <si>
    <t>A.14</t>
  </si>
  <si>
    <t>Installation costs</t>
  </si>
  <si>
    <t>Sub_Total</t>
  </si>
  <si>
    <t xml:space="preserve">B </t>
  </si>
  <si>
    <t>B.1</t>
  </si>
  <si>
    <t xml:space="preserve">Operational manual; Comprehensive Operation and Maintenance manual for the installed system, written in English and graphically illustrated for unambiguous interpretation and understanding by Operation and Maintenance staff. Special attention shall be drawn to fault finding and remedial action. The manual shall include a system wiring diagram, a list of spare parts and the names of the accredited suppliers/agents of these spare parts. The manual shall also include the manufacturer's name, model number, service manuals, parts list and brief descriptions of all equipment and their basic operating features i.e. routine maintenance procedures, possible breakdowns and repairs, recommended spare parts, troubleshooting guide, equipment layout and simplified wiring and control diagrams of the system as installed. </t>
  </si>
  <si>
    <t>B.2</t>
  </si>
  <si>
    <t xml:space="preserve">Component signage; each component of the installed systems should be clearly labelled onto sticker paper or equal/better approved material and securely mounted directly adjacent to the component. The lettering shall be high contrast and no less than 50mm and no more than 75mm in size. Sites where only specific components are being replaced will be treated similarly to sites where full installations will be done; i.e. labels will also be installed against all existing components of systems where the contractor only replaces certain parts. </t>
  </si>
  <si>
    <t>Ls</t>
  </si>
  <si>
    <t>B.3</t>
  </si>
  <si>
    <t>System chart (electrical layout); an A1 size chart showing the entire system with its parts and wiring, labelled in English, securely mounted at a location readily accessible and easily understood by Operation and Maintenance staff. The lettering and drawings will be high contrast for good visibility.</t>
  </si>
  <si>
    <t>B.4</t>
  </si>
  <si>
    <t>Error/warning chart; an A1 size chart illustrating common warning signs and error messages, and their meanings, labelled in English, securely mounted at a location readily accessible and easily understood by Operation and Maintenance staff. The lettering and drawings will be high contrast for good visibility.</t>
  </si>
  <si>
    <t>D</t>
  </si>
  <si>
    <t xml:space="preserve">Lightning 
All materials to be supplied and installed to obtain at most 10ohms earth resistance in both improved cases and new cases.All termination points to be properly done.
</t>
  </si>
  <si>
    <t>D.1</t>
  </si>
  <si>
    <t xml:space="preserve">16mm(D)*1000mm(L) air terminal </t>
  </si>
  <si>
    <t>D.2</t>
  </si>
  <si>
    <t>HO5 V/K copper cable (flexible) single-pole / minimum cross-section 16mm2 for all equipotential connections and earthing; Compliant with the NFC 21-201 standard</t>
  </si>
  <si>
    <t>D.3</t>
  </si>
  <si>
    <t>3mm*25mm copper tape hard drawn complete with sadles.</t>
  </si>
  <si>
    <t>D.4</t>
  </si>
  <si>
    <t>20mm(D)*1200mm(L) earth conductor of hard drawn copper complete with connection clamp and driving tip</t>
  </si>
  <si>
    <t>D.5</t>
  </si>
  <si>
    <t>Inspection Manhall of diameter 300mmx300mm</t>
  </si>
  <si>
    <t>D.6</t>
  </si>
  <si>
    <t>Earthing: excavate pit 1500 x 1200 x 1500 mm (L x W x D) and place course salt mixed with charcoal dust and soil in pit and compact and drive electrodes into this pit, connect and place precast manhole 300 x 300 x 300 mm complete with cover marked with earth symbol and connect up ready and measure the resistance.</t>
  </si>
  <si>
    <t>D.7</t>
  </si>
  <si>
    <t>Rod to tape connector</t>
  </si>
  <si>
    <t>D.8</t>
  </si>
  <si>
    <t>E</t>
  </si>
  <si>
    <t>Adaptation of electrical system of the building for solar system. This includes the adaptation of existing board, installation of new wires and sockets.</t>
  </si>
  <si>
    <t>E.1</t>
  </si>
  <si>
    <t>Adaptation of switches and ligths. New wiring should be 3G1.5mm² or more.</t>
  </si>
  <si>
    <t>E.2</t>
  </si>
  <si>
    <t>New sockets and wiring 3G2.5mm² XVB (or equivalent) up to the solar board.</t>
  </si>
  <si>
    <t>E.3</t>
  </si>
  <si>
    <t>Electrical layout plan of the building &amp; single phase diagram</t>
  </si>
  <si>
    <t>Grand Total(Vat Exclusive)</t>
  </si>
  <si>
    <t>A.8.4</t>
  </si>
  <si>
    <t>[kW_out]</t>
  </si>
  <si>
    <t>Max panels in serie V based (depends on controller)</t>
  </si>
  <si>
    <t>Pdc PV</t>
  </si>
  <si>
    <t>Pdc_in Inv</t>
  </si>
  <si>
    <t>Pmax ok?</t>
  </si>
  <si>
    <t>INPUT</t>
  </si>
  <si>
    <t>Input Power</t>
  </si>
  <si>
    <t>Maximal power that inverter can accepte by PV</t>
  </si>
  <si>
    <t>Number of inverter PV condition</t>
  </si>
  <si>
    <t>Number of inverter final choice</t>
  </si>
  <si>
    <t xml:space="preserve">Recommended number of pannel </t>
  </si>
  <si>
    <t>Recommended number of pannel per inverter</t>
  </si>
  <si>
    <t>recommended number</t>
  </si>
  <si>
    <t>recommended Voltage</t>
  </si>
  <si>
    <t>Total panels for system</t>
  </si>
  <si>
    <t xml:space="preserve">          Max in series:</t>
  </si>
  <si>
    <t xml:space="preserve">          Design per inverter, user choice:</t>
  </si>
  <si>
    <t>DC coupling</t>
  </si>
  <si>
    <t>DOD max</t>
  </si>
  <si>
    <t>Charging Rate max</t>
  </si>
  <si>
    <t>Charging Rate recommanded</t>
  </si>
  <si>
    <t>number of cycles, at the recommended DOD (25°C)</t>
  </si>
  <si>
    <t>Lead Acid Gel/VRLA</t>
  </si>
  <si>
    <t>Lead Acid OPZV/S</t>
  </si>
  <si>
    <t>Lithium ion</t>
  </si>
  <si>
    <t>Sodium</t>
  </si>
  <si>
    <t>[%/h]</t>
  </si>
  <si>
    <t xml:space="preserve">Number of cycles </t>
  </si>
  <si>
    <t>Min panels in serie V based</t>
  </si>
  <si>
    <t>Gauthier Limpens</t>
  </si>
  <si>
    <t>This model has been designed for Uganda case stydt and for small hybrid (solar-utility) system (&lt;25kW), where the utility is not realiable (autnomy represents shortage).</t>
  </si>
  <si>
    <t>License:</t>
  </si>
  <si>
    <t>The tool is under the Apache 2.0 License (available here : https://www.apache.org/licenses/LICENSE-2.0 )</t>
  </si>
  <si>
    <t>It was developed in a open-science spirit. The tool cannot be sold.</t>
  </si>
  <si>
    <r>
      <rPr>
        <b/>
        <sz val="12"/>
        <color rgb="FFFF0000"/>
        <rFont val="Calibri"/>
        <family val="2"/>
        <scheme val="minor"/>
      </rPr>
      <t xml:space="preserve">3rd: </t>
    </r>
    <r>
      <rPr>
        <b/>
        <sz val="12"/>
        <color theme="0"/>
        <rFont val="Calibri"/>
        <family val="2"/>
        <scheme val="minor"/>
      </rPr>
      <t>BoQ is generated automatically with the products selected. The BoQ accounts for ligthning arrestor and electricity adaptation. User is free to adapt the BoQ based on the exact needs. Some information must be indicated manually (see the following)</t>
    </r>
  </si>
  <si>
    <t>Inverters</t>
  </si>
  <si>
    <t>Electricity adaptation</t>
  </si>
  <si>
    <t>You can breakdown the inverter you want based on the power range and market availability</t>
  </si>
  <si>
    <t>Indicate the electrical adaptation required for the buildings (sockets, switches &amp; lights).</t>
  </si>
  <si>
    <t>Sector</t>
  </si>
  <si>
    <t>All</t>
  </si>
  <si>
    <t>ICT</t>
  </si>
  <si>
    <t>Medical</t>
  </si>
  <si>
    <t>Automatic name:</t>
  </si>
  <si>
    <t>Input DC</t>
  </si>
  <si>
    <t>Battery in parallel</t>
  </si>
  <si>
    <t>Max batt in parallel</t>
  </si>
  <si>
    <t>Batt in parallel</t>
  </si>
  <si>
    <t>Max panels in parallel I based (depends on controller)</t>
  </si>
  <si>
    <t>User choice:</t>
  </si>
  <si>
    <t>GEL 24 OPzV 3000 turbular plate 2V cells battery</t>
  </si>
  <si>
    <t>Victron</t>
  </si>
  <si>
    <t>Charge current (max)</t>
  </si>
  <si>
    <t>Charge current (advised)</t>
  </si>
  <si>
    <t>Higher than 48V is not recommended</t>
  </si>
  <si>
    <t>https://www.europe-solarstore.com/victron-gel-24-opzv-3000-turbular-plate-2v-cells-battery.html</t>
  </si>
  <si>
    <t>Constrained by min voltage to start the controller</t>
  </si>
  <si>
    <t>Constrained by the max voltage that controller can allow</t>
  </si>
  <si>
    <t>Constrained by the max current that controller can allow</t>
  </si>
  <si>
    <t>Number of years of use</t>
  </si>
  <si>
    <t>Years</t>
  </si>
  <si>
    <t>Number of inverter Output power</t>
  </si>
  <si>
    <t>Number of inverter required to supply teh AC demand</t>
  </si>
  <si>
    <t>Number of inverter required to support the PV power input</t>
  </si>
  <si>
    <t>Max of the two previous constraints</t>
  </si>
  <si>
    <t>Number of batteries required to deliver a power high enough for the demand</t>
  </si>
  <si>
    <t>Number of batteries to have enough energy to supply hours of autonomy</t>
  </si>
  <si>
    <t>Voltage advised based on the system power</t>
  </si>
  <si>
    <t>Number of years where the system can be used at 25°C. This number can be halved if temperature is higher.</t>
  </si>
  <si>
    <t>Busbar for connections of batteries in parallel, adapted for the battery system.</t>
  </si>
  <si>
    <t>Load</t>
  </si>
  <si>
    <t>Autonomy</t>
  </si>
  <si>
    <t>Expected lifetime (at 25°C &amp; respected DoD):</t>
  </si>
  <si>
    <t>Load max</t>
  </si>
  <si>
    <t>Load nominal</t>
  </si>
  <si>
    <t>Load averaged</t>
  </si>
  <si>
    <t>Expected autonomy</t>
  </si>
  <si>
    <t>years</t>
  </si>
  <si>
    <t>At 25°C, if temperature is higher, the performance might be drastically reduced.</t>
  </si>
  <si>
    <t>With a nominal load</t>
  </si>
  <si>
    <t>Standard value by battery technology (from MARGE):</t>
  </si>
  <si>
    <t>Performances of the design:</t>
  </si>
  <si>
    <t>[W]</t>
  </si>
  <si>
    <t xml:space="preserve">PV </t>
  </si>
  <si>
    <t>Department:                                                                                                                                                             '8/8</t>
  </si>
  <si>
    <r>
      <rPr>
        <u/>
        <sz val="11"/>
        <color theme="1"/>
        <rFont val="Calibri"/>
        <family val="2"/>
        <scheme val="minor"/>
      </rPr>
      <t xml:space="preserve">Surge total power : </t>
    </r>
    <r>
      <rPr>
        <sz val="11"/>
        <color theme="1"/>
        <rFont val="Calibri"/>
        <family val="2"/>
        <scheme val="minor"/>
      </rPr>
      <t xml:space="preserve">
Some appliances can generate a peak of power at their start (i.e. high inductance), this peak is called the 'surge power' and sometimes indicated on the appliance. It is critical to ensure that the inverter can supply this peak of power, generally higher than the average output power of the inverter. </t>
    </r>
  </si>
  <si>
    <t>If new componetnt must be added to the list, we advise to have the review of an expert.</t>
  </si>
  <si>
    <t>Figure: overall representation of the system design. The tool needs to 1. have a detailed list of appliances, then 2. it will design a system based on the products user has chosen. And finally, 3. a Bills of Quantities will be estimated. (Source: Victron)</t>
  </si>
  <si>
    <t>Rita</t>
  </si>
  <si>
    <t>DG12-200</t>
  </si>
  <si>
    <t>https://www.ritarpower.com/uploads/ueditor/spec/DG12-200.pdf</t>
  </si>
  <si>
    <t>Raggie</t>
  </si>
  <si>
    <t>RG-MH5500W Plus</t>
  </si>
  <si>
    <r>
      <t xml:space="preserve">Solar system
All cables to be Ultra-violet resistant.
Solar panels will be mounted on a </t>
    </r>
    <r>
      <rPr>
        <b/>
        <sz val="10"/>
        <color rgb="FFFF0000"/>
        <rFont val="Arial"/>
        <family val="2"/>
      </rPr>
      <t>roof/stand-alone</t>
    </r>
    <r>
      <rPr>
        <b/>
        <sz val="10"/>
        <color theme="1"/>
        <rFont val="Arial"/>
        <family val="2"/>
      </rPr>
      <t xml:space="preserve"> steel structure to be provided by Supplier</t>
    </r>
  </si>
  <si>
    <t>Choose if the system must be installed on a roof or stand alone. We advise roof when it is for a buildingµ</t>
  </si>
  <si>
    <t>Database Batteries</t>
  </si>
  <si>
    <t>Database hybrid inverters</t>
  </si>
  <si>
    <t>Objective:  Pre-design system and verify component adequacies</t>
  </si>
  <si>
    <t>1. Fast pre-design of the system</t>
  </si>
  <si>
    <t>2. Budget estimation of the system</t>
  </si>
  <si>
    <t>4. Verify adequacy between the different components</t>
  </si>
  <si>
    <t>3. List of detailed components</t>
  </si>
  <si>
    <t>Raggie RG-MH5500W Plus</t>
  </si>
  <si>
    <t>Rita DG12-200</t>
  </si>
  <si>
    <t>risen  RSM150-8-485M</t>
  </si>
  <si>
    <t xml:space="preserve">Visual information &amp; knowledge management
The following items will be supplied and/installed for the purpose of Maintenance and Operations of the installed systems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</si>
</sst>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0.0"/>
    <numFmt numFmtId="165" formatCode="_(* #,##0.00_);_(* \(#,##0.00\);_(* \-??_);_(@_)"/>
    <numFmt numFmtId="166" formatCode="_(* #,##0_);_(* \(#,##0\);_(* &quot;-&quot;??_);_(@_)"/>
    <numFmt numFmtId="167" formatCode="_-* #,##0.0_-;\-* #,##0.0_-;_-* &quot;-&quot;??_-;_-@_-"/>
    <numFmt numFmtId="168" formatCode="_(* #,##0_);_(* \(#,##0\);_(* \-??_);_(@_)"/>
    <numFmt numFmtId="169" formatCode="_-* #,##0_-;\-* #,##0_-;_-* &quot;-&quot;??_-;_-@_-"/>
    <numFmt numFmtId="170" formatCode="_(* #,##0.0_);_(* \(#,##0.0\);_(* \-??_);_(@_)"/>
  </numFmts>
  <fonts count="37"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u/>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20"/>
      <color theme="0"/>
      <name val="Calibri"/>
      <family val="2"/>
      <scheme val="minor"/>
    </font>
    <font>
      <b/>
      <sz val="12"/>
      <color theme="0"/>
      <name val="Calibri"/>
      <family val="2"/>
      <scheme val="minor"/>
    </font>
    <font>
      <b/>
      <sz val="11"/>
      <color rgb="FF3F3F76"/>
      <name val="Calibri"/>
      <family val="2"/>
      <scheme val="minor"/>
    </font>
    <font>
      <sz val="11"/>
      <color rgb="FF9C0006"/>
      <name val="Calibri"/>
      <family val="2"/>
      <scheme val="minor"/>
    </font>
    <font>
      <b/>
      <sz val="11"/>
      <color theme="0"/>
      <name val="Calibri"/>
      <family val="2"/>
      <scheme val="minor"/>
    </font>
    <font>
      <sz val="9"/>
      <color indexed="81"/>
      <name val="Tahoma"/>
      <family val="2"/>
    </font>
    <font>
      <b/>
      <sz val="9"/>
      <color indexed="81"/>
      <name val="Tahoma"/>
      <family val="2"/>
    </font>
    <font>
      <sz val="9"/>
      <color theme="0" tint="-0.499984740745262"/>
      <name val="Calibri"/>
      <family val="2"/>
      <scheme val="minor"/>
    </font>
    <font>
      <sz val="12"/>
      <color theme="0"/>
      <name val="Calibri"/>
      <family val="2"/>
      <scheme val="minor"/>
    </font>
    <font>
      <b/>
      <sz val="16"/>
      <color theme="0"/>
      <name val="Calibri"/>
      <family val="2"/>
      <scheme val="minor"/>
    </font>
    <font>
      <b/>
      <sz val="11"/>
      <color rgb="FFFFFFFF"/>
      <name val="Calibri"/>
      <family val="2"/>
      <scheme val="minor"/>
    </font>
    <font>
      <b/>
      <sz val="12"/>
      <color rgb="FFFF0000"/>
      <name val="Calibri"/>
      <family val="2"/>
      <scheme val="minor"/>
    </font>
    <font>
      <sz val="10"/>
      <name val="Arial"/>
      <family val="2"/>
    </font>
    <font>
      <b/>
      <sz val="10"/>
      <name val="Arial"/>
      <family val="2"/>
    </font>
    <font>
      <b/>
      <sz val="14"/>
      <color theme="1"/>
      <name val="Calibri"/>
      <family val="2"/>
      <scheme val="minor"/>
    </font>
    <font>
      <b/>
      <sz val="11"/>
      <color theme="1"/>
      <name val="Arial"/>
      <family val="2"/>
    </font>
    <font>
      <b/>
      <sz val="11"/>
      <name val="Arial"/>
      <family val="2"/>
    </font>
    <font>
      <b/>
      <sz val="10"/>
      <color theme="1"/>
      <name val="Arial"/>
      <family val="2"/>
    </font>
    <font>
      <sz val="10"/>
      <color theme="1"/>
      <name val="Arial"/>
      <family val="2"/>
    </font>
    <font>
      <sz val="11"/>
      <name val="Arial"/>
      <family val="2"/>
    </font>
    <font>
      <b/>
      <sz val="12"/>
      <name val="Arial"/>
      <family val="2"/>
    </font>
    <font>
      <b/>
      <sz val="12"/>
      <color theme="1"/>
      <name val="Arial"/>
      <family val="2"/>
    </font>
    <font>
      <b/>
      <sz val="12"/>
      <color theme="1"/>
      <name val="Calibri"/>
      <family val="2"/>
      <scheme val="minor"/>
    </font>
    <font>
      <sz val="11"/>
      <color theme="1"/>
      <name val="Arial"/>
      <family val="2"/>
    </font>
    <font>
      <sz val="11"/>
      <color theme="0"/>
      <name val="Calibri"/>
      <family val="2"/>
      <scheme val="minor"/>
    </font>
    <font>
      <b/>
      <u/>
      <sz val="11"/>
      <color theme="1"/>
      <name val="Calibri"/>
      <family val="2"/>
      <scheme val="minor"/>
    </font>
    <font>
      <u/>
      <sz val="11"/>
      <color theme="10"/>
      <name val="Calibri"/>
      <family val="2"/>
      <scheme val="minor"/>
    </font>
    <font>
      <b/>
      <sz val="10"/>
      <color rgb="FFFF0000"/>
      <name val="Arial"/>
      <family val="2"/>
    </font>
    <font>
      <sz val="11"/>
      <color theme="0" tint="-0.34998626667073579"/>
      <name val="Calibri"/>
      <family val="2"/>
      <scheme val="minor"/>
    </font>
  </fonts>
  <fills count="21">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CC99"/>
      </patternFill>
    </fill>
    <fill>
      <patternFill patternType="solid">
        <fgColor rgb="FFF2F2F2"/>
      </patternFill>
    </fill>
    <fill>
      <patternFill patternType="solid">
        <fgColor theme="1"/>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7CE"/>
      </patternFill>
    </fill>
    <fill>
      <patternFill patternType="solid">
        <fgColor theme="4" tint="0.79998168889431442"/>
        <bgColor theme="4" tint="0.79998168889431442"/>
      </patternFill>
    </fill>
    <fill>
      <patternFill patternType="solid">
        <fgColor theme="4"/>
        <bgColor theme="4"/>
      </patternFill>
    </fill>
    <fill>
      <patternFill patternType="solid">
        <fgColor theme="1"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rgb="FF7030A0"/>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9"/>
      </left>
      <right style="thin">
        <color theme="9"/>
      </right>
      <top style="thin">
        <color theme="9"/>
      </top>
      <bottom style="thin">
        <color theme="9"/>
      </bottom>
      <diagonal/>
    </border>
    <border>
      <left style="thin">
        <color theme="5" tint="0.39997558519241921"/>
      </left>
      <right style="thin">
        <color theme="5" tint="0.39997558519241921"/>
      </right>
      <top style="thin">
        <color theme="5" tint="0.39997558519241921"/>
      </top>
      <bottom style="thin">
        <color theme="5"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
      <left style="thin">
        <color theme="5" tint="0.39997558519241921"/>
      </left>
      <right style="thin">
        <color theme="5" tint="0.39997558519241921"/>
      </right>
      <top style="thin">
        <color theme="5" tint="0.39997558519241921"/>
      </top>
      <bottom/>
      <diagonal/>
    </border>
    <border>
      <left style="thin">
        <color theme="5" tint="0.39997558519241921"/>
      </left>
      <right style="thin">
        <color theme="5" tint="0.39997558519241921"/>
      </right>
      <top/>
      <bottom/>
      <diagonal/>
    </border>
    <border>
      <left style="thin">
        <color theme="5" tint="0.39997558519241921"/>
      </left>
      <right style="thin">
        <color theme="5" tint="0.39997558519241921"/>
      </right>
      <top/>
      <bottom style="thin">
        <color theme="5"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theme="4" tint="0.39997558519241921"/>
      </right>
      <top style="thin">
        <color theme="4" tint="0.39997558519241921"/>
      </top>
      <bottom style="thin">
        <color theme="4" tint="0.39997558519241921"/>
      </bottom>
      <diagonal/>
    </border>
    <border>
      <left/>
      <right style="medium">
        <color indexed="64"/>
      </right>
      <top style="thin">
        <color theme="4" tint="0.39997558519241921"/>
      </top>
      <bottom style="thin">
        <color theme="4" tint="0.39997558519241921"/>
      </bottom>
      <diagonal/>
    </border>
    <border>
      <left style="medium">
        <color indexed="64"/>
      </left>
      <right/>
      <top style="thin">
        <color theme="4" tint="0.39997558519241921"/>
      </top>
      <bottom style="thin">
        <color theme="4" tint="0.39997558519241921"/>
      </bottom>
      <diagonal/>
    </border>
    <border>
      <left style="medium">
        <color indexed="64"/>
      </left>
      <right/>
      <top style="thin">
        <color theme="4" tint="0.39997558519241921"/>
      </top>
      <bottom style="medium">
        <color indexed="64"/>
      </bottom>
      <diagonal/>
    </border>
    <border>
      <left/>
      <right style="medium">
        <color indexed="64"/>
      </right>
      <top style="thin">
        <color theme="4" tint="0.39997558519241921"/>
      </top>
      <bottom style="medium">
        <color indexed="64"/>
      </bottom>
      <diagonal/>
    </border>
    <border>
      <left/>
      <right/>
      <top style="medium">
        <color indexed="64"/>
      </top>
      <bottom style="thin">
        <color indexed="64"/>
      </bottom>
      <diagonal/>
    </border>
    <border>
      <left/>
      <right/>
      <top style="thin">
        <color theme="4" tint="0.39997558519241921"/>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rgb="FF7F7F7F"/>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7F7F7F"/>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rgb="FF7F7F7F"/>
      </top>
      <bottom style="thin">
        <color rgb="FF7F7F7F"/>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auto="1"/>
      </bottom>
      <diagonal/>
    </border>
    <border>
      <left/>
      <right/>
      <top style="medium">
        <color indexed="64"/>
      </top>
      <bottom style="medium">
        <color auto="1"/>
      </bottom>
      <diagonal/>
    </border>
    <border>
      <left/>
      <right style="medium">
        <color indexed="64"/>
      </right>
      <top style="medium">
        <color indexed="64"/>
      </top>
      <bottom style="medium">
        <color auto="1"/>
      </bottom>
      <diagonal/>
    </border>
    <border>
      <left style="medium">
        <color auto="1"/>
      </left>
      <right style="medium">
        <color auto="1"/>
      </right>
      <top style="medium">
        <color auto="1"/>
      </top>
      <bottom style="medium">
        <color auto="1"/>
      </bottom>
      <diagonal/>
    </border>
    <border>
      <left style="medium">
        <color auto="1"/>
      </left>
      <right/>
      <top style="hair">
        <color auto="1"/>
      </top>
      <bottom style="hair">
        <color auto="1"/>
      </bottom>
      <diagonal/>
    </border>
    <border>
      <left style="medium">
        <color auto="1"/>
      </left>
      <right style="medium">
        <color auto="1"/>
      </right>
      <top style="hair">
        <color auto="1"/>
      </top>
      <bottom style="hair">
        <color auto="1"/>
      </bottom>
      <diagonal/>
    </border>
    <border>
      <left/>
      <right style="medium">
        <color indexed="64"/>
      </right>
      <top/>
      <bottom style="hair">
        <color auto="1"/>
      </bottom>
      <diagonal/>
    </border>
    <border>
      <left style="medium">
        <color auto="1"/>
      </left>
      <right style="medium">
        <color auto="1"/>
      </right>
      <top/>
      <bottom style="hair">
        <color auto="1"/>
      </bottom>
      <diagonal/>
    </border>
    <border>
      <left style="medium">
        <color auto="1"/>
      </left>
      <right/>
      <top/>
      <bottom style="hair">
        <color auto="1"/>
      </bottom>
      <diagonal/>
    </border>
    <border>
      <left/>
      <right/>
      <top/>
      <bottom style="hair">
        <color auto="1"/>
      </bottom>
      <diagonal/>
    </border>
    <border>
      <left style="medium">
        <color auto="1"/>
      </left>
      <right style="medium">
        <color auto="1"/>
      </right>
      <top/>
      <bottom/>
      <diagonal/>
    </border>
    <border>
      <left/>
      <right/>
      <top style="hair">
        <color auto="1"/>
      </top>
      <bottom style="medium">
        <color indexed="64"/>
      </bottom>
      <diagonal/>
    </border>
    <border>
      <left style="medium">
        <color indexed="64"/>
      </left>
      <right style="medium">
        <color indexed="64"/>
      </right>
      <top style="hair">
        <color auto="1"/>
      </top>
      <bottom style="medium">
        <color indexed="64"/>
      </bottom>
      <diagonal/>
    </border>
    <border>
      <left style="medium">
        <color auto="1"/>
      </left>
      <right style="medium">
        <color auto="1"/>
      </right>
      <top/>
      <bottom style="medium">
        <color auto="1"/>
      </bottom>
      <diagonal/>
    </border>
    <border>
      <left style="medium">
        <color theme="1"/>
      </left>
      <right style="medium">
        <color theme="1"/>
      </right>
      <top/>
      <bottom style="medium">
        <color indexed="64"/>
      </bottom>
      <diagonal/>
    </border>
    <border>
      <left style="medium">
        <color theme="1"/>
      </left>
      <right/>
      <top style="medium">
        <color auto="1"/>
      </top>
      <bottom style="medium">
        <color auto="1"/>
      </bottom>
      <diagonal/>
    </border>
    <border>
      <left style="medium">
        <color indexed="64"/>
      </left>
      <right style="thin">
        <color indexed="64"/>
      </right>
      <top/>
      <bottom/>
      <diagonal/>
    </border>
    <border>
      <left style="thin">
        <color indexed="64"/>
      </left>
      <right style="thin">
        <color indexed="64"/>
      </right>
      <top/>
      <bottom/>
      <diagonal/>
    </border>
    <border>
      <left/>
      <right/>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8" tint="-0.249977111117893"/>
      </left>
      <right/>
      <top/>
      <bottom/>
      <diagonal/>
    </border>
  </borders>
  <cellStyleXfs count="10">
    <xf numFmtId="0" fontId="0" fillId="0" borderId="0"/>
    <xf numFmtId="9" fontId="1" fillId="0" borderId="0" applyFont="0" applyFill="0" applyBorder="0" applyAlignment="0" applyProtection="0"/>
    <xf numFmtId="0" fontId="5" fillId="8" borderId="7" applyNumberFormat="0" applyAlignment="0" applyProtection="0"/>
    <xf numFmtId="0" fontId="6" fillId="9" borderId="8" applyNumberFormat="0" applyAlignment="0" applyProtection="0"/>
    <xf numFmtId="0" fontId="7" fillId="9" borderId="7" applyNumberFormat="0" applyAlignment="0" applyProtection="0"/>
    <xf numFmtId="0" fontId="11" fillId="14" borderId="0" applyNumberFormat="0" applyBorder="0" applyAlignment="0" applyProtection="0"/>
    <xf numFmtId="43" fontId="1" fillId="0" borderId="0" applyFont="0" applyFill="0" applyBorder="0" applyAlignment="0" applyProtection="0"/>
    <xf numFmtId="0" fontId="20" fillId="0" borderId="0">
      <alignment horizontal="justify"/>
    </xf>
    <xf numFmtId="165" fontId="20" fillId="0" borderId="0" applyFill="0" applyBorder="0" applyAlignment="0" applyProtection="0"/>
    <xf numFmtId="0" fontId="34" fillId="0" borderId="0" applyNumberFormat="0" applyFill="0" applyBorder="0" applyAlignment="0" applyProtection="0"/>
  </cellStyleXfs>
  <cellXfs count="229">
    <xf numFmtId="0" fontId="0" fillId="0" borderId="0" xfId="0"/>
    <xf numFmtId="0" fontId="0" fillId="2" borderId="1" xfId="0"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2" borderId="1" xfId="0" applyFill="1" applyBorder="1" applyAlignment="1">
      <alignment vertical="center" wrapText="1"/>
    </xf>
    <xf numFmtId="0" fontId="3" fillId="3" borderId="1" xfId="0" applyFont="1" applyFill="1" applyBorder="1" applyAlignment="1">
      <alignment horizontal="right" vertical="center"/>
    </xf>
    <xf numFmtId="0" fontId="3" fillId="3" borderId="1" xfId="0" applyFont="1" applyFill="1" applyBorder="1" applyAlignment="1">
      <alignment horizontal="center" vertical="center"/>
    </xf>
    <xf numFmtId="0" fontId="2" fillId="0" borderId="0" xfId="0" applyFont="1" applyAlignment="1">
      <alignment vertical="center"/>
    </xf>
    <xf numFmtId="0" fontId="2" fillId="4" borderId="1" xfId="0" applyFont="1" applyFill="1" applyBorder="1" applyAlignment="1">
      <alignment vertical="center"/>
    </xf>
    <xf numFmtId="0" fontId="2" fillId="4" borderId="1" xfId="0" applyFont="1" applyFill="1" applyBorder="1" applyAlignment="1">
      <alignment horizontal="center" vertical="center"/>
    </xf>
    <xf numFmtId="0" fontId="9" fillId="11" borderId="9" xfId="0" applyFont="1" applyFill="1" applyBorder="1" applyAlignment="1"/>
    <xf numFmtId="0" fontId="2" fillId="12" borderId="0" xfId="0" applyFont="1" applyFill="1" applyBorder="1"/>
    <xf numFmtId="0" fontId="5" fillId="8" borderId="7" xfId="2"/>
    <xf numFmtId="0" fontId="7" fillId="9" borderId="7" xfId="4"/>
    <xf numFmtId="0" fontId="6" fillId="9" borderId="8" xfId="3"/>
    <xf numFmtId="0" fontId="10" fillId="8" borderId="7" xfId="2" applyFont="1"/>
    <xf numFmtId="0" fontId="4" fillId="7" borderId="6" xfId="0" applyFont="1" applyFill="1" applyBorder="1" applyAlignment="1">
      <alignment vertical="center" wrapText="1"/>
    </xf>
    <xf numFmtId="0" fontId="6" fillId="9" borderId="8" xfId="3" applyAlignment="1">
      <alignment horizontal="center"/>
    </xf>
    <xf numFmtId="0" fontId="0" fillId="12" borderId="0" xfId="0" applyFont="1" applyFill="1" applyBorder="1"/>
    <xf numFmtId="0" fontId="0" fillId="13" borderId="0" xfId="0" applyFont="1" applyFill="1" applyBorder="1"/>
    <xf numFmtId="0" fontId="2" fillId="13" borderId="0" xfId="0" applyFont="1" applyFill="1" applyBorder="1"/>
    <xf numFmtId="0" fontId="0" fillId="15" borderId="13" xfId="0" applyFont="1" applyFill="1" applyBorder="1"/>
    <xf numFmtId="0" fontId="0" fillId="0" borderId="13" xfId="0" applyFont="1" applyBorder="1"/>
    <xf numFmtId="0" fontId="12" fillId="16" borderId="14" xfId="0" applyFont="1" applyFill="1" applyBorder="1"/>
    <xf numFmtId="9" fontId="5" fillId="8" borderId="7" xfId="1" applyFont="1" applyFill="1" applyBorder="1"/>
    <xf numFmtId="0" fontId="12" fillId="16" borderId="15" xfId="0" applyFont="1" applyFill="1" applyBorder="1"/>
    <xf numFmtId="0" fontId="11" fillId="14" borderId="13" xfId="5" applyBorder="1"/>
    <xf numFmtId="0" fontId="9" fillId="11" borderId="16" xfId="0" applyFont="1" applyFill="1" applyBorder="1" applyAlignment="1"/>
    <xf numFmtId="0" fontId="9" fillId="11" borderId="17" xfId="0" applyFont="1" applyFill="1" applyBorder="1" applyAlignment="1"/>
    <xf numFmtId="0" fontId="12" fillId="16" borderId="18" xfId="0" applyFont="1" applyFill="1" applyBorder="1"/>
    <xf numFmtId="0" fontId="12" fillId="16" borderId="19" xfId="0" applyFont="1" applyFill="1" applyBorder="1"/>
    <xf numFmtId="0" fontId="0" fillId="15" borderId="20" xfId="0" applyFont="1" applyFill="1" applyBorder="1"/>
    <xf numFmtId="0" fontId="0" fillId="15" borderId="19" xfId="0" applyFont="1" applyFill="1" applyBorder="1"/>
    <xf numFmtId="0" fontId="0" fillId="0" borderId="20" xfId="0" applyFont="1" applyBorder="1"/>
    <xf numFmtId="0" fontId="0" fillId="0" borderId="19" xfId="0" applyFont="1" applyBorder="1"/>
    <xf numFmtId="0" fontId="0" fillId="15" borderId="21" xfId="0" applyFont="1" applyFill="1" applyBorder="1"/>
    <xf numFmtId="0" fontId="0" fillId="15" borderId="22" xfId="0" applyFont="1" applyFill="1" applyBorder="1"/>
    <xf numFmtId="0" fontId="11" fillId="14" borderId="19" xfId="5" applyBorder="1"/>
    <xf numFmtId="0" fontId="0" fillId="15" borderId="24" xfId="0" applyFont="1" applyFill="1" applyBorder="1"/>
    <xf numFmtId="0" fontId="9" fillId="11" borderId="23" xfId="0" applyFont="1" applyFill="1" applyBorder="1" applyAlignment="1"/>
    <xf numFmtId="0" fontId="0" fillId="0" borderId="25" xfId="0" applyBorder="1"/>
    <xf numFmtId="0" fontId="12" fillId="16" borderId="26" xfId="0" applyFont="1" applyFill="1" applyBorder="1"/>
    <xf numFmtId="0" fontId="0" fillId="15" borderId="19" xfId="0" applyFont="1" applyFill="1" applyBorder="1" applyAlignment="1">
      <alignment wrapText="1"/>
    </xf>
    <xf numFmtId="0" fontId="0" fillId="0" borderId="19" xfId="0" quotePrefix="1" applyFont="1" applyBorder="1" applyAlignment="1">
      <alignment wrapText="1"/>
    </xf>
    <xf numFmtId="0" fontId="0" fillId="15" borderId="22" xfId="0" applyFont="1" applyFill="1" applyBorder="1" applyAlignment="1">
      <alignment wrapText="1"/>
    </xf>
    <xf numFmtId="0" fontId="11" fillId="14" borderId="20" xfId="5" applyBorder="1"/>
    <xf numFmtId="0" fontId="0" fillId="0" borderId="0" xfId="0" applyAlignment="1">
      <alignment wrapText="1"/>
    </xf>
    <xf numFmtId="0" fontId="0" fillId="10" borderId="0" xfId="0" applyFill="1"/>
    <xf numFmtId="0" fontId="0" fillId="10" borderId="0" xfId="0" quotePrefix="1" applyFont="1" applyFill="1" applyBorder="1"/>
    <xf numFmtId="0" fontId="15" fillId="0" borderId="0" xfId="0" applyFont="1" applyAlignment="1">
      <alignment vertical="center"/>
    </xf>
    <xf numFmtId="0" fontId="0" fillId="0" borderId="0" xfId="0" applyAlignment="1"/>
    <xf numFmtId="0" fontId="0" fillId="13" borderId="1" xfId="0" applyFont="1" applyFill="1" applyBorder="1"/>
    <xf numFmtId="0" fontId="0" fillId="13" borderId="28" xfId="0" applyFont="1" applyFill="1" applyBorder="1"/>
    <xf numFmtId="0" fontId="7" fillId="9" borderId="29" xfId="4" applyBorder="1"/>
    <xf numFmtId="0" fontId="0" fillId="13" borderId="31" xfId="0" applyFont="1" applyFill="1" applyBorder="1"/>
    <xf numFmtId="0" fontId="7" fillId="9" borderId="32" xfId="4" applyBorder="1"/>
    <xf numFmtId="0" fontId="7" fillId="9" borderId="34" xfId="4" applyBorder="1"/>
    <xf numFmtId="0" fontId="6" fillId="9" borderId="8" xfId="3" applyAlignment="1">
      <alignment wrapText="1"/>
    </xf>
    <xf numFmtId="0" fontId="0" fillId="13" borderId="0" xfId="0" applyFont="1" applyFill="1" applyBorder="1" applyAlignment="1">
      <alignment vertical="top"/>
    </xf>
    <xf numFmtId="0" fontId="9" fillId="17" borderId="9" xfId="0" applyFont="1" applyFill="1" applyBorder="1" applyAlignment="1"/>
    <xf numFmtId="0" fontId="2" fillId="12" borderId="1" xfId="0" applyFont="1" applyFill="1" applyBorder="1"/>
    <xf numFmtId="0" fontId="0" fillId="3" borderId="1" xfId="0" applyFont="1" applyFill="1" applyBorder="1"/>
    <xf numFmtId="0" fontId="5" fillId="8" borderId="1" xfId="2" applyBorder="1" applyAlignment="1">
      <alignment horizontal="center"/>
    </xf>
    <xf numFmtId="0" fontId="0" fillId="12" borderId="1" xfId="0" applyFont="1" applyFill="1" applyBorder="1"/>
    <xf numFmtId="0" fontId="6" fillId="9" borderId="1" xfId="3" applyBorder="1"/>
    <xf numFmtId="164" fontId="6" fillId="9" borderId="1" xfId="3" applyNumberFormat="1" applyBorder="1"/>
    <xf numFmtId="0" fontId="5" fillId="8" borderId="1" xfId="2" applyBorder="1"/>
    <xf numFmtId="0" fontId="5" fillId="8" borderId="1" xfId="1" applyNumberFormat="1" applyFont="1" applyFill="1" applyBorder="1"/>
    <xf numFmtId="0" fontId="16" fillId="17" borderId="9" xfId="0" applyFont="1" applyFill="1" applyBorder="1" applyAlignment="1"/>
    <xf numFmtId="0" fontId="17" fillId="17" borderId="9" xfId="0" applyFont="1" applyFill="1" applyBorder="1" applyAlignment="1"/>
    <xf numFmtId="0" fontId="18" fillId="0" borderId="0" xfId="0" applyFont="1" applyAlignment="1">
      <alignment horizontal="left" vertical="center"/>
    </xf>
    <xf numFmtId="0" fontId="2" fillId="12" borderId="1" xfId="0" applyFont="1" applyFill="1" applyBorder="1" applyAlignment="1">
      <alignment vertical="center"/>
    </xf>
    <xf numFmtId="0" fontId="2" fillId="13" borderId="1" xfId="0" applyFont="1" applyFill="1" applyBorder="1"/>
    <xf numFmtId="0" fontId="2" fillId="0" borderId="0" xfId="0" applyFont="1"/>
    <xf numFmtId="0" fontId="5" fillId="8" borderId="1" xfId="2" applyBorder="1" applyAlignment="1">
      <alignment horizontal="center"/>
    </xf>
    <xf numFmtId="1" fontId="2" fillId="0" borderId="1" xfId="0" applyNumberFormat="1" applyFont="1" applyBorder="1" applyAlignment="1">
      <alignment vertical="center"/>
    </xf>
    <xf numFmtId="0" fontId="6" fillId="9" borderId="8" xfId="3" applyAlignment="1">
      <alignment vertical="center"/>
    </xf>
    <xf numFmtId="0" fontId="0" fillId="0" borderId="1" xfId="0" applyBorder="1" applyAlignment="1">
      <alignment vertical="center"/>
    </xf>
    <xf numFmtId="0" fontId="0" fillId="13" borderId="1" xfId="0" applyFont="1" applyFill="1" applyBorder="1" applyAlignment="1">
      <alignment vertical="center"/>
    </xf>
    <xf numFmtId="0" fontId="0" fillId="3" borderId="1" xfId="0" applyFill="1" applyBorder="1"/>
    <xf numFmtId="1" fontId="6" fillId="9" borderId="1" xfId="3" applyNumberFormat="1" applyBorder="1"/>
    <xf numFmtId="0" fontId="0" fillId="0" borderId="35" xfId="0" applyBorder="1"/>
    <xf numFmtId="0" fontId="21" fillId="0" borderId="36" xfId="7" quotePrefix="1" applyFont="1" applyBorder="1" applyAlignment="1" applyProtection="1">
      <alignment horizontal="right"/>
      <protection locked="0"/>
    </xf>
    <xf numFmtId="0" fontId="22" fillId="0" borderId="1" xfId="0" applyFont="1" applyBorder="1"/>
    <xf numFmtId="0" fontId="22" fillId="0" borderId="1" xfId="0" applyFont="1" applyBorder="1" applyAlignment="1">
      <alignment wrapText="1"/>
    </xf>
    <xf numFmtId="0" fontId="0" fillId="0" borderId="1" xfId="0" applyBorder="1" applyAlignment="1">
      <alignment wrapText="1"/>
    </xf>
    <xf numFmtId="0" fontId="0" fillId="0" borderId="1" xfId="0" quotePrefix="1" applyBorder="1" applyAlignment="1">
      <alignment wrapText="1"/>
    </xf>
    <xf numFmtId="0" fontId="24" fillId="0" borderId="40" xfId="0" applyFont="1" applyBorder="1" applyAlignment="1">
      <alignment horizontal="center" vertical="top" wrapText="1"/>
    </xf>
    <xf numFmtId="166" fontId="24" fillId="0" borderId="40" xfId="8" applyNumberFormat="1" applyFont="1" applyBorder="1" applyAlignment="1">
      <alignment horizontal="center" vertical="top" wrapText="1"/>
    </xf>
    <xf numFmtId="166" fontId="24" fillId="0" borderId="40" xfId="6" applyNumberFormat="1" applyFont="1" applyBorder="1" applyAlignment="1">
      <alignment horizontal="center" vertical="top" wrapText="1"/>
    </xf>
    <xf numFmtId="167" fontId="20" fillId="0" borderId="40" xfId="6" applyNumberFormat="1" applyFont="1" applyFill="1" applyBorder="1" applyAlignment="1">
      <alignment horizontal="center" vertical="center"/>
    </xf>
    <xf numFmtId="0" fontId="25" fillId="0" borderId="40" xfId="0" applyFont="1" applyBorder="1" applyAlignment="1">
      <alignment horizontal="left" vertical="top" wrapText="1"/>
    </xf>
    <xf numFmtId="0" fontId="26" fillId="0" borderId="40" xfId="0" applyFont="1" applyBorder="1" applyAlignment="1">
      <alignment horizontal="left" wrapText="1"/>
    </xf>
    <xf numFmtId="0" fontId="0" fillId="0" borderId="40" xfId="0" applyBorder="1" applyAlignment="1">
      <alignment horizontal="left" wrapText="1"/>
    </xf>
    <xf numFmtId="167" fontId="20" fillId="0" borderId="41" xfId="6" applyNumberFormat="1" applyFont="1" applyFill="1" applyBorder="1" applyAlignment="1">
      <alignment horizontal="center" vertical="center"/>
    </xf>
    <xf numFmtId="0" fontId="20" fillId="0" borderId="42" xfId="0" applyFont="1" applyFill="1" applyBorder="1" applyAlignment="1">
      <alignment horizontal="left" vertical="top" wrapText="1"/>
    </xf>
    <xf numFmtId="0" fontId="20" fillId="0" borderId="42" xfId="0" applyFont="1" applyFill="1" applyBorder="1" applyAlignment="1">
      <alignment horizontal="center" vertical="center" wrapText="1"/>
    </xf>
    <xf numFmtId="168" fontId="20" fillId="0" borderId="43" xfId="8" applyNumberFormat="1" applyFont="1" applyFill="1" applyBorder="1" applyAlignment="1" applyProtection="1">
      <alignment horizontal="center" vertical="center"/>
    </xf>
    <xf numFmtId="1" fontId="20" fillId="0" borderId="42" xfId="0" applyNumberFormat="1" applyFont="1" applyFill="1" applyBorder="1" applyAlignment="1">
      <alignment horizontal="center" vertical="center"/>
    </xf>
    <xf numFmtId="0" fontId="21" fillId="19" borderId="40" xfId="0" applyFont="1" applyFill="1" applyBorder="1" applyAlignment="1">
      <alignment horizontal="left" vertical="top" wrapText="1"/>
    </xf>
    <xf numFmtId="168" fontId="21" fillId="19" borderId="39" xfId="8" applyNumberFormat="1" applyFont="1" applyFill="1" applyBorder="1" applyAlignment="1">
      <alignment horizontal="center" vertical="center" wrapText="1"/>
    </xf>
    <xf numFmtId="0" fontId="25" fillId="19" borderId="38" xfId="0" applyFont="1" applyFill="1" applyBorder="1" applyAlignment="1">
      <alignment vertical="center" wrapText="1"/>
    </xf>
    <xf numFmtId="167" fontId="20" fillId="0" borderId="44" xfId="6" applyNumberFormat="1" applyFont="1" applyFill="1" applyBorder="1" applyAlignment="1">
      <alignment horizontal="center" vertical="center"/>
    </xf>
    <xf numFmtId="0" fontId="20" fillId="0" borderId="45" xfId="0" applyFont="1" applyBorder="1" applyAlignment="1">
      <alignment horizontal="left" vertical="center" wrapText="1"/>
    </xf>
    <xf numFmtId="0" fontId="20" fillId="0" borderId="44" xfId="0" applyFont="1" applyFill="1" applyBorder="1" applyAlignment="1">
      <alignment horizontal="center" vertical="center" wrapText="1"/>
    </xf>
    <xf numFmtId="1" fontId="20" fillId="0" borderId="44" xfId="0" applyNumberFormat="1" applyFont="1" applyFill="1" applyBorder="1" applyAlignment="1">
      <alignment horizontal="center" vertical="center"/>
    </xf>
    <xf numFmtId="168" fontId="20" fillId="0" borderId="44" xfId="8" applyNumberFormat="1" applyFont="1" applyFill="1" applyBorder="1" applyAlignment="1" applyProtection="1">
      <alignment horizontal="center" vertical="center"/>
    </xf>
    <xf numFmtId="0" fontId="20" fillId="0" borderId="46" xfId="0" applyFont="1" applyBorder="1" applyAlignment="1">
      <alignment horizontal="justify" vertical="center"/>
    </xf>
    <xf numFmtId="0" fontId="20" fillId="0" borderId="41" xfId="0" applyFont="1" applyBorder="1" applyAlignment="1">
      <alignment horizontal="left" vertical="center" wrapText="1"/>
    </xf>
    <xf numFmtId="0" fontId="20" fillId="0" borderId="0" xfId="0" applyFont="1" applyBorder="1" applyAlignment="1">
      <alignment horizontal="left" vertical="center" wrapText="1"/>
    </xf>
    <xf numFmtId="0" fontId="20" fillId="19" borderId="47" xfId="0" applyFont="1" applyFill="1" applyBorder="1" applyAlignment="1">
      <alignment horizontal="center" vertical="center"/>
    </xf>
    <xf numFmtId="3" fontId="27" fillId="19" borderId="47" xfId="0" applyNumberFormat="1" applyFont="1" applyFill="1" applyBorder="1" applyAlignment="1">
      <alignment horizontal="center" vertical="center"/>
    </xf>
    <xf numFmtId="167" fontId="21" fillId="19" borderId="37" xfId="6" applyNumberFormat="1" applyFont="1" applyFill="1" applyBorder="1" applyAlignment="1">
      <alignment horizontal="center" vertical="center" wrapText="1"/>
    </xf>
    <xf numFmtId="0" fontId="21" fillId="0" borderId="40" xfId="0" applyFont="1" applyBorder="1" applyAlignment="1">
      <alignment horizontal="left" vertical="top" wrapText="1"/>
    </xf>
    <xf numFmtId="167" fontId="20" fillId="0" borderId="42" xfId="6" applyNumberFormat="1" applyFont="1" applyFill="1" applyBorder="1" applyAlignment="1">
      <alignment horizontal="center" vertical="center"/>
    </xf>
    <xf numFmtId="0" fontId="20" fillId="0" borderId="44" xfId="0" applyFont="1" applyBorder="1" applyAlignment="1">
      <alignment horizontal="left" vertical="top" wrapText="1"/>
    </xf>
    <xf numFmtId="0" fontId="20" fillId="0" borderId="44" xfId="0" quotePrefix="1" applyFont="1" applyBorder="1" applyAlignment="1">
      <alignment horizontal="center" vertical="center"/>
    </xf>
    <xf numFmtId="0" fontId="20" fillId="0" borderId="44" xfId="0" applyFont="1" applyBorder="1" applyAlignment="1">
      <alignment horizontal="center" vertical="center"/>
    </xf>
    <xf numFmtId="168" fontId="20" fillId="19" borderId="47" xfId="8" applyNumberFormat="1" applyFill="1" applyBorder="1" applyAlignment="1" applyProtection="1">
      <alignment horizontal="center" vertical="center"/>
    </xf>
    <xf numFmtId="0" fontId="20" fillId="0" borderId="42" xfId="0" applyFont="1" applyBorder="1" applyAlignment="1">
      <alignment vertical="top" wrapText="1"/>
    </xf>
    <xf numFmtId="0" fontId="20" fillId="0" borderId="42" xfId="0" quotePrefix="1" applyFont="1" applyBorder="1" applyAlignment="1">
      <alignment horizontal="center" vertical="center"/>
    </xf>
    <xf numFmtId="0" fontId="20" fillId="0" borderId="42" xfId="0" applyFont="1" applyBorder="1" applyAlignment="1">
      <alignment horizontal="center" vertical="center"/>
    </xf>
    <xf numFmtId="0" fontId="20" fillId="0" borderId="42" xfId="0" applyFont="1" applyBorder="1" applyAlignment="1">
      <alignment horizontal="left" vertical="top" wrapText="1"/>
    </xf>
    <xf numFmtId="0" fontId="20" fillId="19" borderId="26" xfId="0" applyFont="1" applyFill="1" applyBorder="1" applyAlignment="1">
      <alignment vertical="top" wrapText="1"/>
    </xf>
    <xf numFmtId="3" fontId="20" fillId="0" borderId="42" xfId="0" applyNumberFormat="1" applyFont="1" applyBorder="1" applyAlignment="1">
      <alignment horizontal="center" vertical="center"/>
    </xf>
    <xf numFmtId="0" fontId="20" fillId="0" borderId="42" xfId="0" applyFont="1" applyBorder="1" applyAlignment="1">
      <alignment horizontal="justify" vertical="top" wrapText="1"/>
    </xf>
    <xf numFmtId="0" fontId="26" fillId="19" borderId="48" xfId="0" applyFont="1" applyFill="1" applyBorder="1" applyAlignment="1">
      <alignment vertical="center" wrapText="1"/>
    </xf>
    <xf numFmtId="0" fontId="20" fillId="0" borderId="49" xfId="0" applyFont="1" applyBorder="1" applyAlignment="1">
      <alignment horizontal="center"/>
    </xf>
    <xf numFmtId="3" fontId="20" fillId="0" borderId="48" xfId="0" applyNumberFormat="1" applyFont="1" applyBorder="1" applyAlignment="1">
      <alignment horizontal="center"/>
    </xf>
    <xf numFmtId="167" fontId="21" fillId="19" borderId="40" xfId="6" applyNumberFormat="1" applyFont="1" applyFill="1" applyBorder="1" applyAlignment="1">
      <alignment horizontal="center" vertical="center" wrapText="1"/>
    </xf>
    <xf numFmtId="168" fontId="21" fillId="19" borderId="40" xfId="8" applyNumberFormat="1" applyFont="1" applyFill="1" applyBorder="1" applyAlignment="1">
      <alignment horizontal="center" vertical="center" wrapText="1"/>
    </xf>
    <xf numFmtId="167" fontId="20" fillId="0" borderId="45" xfId="6" applyNumberFormat="1" applyFont="1" applyFill="1" applyBorder="1" applyAlignment="1">
      <alignment horizontal="center" vertical="center"/>
    </xf>
    <xf numFmtId="167" fontId="21" fillId="10" borderId="50" xfId="6" applyNumberFormat="1" applyFont="1" applyFill="1" applyBorder="1" applyAlignment="1">
      <alignment horizontal="center" vertical="center" wrapText="1"/>
    </xf>
    <xf numFmtId="0" fontId="21" fillId="10" borderId="0" xfId="0" applyFont="1" applyFill="1" applyBorder="1" applyAlignment="1">
      <alignment horizontal="left" vertical="top" wrapText="1"/>
    </xf>
    <xf numFmtId="0" fontId="21" fillId="10" borderId="38" xfId="0" quotePrefix="1" applyFont="1" applyFill="1" applyBorder="1" applyAlignment="1">
      <alignment horizontal="center" vertical="center"/>
    </xf>
    <xf numFmtId="0" fontId="21" fillId="10" borderId="39" xfId="0" quotePrefix="1" applyFont="1" applyFill="1" applyBorder="1" applyAlignment="1">
      <alignment horizontal="center" vertical="center"/>
    </xf>
    <xf numFmtId="168" fontId="21" fillId="10" borderId="50" xfId="8" applyNumberFormat="1" applyFont="1" applyFill="1" applyBorder="1" applyAlignment="1">
      <alignment horizontal="center" vertical="center" wrapText="1"/>
    </xf>
    <xf numFmtId="0" fontId="28" fillId="19" borderId="50" xfId="0" applyFont="1" applyFill="1" applyBorder="1" applyAlignment="1">
      <alignment horizontal="center" vertical="center"/>
    </xf>
    <xf numFmtId="0" fontId="28" fillId="19" borderId="51" xfId="0" applyFont="1" applyFill="1" applyBorder="1" applyAlignment="1">
      <alignment horizontal="justify" vertical="top" wrapText="1"/>
    </xf>
    <xf numFmtId="170" fontId="30" fillId="19" borderId="50" xfId="0" applyNumberFormat="1" applyFont="1" applyFill="1" applyBorder="1" applyAlignment="1">
      <alignment horizontal="center" vertical="center"/>
    </xf>
    <xf numFmtId="0" fontId="31" fillId="0" borderId="0" xfId="0" applyFont="1" applyAlignment="1">
      <alignment horizontal="center" vertical="center"/>
    </xf>
    <xf numFmtId="0" fontId="31" fillId="0" borderId="0" xfId="0" applyFont="1"/>
    <xf numFmtId="0" fontId="31" fillId="0" borderId="0" xfId="0" applyFont="1" applyAlignment="1">
      <alignment vertical="center"/>
    </xf>
    <xf numFmtId="1" fontId="7" fillId="9" borderId="7" xfId="4" applyNumberFormat="1" applyAlignment="1">
      <alignment horizontal="center" vertical="center"/>
    </xf>
    <xf numFmtId="0" fontId="7" fillId="9" borderId="7" xfId="4" applyAlignment="1">
      <alignment horizontal="center" vertical="center" wrapText="1"/>
    </xf>
    <xf numFmtId="0" fontId="9" fillId="11" borderId="9" xfId="0" applyFont="1" applyFill="1" applyBorder="1" applyAlignment="1">
      <alignment horizontal="left"/>
    </xf>
    <xf numFmtId="0" fontId="0" fillId="0" borderId="53" xfId="0" applyBorder="1" applyAlignment="1">
      <alignment horizontal="center" vertical="center"/>
    </xf>
    <xf numFmtId="0" fontId="32" fillId="20" borderId="0" xfId="5" applyFont="1" applyFill="1"/>
    <xf numFmtId="0" fontId="33" fillId="0" borderId="0" xfId="0" applyFont="1"/>
    <xf numFmtId="0" fontId="0" fillId="0" borderId="1" xfId="0" applyBorder="1"/>
    <xf numFmtId="9" fontId="0" fillId="0" borderId="1" xfId="0" applyNumberFormat="1" applyBorder="1"/>
    <xf numFmtId="169" fontId="0" fillId="0" borderId="1" xfId="6" applyNumberFormat="1" applyFont="1" applyBorder="1"/>
    <xf numFmtId="0" fontId="5" fillId="8" borderId="7" xfId="2" applyAlignment="1">
      <alignment horizontal="center" vertical="center" wrapText="1"/>
    </xf>
    <xf numFmtId="0" fontId="0" fillId="0" borderId="0" xfId="0" applyAlignment="1">
      <alignment horizontal="left"/>
    </xf>
    <xf numFmtId="0" fontId="34" fillId="0" borderId="13" xfId="9" applyBorder="1"/>
    <xf numFmtId="0" fontId="2" fillId="13" borderId="1" xfId="0" applyFont="1" applyFill="1" applyBorder="1" applyAlignment="1">
      <alignment vertical="center" wrapText="1"/>
    </xf>
    <xf numFmtId="0" fontId="0" fillId="13" borderId="1" xfId="0" applyFont="1" applyFill="1" applyBorder="1" applyAlignment="1">
      <alignment wrapText="1"/>
    </xf>
    <xf numFmtId="0" fontId="7" fillId="9" borderId="1" xfId="4" applyBorder="1"/>
    <xf numFmtId="9" fontId="7" fillId="9" borderId="1" xfId="1" applyFont="1" applyFill="1" applyBorder="1"/>
    <xf numFmtId="9" fontId="5" fillId="8" borderId="1" xfId="1" applyFont="1" applyFill="1" applyBorder="1"/>
    <xf numFmtId="9" fontId="5" fillId="8" borderId="1" xfId="2" applyNumberFormat="1" applyBorder="1"/>
    <xf numFmtId="0" fontId="0" fillId="12" borderId="1" xfId="0" applyFont="1" applyFill="1" applyBorder="1" applyAlignment="1">
      <alignment horizontal="left" vertical="center"/>
    </xf>
    <xf numFmtId="0" fontId="0" fillId="12" borderId="57" xfId="0" applyFont="1" applyFill="1" applyBorder="1" applyAlignment="1">
      <alignment horizontal="left" vertical="center"/>
    </xf>
    <xf numFmtId="1" fontId="6" fillId="9" borderId="8" xfId="3" applyNumberFormat="1"/>
    <xf numFmtId="0" fontId="34" fillId="15" borderId="13" xfId="9" applyFill="1" applyBorder="1"/>
    <xf numFmtId="0" fontId="36" fillId="0" borderId="0" xfId="0" applyFont="1"/>
    <xf numFmtId="0" fontId="9" fillId="11" borderId="0" xfId="0" applyFont="1" applyFill="1" applyBorder="1" applyAlignment="1">
      <alignment horizontal="left" wrapText="1"/>
    </xf>
    <xf numFmtId="0" fontId="0" fillId="3" borderId="1" xfId="0" applyFont="1" applyFill="1" applyBorder="1" applyAlignment="1">
      <alignment horizontal="left" vertical="center" wrapText="1"/>
    </xf>
    <xf numFmtId="0" fontId="2" fillId="12" borderId="2" xfId="0" applyFont="1" applyFill="1" applyBorder="1" applyAlignment="1">
      <alignment horizontal="left"/>
    </xf>
    <xf numFmtId="0" fontId="2" fillId="12" borderId="4" xfId="0" applyFont="1" applyFill="1" applyBorder="1" applyAlignment="1">
      <alignment horizontal="left"/>
    </xf>
    <xf numFmtId="0" fontId="2" fillId="12" borderId="2" xfId="0" applyFont="1" applyFill="1" applyBorder="1" applyAlignment="1">
      <alignment horizontal="left" wrapText="1"/>
    </xf>
    <xf numFmtId="0" fontId="2" fillId="12" borderId="4" xfId="0" applyFont="1" applyFill="1" applyBorder="1" applyAlignment="1">
      <alignment horizontal="left" wrapText="1"/>
    </xf>
    <xf numFmtId="0" fontId="8" fillId="10" borderId="0" xfId="0" applyFont="1" applyFill="1" applyBorder="1" applyAlignment="1">
      <alignment horizontal="center"/>
    </xf>
    <xf numFmtId="0" fontId="32" fillId="10" borderId="0" xfId="0" applyFont="1" applyFill="1" applyAlignment="1">
      <alignment horizontal="center" wrapText="1"/>
    </xf>
    <xf numFmtId="0" fontId="9" fillId="11" borderId="9" xfId="0" applyFont="1" applyFill="1" applyBorder="1" applyAlignment="1">
      <alignment horizontal="left"/>
    </xf>
    <xf numFmtId="0" fontId="0" fillId="3" borderId="2" xfId="0" applyFont="1" applyFill="1" applyBorder="1" applyAlignment="1">
      <alignment horizontal="left"/>
    </xf>
    <xf numFmtId="0" fontId="0" fillId="3" borderId="3" xfId="0" applyFont="1" applyFill="1" applyBorder="1" applyAlignment="1">
      <alignment horizontal="left"/>
    </xf>
    <xf numFmtId="0" fontId="0" fillId="3" borderId="4" xfId="0" applyFont="1" applyFill="1" applyBorder="1" applyAlignment="1">
      <alignment horizontal="left"/>
    </xf>
    <xf numFmtId="0" fontId="9" fillId="11" borderId="9" xfId="0" applyFont="1" applyFill="1" applyBorder="1" applyAlignment="1">
      <alignment horizontal="left" wrapText="1"/>
    </xf>
    <xf numFmtId="0" fontId="0" fillId="7" borderId="10" xfId="0" applyFont="1" applyFill="1" applyBorder="1" applyAlignment="1">
      <alignment horizontal="left" vertical="top" wrapText="1"/>
    </xf>
    <xf numFmtId="0" fontId="0" fillId="7" borderId="11" xfId="0" applyFont="1" applyFill="1" applyBorder="1" applyAlignment="1">
      <alignment horizontal="left" vertical="top" wrapText="1"/>
    </xf>
    <xf numFmtId="0" fontId="0" fillId="7" borderId="12" xfId="0" applyFont="1" applyFill="1" applyBorder="1" applyAlignment="1">
      <alignment horizontal="left" vertical="top" wrapText="1"/>
    </xf>
    <xf numFmtId="0" fontId="8" fillId="10" borderId="55" xfId="0" applyFont="1" applyFill="1" applyBorder="1" applyAlignment="1">
      <alignment horizontal="center"/>
    </xf>
    <xf numFmtId="0" fontId="0" fillId="6" borderId="58" xfId="0" applyFill="1" applyBorder="1" applyAlignment="1">
      <alignment horizontal="left" vertical="center" wrapText="1"/>
    </xf>
    <xf numFmtId="0" fontId="0" fillId="6" borderId="0" xfId="0" applyFill="1" applyBorder="1" applyAlignment="1">
      <alignment horizontal="left" vertical="center" wrapText="1"/>
    </xf>
    <xf numFmtId="0" fontId="2" fillId="18" borderId="2" xfId="0" applyFont="1" applyFill="1" applyBorder="1" applyAlignment="1">
      <alignment horizontal="center" vertical="center"/>
    </xf>
    <xf numFmtId="0" fontId="2" fillId="18" borderId="3" xfId="0" applyFont="1" applyFill="1" applyBorder="1" applyAlignment="1">
      <alignment horizontal="center" vertical="center"/>
    </xf>
    <xf numFmtId="0" fontId="2" fillId="18" borderId="4" xfId="0" applyFont="1" applyFill="1" applyBorder="1" applyAlignment="1">
      <alignment horizontal="center" vertical="center"/>
    </xf>
    <xf numFmtId="0" fontId="0" fillId="3" borderId="1" xfId="0"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0" fillId="5" borderId="5" xfId="0" applyFill="1" applyBorder="1" applyAlignment="1">
      <alignment horizontal="left" vertical="center" wrapText="1"/>
    </xf>
    <xf numFmtId="0" fontId="9" fillId="11" borderId="9" xfId="0" applyFont="1" applyFill="1" applyBorder="1" applyAlignment="1">
      <alignment horizontal="center"/>
    </xf>
    <xf numFmtId="0" fontId="9" fillId="11" borderId="3" xfId="0" applyFont="1" applyFill="1" applyBorder="1" applyAlignment="1">
      <alignment horizontal="center"/>
    </xf>
    <xf numFmtId="0" fontId="5" fillId="8" borderId="1" xfId="2" applyBorder="1" applyAlignment="1">
      <alignment horizontal="center"/>
    </xf>
    <xf numFmtId="0" fontId="0" fillId="12" borderId="56" xfId="0" applyFont="1" applyFill="1" applyBorder="1" applyAlignment="1">
      <alignment horizontal="left" vertical="center"/>
    </xf>
    <xf numFmtId="0" fontId="0" fillId="12" borderId="54" xfId="0" applyFont="1" applyFill="1" applyBorder="1" applyAlignment="1">
      <alignment horizontal="left" vertical="center"/>
    </xf>
    <xf numFmtId="0" fontId="0" fillId="12" borderId="57" xfId="0" applyFont="1" applyFill="1" applyBorder="1" applyAlignment="1">
      <alignment horizontal="left" vertical="center"/>
    </xf>
    <xf numFmtId="0" fontId="0" fillId="12" borderId="1" xfId="0" applyFont="1" applyFill="1" applyBorder="1" applyAlignment="1">
      <alignment horizontal="left" vertical="center"/>
    </xf>
    <xf numFmtId="0" fontId="0" fillId="13" borderId="2" xfId="0" applyFont="1" applyFill="1" applyBorder="1" applyAlignment="1">
      <alignment horizontal="center" vertical="center"/>
    </xf>
    <xf numFmtId="0" fontId="0" fillId="13" borderId="4" xfId="0" applyFont="1" applyFill="1" applyBorder="1" applyAlignment="1">
      <alignment horizontal="center" vertical="center"/>
    </xf>
    <xf numFmtId="0" fontId="9" fillId="11" borderId="16" xfId="0" applyFont="1" applyFill="1" applyBorder="1" applyAlignment="1">
      <alignment horizontal="center"/>
    </xf>
    <xf numFmtId="0" fontId="9" fillId="11" borderId="23" xfId="0" applyFont="1" applyFill="1" applyBorder="1" applyAlignment="1">
      <alignment horizontal="center"/>
    </xf>
    <xf numFmtId="0" fontId="9" fillId="11" borderId="17" xfId="0" applyFont="1" applyFill="1" applyBorder="1" applyAlignment="1">
      <alignment horizontal="center"/>
    </xf>
    <xf numFmtId="0" fontId="0" fillId="0" borderId="27" xfId="0" applyBorder="1" applyAlignment="1">
      <alignment horizontal="center" vertical="center"/>
    </xf>
    <xf numFmtId="0" fontId="0" fillId="0" borderId="33" xfId="0" applyBorder="1" applyAlignment="1">
      <alignment horizontal="center" vertical="center"/>
    </xf>
    <xf numFmtId="0" fontId="0" fillId="0" borderId="30" xfId="0" applyBorder="1" applyAlignment="1">
      <alignment horizontal="center" vertical="center"/>
    </xf>
    <xf numFmtId="0" fontId="9" fillId="11" borderId="0" xfId="0" applyFont="1" applyFill="1" applyBorder="1" applyAlignment="1">
      <alignment horizontal="center"/>
    </xf>
    <xf numFmtId="0" fontId="8" fillId="10" borderId="9" xfId="0" applyFont="1" applyFill="1" applyBorder="1" applyAlignment="1">
      <alignment horizontal="left"/>
    </xf>
    <xf numFmtId="0" fontId="21" fillId="10" borderId="37" xfId="0" quotePrefix="1" applyFont="1" applyFill="1" applyBorder="1" applyAlignment="1">
      <alignment horizontal="center" vertical="center"/>
    </xf>
    <xf numFmtId="0" fontId="21" fillId="10" borderId="38" xfId="0" quotePrefix="1" applyFont="1" applyFill="1" applyBorder="1" applyAlignment="1">
      <alignment horizontal="center" vertical="center"/>
    </xf>
    <xf numFmtId="0" fontId="21" fillId="10" borderId="39" xfId="0" quotePrefix="1" applyFont="1" applyFill="1" applyBorder="1" applyAlignment="1">
      <alignment horizontal="center" vertical="center"/>
    </xf>
    <xf numFmtId="0" fontId="20" fillId="0" borderId="37" xfId="0" applyFont="1" applyBorder="1" applyAlignment="1">
      <alignment horizontal="center"/>
    </xf>
    <xf numFmtId="0" fontId="20" fillId="0" borderId="38" xfId="0" applyFont="1" applyBorder="1" applyAlignment="1">
      <alignment horizontal="center"/>
    </xf>
    <xf numFmtId="0" fontId="20" fillId="0" borderId="39" xfId="0" applyFont="1" applyBorder="1" applyAlignment="1">
      <alignment horizontal="center"/>
    </xf>
    <xf numFmtId="0" fontId="29" fillId="10" borderId="52" xfId="0" applyFont="1" applyFill="1" applyBorder="1" applyAlignment="1">
      <alignment horizontal="center" vertical="center"/>
    </xf>
    <xf numFmtId="0" fontId="29" fillId="10" borderId="38" xfId="0" applyFont="1" applyFill="1" applyBorder="1" applyAlignment="1">
      <alignment horizontal="center" vertical="center"/>
    </xf>
    <xf numFmtId="0" fontId="29" fillId="10" borderId="39" xfId="0" applyFont="1" applyFill="1" applyBorder="1" applyAlignment="1">
      <alignment horizontal="center" vertical="center"/>
    </xf>
    <xf numFmtId="0" fontId="23" fillId="0" borderId="37" xfId="0" applyFont="1" applyBorder="1" applyAlignment="1">
      <alignment horizontal="left" vertical="center"/>
    </xf>
    <xf numFmtId="0" fontId="23" fillId="0" borderId="38" xfId="0" applyFont="1" applyBorder="1" applyAlignment="1">
      <alignment horizontal="left" vertical="center"/>
    </xf>
    <xf numFmtId="0" fontId="23" fillId="0" borderId="39" xfId="0" applyFont="1" applyBorder="1" applyAlignment="1">
      <alignment horizontal="left" vertical="center"/>
    </xf>
    <xf numFmtId="0" fontId="20" fillId="10" borderId="37" xfId="0" quotePrefix="1" applyFont="1" applyFill="1" applyBorder="1" applyAlignment="1">
      <alignment horizontal="center" vertical="center"/>
    </xf>
    <xf numFmtId="0" fontId="20" fillId="10" borderId="38" xfId="0" quotePrefix="1" applyFont="1" applyFill="1" applyBorder="1" applyAlignment="1">
      <alignment horizontal="center" vertical="center"/>
    </xf>
    <xf numFmtId="0" fontId="20" fillId="10" borderId="39" xfId="0" quotePrefix="1"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168" fontId="5" fillId="8" borderId="7" xfId="2" applyNumberFormat="1" applyAlignment="1" applyProtection="1">
      <alignment horizontal="right" vertical="center"/>
    </xf>
  </cellXfs>
  <cellStyles count="10">
    <cellStyle name="Calcul" xfId="4" builtinId="22"/>
    <cellStyle name="Comma 2" xfId="8"/>
    <cellStyle name="Entrée" xfId="2" builtinId="20"/>
    <cellStyle name="Insatisfaisant" xfId="5" builtinId="27"/>
    <cellStyle name="Lien hypertexte" xfId="9" builtinId="8"/>
    <cellStyle name="Milliers" xfId="6" builtinId="3"/>
    <cellStyle name="Normal" xfId="0" builtinId="0"/>
    <cellStyle name="Normal 10" xfId="7"/>
    <cellStyle name="Pourcentage" xfId="1" builtinId="5"/>
    <cellStyle name="Sortie" xfId="3" builtinId="21"/>
  </cellStyles>
  <dxfs count="1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val="0"/>
        <i val="0"/>
        <color theme="1"/>
      </font>
      <fill>
        <patternFill>
          <bgColor rgb="FFFFC000"/>
        </patternFill>
      </fill>
    </dxf>
    <dxf>
      <font>
        <b val="0"/>
        <i val="0"/>
        <color theme="1"/>
      </font>
      <fill>
        <patternFill>
          <bgColor rgb="FFFFC000"/>
        </patternFill>
      </fill>
    </dxf>
    <dxf>
      <font>
        <b val="0"/>
        <i val="0"/>
        <color theme="1"/>
      </font>
      <fill>
        <patternFill>
          <bgColor rgb="FFFFC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123825</xdr:colOff>
      <xdr:row>2</xdr:row>
      <xdr:rowOff>133351</xdr:rowOff>
    </xdr:from>
    <xdr:to>
      <xdr:col>17</xdr:col>
      <xdr:colOff>657225</xdr:colOff>
      <xdr:row>24</xdr:row>
      <xdr:rowOff>95250</xdr:rowOff>
    </xdr:to>
    <xdr:pic>
      <xdr:nvPicPr>
        <xdr:cNvPr id="4" name="Image 3"/>
        <xdr:cNvPicPr>
          <a:picLocks noChangeAspect="1"/>
        </xdr:cNvPicPr>
      </xdr:nvPicPr>
      <xdr:blipFill>
        <a:blip xmlns:r="http://schemas.openxmlformats.org/officeDocument/2006/relationships" r:embed="rId1"/>
        <a:stretch>
          <a:fillRect/>
        </a:stretch>
      </xdr:blipFill>
      <xdr:spPr>
        <a:xfrm>
          <a:off x="6800850" y="666751"/>
          <a:ext cx="8915400" cy="4905374"/>
        </a:xfrm>
        <a:prstGeom prst="rect">
          <a:avLst/>
        </a:prstGeom>
        <a:ln w="127000" cap="sq">
          <a:solidFill>
            <a:srgbClr val="000000"/>
          </a:solidFill>
          <a:miter lim="8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5443</xdr:colOff>
      <xdr:row>28</xdr:row>
      <xdr:rowOff>32657</xdr:rowOff>
    </xdr:from>
    <xdr:to>
      <xdr:col>4</xdr:col>
      <xdr:colOff>223157</xdr:colOff>
      <xdr:row>30</xdr:row>
      <xdr:rowOff>5443</xdr:rowOff>
    </xdr:to>
    <xdr:cxnSp macro="">
      <xdr:nvCxnSpPr>
        <xdr:cNvPr id="3" name="Connecteur droit avec flèche 2">
          <a:extLst>
            <a:ext uri="{FF2B5EF4-FFF2-40B4-BE49-F238E27FC236}">
              <a16:creationId xmlns:a16="http://schemas.microsoft.com/office/drawing/2014/main" id="{170A3DD6-AEC5-4364-9AEB-18F74EF5A4B1}"/>
            </a:ext>
          </a:extLst>
        </xdr:cNvPr>
        <xdr:cNvCxnSpPr/>
      </xdr:nvCxnSpPr>
      <xdr:spPr>
        <a:xfrm flipV="1">
          <a:off x="5372100" y="3434443"/>
          <a:ext cx="217714" cy="342900"/>
        </a:xfrm>
        <a:prstGeom prst="straightConnector1">
          <a:avLst/>
        </a:prstGeom>
        <a:ln>
          <a:solidFill>
            <a:schemeClr val="accent6"/>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604157</xdr:colOff>
      <xdr:row>28</xdr:row>
      <xdr:rowOff>32658</xdr:rowOff>
    </xdr:from>
    <xdr:to>
      <xdr:col>6</xdr:col>
      <xdr:colOff>5443</xdr:colOff>
      <xdr:row>30</xdr:row>
      <xdr:rowOff>5443</xdr:rowOff>
    </xdr:to>
    <xdr:cxnSp macro="">
      <xdr:nvCxnSpPr>
        <xdr:cNvPr id="5" name="Connecteur droit avec flèche 4">
          <a:extLst>
            <a:ext uri="{FF2B5EF4-FFF2-40B4-BE49-F238E27FC236}">
              <a16:creationId xmlns:a16="http://schemas.microsoft.com/office/drawing/2014/main" id="{637F361F-4EEB-4058-BDBA-DFF6A2AD4314}"/>
            </a:ext>
          </a:extLst>
        </xdr:cNvPr>
        <xdr:cNvCxnSpPr/>
      </xdr:nvCxnSpPr>
      <xdr:spPr>
        <a:xfrm flipH="1" flipV="1">
          <a:off x="6879771" y="3434444"/>
          <a:ext cx="310243" cy="3428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10886</xdr:colOff>
      <xdr:row>25</xdr:row>
      <xdr:rowOff>185057</xdr:rowOff>
    </xdr:from>
    <xdr:to>
      <xdr:col>1</xdr:col>
      <xdr:colOff>892628</xdr:colOff>
      <xdr:row>26</xdr:row>
      <xdr:rowOff>136072</xdr:rowOff>
    </xdr:to>
    <xdr:cxnSp macro="">
      <xdr:nvCxnSpPr>
        <xdr:cNvPr id="7" name="Connecteur droit avec flèche 6">
          <a:extLst>
            <a:ext uri="{FF2B5EF4-FFF2-40B4-BE49-F238E27FC236}">
              <a16:creationId xmlns:a16="http://schemas.microsoft.com/office/drawing/2014/main" id="{280B3AFC-D389-4B11-B22F-03EC9A801684}"/>
            </a:ext>
          </a:extLst>
        </xdr:cNvPr>
        <xdr:cNvCxnSpPr/>
      </xdr:nvCxnSpPr>
      <xdr:spPr>
        <a:xfrm flipV="1">
          <a:off x="2650672" y="3031671"/>
          <a:ext cx="881742" cy="136072"/>
        </a:xfrm>
        <a:prstGeom prst="straightConnector1">
          <a:avLst/>
        </a:prstGeom>
        <a:ln>
          <a:solidFill>
            <a:schemeClr val="accent2">
              <a:lumMod val="60000"/>
              <a:lumOff val="4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466820</xdr:colOff>
      <xdr:row>1</xdr:row>
      <xdr:rowOff>112060</xdr:rowOff>
    </xdr:from>
    <xdr:to>
      <xdr:col>14</xdr:col>
      <xdr:colOff>408151</xdr:colOff>
      <xdr:row>24</xdr:row>
      <xdr:rowOff>177209</xdr:rowOff>
    </xdr:to>
    <xdr:pic>
      <xdr:nvPicPr>
        <xdr:cNvPr id="9" name="Image 8"/>
        <xdr:cNvPicPr>
          <a:picLocks noChangeAspect="1"/>
        </xdr:cNvPicPr>
      </xdr:nvPicPr>
      <xdr:blipFill>
        <a:blip xmlns:r="http://schemas.openxmlformats.org/officeDocument/2006/relationships" r:embed="rId1"/>
        <a:stretch>
          <a:fillRect/>
        </a:stretch>
      </xdr:blipFill>
      <xdr:spPr>
        <a:xfrm>
          <a:off x="7548938" y="448236"/>
          <a:ext cx="8581066" cy="4637149"/>
        </a:xfrm>
        <a:prstGeom prst="rect">
          <a:avLst/>
        </a:prstGeom>
        <a:ln w="127000" cap="sq">
          <a:solidFill>
            <a:srgbClr val="000000"/>
          </a:solidFill>
          <a:miter lim="800000"/>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190500</xdr:colOff>
      <xdr:row>20</xdr:row>
      <xdr:rowOff>137462</xdr:rowOff>
    </xdr:from>
    <xdr:to>
      <xdr:col>13</xdr:col>
      <xdr:colOff>2881566</xdr:colOff>
      <xdr:row>29</xdr:row>
      <xdr:rowOff>66675</xdr:rowOff>
    </xdr:to>
    <xdr:pic>
      <xdr:nvPicPr>
        <xdr:cNvPr id="4" name="Imag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89324" y="4496550"/>
          <a:ext cx="2691066" cy="2035919"/>
        </a:xfrm>
        <a:prstGeom prst="rect">
          <a:avLst/>
        </a:prstGeom>
        <a:ln w="127000" cap="sq">
          <a:solidFill>
            <a:srgbClr val="000000"/>
          </a:solidFill>
          <a:miter lim="800000"/>
        </a:ln>
        <a:effectLst>
          <a:outerShdw blurRad="57150" dist="50800" dir="2700000" algn="tl" rotWithShape="0">
            <a:srgbClr val="000000">
              <a:alpha val="40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133350</xdr:colOff>
      <xdr:row>21</xdr:row>
      <xdr:rowOff>120808</xdr:rowOff>
    </xdr:from>
    <xdr:to>
      <xdr:col>24</xdr:col>
      <xdr:colOff>567046</xdr:colOff>
      <xdr:row>29</xdr:row>
      <xdr:rowOff>95251</xdr:rowOff>
    </xdr:to>
    <xdr:grpSp>
      <xdr:nvGrpSpPr>
        <xdr:cNvPr id="8" name="Groupe 7"/>
        <xdr:cNvGrpSpPr/>
      </xdr:nvGrpSpPr>
      <xdr:grpSpPr>
        <a:xfrm>
          <a:off x="18783300" y="4664233"/>
          <a:ext cx="7291696" cy="1888968"/>
          <a:chOff x="12524102" y="880827"/>
          <a:chExt cx="5330943" cy="2547542"/>
        </a:xfrm>
      </xdr:grpSpPr>
      <xdr:pic>
        <xdr:nvPicPr>
          <xdr:cNvPr id="5" name="Image 4" descr="On-board DC/DC battery chargers EURO6 complia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524102" y="880827"/>
            <a:ext cx="5330943" cy="2547542"/>
          </a:xfrm>
          <a:prstGeom prst="rect">
            <a:avLst/>
          </a:prstGeom>
          <a:ln w="127000" cap="sq">
            <a:solidFill>
              <a:srgbClr val="000000"/>
            </a:solidFill>
            <a:miter lim="800000"/>
          </a:ln>
          <a:effectLst>
            <a:outerShdw blurRad="57150" dist="50800" dir="2700000" algn="tl" rotWithShape="0">
              <a:srgbClr val="000000">
                <a:alpha val="40000"/>
              </a:srgbClr>
            </a:outerShdw>
          </a:effectLst>
          <a:extLst>
            <a:ext uri="{909E8E84-426E-40DD-AFC4-6F175D3DCCD1}">
              <a14:hiddenFill xmlns:a14="http://schemas.microsoft.com/office/drawing/2010/main">
                <a:solidFill>
                  <a:srgbClr val="FFFFFF"/>
                </a:solidFill>
              </a14:hiddenFill>
            </a:ext>
          </a:extLst>
        </xdr:spPr>
      </xdr:pic>
      <xdr:sp macro="" textlink="">
        <xdr:nvSpPr>
          <xdr:cNvPr id="6" name="Rectangle 5"/>
          <xdr:cNvSpPr/>
        </xdr:nvSpPr>
        <xdr:spPr>
          <a:xfrm>
            <a:off x="16613558" y="1004455"/>
            <a:ext cx="1016352" cy="2286000"/>
          </a:xfrm>
          <a:prstGeom prst="rect">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16</xdr:col>
      <xdr:colOff>701458</xdr:colOff>
      <xdr:row>2</xdr:row>
      <xdr:rowOff>178691</xdr:rowOff>
    </xdr:from>
    <xdr:to>
      <xdr:col>23</xdr:col>
      <xdr:colOff>236342</xdr:colOff>
      <xdr:row>17</xdr:row>
      <xdr:rowOff>29477</xdr:rowOff>
    </xdr:to>
    <xdr:pic>
      <xdr:nvPicPr>
        <xdr:cNvPr id="7" name="Image 6" descr="The number of cycles of the battery versus the depth-of-discharge (DOD)...  | Download Scientific Diagram"/>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812565" y="722977"/>
          <a:ext cx="4868884" cy="3106815"/>
        </a:xfrm>
        <a:prstGeom prst="rect">
          <a:avLst/>
        </a:prstGeom>
        <a:ln w="127000" cap="sq">
          <a:solidFill>
            <a:srgbClr val="000000"/>
          </a:solidFill>
          <a:miter lim="800000"/>
        </a:ln>
        <a:effectLst>
          <a:outerShdw blurRad="57150" dist="50800" dir="2700000" algn="tl" rotWithShape="0">
            <a:srgbClr val="000000">
              <a:alpha val="40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ritarpower.com/uploads/ueditor/spec/DG12-200.pdf" TargetMode="External"/><Relationship Id="rId1" Type="http://schemas.openxmlformats.org/officeDocument/2006/relationships/hyperlink" Target="https://www.europe-solarstore.com/victron-gel-24-opzv-3000-turbular-plate-2v-cells-battery.htm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topLeftCell="A4" zoomScale="85" zoomScaleNormal="85" workbookViewId="0">
      <selection activeCell="B19" sqref="B19:D19"/>
    </sheetView>
    <sheetView showGridLines="0" workbookViewId="1">
      <selection sqref="A1:E1"/>
    </sheetView>
  </sheetViews>
  <sheetFormatPr baseColWidth="10" defaultRowHeight="15" x14ac:dyDescent="0.25"/>
  <cols>
    <col min="1" max="1" width="24.5703125" customWidth="1"/>
    <col min="2" max="2" width="38.42578125" bestFit="1" customWidth="1"/>
    <col min="6" max="6" width="2.85546875" customWidth="1"/>
    <col min="18" max="18" width="11.7109375" customWidth="1"/>
  </cols>
  <sheetData>
    <row r="1" spans="1:18" ht="26.25" x14ac:dyDescent="0.4">
      <c r="A1" s="173" t="s">
        <v>4</v>
      </c>
      <c r="B1" s="173"/>
      <c r="C1" s="173"/>
      <c r="D1" s="173"/>
      <c r="E1" s="173"/>
      <c r="G1" s="174" t="s">
        <v>592</v>
      </c>
      <c r="H1" s="174"/>
      <c r="I1" s="174"/>
      <c r="J1" s="174"/>
      <c r="K1" s="174"/>
      <c r="L1" s="174"/>
      <c r="M1" s="174"/>
      <c r="N1" s="174"/>
      <c r="O1" s="174"/>
      <c r="P1" s="174"/>
      <c r="Q1" s="174"/>
      <c r="R1" s="174"/>
    </row>
    <row r="2" spans="1:18" ht="15.75" x14ac:dyDescent="0.25">
      <c r="A2" s="175" t="s">
        <v>602</v>
      </c>
      <c r="B2" s="175"/>
      <c r="C2" s="175"/>
      <c r="G2" s="174"/>
      <c r="H2" s="174"/>
      <c r="I2" s="174"/>
      <c r="J2" s="174"/>
      <c r="K2" s="174"/>
      <c r="L2" s="174"/>
      <c r="M2" s="174"/>
      <c r="N2" s="174"/>
      <c r="O2" s="174"/>
      <c r="P2" s="174"/>
      <c r="Q2" s="174"/>
      <c r="R2" s="174"/>
    </row>
    <row r="3" spans="1:18" x14ac:dyDescent="0.25">
      <c r="A3" s="21" t="s">
        <v>5</v>
      </c>
      <c r="B3" s="19" t="s">
        <v>603</v>
      </c>
      <c r="C3" s="19"/>
    </row>
    <row r="4" spans="1:18" x14ac:dyDescent="0.25">
      <c r="B4" s="19" t="s">
        <v>604</v>
      </c>
      <c r="C4" s="19"/>
    </row>
    <row r="5" spans="1:18" x14ac:dyDescent="0.25">
      <c r="B5" s="19" t="s">
        <v>606</v>
      </c>
      <c r="C5" s="19"/>
    </row>
    <row r="6" spans="1:18" x14ac:dyDescent="0.25">
      <c r="B6" s="19" t="s">
        <v>605</v>
      </c>
      <c r="C6" s="19"/>
    </row>
    <row r="8" spans="1:18" ht="15.75" x14ac:dyDescent="0.25">
      <c r="A8" s="11" t="s">
        <v>6</v>
      </c>
      <c r="B8" s="11"/>
      <c r="C8" s="11"/>
      <c r="D8" s="11"/>
      <c r="E8" s="11"/>
    </row>
    <row r="9" spans="1:18" x14ac:dyDescent="0.25">
      <c r="A9" s="12" t="s">
        <v>7</v>
      </c>
      <c r="B9" t="s">
        <v>8</v>
      </c>
    </row>
    <row r="10" spans="1:18" x14ac:dyDescent="0.25">
      <c r="A10" s="13" t="s">
        <v>9</v>
      </c>
      <c r="B10" t="s">
        <v>10</v>
      </c>
    </row>
    <row r="11" spans="1:18" x14ac:dyDescent="0.25">
      <c r="A11" s="14" t="s">
        <v>11</v>
      </c>
      <c r="B11" t="s">
        <v>12</v>
      </c>
    </row>
    <row r="12" spans="1:18" x14ac:dyDescent="0.25">
      <c r="A12" s="15" t="s">
        <v>13</v>
      </c>
      <c r="B12" t="s">
        <v>12</v>
      </c>
    </row>
    <row r="14" spans="1:18" ht="26.25" x14ac:dyDescent="0.4">
      <c r="A14" s="173" t="s">
        <v>14</v>
      </c>
      <c r="B14" s="173"/>
      <c r="C14" s="173"/>
      <c r="D14" s="173"/>
      <c r="E14" s="173"/>
    </row>
    <row r="15" spans="1:18" ht="15.75" x14ac:dyDescent="0.25">
      <c r="A15" s="11" t="s">
        <v>254</v>
      </c>
      <c r="B15" s="11"/>
      <c r="C15" s="11"/>
      <c r="D15" s="11"/>
      <c r="E15" s="11"/>
    </row>
    <row r="16" spans="1:18" x14ac:dyDescent="0.25">
      <c r="A16" s="61" t="s">
        <v>34</v>
      </c>
      <c r="B16" s="176" t="s">
        <v>18</v>
      </c>
      <c r="C16" s="177"/>
      <c r="D16" s="178"/>
    </row>
    <row r="17" spans="1:16" x14ac:dyDescent="0.25">
      <c r="A17" s="61" t="s">
        <v>35</v>
      </c>
      <c r="B17" s="176" t="s">
        <v>20</v>
      </c>
      <c r="C17" s="177"/>
      <c r="D17" s="178"/>
    </row>
    <row r="18" spans="1:16" x14ac:dyDescent="0.25">
      <c r="A18" s="61" t="s">
        <v>36</v>
      </c>
      <c r="B18" s="176" t="s">
        <v>21</v>
      </c>
      <c r="C18" s="177"/>
      <c r="D18" s="178"/>
    </row>
    <row r="19" spans="1:16" x14ac:dyDescent="0.25">
      <c r="A19" s="61" t="s">
        <v>37</v>
      </c>
      <c r="B19" s="176" t="s">
        <v>22</v>
      </c>
      <c r="C19" s="177"/>
      <c r="D19" s="178"/>
    </row>
    <row r="20" spans="1:16" ht="45.75" customHeight="1" x14ac:dyDescent="0.25">
      <c r="A20" s="72" t="s">
        <v>38</v>
      </c>
      <c r="B20" s="168" t="s">
        <v>51</v>
      </c>
      <c r="C20" s="168"/>
      <c r="D20" s="168"/>
    </row>
    <row r="21" spans="1:16" x14ac:dyDescent="0.25">
      <c r="A21" s="61" t="s">
        <v>39</v>
      </c>
      <c r="B21" s="176" t="s">
        <v>23</v>
      </c>
      <c r="C21" s="177"/>
      <c r="D21" s="178"/>
    </row>
    <row r="22" spans="1:16" x14ac:dyDescent="0.25">
      <c r="A22" s="61" t="s">
        <v>40</v>
      </c>
      <c r="B22" s="176" t="s">
        <v>23</v>
      </c>
      <c r="C22" s="177"/>
      <c r="D22" s="178"/>
      <c r="P22" s="71" t="s">
        <v>246</v>
      </c>
    </row>
    <row r="23" spans="1:16" x14ac:dyDescent="0.25">
      <c r="A23" s="19" t="s">
        <v>19</v>
      </c>
      <c r="B23" s="12"/>
      <c r="C23" s="12"/>
      <c r="D23" s="12"/>
    </row>
    <row r="24" spans="1:16" ht="30.75" customHeight="1" x14ac:dyDescent="0.25">
      <c r="A24" s="179" t="s">
        <v>255</v>
      </c>
      <c r="B24" s="179"/>
      <c r="C24" s="179"/>
      <c r="D24" s="179"/>
    </row>
    <row r="25" spans="1:16" x14ac:dyDescent="0.25">
      <c r="A25" s="72" t="s">
        <v>247</v>
      </c>
      <c r="B25" s="168" t="s">
        <v>248</v>
      </c>
      <c r="C25" s="168"/>
      <c r="D25" s="168"/>
    </row>
    <row r="26" spans="1:16" ht="30" customHeight="1" x14ac:dyDescent="0.25">
      <c r="A26" s="72" t="s">
        <v>249</v>
      </c>
      <c r="B26" s="168" t="s">
        <v>250</v>
      </c>
      <c r="C26" s="168"/>
      <c r="D26" s="168"/>
    </row>
    <row r="27" spans="1:16" x14ac:dyDescent="0.25">
      <c r="A27" s="72" t="s">
        <v>251</v>
      </c>
      <c r="B27" s="168" t="s">
        <v>252</v>
      </c>
      <c r="C27" s="168"/>
      <c r="D27" s="168"/>
    </row>
    <row r="28" spans="1:16" ht="30" customHeight="1" x14ac:dyDescent="0.25">
      <c r="A28" s="72" t="s">
        <v>231</v>
      </c>
      <c r="B28" s="168" t="s">
        <v>253</v>
      </c>
      <c r="C28" s="168"/>
      <c r="D28" s="168"/>
    </row>
    <row r="29" spans="1:16" x14ac:dyDescent="0.25">
      <c r="A29" s="19" t="s">
        <v>591</v>
      </c>
      <c r="B29" s="12"/>
      <c r="C29" s="12"/>
      <c r="D29" s="12"/>
    </row>
    <row r="30" spans="1:16" ht="45.75" customHeight="1" x14ac:dyDescent="0.25">
      <c r="A30" s="167" t="s">
        <v>539</v>
      </c>
      <c r="B30" s="167"/>
      <c r="C30" s="167"/>
      <c r="D30" s="167"/>
    </row>
    <row r="31" spans="1:16" ht="30" customHeight="1" x14ac:dyDescent="0.25">
      <c r="A31" s="72" t="s">
        <v>540</v>
      </c>
      <c r="B31" s="168" t="s">
        <v>542</v>
      </c>
      <c r="C31" s="168"/>
      <c r="D31" s="168"/>
    </row>
    <row r="32" spans="1:16" ht="30.75" customHeight="1" x14ac:dyDescent="0.25">
      <c r="A32" s="72" t="s">
        <v>541</v>
      </c>
      <c r="B32" s="168" t="s">
        <v>543</v>
      </c>
      <c r="C32" s="168"/>
      <c r="D32" s="168"/>
    </row>
    <row r="34" spans="1:5" ht="26.25" x14ac:dyDescent="0.4">
      <c r="A34" s="173" t="s">
        <v>256</v>
      </c>
      <c r="B34" s="173"/>
      <c r="C34" s="173"/>
      <c r="D34" s="173"/>
      <c r="E34" s="173"/>
    </row>
    <row r="35" spans="1:5" x14ac:dyDescent="0.25">
      <c r="A35" s="169" t="s">
        <v>257</v>
      </c>
      <c r="B35" s="170"/>
    </row>
    <row r="36" spans="1:5" x14ac:dyDescent="0.25">
      <c r="A36" s="168" t="s">
        <v>534</v>
      </c>
      <c r="B36" s="168"/>
    </row>
    <row r="37" spans="1:5" ht="45" customHeight="1" x14ac:dyDescent="0.25">
      <c r="A37" s="168" t="s">
        <v>535</v>
      </c>
      <c r="B37" s="168"/>
    </row>
    <row r="38" spans="1:5" x14ac:dyDescent="0.25">
      <c r="A38" s="168" t="s">
        <v>538</v>
      </c>
      <c r="B38" s="168"/>
    </row>
    <row r="39" spans="1:5" x14ac:dyDescent="0.25">
      <c r="A39" s="47"/>
      <c r="B39" s="47"/>
    </row>
    <row r="40" spans="1:5" x14ac:dyDescent="0.25">
      <c r="A40" s="171" t="s">
        <v>536</v>
      </c>
      <c r="B40" s="172"/>
    </row>
    <row r="41" spans="1:5" ht="33" customHeight="1" x14ac:dyDescent="0.25">
      <c r="A41" s="168" t="s">
        <v>537</v>
      </c>
      <c r="B41" s="168"/>
    </row>
    <row r="42" spans="1:5" x14ac:dyDescent="0.25">
      <c r="A42" s="47"/>
      <c r="B42" s="47"/>
    </row>
    <row r="43" spans="1:5" x14ac:dyDescent="0.25">
      <c r="A43" s="171" t="s">
        <v>259</v>
      </c>
      <c r="B43" s="172"/>
    </row>
    <row r="44" spans="1:5" ht="32.25" customHeight="1" x14ac:dyDescent="0.25">
      <c r="A44" s="168" t="s">
        <v>260</v>
      </c>
      <c r="B44" s="168"/>
    </row>
  </sheetData>
  <mergeCells count="28">
    <mergeCell ref="B25:D25"/>
    <mergeCell ref="B16:D16"/>
    <mergeCell ref="B17:D17"/>
    <mergeCell ref="B18:D18"/>
    <mergeCell ref="B19:D19"/>
    <mergeCell ref="B21:D21"/>
    <mergeCell ref="B22:D22"/>
    <mergeCell ref="A24:D24"/>
    <mergeCell ref="G1:R2"/>
    <mergeCell ref="A1:E1"/>
    <mergeCell ref="A14:E14"/>
    <mergeCell ref="A2:C2"/>
    <mergeCell ref="B20:D20"/>
    <mergeCell ref="A30:D30"/>
    <mergeCell ref="B26:D26"/>
    <mergeCell ref="B27:D27"/>
    <mergeCell ref="B28:D28"/>
    <mergeCell ref="A44:B44"/>
    <mergeCell ref="B32:D32"/>
    <mergeCell ref="B31:D31"/>
    <mergeCell ref="A35:B35"/>
    <mergeCell ref="A40:B40"/>
    <mergeCell ref="A43:B43"/>
    <mergeCell ref="A36:B36"/>
    <mergeCell ref="A37:B37"/>
    <mergeCell ref="A38:B38"/>
    <mergeCell ref="A41:B41"/>
    <mergeCell ref="A34:E3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showGridLines="0" tabSelected="1" topLeftCell="A43" workbookViewId="0">
      <selection activeCell="A62" sqref="A62:B66"/>
    </sheetView>
    <sheetView showGridLines="0" workbookViewId="1"/>
  </sheetViews>
  <sheetFormatPr baseColWidth="10" defaultRowHeight="15" x14ac:dyDescent="0.25"/>
  <cols>
    <col min="1" max="1" width="18.140625" customWidth="1"/>
    <col min="2" max="2" width="78" style="47" customWidth="1"/>
  </cols>
  <sheetData>
    <row r="1" spans="1:2" x14ac:dyDescent="0.25">
      <c r="A1" s="82"/>
      <c r="B1" s="83"/>
    </row>
    <row r="2" spans="1:2" ht="18.75" x14ac:dyDescent="0.3">
      <c r="A2" s="84" t="s">
        <v>362</v>
      </c>
      <c r="B2" s="85" t="s">
        <v>363</v>
      </c>
    </row>
    <row r="3" spans="1:2" x14ac:dyDescent="0.25">
      <c r="A3" s="226" t="s">
        <v>364</v>
      </c>
      <c r="B3" s="86" t="s">
        <v>365</v>
      </c>
    </row>
    <row r="4" spans="1:2" x14ac:dyDescent="0.25">
      <c r="A4" s="226"/>
      <c r="B4" s="86" t="s">
        <v>366</v>
      </c>
    </row>
    <row r="5" spans="1:2" x14ac:dyDescent="0.25">
      <c r="A5" s="226"/>
      <c r="B5" s="86" t="s">
        <v>367</v>
      </c>
    </row>
    <row r="6" spans="1:2" x14ac:dyDescent="0.25">
      <c r="A6" s="226"/>
      <c r="B6" s="86" t="s">
        <v>368</v>
      </c>
    </row>
    <row r="7" spans="1:2" ht="30" x14ac:dyDescent="0.25">
      <c r="A7" s="226"/>
      <c r="B7" s="86" t="s">
        <v>369</v>
      </c>
    </row>
    <row r="8" spans="1:2" x14ac:dyDescent="0.25">
      <c r="A8" s="226" t="s">
        <v>370</v>
      </c>
      <c r="B8" s="86" t="s">
        <v>365</v>
      </c>
    </row>
    <row r="9" spans="1:2" ht="30" x14ac:dyDescent="0.25">
      <c r="A9" s="226"/>
      <c r="B9" s="86" t="s">
        <v>371</v>
      </c>
    </row>
    <row r="10" spans="1:2" x14ac:dyDescent="0.25">
      <c r="A10" s="226"/>
      <c r="B10" s="86" t="s">
        <v>372</v>
      </c>
    </row>
    <row r="11" spans="1:2" x14ac:dyDescent="0.25">
      <c r="A11" s="226" t="s">
        <v>373</v>
      </c>
      <c r="B11" s="86" t="s">
        <v>374</v>
      </c>
    </row>
    <row r="12" spans="1:2" x14ac:dyDescent="0.25">
      <c r="A12" s="226"/>
      <c r="B12" s="86" t="s">
        <v>375</v>
      </c>
    </row>
    <row r="13" spans="1:2" x14ac:dyDescent="0.25">
      <c r="A13" s="226"/>
      <c r="B13" s="86" t="s">
        <v>376</v>
      </c>
    </row>
    <row r="14" spans="1:2" x14ac:dyDescent="0.25">
      <c r="A14" s="226"/>
      <c r="B14" s="86" t="s">
        <v>377</v>
      </c>
    </row>
    <row r="15" spans="1:2" ht="30" x14ac:dyDescent="0.25">
      <c r="A15" s="226"/>
      <c r="B15" s="86" t="s">
        <v>378</v>
      </c>
    </row>
    <row r="16" spans="1:2" x14ac:dyDescent="0.25">
      <c r="A16" s="226"/>
      <c r="B16" s="86" t="s">
        <v>379</v>
      </c>
    </row>
    <row r="17" spans="1:2" x14ac:dyDescent="0.25">
      <c r="A17" s="226"/>
      <c r="B17" s="86" t="s">
        <v>380</v>
      </c>
    </row>
    <row r="18" spans="1:2" ht="30" x14ac:dyDescent="0.25">
      <c r="A18" s="226"/>
      <c r="B18" s="86" t="s">
        <v>381</v>
      </c>
    </row>
    <row r="19" spans="1:2" x14ac:dyDescent="0.25">
      <c r="A19" s="226"/>
      <c r="B19" s="86" t="s">
        <v>382</v>
      </c>
    </row>
    <row r="20" spans="1:2" x14ac:dyDescent="0.25">
      <c r="A20" s="227" t="s">
        <v>383</v>
      </c>
      <c r="B20" s="86" t="s">
        <v>384</v>
      </c>
    </row>
    <row r="21" spans="1:2" x14ac:dyDescent="0.25">
      <c r="A21" s="227"/>
      <c r="B21" s="86" t="s">
        <v>385</v>
      </c>
    </row>
    <row r="22" spans="1:2" ht="30" x14ac:dyDescent="0.25">
      <c r="A22" s="227"/>
      <c r="B22" s="86" t="s">
        <v>386</v>
      </c>
    </row>
    <row r="23" spans="1:2" x14ac:dyDescent="0.25">
      <c r="A23" s="227"/>
      <c r="B23" s="86" t="s">
        <v>387</v>
      </c>
    </row>
    <row r="24" spans="1:2" x14ac:dyDescent="0.25">
      <c r="A24" s="226" t="s">
        <v>388</v>
      </c>
      <c r="B24" s="86" t="s">
        <v>384</v>
      </c>
    </row>
    <row r="25" spans="1:2" x14ac:dyDescent="0.25">
      <c r="A25" s="226"/>
      <c r="B25" s="87" t="s">
        <v>389</v>
      </c>
    </row>
    <row r="26" spans="1:2" x14ac:dyDescent="0.25">
      <c r="A26" s="226"/>
      <c r="B26" s="86" t="s">
        <v>390</v>
      </c>
    </row>
    <row r="27" spans="1:2" x14ac:dyDescent="0.25">
      <c r="A27" s="226"/>
      <c r="B27" s="86" t="s">
        <v>391</v>
      </c>
    </row>
    <row r="28" spans="1:2" x14ac:dyDescent="0.25">
      <c r="A28" s="226"/>
      <c r="B28" s="86" t="s">
        <v>392</v>
      </c>
    </row>
    <row r="29" spans="1:2" x14ac:dyDescent="0.25">
      <c r="A29" s="226" t="s">
        <v>393</v>
      </c>
      <c r="B29" s="86" t="s">
        <v>394</v>
      </c>
    </row>
    <row r="30" spans="1:2" x14ac:dyDescent="0.25">
      <c r="A30" s="226"/>
      <c r="B30" s="86" t="s">
        <v>395</v>
      </c>
    </row>
    <row r="31" spans="1:2" ht="30" x14ac:dyDescent="0.25">
      <c r="A31" s="226"/>
      <c r="B31" s="86" t="s">
        <v>396</v>
      </c>
    </row>
    <row r="32" spans="1:2" x14ac:dyDescent="0.25">
      <c r="A32" s="226"/>
      <c r="B32" s="86" t="s">
        <v>397</v>
      </c>
    </row>
    <row r="33" spans="1:2" ht="30" x14ac:dyDescent="0.25">
      <c r="A33" s="226"/>
      <c r="B33" s="86" t="s">
        <v>398</v>
      </c>
    </row>
    <row r="34" spans="1:2" x14ac:dyDescent="0.25">
      <c r="A34" s="226" t="s">
        <v>399</v>
      </c>
      <c r="B34" s="86" t="s">
        <v>400</v>
      </c>
    </row>
    <row r="35" spans="1:2" x14ac:dyDescent="0.25">
      <c r="A35" s="226"/>
      <c r="B35" s="86" t="s">
        <v>401</v>
      </c>
    </row>
    <row r="36" spans="1:2" ht="30" x14ac:dyDescent="0.25">
      <c r="A36" s="226"/>
      <c r="B36" s="86" t="s">
        <v>402</v>
      </c>
    </row>
    <row r="37" spans="1:2" x14ac:dyDescent="0.25">
      <c r="A37" s="226"/>
      <c r="B37" s="86" t="s">
        <v>403</v>
      </c>
    </row>
    <row r="38" spans="1:2" x14ac:dyDescent="0.25">
      <c r="A38" s="226"/>
      <c r="B38" s="87" t="s">
        <v>404</v>
      </c>
    </row>
    <row r="39" spans="1:2" x14ac:dyDescent="0.25">
      <c r="A39" s="226"/>
      <c r="B39" s="86" t="s">
        <v>405</v>
      </c>
    </row>
    <row r="40" spans="1:2" x14ac:dyDescent="0.25">
      <c r="A40" s="226"/>
      <c r="B40" s="86" t="s">
        <v>406</v>
      </c>
    </row>
    <row r="41" spans="1:2" x14ac:dyDescent="0.25">
      <c r="A41" s="226"/>
      <c r="B41" s="87" t="s">
        <v>407</v>
      </c>
    </row>
    <row r="42" spans="1:2" x14ac:dyDescent="0.25">
      <c r="A42" s="226"/>
      <c r="B42" s="86" t="s">
        <v>408</v>
      </c>
    </row>
    <row r="43" spans="1:2" x14ac:dyDescent="0.25">
      <c r="A43" s="226"/>
      <c r="B43" s="86" t="s">
        <v>409</v>
      </c>
    </row>
    <row r="44" spans="1:2" x14ac:dyDescent="0.25">
      <c r="A44" s="226"/>
      <c r="B44" s="86" t="s">
        <v>410</v>
      </c>
    </row>
    <row r="45" spans="1:2" x14ac:dyDescent="0.25">
      <c r="A45" s="226"/>
      <c r="B45" s="86" t="s">
        <v>411</v>
      </c>
    </row>
    <row r="46" spans="1:2" x14ac:dyDescent="0.25">
      <c r="A46" s="226"/>
      <c r="B46" s="87" t="s">
        <v>412</v>
      </c>
    </row>
    <row r="47" spans="1:2" x14ac:dyDescent="0.25">
      <c r="A47" s="226"/>
      <c r="B47" s="87" t="s">
        <v>413</v>
      </c>
    </row>
    <row r="48" spans="1:2" x14ac:dyDescent="0.25">
      <c r="A48" s="226"/>
      <c r="B48" s="86" t="s">
        <v>414</v>
      </c>
    </row>
    <row r="49" spans="1:2" ht="30" x14ac:dyDescent="0.25">
      <c r="A49" s="226"/>
      <c r="B49" s="86" t="s">
        <v>415</v>
      </c>
    </row>
    <row r="50" spans="1:2" x14ac:dyDescent="0.25">
      <c r="A50" s="226"/>
      <c r="B50" s="86" t="s">
        <v>416</v>
      </c>
    </row>
    <row r="51" spans="1:2" ht="45" x14ac:dyDescent="0.25">
      <c r="A51" s="226"/>
      <c r="B51" s="86" t="s">
        <v>417</v>
      </c>
    </row>
    <row r="52" spans="1:2" x14ac:dyDescent="0.25">
      <c r="A52" s="226" t="s">
        <v>418</v>
      </c>
      <c r="B52" s="86" t="s">
        <v>419</v>
      </c>
    </row>
    <row r="53" spans="1:2" x14ac:dyDescent="0.25">
      <c r="A53" s="226"/>
      <c r="B53" s="87" t="s">
        <v>420</v>
      </c>
    </row>
    <row r="54" spans="1:2" ht="30" x14ac:dyDescent="0.25">
      <c r="A54" s="226"/>
      <c r="B54" s="87" t="s">
        <v>421</v>
      </c>
    </row>
    <row r="55" spans="1:2" x14ac:dyDescent="0.25">
      <c r="A55" s="226"/>
      <c r="B55" s="86" t="s">
        <v>422</v>
      </c>
    </row>
    <row r="56" spans="1:2" x14ac:dyDescent="0.25">
      <c r="A56" s="226"/>
      <c r="B56" s="86" t="s">
        <v>423</v>
      </c>
    </row>
    <row r="57" spans="1:2" x14ac:dyDescent="0.25">
      <c r="A57" s="226"/>
      <c r="B57" s="86" t="s">
        <v>424</v>
      </c>
    </row>
    <row r="58" spans="1:2" ht="30" x14ac:dyDescent="0.25">
      <c r="A58" s="226"/>
      <c r="B58" s="86" t="s">
        <v>425</v>
      </c>
    </row>
    <row r="59" spans="1:2" x14ac:dyDescent="0.25">
      <c r="A59" s="226"/>
      <c r="B59" s="86" t="s">
        <v>426</v>
      </c>
    </row>
    <row r="60" spans="1:2" x14ac:dyDescent="0.25">
      <c r="A60" s="226"/>
      <c r="B60" s="87" t="s">
        <v>427</v>
      </c>
    </row>
    <row r="61" spans="1:2" x14ac:dyDescent="0.25">
      <c r="A61" s="226"/>
      <c r="B61" s="87" t="s">
        <v>428</v>
      </c>
    </row>
    <row r="62" spans="1:2" x14ac:dyDescent="0.25">
      <c r="A62" s="226" t="s">
        <v>429</v>
      </c>
      <c r="B62" s="86" t="s">
        <v>430</v>
      </c>
    </row>
    <row r="63" spans="1:2" x14ac:dyDescent="0.25">
      <c r="A63" s="226"/>
      <c r="B63" s="86" t="s">
        <v>431</v>
      </c>
    </row>
    <row r="64" spans="1:2" x14ac:dyDescent="0.25">
      <c r="A64" s="226"/>
      <c r="B64" s="86" t="s">
        <v>432</v>
      </c>
    </row>
    <row r="65" spans="1:2" x14ac:dyDescent="0.25">
      <c r="A65" s="226" t="s">
        <v>433</v>
      </c>
      <c r="B65" s="86" t="s">
        <v>434</v>
      </c>
    </row>
    <row r="66" spans="1:2" x14ac:dyDescent="0.25">
      <c r="A66" s="226"/>
      <c r="B66" s="86" t="s">
        <v>435</v>
      </c>
    </row>
  </sheetData>
  <mergeCells count="10">
    <mergeCell ref="A34:A51"/>
    <mergeCell ref="A52:A61"/>
    <mergeCell ref="A62:A64"/>
    <mergeCell ref="A65:A66"/>
    <mergeCell ref="A3:A7"/>
    <mergeCell ref="A8:A10"/>
    <mergeCell ref="A11:A19"/>
    <mergeCell ref="A20:A23"/>
    <mergeCell ref="A24:A28"/>
    <mergeCell ref="A29:A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election activeCell="B21" sqref="B21"/>
    </sheetView>
    <sheetView showGridLines="0" workbookViewId="1"/>
  </sheetViews>
  <sheetFormatPr baseColWidth="10" defaultRowHeight="15" x14ac:dyDescent="0.25"/>
  <cols>
    <col min="1" max="1" width="14.42578125" bestFit="1" customWidth="1"/>
    <col min="2" max="2" width="35.85546875" customWidth="1"/>
  </cols>
  <sheetData>
    <row r="1" spans="1:3" ht="21" x14ac:dyDescent="0.35">
      <c r="A1" s="70" t="s">
        <v>284</v>
      </c>
      <c r="B1" s="70"/>
      <c r="C1" s="70"/>
    </row>
    <row r="2" spans="1:3" ht="15.75" x14ac:dyDescent="0.25">
      <c r="A2" s="61" t="s">
        <v>283</v>
      </c>
      <c r="B2" s="75"/>
      <c r="C2" s="60"/>
    </row>
    <row r="3" spans="1:3" ht="15.75" x14ac:dyDescent="0.25">
      <c r="A3" s="61" t="s">
        <v>282</v>
      </c>
      <c r="B3" s="75"/>
      <c r="C3" s="60"/>
    </row>
    <row r="4" spans="1:3" ht="15.75" x14ac:dyDescent="0.25">
      <c r="A4" s="61" t="s">
        <v>281</v>
      </c>
      <c r="B4" s="75"/>
      <c r="C4" s="60"/>
    </row>
    <row r="5" spans="1:3" ht="21" x14ac:dyDescent="0.35">
      <c r="A5" s="70" t="s">
        <v>280</v>
      </c>
      <c r="B5" s="70"/>
      <c r="C5" s="60"/>
    </row>
    <row r="6" spans="1:3" ht="15.75" x14ac:dyDescent="0.25">
      <c r="A6" s="61" t="s">
        <v>279</v>
      </c>
      <c r="B6" s="75"/>
      <c r="C6" s="60"/>
    </row>
    <row r="7" spans="1:3" ht="15.75" x14ac:dyDescent="0.25">
      <c r="A7" s="61" t="s">
        <v>278</v>
      </c>
      <c r="B7" s="75"/>
      <c r="C7" s="60"/>
    </row>
    <row r="8" spans="1:3" ht="15.75" x14ac:dyDescent="0.25">
      <c r="A8" s="61" t="s">
        <v>277</v>
      </c>
      <c r="B8" s="75"/>
      <c r="C8" s="60"/>
    </row>
    <row r="9" spans="1:3" ht="21" x14ac:dyDescent="0.35">
      <c r="A9" s="70" t="s">
        <v>276</v>
      </c>
      <c r="B9" s="70"/>
      <c r="C9" s="60"/>
    </row>
    <row r="10" spans="1:3" ht="15.75" x14ac:dyDescent="0.25">
      <c r="A10" s="61" t="s">
        <v>275</v>
      </c>
      <c r="B10" s="75"/>
      <c r="C10" s="60"/>
    </row>
    <row r="11" spans="1:3" ht="15.75" x14ac:dyDescent="0.25">
      <c r="A11" s="60"/>
      <c r="B11" s="60"/>
      <c r="C11" s="6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08"/>
  <sheetViews>
    <sheetView showGridLines="0" topLeftCell="C1" workbookViewId="0">
      <selection activeCell="I24" sqref="I24"/>
    </sheetView>
    <sheetView showGridLines="0" tabSelected="1" topLeftCell="F1" workbookViewId="1"/>
  </sheetViews>
  <sheetFormatPr baseColWidth="10" defaultColWidth="11.5703125" defaultRowHeight="15" outlineLevelRow="1" x14ac:dyDescent="0.25"/>
  <cols>
    <col min="1" max="1" width="36" style="2" bestFit="1" customWidth="1"/>
    <col min="2" max="8" width="15.7109375" style="3" customWidth="1"/>
    <col min="9" max="9" width="15.7109375" style="2" customWidth="1"/>
    <col min="10" max="16384" width="11.5703125" style="2"/>
  </cols>
  <sheetData>
    <row r="2" spans="1:16" s="4" customFormat="1" ht="30" x14ac:dyDescent="0.25">
      <c r="A2" s="5" t="s">
        <v>15</v>
      </c>
      <c r="B2" s="1" t="s">
        <v>24</v>
      </c>
      <c r="C2" s="1" t="s">
        <v>29</v>
      </c>
      <c r="D2" s="1" t="s">
        <v>30</v>
      </c>
      <c r="E2" s="1" t="s">
        <v>16</v>
      </c>
      <c r="F2" s="1" t="s">
        <v>17</v>
      </c>
      <c r="G2" s="1" t="s">
        <v>25</v>
      </c>
      <c r="H2" s="1" t="s">
        <v>26</v>
      </c>
      <c r="I2" s="1" t="s">
        <v>31</v>
      </c>
      <c r="K2" s="186" t="s">
        <v>352</v>
      </c>
      <c r="L2" s="187"/>
      <c r="M2" s="188"/>
    </row>
    <row r="3" spans="1:16" x14ac:dyDescent="0.25">
      <c r="A3" s="6" t="s">
        <v>47</v>
      </c>
      <c r="B3" s="7" t="s">
        <v>28</v>
      </c>
      <c r="C3" s="7" t="s">
        <v>2</v>
      </c>
      <c r="D3" s="7" t="s">
        <v>2</v>
      </c>
      <c r="E3" s="7" t="s">
        <v>2</v>
      </c>
      <c r="F3" s="7" t="s">
        <v>2</v>
      </c>
      <c r="G3" s="7" t="s">
        <v>27</v>
      </c>
      <c r="H3" s="7" t="s">
        <v>27</v>
      </c>
      <c r="I3" s="7" t="s">
        <v>46</v>
      </c>
      <c r="K3" s="64" t="s">
        <v>136</v>
      </c>
      <c r="L3" s="76">
        <f>'2. System'!B20*'2bis. Panels'!B9/1000</f>
        <v>15.739311005803739</v>
      </c>
      <c r="M3" s="64" t="s">
        <v>354</v>
      </c>
      <c r="O3" s="4"/>
      <c r="P3" s="4"/>
    </row>
    <row r="4" spans="1:16" x14ac:dyDescent="0.25">
      <c r="A4" s="16" t="s">
        <v>348</v>
      </c>
      <c r="B4" s="13">
        <v>23</v>
      </c>
      <c r="C4" s="13">
        <v>36</v>
      </c>
      <c r="D4" s="13">
        <v>36</v>
      </c>
      <c r="E4" s="14">
        <f>B4*C4</f>
        <v>828</v>
      </c>
      <c r="F4" s="14">
        <f>B4*D4</f>
        <v>828</v>
      </c>
      <c r="G4" s="13">
        <v>4</v>
      </c>
      <c r="H4" s="13">
        <v>6</v>
      </c>
      <c r="I4" s="14">
        <f>B4*C4*(G4+H4)</f>
        <v>8280</v>
      </c>
      <c r="K4" s="64" t="s">
        <v>85</v>
      </c>
      <c r="L4" s="76">
        <f>'2. System'!B28*'2bis. Batteries'!B16*'2bis. Batteries'!B18/1000</f>
        <v>35.472000000000001</v>
      </c>
      <c r="M4" s="64" t="s">
        <v>353</v>
      </c>
      <c r="O4" s="4"/>
      <c r="P4" s="4"/>
    </row>
    <row r="5" spans="1:16" x14ac:dyDescent="0.25">
      <c r="A5" s="16" t="s">
        <v>349</v>
      </c>
      <c r="B5" s="13">
        <v>2</v>
      </c>
      <c r="C5" s="13">
        <v>36</v>
      </c>
      <c r="D5" s="13">
        <v>36</v>
      </c>
      <c r="E5" s="14">
        <f t="shared" ref="E5:E11" si="0">B5*C5</f>
        <v>72</v>
      </c>
      <c r="F5" s="14">
        <f t="shared" ref="F5:F11" si="1">B5*D5</f>
        <v>72</v>
      </c>
      <c r="G5" s="13">
        <v>2</v>
      </c>
      <c r="H5" s="13">
        <v>12</v>
      </c>
      <c r="I5" s="14">
        <f t="shared" ref="I5:I23" si="2">B5*C5*(G5+H5)</f>
        <v>1008</v>
      </c>
      <c r="K5" s="64" t="s">
        <v>110</v>
      </c>
      <c r="L5" s="77">
        <f>'2bis. Hyb. Inverter'!B3*'2bis. Hyb. Inverter'!B5/1000</f>
        <v>2.4024000000000001</v>
      </c>
      <c r="M5" s="64" t="s">
        <v>505</v>
      </c>
      <c r="O5" s="4"/>
      <c r="P5" s="4"/>
    </row>
    <row r="6" spans="1:16" x14ac:dyDescent="0.25">
      <c r="A6" s="16" t="s">
        <v>350</v>
      </c>
      <c r="B6" s="13">
        <v>0</v>
      </c>
      <c r="C6" s="13">
        <v>850</v>
      </c>
      <c r="D6" s="13">
        <v>850</v>
      </c>
      <c r="E6" s="14">
        <f t="shared" si="0"/>
        <v>0</v>
      </c>
      <c r="F6" s="14">
        <f t="shared" si="1"/>
        <v>0</v>
      </c>
      <c r="G6" s="13">
        <v>12</v>
      </c>
      <c r="H6" s="13">
        <v>12</v>
      </c>
      <c r="I6" s="14">
        <f t="shared" si="2"/>
        <v>0</v>
      </c>
      <c r="O6" s="4"/>
      <c r="P6" s="4"/>
    </row>
    <row r="7" spans="1:16" x14ac:dyDescent="0.25">
      <c r="A7" s="16" t="s">
        <v>351</v>
      </c>
      <c r="B7" s="13">
        <v>1</v>
      </c>
      <c r="C7" s="13">
        <v>150</v>
      </c>
      <c r="D7" s="13">
        <v>150</v>
      </c>
      <c r="E7" s="14">
        <f t="shared" si="0"/>
        <v>150</v>
      </c>
      <c r="F7" s="14">
        <f t="shared" si="1"/>
        <v>150</v>
      </c>
      <c r="G7" s="13">
        <v>12</v>
      </c>
      <c r="H7" s="13">
        <v>12</v>
      </c>
      <c r="I7" s="14">
        <f t="shared" si="2"/>
        <v>3600</v>
      </c>
      <c r="O7" s="4"/>
      <c r="P7" s="4"/>
    </row>
    <row r="8" spans="1:16" x14ac:dyDescent="0.25">
      <c r="A8" s="16" t="s">
        <v>272</v>
      </c>
      <c r="B8" s="13">
        <v>3</v>
      </c>
      <c r="C8" s="13">
        <v>560</v>
      </c>
      <c r="D8" s="13">
        <v>560</v>
      </c>
      <c r="E8" s="14">
        <f t="shared" si="0"/>
        <v>1680</v>
      </c>
      <c r="F8" s="14">
        <f t="shared" si="1"/>
        <v>1680</v>
      </c>
      <c r="G8" s="13">
        <v>12</v>
      </c>
      <c r="H8" s="13">
        <v>12</v>
      </c>
      <c r="I8" s="14">
        <f t="shared" si="2"/>
        <v>40320</v>
      </c>
      <c r="O8" s="4"/>
      <c r="P8" s="4"/>
    </row>
    <row r="9" spans="1:16" x14ac:dyDescent="0.25">
      <c r="A9" s="16"/>
      <c r="B9" s="13"/>
      <c r="C9" s="13"/>
      <c r="D9" s="13"/>
      <c r="E9" s="14">
        <f t="shared" si="0"/>
        <v>0</v>
      </c>
      <c r="F9" s="14">
        <f t="shared" si="1"/>
        <v>0</v>
      </c>
      <c r="G9" s="13"/>
      <c r="H9" s="13"/>
      <c r="I9" s="14">
        <f t="shared" si="2"/>
        <v>0</v>
      </c>
      <c r="O9" s="4"/>
      <c r="P9" s="4"/>
    </row>
    <row r="10" spans="1:16" x14ac:dyDescent="0.25">
      <c r="A10" s="16"/>
      <c r="B10" s="13"/>
      <c r="C10" s="13"/>
      <c r="D10" s="13"/>
      <c r="E10" s="14">
        <f t="shared" si="0"/>
        <v>0</v>
      </c>
      <c r="F10" s="14">
        <f t="shared" si="1"/>
        <v>0</v>
      </c>
      <c r="G10" s="13"/>
      <c r="H10" s="13"/>
      <c r="I10" s="14">
        <f t="shared" si="2"/>
        <v>0</v>
      </c>
      <c r="O10" s="4"/>
      <c r="P10" s="4"/>
    </row>
    <row r="11" spans="1:16" x14ac:dyDescent="0.25">
      <c r="A11" s="16"/>
      <c r="B11" s="13"/>
      <c r="C11" s="13"/>
      <c r="D11" s="13"/>
      <c r="E11" s="14">
        <f t="shared" si="0"/>
        <v>0</v>
      </c>
      <c r="F11" s="14">
        <f t="shared" si="1"/>
        <v>0</v>
      </c>
      <c r="G11" s="13"/>
      <c r="H11" s="13"/>
      <c r="I11" s="14">
        <f t="shared" si="2"/>
        <v>0</v>
      </c>
    </row>
    <row r="12" spans="1:16" x14ac:dyDescent="0.25">
      <c r="A12" s="16"/>
      <c r="B12" s="13"/>
      <c r="C12" s="13"/>
      <c r="D12" s="13"/>
      <c r="E12" s="14">
        <f t="shared" ref="E12:E23" si="3">B12*C12</f>
        <v>0</v>
      </c>
      <c r="F12" s="14">
        <f t="shared" ref="F12:F23" si="4">B12*D12</f>
        <v>0</v>
      </c>
      <c r="G12" s="13"/>
      <c r="H12" s="13"/>
      <c r="I12" s="14">
        <f t="shared" si="2"/>
        <v>0</v>
      </c>
    </row>
    <row r="13" spans="1:16" hidden="1" outlineLevel="1" x14ac:dyDescent="0.25">
      <c r="A13" s="16"/>
      <c r="B13" s="13"/>
      <c r="C13" s="13"/>
      <c r="D13" s="13"/>
      <c r="E13" s="14">
        <f t="shared" si="3"/>
        <v>0</v>
      </c>
      <c r="F13" s="14">
        <f t="shared" si="4"/>
        <v>0</v>
      </c>
      <c r="G13" s="13"/>
      <c r="H13" s="13"/>
      <c r="I13" s="14">
        <f t="shared" si="2"/>
        <v>0</v>
      </c>
    </row>
    <row r="14" spans="1:16" hidden="1" outlineLevel="1" x14ac:dyDescent="0.25">
      <c r="A14" s="16"/>
      <c r="B14" s="13"/>
      <c r="C14" s="13"/>
      <c r="D14" s="13"/>
      <c r="E14" s="14">
        <f t="shared" si="3"/>
        <v>0</v>
      </c>
      <c r="F14" s="14">
        <f t="shared" si="4"/>
        <v>0</v>
      </c>
      <c r="G14" s="13"/>
      <c r="H14" s="13"/>
      <c r="I14" s="14">
        <f t="shared" si="2"/>
        <v>0</v>
      </c>
    </row>
    <row r="15" spans="1:16" hidden="1" outlineLevel="1" x14ac:dyDescent="0.25">
      <c r="A15" s="16"/>
      <c r="B15" s="13"/>
      <c r="C15" s="13"/>
      <c r="D15" s="13"/>
      <c r="E15" s="14">
        <f t="shared" si="3"/>
        <v>0</v>
      </c>
      <c r="F15" s="14">
        <f t="shared" si="4"/>
        <v>0</v>
      </c>
      <c r="G15" s="13"/>
      <c r="H15" s="13"/>
      <c r="I15" s="14">
        <f t="shared" si="2"/>
        <v>0</v>
      </c>
    </row>
    <row r="16" spans="1:16" hidden="1" outlineLevel="1" x14ac:dyDescent="0.25">
      <c r="A16" s="16"/>
      <c r="B16" s="13"/>
      <c r="C16" s="13"/>
      <c r="D16" s="13"/>
      <c r="E16" s="14">
        <f t="shared" si="3"/>
        <v>0</v>
      </c>
      <c r="F16" s="14">
        <f t="shared" si="4"/>
        <v>0</v>
      </c>
      <c r="G16" s="13"/>
      <c r="H16" s="13"/>
      <c r="I16" s="14">
        <f t="shared" si="2"/>
        <v>0</v>
      </c>
    </row>
    <row r="17" spans="1:11" hidden="1" outlineLevel="1" x14ac:dyDescent="0.25">
      <c r="A17" s="16"/>
      <c r="B17" s="13"/>
      <c r="C17" s="13"/>
      <c r="D17" s="13"/>
      <c r="E17" s="14">
        <f t="shared" si="3"/>
        <v>0</v>
      </c>
      <c r="F17" s="14">
        <f t="shared" si="4"/>
        <v>0</v>
      </c>
      <c r="G17" s="13"/>
      <c r="H17" s="13"/>
      <c r="I17" s="14">
        <f t="shared" si="2"/>
        <v>0</v>
      </c>
    </row>
    <row r="18" spans="1:11" hidden="1" outlineLevel="1" x14ac:dyDescent="0.25">
      <c r="A18" s="16"/>
      <c r="B18" s="13"/>
      <c r="C18" s="13"/>
      <c r="D18" s="13"/>
      <c r="E18" s="14">
        <f t="shared" si="3"/>
        <v>0</v>
      </c>
      <c r="F18" s="14">
        <f t="shared" si="4"/>
        <v>0</v>
      </c>
      <c r="G18" s="13"/>
      <c r="H18" s="13"/>
      <c r="I18" s="14">
        <f t="shared" si="2"/>
        <v>0</v>
      </c>
    </row>
    <row r="19" spans="1:11" hidden="1" outlineLevel="1" x14ac:dyDescent="0.25">
      <c r="A19" s="16"/>
      <c r="B19" s="13"/>
      <c r="C19" s="13"/>
      <c r="D19" s="13"/>
      <c r="E19" s="14">
        <f t="shared" si="3"/>
        <v>0</v>
      </c>
      <c r="F19" s="14">
        <f t="shared" si="4"/>
        <v>0</v>
      </c>
      <c r="G19" s="13"/>
      <c r="H19" s="13"/>
      <c r="I19" s="14">
        <f t="shared" si="2"/>
        <v>0</v>
      </c>
    </row>
    <row r="20" spans="1:11" hidden="1" outlineLevel="1" x14ac:dyDescent="0.25">
      <c r="A20" s="16"/>
      <c r="B20" s="13"/>
      <c r="C20" s="13"/>
      <c r="D20" s="13"/>
      <c r="E20" s="14">
        <f t="shared" si="3"/>
        <v>0</v>
      </c>
      <c r="F20" s="14">
        <f t="shared" si="4"/>
        <v>0</v>
      </c>
      <c r="G20" s="13"/>
      <c r="H20" s="13"/>
      <c r="I20" s="14">
        <f t="shared" si="2"/>
        <v>0</v>
      </c>
    </row>
    <row r="21" spans="1:11" hidden="1" outlineLevel="1" x14ac:dyDescent="0.25">
      <c r="A21" s="16"/>
      <c r="B21" s="13"/>
      <c r="C21" s="13"/>
      <c r="D21" s="13"/>
      <c r="E21" s="14">
        <f t="shared" si="3"/>
        <v>0</v>
      </c>
      <c r="F21" s="14">
        <f t="shared" si="4"/>
        <v>0</v>
      </c>
      <c r="G21" s="13"/>
      <c r="H21" s="13"/>
      <c r="I21" s="14">
        <f t="shared" si="2"/>
        <v>0</v>
      </c>
    </row>
    <row r="22" spans="1:11" hidden="1" outlineLevel="1" x14ac:dyDescent="0.25">
      <c r="A22" s="16"/>
      <c r="B22" s="13"/>
      <c r="C22" s="13"/>
      <c r="D22" s="13"/>
      <c r="E22" s="14">
        <f t="shared" si="3"/>
        <v>0</v>
      </c>
      <c r="F22" s="14">
        <f t="shared" si="4"/>
        <v>0</v>
      </c>
      <c r="G22" s="13"/>
      <c r="H22" s="13"/>
      <c r="I22" s="14">
        <f t="shared" si="2"/>
        <v>0</v>
      </c>
    </row>
    <row r="23" spans="1:11" collapsed="1" x14ac:dyDescent="0.25">
      <c r="A23" s="16"/>
      <c r="B23" s="13"/>
      <c r="C23" s="13"/>
      <c r="D23" s="13"/>
      <c r="E23" s="14">
        <f t="shared" si="3"/>
        <v>0</v>
      </c>
      <c r="F23" s="14">
        <f t="shared" si="4"/>
        <v>0</v>
      </c>
      <c r="G23" s="13"/>
      <c r="H23" s="13"/>
      <c r="I23" s="14">
        <f t="shared" si="2"/>
        <v>0</v>
      </c>
    </row>
    <row r="24" spans="1:11" s="8" customFormat="1" x14ac:dyDescent="0.25">
      <c r="A24" s="9" t="s">
        <v>3</v>
      </c>
      <c r="B24" s="190"/>
      <c r="C24" s="191"/>
      <c r="D24" s="192"/>
      <c r="E24" s="18">
        <f>SUM(E4:E23)</f>
        <v>2730</v>
      </c>
      <c r="F24" s="18">
        <f>SUM(F4:F23)</f>
        <v>2730</v>
      </c>
      <c r="G24" s="10"/>
      <c r="H24" s="10"/>
      <c r="I24" s="18">
        <f>SUM(I4:I23)</f>
        <v>53208</v>
      </c>
    </row>
    <row r="26" spans="1:11" ht="15" customHeight="1" x14ac:dyDescent="0.25">
      <c r="A26" s="17" t="s">
        <v>32</v>
      </c>
      <c r="C26" s="189" t="s">
        <v>32</v>
      </c>
      <c r="D26" s="189"/>
      <c r="E26" s="25">
        <v>0.8</v>
      </c>
      <c r="F26" s="25">
        <v>0.8</v>
      </c>
    </row>
    <row r="27" spans="1:11" ht="14.45" customHeight="1" x14ac:dyDescent="0.25">
      <c r="A27" s="180" t="s">
        <v>264</v>
      </c>
    </row>
    <row r="28" spans="1:11" x14ac:dyDescent="0.25">
      <c r="A28" s="181"/>
      <c r="D28" s="9" t="s">
        <v>3</v>
      </c>
      <c r="E28" s="18">
        <f>E24*E26</f>
        <v>2184</v>
      </c>
      <c r="F28" s="18">
        <f>F24*F26</f>
        <v>2184</v>
      </c>
      <c r="G28" s="2" t="s">
        <v>2</v>
      </c>
    </row>
    <row r="29" spans="1:11" x14ac:dyDescent="0.25">
      <c r="A29" s="182"/>
      <c r="E29" s="2"/>
      <c r="F29" s="2"/>
      <c r="G29" s="2"/>
      <c r="H29" s="2"/>
    </row>
    <row r="31" spans="1:11" ht="14.45" customHeight="1" x14ac:dyDescent="0.25">
      <c r="B31" s="193" t="s">
        <v>33</v>
      </c>
      <c r="C31" s="193"/>
      <c r="D31" s="193"/>
      <c r="E31" s="2"/>
      <c r="G31" s="184" t="s">
        <v>590</v>
      </c>
      <c r="H31" s="185"/>
      <c r="I31" s="185"/>
      <c r="J31" s="185"/>
      <c r="K31" s="185"/>
    </row>
    <row r="32" spans="1:11" x14ac:dyDescent="0.25">
      <c r="B32" s="193"/>
      <c r="C32" s="193"/>
      <c r="D32" s="193"/>
      <c r="E32" s="2"/>
      <c r="G32" s="184"/>
      <c r="H32" s="185"/>
      <c r="I32" s="185"/>
      <c r="J32" s="185"/>
      <c r="K32" s="185"/>
    </row>
    <row r="33" spans="1:11" x14ac:dyDescent="0.25">
      <c r="B33" s="193"/>
      <c r="C33" s="193"/>
      <c r="D33" s="193"/>
      <c r="E33" s="2"/>
      <c r="G33" s="184"/>
      <c r="H33" s="185"/>
      <c r="I33" s="185"/>
      <c r="J33" s="185"/>
      <c r="K33" s="185"/>
    </row>
    <row r="34" spans="1:11" x14ac:dyDescent="0.25">
      <c r="B34" s="193"/>
      <c r="C34" s="193"/>
      <c r="D34" s="193"/>
      <c r="G34" s="184"/>
      <c r="H34" s="185"/>
      <c r="I34" s="185"/>
      <c r="J34" s="185"/>
      <c r="K34" s="185"/>
    </row>
    <row r="35" spans="1:11" x14ac:dyDescent="0.25">
      <c r="B35" s="193"/>
      <c r="C35" s="193"/>
      <c r="D35" s="193"/>
      <c r="G35" s="184"/>
      <c r="H35" s="185"/>
      <c r="I35" s="185"/>
      <c r="J35" s="185"/>
      <c r="K35" s="185"/>
    </row>
    <row r="44" spans="1:11" ht="26.25" x14ac:dyDescent="0.4">
      <c r="A44" s="183" t="s">
        <v>258</v>
      </c>
      <c r="B44" s="183"/>
      <c r="C44" s="183"/>
      <c r="D44" s="183"/>
      <c r="E44" s="183"/>
      <c r="F44" s="183"/>
      <c r="G44" s="183"/>
      <c r="H44"/>
    </row>
    <row r="45" spans="1:11" x14ac:dyDescent="0.25">
      <c r="A45" s="24" t="s">
        <v>548</v>
      </c>
      <c r="B45" s="24" t="s">
        <v>544</v>
      </c>
      <c r="C45" s="24" t="s">
        <v>55</v>
      </c>
      <c r="D45" s="24" t="s">
        <v>75</v>
      </c>
      <c r="E45" s="24" t="s">
        <v>29</v>
      </c>
      <c r="F45" s="24" t="s">
        <v>30</v>
      </c>
      <c r="G45" s="24" t="s">
        <v>62</v>
      </c>
      <c r="H45"/>
    </row>
    <row r="46" spans="1:11" x14ac:dyDescent="0.25">
      <c r="A46" s="22" t="str">
        <f>C46&amp;" "&amp;D46</f>
        <v xml:space="preserve">Light LED - big (office) </v>
      </c>
      <c r="B46" s="22" t="s">
        <v>545</v>
      </c>
      <c r="C46" s="22" t="s">
        <v>43</v>
      </c>
      <c r="D46" s="22"/>
      <c r="E46" s="22">
        <v>36</v>
      </c>
      <c r="F46" s="22">
        <v>36</v>
      </c>
      <c r="G46" s="22"/>
      <c r="H46"/>
    </row>
    <row r="47" spans="1:11" x14ac:dyDescent="0.25">
      <c r="A47" s="23" t="str">
        <f t="shared" ref="A47:A106" si="5">C47&amp;" "&amp;D47</f>
        <v xml:space="preserve">Light LED - small (office) </v>
      </c>
      <c r="B47" s="23" t="s">
        <v>545</v>
      </c>
      <c r="C47" s="23" t="s">
        <v>44</v>
      </c>
      <c r="D47" s="23"/>
      <c r="E47" s="23">
        <v>18</v>
      </c>
      <c r="F47" s="23">
        <v>18</v>
      </c>
      <c r="G47" s="23"/>
      <c r="H47"/>
    </row>
    <row r="48" spans="1:11" x14ac:dyDescent="0.25">
      <c r="A48" s="22" t="str">
        <f t="shared" si="5"/>
        <v xml:space="preserve">Light LED - big (outside) </v>
      </c>
      <c r="B48" s="22" t="s">
        <v>545</v>
      </c>
      <c r="C48" s="22" t="s">
        <v>42</v>
      </c>
      <c r="D48" s="22"/>
      <c r="E48" s="22">
        <v>36</v>
      </c>
      <c r="F48" s="22">
        <v>36</v>
      </c>
      <c r="G48" s="22"/>
      <c r="H48"/>
    </row>
    <row r="49" spans="1:8" x14ac:dyDescent="0.25">
      <c r="A49" s="23" t="str">
        <f t="shared" si="5"/>
        <v xml:space="preserve">Printer Epson LX-300-II 220V </v>
      </c>
      <c r="B49" s="23" t="s">
        <v>546</v>
      </c>
      <c r="C49" s="23" t="s">
        <v>0</v>
      </c>
      <c r="D49" s="23"/>
      <c r="E49" s="23">
        <v>23</v>
      </c>
      <c r="F49" s="23">
        <v>168</v>
      </c>
      <c r="G49" s="23"/>
      <c r="H49"/>
    </row>
    <row r="50" spans="1:8" x14ac:dyDescent="0.25">
      <c r="A50" s="22" t="str">
        <f t="shared" si="5"/>
        <v xml:space="preserve">Scanner HP Scanjet G3010 </v>
      </c>
      <c r="B50" s="22" t="s">
        <v>546</v>
      </c>
      <c r="C50" s="22" t="s">
        <v>1</v>
      </c>
      <c r="D50" s="22"/>
      <c r="E50" s="22">
        <v>21</v>
      </c>
      <c r="F50" s="22">
        <v>35</v>
      </c>
      <c r="G50" s="22"/>
      <c r="H50"/>
    </row>
    <row r="51" spans="1:8" x14ac:dyDescent="0.25">
      <c r="A51" s="23" t="str">
        <f t="shared" si="5"/>
        <v xml:space="preserve">Office computer </v>
      </c>
      <c r="B51" s="23" t="s">
        <v>546</v>
      </c>
      <c r="C51" s="23" t="s">
        <v>41</v>
      </c>
      <c r="D51" s="23"/>
      <c r="E51" s="23">
        <v>120</v>
      </c>
      <c r="F51" s="23">
        <v>120</v>
      </c>
      <c r="G51" s="23"/>
      <c r="H51"/>
    </row>
    <row r="52" spans="1:8" x14ac:dyDescent="0.25">
      <c r="A52" s="22" t="str">
        <f t="shared" si="5"/>
        <v xml:space="preserve">wifi box </v>
      </c>
      <c r="B52" s="22" t="s">
        <v>546</v>
      </c>
      <c r="C52" s="22" t="s">
        <v>45</v>
      </c>
      <c r="D52" s="22"/>
      <c r="E52" s="22">
        <v>10</v>
      </c>
      <c r="F52" s="22">
        <v>10</v>
      </c>
      <c r="G52" s="22"/>
      <c r="H52"/>
    </row>
    <row r="53" spans="1:8" x14ac:dyDescent="0.25">
      <c r="A53" s="23" t="str">
        <f t="shared" si="5"/>
        <v>Kanmed AB Babywarmer BW3</v>
      </c>
      <c r="B53" s="23" t="s">
        <v>547</v>
      </c>
      <c r="C53" s="23" t="s">
        <v>287</v>
      </c>
      <c r="D53" s="23" t="s">
        <v>288</v>
      </c>
      <c r="E53" s="23">
        <v>100</v>
      </c>
      <c r="F53" s="23">
        <v>100</v>
      </c>
      <c r="G53" s="23"/>
      <c r="H53"/>
    </row>
    <row r="54" spans="1:8" x14ac:dyDescent="0.25">
      <c r="A54" s="22" t="str">
        <f t="shared" si="5"/>
        <v>Medpath OLV-10</v>
      </c>
      <c r="B54" s="22" t="s">
        <v>547</v>
      </c>
      <c r="C54" s="22" t="s">
        <v>289</v>
      </c>
      <c r="D54" s="22" t="s">
        <v>290</v>
      </c>
      <c r="E54" s="22">
        <v>550</v>
      </c>
      <c r="F54" s="22">
        <v>550</v>
      </c>
      <c r="G54" s="22"/>
      <c r="H54"/>
    </row>
    <row r="55" spans="1:8" x14ac:dyDescent="0.25">
      <c r="A55" s="23" t="str">
        <f t="shared" si="5"/>
        <v>Phoenix Medical Systems Phototherapy unit Brilliance pro</v>
      </c>
      <c r="B55" s="23" t="s">
        <v>547</v>
      </c>
      <c r="C55" s="23" t="s">
        <v>291</v>
      </c>
      <c r="D55" s="23" t="s">
        <v>292</v>
      </c>
      <c r="E55" s="23">
        <v>25</v>
      </c>
      <c r="F55" s="23">
        <v>25</v>
      </c>
      <c r="G55" s="23"/>
      <c r="H55"/>
    </row>
    <row r="56" spans="1:8" x14ac:dyDescent="0.25">
      <c r="A56" s="22" t="str">
        <f t="shared" si="5"/>
        <v>Airsep Newlife</v>
      </c>
      <c r="B56" s="22" t="s">
        <v>547</v>
      </c>
      <c r="C56" s="22" t="s">
        <v>293</v>
      </c>
      <c r="D56" s="22" t="s">
        <v>294</v>
      </c>
      <c r="E56" s="22">
        <v>350</v>
      </c>
      <c r="F56" s="22">
        <v>400</v>
      </c>
      <c r="G56" s="22"/>
      <c r="H56"/>
    </row>
    <row r="57" spans="1:8" x14ac:dyDescent="0.25">
      <c r="A57" s="23" t="str">
        <f t="shared" si="5"/>
        <v>Heal Force INFANT INCUBATOR YXK-6G</v>
      </c>
      <c r="B57" s="23" t="s">
        <v>547</v>
      </c>
      <c r="C57" s="23" t="s">
        <v>295</v>
      </c>
      <c r="D57" s="23" t="s">
        <v>296</v>
      </c>
      <c r="E57" s="23">
        <v>450</v>
      </c>
      <c r="F57" s="23">
        <v>450</v>
      </c>
      <c r="G57" s="23"/>
    </row>
    <row r="58" spans="1:8" x14ac:dyDescent="0.25">
      <c r="A58" s="22" t="str">
        <f t="shared" si="5"/>
        <v>Being BRW-3000B</v>
      </c>
      <c r="B58" s="22" t="s">
        <v>547</v>
      </c>
      <c r="C58" s="22" t="s">
        <v>297</v>
      </c>
      <c r="D58" s="22" t="s">
        <v>298</v>
      </c>
      <c r="E58" s="22">
        <v>1000</v>
      </c>
      <c r="F58" s="22">
        <v>1000</v>
      </c>
      <c r="G58" s="22"/>
    </row>
    <row r="59" spans="1:8" x14ac:dyDescent="0.25">
      <c r="A59" s="23" t="str">
        <f t="shared" si="5"/>
        <v>CEPHIED GX - IV R2</v>
      </c>
      <c r="B59" s="23" t="s">
        <v>547</v>
      </c>
      <c r="C59" s="23" t="s">
        <v>285</v>
      </c>
      <c r="D59" s="23" t="s">
        <v>286</v>
      </c>
      <c r="E59" s="23">
        <f>1.4*240</f>
        <v>336</v>
      </c>
      <c r="F59" s="23">
        <v>400</v>
      </c>
      <c r="G59" s="23"/>
    </row>
    <row r="60" spans="1:8" x14ac:dyDescent="0.25">
      <c r="A60" s="22" t="str">
        <f t="shared" si="5"/>
        <v>Dison/Lotus BB-100</v>
      </c>
      <c r="B60" s="22" t="s">
        <v>547</v>
      </c>
      <c r="C60" s="22" t="s">
        <v>299</v>
      </c>
      <c r="D60" s="22" t="s">
        <v>300</v>
      </c>
      <c r="E60" s="22">
        <v>650</v>
      </c>
      <c r="F60" s="22">
        <v>650</v>
      </c>
      <c r="G60" s="22"/>
    </row>
    <row r="61" spans="1:8" x14ac:dyDescent="0.25">
      <c r="A61" s="23" t="str">
        <f t="shared" si="5"/>
        <v>SMAF YX930D</v>
      </c>
      <c r="B61" s="23" t="s">
        <v>547</v>
      </c>
      <c r="C61" s="23" t="s">
        <v>301</v>
      </c>
      <c r="D61" s="23" t="s">
        <v>302</v>
      </c>
      <c r="E61" s="23">
        <v>250</v>
      </c>
      <c r="F61" s="23">
        <v>250</v>
      </c>
      <c r="G61" s="23"/>
    </row>
    <row r="62" spans="1:8" x14ac:dyDescent="0.25">
      <c r="A62" s="22" t="str">
        <f t="shared" si="5"/>
        <v xml:space="preserve">Yuwell 7F-5 </v>
      </c>
      <c r="B62" s="22" t="s">
        <v>547</v>
      </c>
      <c r="C62" s="22" t="s">
        <v>303</v>
      </c>
      <c r="D62" s="22" t="s">
        <v>304</v>
      </c>
      <c r="E62" s="22">
        <v>500</v>
      </c>
      <c r="F62" s="22">
        <v>500</v>
      </c>
      <c r="G62" s="22"/>
    </row>
    <row r="63" spans="1:8" x14ac:dyDescent="0.25">
      <c r="A63" s="23" t="str">
        <f t="shared" si="5"/>
        <v>Zybio Z3</v>
      </c>
      <c r="B63" s="23" t="s">
        <v>547</v>
      </c>
      <c r="C63" s="23" t="s">
        <v>305</v>
      </c>
      <c r="D63" s="23" t="s">
        <v>306</v>
      </c>
      <c r="E63" s="23">
        <v>200</v>
      </c>
      <c r="F63" s="23">
        <v>200</v>
      </c>
      <c r="G63" s="23"/>
    </row>
    <row r="64" spans="1:8" x14ac:dyDescent="0.25">
      <c r="A64" s="22" t="str">
        <f t="shared" si="5"/>
        <v>Pima Alere CD4</v>
      </c>
      <c r="B64" s="22" t="s">
        <v>547</v>
      </c>
      <c r="C64" s="22" t="s">
        <v>307</v>
      </c>
      <c r="D64" s="22" t="s">
        <v>308</v>
      </c>
      <c r="E64" s="22">
        <f>63</f>
        <v>63</v>
      </c>
      <c r="F64" s="22">
        <f>63</f>
        <v>63</v>
      </c>
      <c r="G64" s="22"/>
    </row>
    <row r="65" spans="1:7" x14ac:dyDescent="0.25">
      <c r="A65" s="23" t="str">
        <f t="shared" si="5"/>
        <v>Haier 4℃ Blood Bank Refrigerator</v>
      </c>
      <c r="B65" s="23" t="s">
        <v>547</v>
      </c>
      <c r="C65" s="23" t="s">
        <v>309</v>
      </c>
      <c r="D65" s="23" t="s">
        <v>310</v>
      </c>
      <c r="E65" s="23">
        <v>250</v>
      </c>
      <c r="F65" s="23">
        <v>350</v>
      </c>
      <c r="G65" s="23"/>
    </row>
    <row r="66" spans="1:7" x14ac:dyDescent="0.25">
      <c r="A66" s="22" t="str">
        <f t="shared" si="5"/>
        <v>Blood bank refrigerator XY-190</v>
      </c>
      <c r="B66" s="22" t="s">
        <v>547</v>
      </c>
      <c r="C66" s="22" t="s">
        <v>311</v>
      </c>
      <c r="D66" s="22" t="s">
        <v>312</v>
      </c>
      <c r="E66" s="22">
        <v>200</v>
      </c>
      <c r="F66" s="22">
        <v>300</v>
      </c>
      <c r="G66" s="22"/>
    </row>
    <row r="67" spans="1:7" x14ac:dyDescent="0.25">
      <c r="A67" s="23" t="str">
        <f t="shared" si="5"/>
        <v>EDAN  X10</v>
      </c>
      <c r="B67" s="23" t="s">
        <v>547</v>
      </c>
      <c r="C67" s="23" t="s">
        <v>313</v>
      </c>
      <c r="D67" s="23" t="s">
        <v>314</v>
      </c>
      <c r="E67" s="23">
        <f>240*0.7</f>
        <v>168</v>
      </c>
      <c r="F67" s="23">
        <f>240*0.7</f>
        <v>168</v>
      </c>
      <c r="G67" s="23"/>
    </row>
    <row r="68" spans="1:7" x14ac:dyDescent="0.25">
      <c r="A68" s="22" t="str">
        <f t="shared" si="5"/>
        <v xml:space="preserve">Pima EID </v>
      </c>
      <c r="B68" s="22" t="s">
        <v>547</v>
      </c>
      <c r="C68" s="22" t="s">
        <v>315</v>
      </c>
      <c r="D68" s="22"/>
      <c r="E68" s="22">
        <v>144</v>
      </c>
      <c r="F68" s="22">
        <v>144</v>
      </c>
      <c r="G68" s="22"/>
    </row>
    <row r="69" spans="1:7" x14ac:dyDescent="0.25">
      <c r="A69" s="23" t="str">
        <f t="shared" si="5"/>
        <v xml:space="preserve">Sysmex </v>
      </c>
      <c r="B69" s="23" t="s">
        <v>547</v>
      </c>
      <c r="C69" s="23" t="s">
        <v>316</v>
      </c>
      <c r="D69" s="23"/>
      <c r="E69" s="23">
        <v>788</v>
      </c>
      <c r="F69" s="23">
        <v>788</v>
      </c>
      <c r="G69" s="23"/>
    </row>
    <row r="70" spans="1:7" x14ac:dyDescent="0.25">
      <c r="A70" s="22" t="str">
        <f t="shared" si="5"/>
        <v xml:space="preserve"> DC 112F</v>
      </c>
      <c r="B70" s="22" t="s">
        <v>547</v>
      </c>
      <c r="C70" s="22"/>
      <c r="D70" s="22" t="s">
        <v>317</v>
      </c>
      <c r="E70" s="22">
        <v>65</v>
      </c>
      <c r="F70" s="22">
        <v>65</v>
      </c>
      <c r="G70" s="22"/>
    </row>
    <row r="71" spans="1:7" x14ac:dyDescent="0.25">
      <c r="A71" s="23" t="str">
        <f t="shared" si="5"/>
        <v>Hettich EBA200</v>
      </c>
      <c r="B71" s="23" t="s">
        <v>547</v>
      </c>
      <c r="C71" s="23" t="s">
        <v>318</v>
      </c>
      <c r="D71" s="23" t="s">
        <v>319</v>
      </c>
      <c r="E71" s="23">
        <v>120</v>
      </c>
      <c r="F71" s="23">
        <v>120</v>
      </c>
      <c r="G71" s="23"/>
    </row>
    <row r="72" spans="1:7" x14ac:dyDescent="0.25">
      <c r="A72" s="22" t="str">
        <f t="shared" si="5"/>
        <v>Olympus CX21FSI</v>
      </c>
      <c r="B72" s="22" t="s">
        <v>547</v>
      </c>
      <c r="C72" s="22" t="s">
        <v>320</v>
      </c>
      <c r="D72" s="22" t="s">
        <v>321</v>
      </c>
      <c r="E72" s="22">
        <v>60</v>
      </c>
      <c r="F72" s="22">
        <v>60</v>
      </c>
      <c r="G72" s="22"/>
    </row>
    <row r="73" spans="1:7" x14ac:dyDescent="0.25">
      <c r="A73" s="23" t="str">
        <f t="shared" si="5"/>
        <v>AEROplus AE5.00</v>
      </c>
      <c r="B73" s="23" t="s">
        <v>547</v>
      </c>
      <c r="C73" s="23" t="s">
        <v>322</v>
      </c>
      <c r="D73" s="23" t="s">
        <v>323</v>
      </c>
      <c r="E73" s="23">
        <v>295</v>
      </c>
      <c r="F73" s="23">
        <v>295</v>
      </c>
      <c r="G73" s="23"/>
    </row>
    <row r="74" spans="1:7" x14ac:dyDescent="0.25">
      <c r="A74" s="22" t="str">
        <f t="shared" si="5"/>
        <v>JIANGSU 8F-5A</v>
      </c>
      <c r="B74" s="22" t="s">
        <v>547</v>
      </c>
      <c r="C74" s="22" t="s">
        <v>324</v>
      </c>
      <c r="D74" s="22" t="s">
        <v>325</v>
      </c>
      <c r="E74" s="22">
        <v>400</v>
      </c>
      <c r="F74" s="22">
        <v>400</v>
      </c>
      <c r="G74" s="22"/>
    </row>
    <row r="75" spans="1:7" x14ac:dyDescent="0.25">
      <c r="A75" s="23" t="str">
        <f t="shared" si="5"/>
        <v>Famed lodz Solis 30FA</v>
      </c>
      <c r="B75" s="23" t="s">
        <v>547</v>
      </c>
      <c r="C75" s="23" t="s">
        <v>326</v>
      </c>
      <c r="D75" s="23" t="s">
        <v>327</v>
      </c>
      <c r="E75" s="23">
        <v>48</v>
      </c>
      <c r="F75" s="23">
        <v>48</v>
      </c>
      <c r="G75" s="23"/>
    </row>
    <row r="76" spans="1:7" x14ac:dyDescent="0.25">
      <c r="A76" s="22" t="str">
        <f t="shared" si="5"/>
        <v>ADH BCD30-898</v>
      </c>
      <c r="B76" s="22" t="s">
        <v>547</v>
      </c>
      <c r="C76" s="22" t="s">
        <v>328</v>
      </c>
      <c r="D76" s="22" t="s">
        <v>329</v>
      </c>
      <c r="E76" s="22">
        <v>228</v>
      </c>
      <c r="F76" s="22">
        <v>228</v>
      </c>
      <c r="G76" s="22"/>
    </row>
    <row r="77" spans="1:7" x14ac:dyDescent="0.25">
      <c r="A77" s="23" t="str">
        <f t="shared" si="5"/>
        <v>Dufex Ohmeda 9100C</v>
      </c>
      <c r="B77" s="23" t="s">
        <v>547</v>
      </c>
      <c r="C77" s="23" t="s">
        <v>330</v>
      </c>
      <c r="D77" s="23" t="s">
        <v>331</v>
      </c>
      <c r="E77" s="23">
        <v>1000</v>
      </c>
      <c r="F77" s="23">
        <v>1000</v>
      </c>
      <c r="G77" s="23"/>
    </row>
    <row r="78" spans="1:7" x14ac:dyDescent="0.25">
      <c r="A78" s="22" t="str">
        <f t="shared" si="5"/>
        <v>Longfian Jay-10</v>
      </c>
      <c r="B78" s="22" t="s">
        <v>547</v>
      </c>
      <c r="C78" s="22" t="s">
        <v>332</v>
      </c>
      <c r="D78" s="22" t="s">
        <v>333</v>
      </c>
      <c r="E78" s="22">
        <v>880</v>
      </c>
      <c r="F78" s="22">
        <v>880</v>
      </c>
      <c r="G78" s="22"/>
    </row>
    <row r="79" spans="1:7" x14ac:dyDescent="0.25">
      <c r="A79" s="23" t="str">
        <f t="shared" si="5"/>
        <v>Famed lodz YDK-L01</v>
      </c>
      <c r="B79" s="23" t="s">
        <v>547</v>
      </c>
      <c r="C79" s="23" t="s">
        <v>326</v>
      </c>
      <c r="D79" s="23" t="s">
        <v>334</v>
      </c>
      <c r="E79" s="23">
        <v>50</v>
      </c>
      <c r="F79" s="23">
        <v>50</v>
      </c>
      <c r="G79" s="23" t="s">
        <v>335</v>
      </c>
    </row>
    <row r="80" spans="1:7" x14ac:dyDescent="0.25">
      <c r="A80" s="22" t="str">
        <f t="shared" si="5"/>
        <v>Fazzini F-18.00</v>
      </c>
      <c r="B80" s="22" t="s">
        <v>547</v>
      </c>
      <c r="C80" s="22" t="s">
        <v>336</v>
      </c>
      <c r="D80" s="22" t="s">
        <v>337</v>
      </c>
      <c r="E80" s="22">
        <v>85</v>
      </c>
      <c r="F80" s="22">
        <v>85</v>
      </c>
      <c r="G80" s="22"/>
    </row>
    <row r="81" spans="1:7" x14ac:dyDescent="0.25">
      <c r="A81" s="23" t="str">
        <f t="shared" si="5"/>
        <v>Ningbo David medical HKN-90</v>
      </c>
      <c r="B81" s="23" t="s">
        <v>547</v>
      </c>
      <c r="C81" s="23" t="s">
        <v>338</v>
      </c>
      <c r="D81" s="23" t="s">
        <v>339</v>
      </c>
      <c r="E81" s="23">
        <v>120</v>
      </c>
      <c r="F81" s="23">
        <v>120</v>
      </c>
      <c r="G81" s="23"/>
    </row>
    <row r="82" spans="1:7" x14ac:dyDescent="0.25">
      <c r="A82" s="22" t="str">
        <f t="shared" si="5"/>
        <v xml:space="preserve">Titanox </v>
      </c>
      <c r="B82" s="22" t="s">
        <v>547</v>
      </c>
      <c r="C82" s="22" t="s">
        <v>340</v>
      </c>
      <c r="D82" s="22"/>
      <c r="E82" s="22">
        <v>400</v>
      </c>
      <c r="F82" s="22">
        <v>400</v>
      </c>
      <c r="G82" s="22"/>
    </row>
    <row r="83" spans="1:7" x14ac:dyDescent="0.25">
      <c r="A83" s="23" t="str">
        <f t="shared" si="5"/>
        <v>Hemocue HB301</v>
      </c>
      <c r="B83" s="23" t="s">
        <v>547</v>
      </c>
      <c r="C83" s="23" t="s">
        <v>341</v>
      </c>
      <c r="D83" s="23" t="s">
        <v>342</v>
      </c>
      <c r="E83" s="23">
        <v>30</v>
      </c>
      <c r="F83" s="23">
        <v>30</v>
      </c>
      <c r="G83" s="23" t="s">
        <v>335</v>
      </c>
    </row>
    <row r="84" spans="1:7" x14ac:dyDescent="0.25">
      <c r="A84" s="22" t="str">
        <f t="shared" si="5"/>
        <v>CENCE TDZ5-WS</v>
      </c>
      <c r="B84" s="22" t="s">
        <v>547</v>
      </c>
      <c r="C84" s="22" t="s">
        <v>343</v>
      </c>
      <c r="D84" s="22" t="s">
        <v>344</v>
      </c>
      <c r="E84" s="22">
        <v>400</v>
      </c>
      <c r="F84" s="22">
        <v>400</v>
      </c>
      <c r="G84" s="22"/>
    </row>
    <row r="85" spans="1:7" x14ac:dyDescent="0.25">
      <c r="A85" s="23" t="str">
        <f t="shared" si="5"/>
        <v xml:space="preserve"> </v>
      </c>
      <c r="B85" s="23"/>
      <c r="C85" s="23"/>
      <c r="D85" s="23"/>
      <c r="E85" s="23"/>
      <c r="F85" s="23"/>
      <c r="G85" s="23"/>
    </row>
    <row r="86" spans="1:7" x14ac:dyDescent="0.25">
      <c r="A86" s="22" t="str">
        <f t="shared" si="5"/>
        <v xml:space="preserve"> </v>
      </c>
      <c r="B86" s="22"/>
      <c r="C86" s="22"/>
      <c r="D86" s="22"/>
      <c r="E86" s="22"/>
      <c r="F86" s="22"/>
      <c r="G86" s="22"/>
    </row>
    <row r="87" spans="1:7" x14ac:dyDescent="0.25">
      <c r="A87" s="23" t="str">
        <f t="shared" si="5"/>
        <v xml:space="preserve"> </v>
      </c>
      <c r="B87" s="23"/>
      <c r="C87" s="23"/>
      <c r="D87" s="23"/>
      <c r="E87" s="23"/>
      <c r="F87" s="23"/>
      <c r="G87" s="23"/>
    </row>
    <row r="88" spans="1:7" x14ac:dyDescent="0.25">
      <c r="A88" s="22" t="str">
        <f t="shared" si="5"/>
        <v xml:space="preserve"> </v>
      </c>
      <c r="B88" s="22"/>
      <c r="C88" s="22"/>
      <c r="D88" s="22"/>
      <c r="E88" s="22"/>
      <c r="F88" s="22"/>
      <c r="G88" s="22"/>
    </row>
    <row r="89" spans="1:7" x14ac:dyDescent="0.25">
      <c r="A89" s="23" t="str">
        <f t="shared" si="5"/>
        <v xml:space="preserve"> </v>
      </c>
      <c r="B89" s="23"/>
      <c r="C89" s="23"/>
      <c r="D89" s="23"/>
      <c r="E89" s="23"/>
      <c r="F89" s="23"/>
      <c r="G89" s="23"/>
    </row>
    <row r="90" spans="1:7" x14ac:dyDescent="0.25">
      <c r="A90" s="22" t="str">
        <f t="shared" si="5"/>
        <v xml:space="preserve"> </v>
      </c>
      <c r="B90" s="22"/>
      <c r="C90" s="22"/>
      <c r="D90" s="22"/>
      <c r="E90" s="22"/>
      <c r="F90" s="22"/>
      <c r="G90" s="22"/>
    </row>
    <row r="91" spans="1:7" x14ac:dyDescent="0.25">
      <c r="A91" s="23" t="str">
        <f t="shared" si="5"/>
        <v xml:space="preserve"> </v>
      </c>
      <c r="B91" s="23"/>
      <c r="C91" s="23"/>
      <c r="D91" s="23"/>
      <c r="E91" s="23"/>
      <c r="F91" s="23"/>
      <c r="G91" s="23"/>
    </row>
    <row r="92" spans="1:7" x14ac:dyDescent="0.25">
      <c r="A92" s="22" t="str">
        <f t="shared" si="5"/>
        <v xml:space="preserve"> </v>
      </c>
      <c r="B92" s="22"/>
      <c r="C92" s="22"/>
      <c r="D92" s="22"/>
      <c r="E92" s="22"/>
      <c r="F92" s="22"/>
      <c r="G92" s="22"/>
    </row>
    <row r="93" spans="1:7" x14ac:dyDescent="0.25">
      <c r="A93" s="23" t="str">
        <f t="shared" si="5"/>
        <v xml:space="preserve"> </v>
      </c>
      <c r="B93" s="23"/>
      <c r="C93" s="23"/>
      <c r="D93" s="23"/>
      <c r="E93" s="23"/>
      <c r="F93" s="23"/>
      <c r="G93" s="23"/>
    </row>
    <row r="94" spans="1:7" x14ac:dyDescent="0.25">
      <c r="A94" s="22" t="str">
        <f>C94&amp;" "&amp;D94</f>
        <v xml:space="preserve"> </v>
      </c>
      <c r="B94" s="22"/>
      <c r="C94" s="22"/>
      <c r="D94" s="22"/>
      <c r="E94" s="22"/>
      <c r="F94" s="22"/>
      <c r="G94" s="22"/>
    </row>
    <row r="95" spans="1:7" x14ac:dyDescent="0.25">
      <c r="A95" s="23" t="str">
        <f t="shared" si="5"/>
        <v xml:space="preserve"> </v>
      </c>
      <c r="B95" s="23"/>
      <c r="C95" s="23"/>
      <c r="D95" s="23"/>
      <c r="E95" s="23"/>
      <c r="F95" s="23"/>
      <c r="G95" s="23"/>
    </row>
    <row r="96" spans="1:7" x14ac:dyDescent="0.25">
      <c r="A96" s="22" t="str">
        <f t="shared" si="5"/>
        <v xml:space="preserve"> </v>
      </c>
      <c r="B96" s="22"/>
      <c r="C96" s="22"/>
      <c r="D96" s="22"/>
      <c r="E96" s="22"/>
      <c r="F96" s="22"/>
      <c r="G96" s="22"/>
    </row>
    <row r="97" spans="1:7" x14ac:dyDescent="0.25">
      <c r="A97" s="23" t="str">
        <f t="shared" si="5"/>
        <v xml:space="preserve"> </v>
      </c>
      <c r="B97" s="23"/>
      <c r="C97" s="23"/>
      <c r="D97" s="23"/>
      <c r="E97" s="23"/>
      <c r="F97" s="23"/>
      <c r="G97" s="23"/>
    </row>
    <row r="98" spans="1:7" x14ac:dyDescent="0.25">
      <c r="A98" s="22" t="str">
        <f t="shared" si="5"/>
        <v xml:space="preserve"> </v>
      </c>
      <c r="B98" s="22"/>
      <c r="C98" s="22"/>
      <c r="D98" s="22"/>
      <c r="E98" s="22"/>
      <c r="F98" s="22"/>
      <c r="G98" s="22"/>
    </row>
    <row r="99" spans="1:7" x14ac:dyDescent="0.25">
      <c r="A99" s="23" t="str">
        <f t="shared" si="5"/>
        <v xml:space="preserve"> </v>
      </c>
      <c r="B99" s="23"/>
      <c r="C99" s="23"/>
      <c r="D99" s="23"/>
      <c r="E99" s="23"/>
      <c r="F99" s="23"/>
      <c r="G99" s="23"/>
    </row>
    <row r="100" spans="1:7" x14ac:dyDescent="0.25">
      <c r="A100" s="22" t="str">
        <f t="shared" si="5"/>
        <v xml:space="preserve"> </v>
      </c>
      <c r="B100" s="22"/>
      <c r="C100" s="22"/>
      <c r="D100" s="22"/>
      <c r="E100" s="22"/>
      <c r="F100" s="22"/>
      <c r="G100" s="22"/>
    </row>
    <row r="101" spans="1:7" x14ac:dyDescent="0.25">
      <c r="A101" s="23" t="str">
        <f t="shared" si="5"/>
        <v xml:space="preserve"> </v>
      </c>
      <c r="B101" s="23"/>
      <c r="C101" s="23"/>
      <c r="D101" s="23"/>
      <c r="E101" s="23"/>
      <c r="F101" s="23"/>
      <c r="G101" s="23"/>
    </row>
    <row r="102" spans="1:7" x14ac:dyDescent="0.25">
      <c r="A102" s="22" t="str">
        <f t="shared" si="5"/>
        <v xml:space="preserve"> </v>
      </c>
      <c r="B102" s="22"/>
      <c r="C102" s="22"/>
      <c r="D102" s="22"/>
      <c r="E102" s="22"/>
      <c r="F102" s="22"/>
      <c r="G102" s="22"/>
    </row>
    <row r="103" spans="1:7" x14ac:dyDescent="0.25">
      <c r="A103" s="23" t="str">
        <f t="shared" si="5"/>
        <v xml:space="preserve"> </v>
      </c>
      <c r="B103" s="23"/>
      <c r="C103" s="23"/>
      <c r="D103" s="23"/>
      <c r="E103" s="23"/>
      <c r="F103" s="23"/>
      <c r="G103" s="23"/>
    </row>
    <row r="104" spans="1:7" x14ac:dyDescent="0.25">
      <c r="A104" s="22" t="str">
        <f t="shared" si="5"/>
        <v xml:space="preserve"> </v>
      </c>
      <c r="B104" s="22"/>
      <c r="C104" s="22"/>
      <c r="D104" s="22"/>
      <c r="E104" s="22"/>
      <c r="F104" s="22"/>
      <c r="G104" s="22"/>
    </row>
    <row r="105" spans="1:7" x14ac:dyDescent="0.25">
      <c r="A105" s="23" t="str">
        <f t="shared" si="5"/>
        <v xml:space="preserve"> </v>
      </c>
      <c r="B105" s="23"/>
      <c r="C105" s="23"/>
      <c r="D105" s="23"/>
      <c r="E105" s="23"/>
      <c r="F105" s="23"/>
      <c r="G105" s="23"/>
    </row>
    <row r="106" spans="1:7" x14ac:dyDescent="0.25">
      <c r="A106" s="22" t="str">
        <f t="shared" si="5"/>
        <v xml:space="preserve"> </v>
      </c>
      <c r="B106" s="22"/>
      <c r="C106" s="22"/>
      <c r="D106" s="22"/>
      <c r="E106" s="22"/>
      <c r="F106" s="22"/>
      <c r="G106" s="22"/>
    </row>
    <row r="107" spans="1:7" x14ac:dyDescent="0.25">
      <c r="A107" s="23" t="str">
        <f t="shared" ref="A107:A108" si="6">C107&amp;" "&amp;D107</f>
        <v xml:space="preserve"> </v>
      </c>
      <c r="B107" s="23"/>
      <c r="C107" s="23"/>
      <c r="D107" s="23"/>
      <c r="E107" s="23"/>
      <c r="F107" s="23"/>
      <c r="G107" s="23"/>
    </row>
    <row r="108" spans="1:7" x14ac:dyDescent="0.25">
      <c r="A108" s="22" t="str">
        <f t="shared" si="6"/>
        <v xml:space="preserve"> </v>
      </c>
      <c r="B108" s="22"/>
      <c r="C108" s="22"/>
      <c r="D108" s="22"/>
      <c r="E108" s="22"/>
      <c r="F108" s="22"/>
      <c r="G108" s="22"/>
    </row>
  </sheetData>
  <mergeCells count="7">
    <mergeCell ref="A27:A29"/>
    <mergeCell ref="A44:G44"/>
    <mergeCell ref="G31:K35"/>
    <mergeCell ref="K2:M2"/>
    <mergeCell ref="C26:D26"/>
    <mergeCell ref="B24:D24"/>
    <mergeCell ref="B31:D3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83"/>
  <sheetViews>
    <sheetView showGridLines="0" topLeftCell="A21" zoomScaleNormal="100" workbookViewId="0">
      <selection activeCell="I32" sqref="I32"/>
    </sheetView>
    <sheetView showGridLines="0" workbookViewId="1">
      <selection sqref="A1:E1"/>
    </sheetView>
  </sheetViews>
  <sheetFormatPr baseColWidth="10" defaultRowHeight="15" outlineLevelRow="1" x14ac:dyDescent="0.25"/>
  <cols>
    <col min="1" max="1" width="41.7109375" customWidth="1"/>
    <col min="2" max="2" width="14" customWidth="1"/>
    <col min="3" max="3" width="15.85546875" customWidth="1"/>
    <col min="5" max="5" width="30.7109375" bestFit="1" customWidth="1"/>
    <col min="7" max="7" width="20" bestFit="1" customWidth="1"/>
    <col min="8" max="8" width="20" customWidth="1"/>
    <col min="9" max="9" width="26" bestFit="1" customWidth="1"/>
    <col min="12" max="12" width="17.85546875" bestFit="1" customWidth="1"/>
  </cols>
  <sheetData>
    <row r="1" spans="1:8" ht="26.25" x14ac:dyDescent="0.4">
      <c r="A1" s="173" t="s">
        <v>227</v>
      </c>
      <c r="B1" s="173"/>
      <c r="C1" s="173"/>
      <c r="D1" s="173"/>
      <c r="E1" s="173"/>
      <c r="F1" s="48"/>
      <c r="H1" s="74" t="s">
        <v>245</v>
      </c>
    </row>
    <row r="2" spans="1:8" ht="21" x14ac:dyDescent="0.35">
      <c r="A2" s="70" t="s">
        <v>242</v>
      </c>
      <c r="B2" s="60"/>
      <c r="C2" s="60"/>
      <c r="D2" s="60"/>
      <c r="E2" s="60"/>
      <c r="F2" s="48"/>
    </row>
    <row r="3" spans="1:8" ht="15.75" x14ac:dyDescent="0.25">
      <c r="A3" s="11" t="s">
        <v>240</v>
      </c>
      <c r="B3" s="11"/>
      <c r="C3" s="11"/>
      <c r="D3" s="11"/>
      <c r="E3" s="11"/>
      <c r="F3" s="48"/>
    </row>
    <row r="4" spans="1:8" x14ac:dyDescent="0.25">
      <c r="A4" s="20" t="s">
        <v>49</v>
      </c>
      <c r="B4" s="21"/>
      <c r="C4" s="21"/>
      <c r="D4" s="21"/>
      <c r="E4" s="21"/>
      <c r="F4" s="48"/>
    </row>
    <row r="5" spans="1:8" x14ac:dyDescent="0.25">
      <c r="A5" s="20" t="s">
        <v>50</v>
      </c>
      <c r="B5" s="21"/>
      <c r="C5" s="21"/>
      <c r="D5" s="21"/>
      <c r="E5" s="21"/>
      <c r="F5" s="48"/>
    </row>
    <row r="6" spans="1:8" x14ac:dyDescent="0.25">
      <c r="A6" s="61" t="s">
        <v>48</v>
      </c>
      <c r="B6" s="63">
        <v>8</v>
      </c>
      <c r="C6" s="62" t="s">
        <v>172</v>
      </c>
      <c r="F6" s="48"/>
    </row>
    <row r="7" spans="1:8" x14ac:dyDescent="0.25">
      <c r="A7" s="61" t="s">
        <v>273</v>
      </c>
      <c r="B7" s="75">
        <v>7</v>
      </c>
      <c r="C7" s="62" t="s">
        <v>274</v>
      </c>
      <c r="F7" s="48"/>
    </row>
    <row r="8" spans="1:8" x14ac:dyDescent="0.25">
      <c r="A8" s="61" t="s">
        <v>187</v>
      </c>
      <c r="B8" s="63">
        <v>8</v>
      </c>
      <c r="C8" s="62" t="s">
        <v>241</v>
      </c>
      <c r="F8" s="48"/>
    </row>
    <row r="9" spans="1:8" ht="15.75" x14ac:dyDescent="0.25">
      <c r="A9" s="11" t="s">
        <v>229</v>
      </c>
      <c r="B9" s="11"/>
      <c r="C9" s="11"/>
      <c r="D9" s="11"/>
      <c r="E9" s="11"/>
      <c r="F9" s="48"/>
    </row>
    <row r="10" spans="1:8" x14ac:dyDescent="0.25">
      <c r="A10" s="61" t="s">
        <v>228</v>
      </c>
      <c r="B10" s="196" t="s">
        <v>609</v>
      </c>
      <c r="C10" s="196"/>
      <c r="D10" s="50" t="s">
        <v>234</v>
      </c>
      <c r="F10" s="48"/>
    </row>
    <row r="11" spans="1:8" x14ac:dyDescent="0.25">
      <c r="A11" s="61" t="s">
        <v>95</v>
      </c>
      <c r="B11" s="196" t="s">
        <v>608</v>
      </c>
      <c r="C11" s="196"/>
      <c r="D11" s="50" t="s">
        <v>235</v>
      </c>
      <c r="F11" s="48"/>
    </row>
    <row r="12" spans="1:8" x14ac:dyDescent="0.25">
      <c r="A12" s="61" t="s">
        <v>237</v>
      </c>
      <c r="B12" s="196" t="s">
        <v>607</v>
      </c>
      <c r="C12" s="196"/>
      <c r="D12" s="50" t="s">
        <v>236</v>
      </c>
      <c r="F12" s="48"/>
    </row>
    <row r="13" spans="1:8" x14ac:dyDescent="0.25">
      <c r="F13" s="48"/>
    </row>
    <row r="14" spans="1:8" ht="21" x14ac:dyDescent="0.35">
      <c r="A14" s="70" t="s">
        <v>243</v>
      </c>
      <c r="B14" s="60"/>
      <c r="C14" s="60"/>
      <c r="D14" s="60"/>
      <c r="E14" s="60"/>
      <c r="F14" s="48"/>
    </row>
    <row r="15" spans="1:8" ht="15.75" x14ac:dyDescent="0.25">
      <c r="A15" s="11" t="s">
        <v>233</v>
      </c>
      <c r="B15" s="11"/>
      <c r="C15" s="11"/>
      <c r="D15" s="11"/>
      <c r="E15" s="11"/>
      <c r="F15" s="48"/>
    </row>
    <row r="16" spans="1:8" x14ac:dyDescent="0.25">
      <c r="A16" s="73" t="s">
        <v>162</v>
      </c>
      <c r="B16" s="52"/>
      <c r="F16" s="48"/>
    </row>
    <row r="17" spans="1:6" x14ac:dyDescent="0.25">
      <c r="A17" s="64" t="s">
        <v>517</v>
      </c>
      <c r="B17" s="81">
        <f>'2bis. Hyb. Inverter'!B22</f>
        <v>3</v>
      </c>
      <c r="C17" s="200" t="s">
        <v>110</v>
      </c>
      <c r="F17" s="48"/>
    </row>
    <row r="18" spans="1:6" x14ac:dyDescent="0.25">
      <c r="A18" s="64" t="s">
        <v>554</v>
      </c>
      <c r="B18" s="67">
        <v>3</v>
      </c>
      <c r="C18" s="200"/>
      <c r="D18" s="50"/>
      <c r="F18" s="48"/>
    </row>
    <row r="19" spans="1:6" x14ac:dyDescent="0.25">
      <c r="A19" s="73" t="s">
        <v>160</v>
      </c>
      <c r="B19" s="52"/>
      <c r="F19" s="48"/>
    </row>
    <row r="20" spans="1:6" x14ac:dyDescent="0.25">
      <c r="A20" s="64" t="s">
        <v>515</v>
      </c>
      <c r="B20" s="66">
        <f>'2bis. Panels'!B17</f>
        <v>32.416763136786066</v>
      </c>
      <c r="C20" s="197" t="s">
        <v>52</v>
      </c>
      <c r="D20" s="50"/>
      <c r="F20" s="48"/>
    </row>
    <row r="21" spans="1:6" x14ac:dyDescent="0.25">
      <c r="A21" s="64" t="s">
        <v>516</v>
      </c>
      <c r="B21" s="66">
        <f>ROUNDUP(B20/B18,0)</f>
        <v>11</v>
      </c>
      <c r="C21" s="198"/>
      <c r="D21" s="50"/>
      <c r="F21" s="48"/>
    </row>
    <row r="22" spans="1:6" x14ac:dyDescent="0.25">
      <c r="A22" s="64" t="s">
        <v>521</v>
      </c>
      <c r="B22" s="67">
        <v>12</v>
      </c>
      <c r="C22" s="198"/>
      <c r="D22" s="50"/>
      <c r="F22" s="48"/>
    </row>
    <row r="23" spans="1:6" x14ac:dyDescent="0.25">
      <c r="A23" s="64" t="s">
        <v>520</v>
      </c>
      <c r="B23" s="81">
        <f>'2bis. Panels'!B19</f>
        <v>9</v>
      </c>
      <c r="C23" s="198"/>
      <c r="D23" s="50"/>
      <c r="E23" s="50"/>
      <c r="F23" s="48"/>
    </row>
    <row r="24" spans="1:6" x14ac:dyDescent="0.25">
      <c r="A24" s="64" t="s">
        <v>128</v>
      </c>
      <c r="B24" s="67">
        <v>6</v>
      </c>
      <c r="C24" s="198"/>
      <c r="D24" s="50" t="str">
        <f>IF(B24&lt;=B23,"ok","Too high voltage, reduce panels in series (max given in cell 22).")</f>
        <v>ok</v>
      </c>
      <c r="E24" s="50"/>
      <c r="F24" s="48"/>
    </row>
    <row r="25" spans="1:6" x14ac:dyDescent="0.25">
      <c r="A25" s="64" t="s">
        <v>129</v>
      </c>
      <c r="B25" s="65">
        <f>B22/B24</f>
        <v>2</v>
      </c>
      <c r="C25" s="198"/>
      <c r="D25" s="50" t="str">
        <f>IF(MOD(B25,1)=0,"ok","Number of panels in parallel should be an integer number. Revise the number of panels.")</f>
        <v>ok</v>
      </c>
      <c r="F25" s="48"/>
    </row>
    <row r="26" spans="1:6" x14ac:dyDescent="0.25">
      <c r="A26" s="64" t="s">
        <v>519</v>
      </c>
      <c r="B26" s="65">
        <f>B22*B18</f>
        <v>36</v>
      </c>
      <c r="C26" s="199"/>
      <c r="D26" s="50"/>
      <c r="F26" s="48"/>
    </row>
    <row r="27" spans="1:6" x14ac:dyDescent="0.25">
      <c r="A27" s="73" t="s">
        <v>161</v>
      </c>
      <c r="B27" s="52"/>
      <c r="C27" s="154"/>
      <c r="D27" s="50"/>
      <c r="F27" s="48"/>
    </row>
    <row r="28" spans="1:6" x14ac:dyDescent="0.25">
      <c r="A28" s="64" t="s">
        <v>517</v>
      </c>
      <c r="B28" s="66">
        <f>MAX('2bis. Batteries'!B27,'2bis. Batteries'!B28)</f>
        <v>14.78</v>
      </c>
      <c r="C28" s="197" t="s">
        <v>85</v>
      </c>
      <c r="D28" s="50"/>
      <c r="F28" s="48"/>
    </row>
    <row r="29" spans="1:6" x14ac:dyDescent="0.25">
      <c r="A29" s="64" t="s">
        <v>230</v>
      </c>
      <c r="B29" s="68">
        <v>16</v>
      </c>
      <c r="C29" s="199"/>
      <c r="D29" s="50"/>
      <c r="F29" s="48"/>
    </row>
    <row r="30" spans="1:6" x14ac:dyDescent="0.25">
      <c r="A30" s="64" t="s">
        <v>518</v>
      </c>
      <c r="B30" s="81">
        <f>'2bis. Batteries'!B29</f>
        <v>48</v>
      </c>
      <c r="C30" s="197" t="s">
        <v>91</v>
      </c>
      <c r="D30" s="50"/>
      <c r="F30" s="48"/>
    </row>
    <row r="31" spans="1:6" x14ac:dyDescent="0.25">
      <c r="A31" s="64" t="s">
        <v>90</v>
      </c>
      <c r="B31" s="67">
        <v>48</v>
      </c>
      <c r="C31" s="199"/>
      <c r="D31" s="50"/>
      <c r="F31" s="48"/>
    </row>
    <row r="32" spans="1:6" x14ac:dyDescent="0.25">
      <c r="A32" s="64" t="s">
        <v>92</v>
      </c>
      <c r="B32" s="65">
        <f>'2. System'!B31/'2bis. Batteries'!B16</f>
        <v>4</v>
      </c>
      <c r="C32" s="197" t="s">
        <v>85</v>
      </c>
      <c r="D32" s="50"/>
      <c r="F32" s="48"/>
    </row>
    <row r="33" spans="1:15" x14ac:dyDescent="0.25">
      <c r="A33" s="64" t="s">
        <v>93</v>
      </c>
      <c r="B33" s="65">
        <f>B29/B32</f>
        <v>4</v>
      </c>
      <c r="C33" s="199"/>
      <c r="D33" s="50" t="str">
        <f>IF(MOD(B33,1)=0,"ok","Number of panels in parallel should be an integer number. Revise number of batteries")</f>
        <v>ok</v>
      </c>
      <c r="F33" s="48"/>
    </row>
    <row r="34" spans="1:15" x14ac:dyDescent="0.25">
      <c r="A34" s="64" t="s">
        <v>581</v>
      </c>
      <c r="B34" s="66">
        <f>('2bis. Batteries'!B18*'2bis. Batteries'!B16*'2bis. Batteries'!B7*B29)/('1. Appliances'!I24)*24</f>
        <v>8.6603518267929633</v>
      </c>
      <c r="C34" s="163" t="s">
        <v>86</v>
      </c>
      <c r="D34" s="50"/>
      <c r="F34" s="48"/>
    </row>
    <row r="35" spans="1:15" x14ac:dyDescent="0.25">
      <c r="A35" s="64" t="s">
        <v>577</v>
      </c>
      <c r="B35" s="81">
        <f>'2bis. Batteries'!B30</f>
        <v>4.2016806722689077</v>
      </c>
      <c r="C35" s="162" t="s">
        <v>565</v>
      </c>
      <c r="D35" s="50"/>
      <c r="F35" s="48"/>
    </row>
    <row r="36" spans="1:15" x14ac:dyDescent="0.25">
      <c r="F36" s="48"/>
    </row>
    <row r="37" spans="1:15" ht="21" x14ac:dyDescent="0.35">
      <c r="A37" s="70" t="s">
        <v>244</v>
      </c>
      <c r="B37" s="60"/>
      <c r="C37" s="60"/>
      <c r="D37" s="60"/>
      <c r="E37" s="60"/>
      <c r="F37" s="60"/>
      <c r="G37" s="60"/>
      <c r="H37" s="60"/>
      <c r="I37" s="60"/>
    </row>
    <row r="38" spans="1:15" ht="15.75" x14ac:dyDescent="0.25">
      <c r="A38" s="69" t="s">
        <v>239</v>
      </c>
      <c r="B38" s="69"/>
      <c r="C38" s="69"/>
      <c r="D38" s="69"/>
      <c r="E38" s="69"/>
      <c r="F38" s="69"/>
      <c r="G38" s="69"/>
      <c r="H38" s="69"/>
      <c r="I38" s="69"/>
    </row>
    <row r="39" spans="1:15" ht="15.75" x14ac:dyDescent="0.25">
      <c r="A39" s="194" t="s">
        <v>162</v>
      </c>
      <c r="B39" s="194"/>
      <c r="C39" s="48"/>
      <c r="D39" s="194" t="s">
        <v>232</v>
      </c>
      <c r="E39" s="194"/>
      <c r="F39" s="48"/>
      <c r="G39" s="195" t="s">
        <v>161</v>
      </c>
      <c r="H39" s="195"/>
      <c r="I39" s="49"/>
      <c r="J39" s="48"/>
      <c r="K39" s="48"/>
      <c r="L39" s="48"/>
      <c r="M39" s="48"/>
      <c r="N39" s="48"/>
      <c r="O39" s="48"/>
    </row>
    <row r="40" spans="1:15" ht="15" hidden="1" customHeight="1" outlineLevel="1" x14ac:dyDescent="0.25">
      <c r="C40" s="48"/>
      <c r="D40" t="s">
        <v>138</v>
      </c>
      <c r="E40" s="14">
        <f>'2. System'!B24*'2bis. Panels'!B10</f>
        <v>253.32</v>
      </c>
      <c r="F40" s="48"/>
      <c r="G40" t="s">
        <v>180</v>
      </c>
      <c r="H40" s="14">
        <f>B31</f>
        <v>48</v>
      </c>
      <c r="I40" s="49"/>
      <c r="J40" s="48"/>
      <c r="K40" s="48"/>
      <c r="L40" s="48"/>
      <c r="M40" s="48"/>
      <c r="N40" s="48"/>
      <c r="O40" s="48"/>
    </row>
    <row r="41" spans="1:15" ht="15" hidden="1" customHeight="1" outlineLevel="1" x14ac:dyDescent="0.25">
      <c r="C41" s="48"/>
      <c r="D41" t="s">
        <v>141</v>
      </c>
      <c r="E41" s="14">
        <f>'2bis. Hyb. Inverter'!C12/'2bis. Hyb. Inverter'!B5</f>
        <v>109.09090909090908</v>
      </c>
      <c r="F41" s="48"/>
      <c r="G41" t="s">
        <v>181</v>
      </c>
      <c r="H41" s="14">
        <f>'2bis. Hyb. Inverter'!C15</f>
        <v>48</v>
      </c>
      <c r="I41" s="49"/>
      <c r="J41" s="48"/>
      <c r="K41" s="48"/>
      <c r="L41" s="48"/>
      <c r="M41" s="48"/>
      <c r="N41" s="48"/>
      <c r="O41" s="48"/>
    </row>
    <row r="42" spans="1:15" collapsed="1" x14ac:dyDescent="0.25">
      <c r="A42" s="20" t="s">
        <v>62</v>
      </c>
      <c r="B42" s="15" t="str">
        <f>IF(B18&gt;1,"This tool is preferred for 1 inverter design. Consider using a more powerful inverter. Otherwise, use inverters in parallel (this requires good installation skills).","Ok")</f>
        <v>This tool is preferred for 1 inverter design. Consider using a more powerful inverter. Otherwise, use inverters in parallel (this requires good installation skills).</v>
      </c>
      <c r="C42" s="48"/>
      <c r="D42" s="20" t="s">
        <v>130</v>
      </c>
      <c r="E42" s="15" t="str">
        <f>IF(E40&lt;E41,"Increase panels in series","Ok")</f>
        <v>Ok</v>
      </c>
      <c r="F42" s="48"/>
      <c r="G42" s="20" t="s">
        <v>90</v>
      </c>
      <c r="H42" s="15" t="str">
        <f>IF(B69=B70,"Ok","The battery system voltage is not adequate with Inverter.")</f>
        <v>Ok</v>
      </c>
      <c r="I42" s="49"/>
      <c r="J42" s="48"/>
      <c r="K42" s="48"/>
      <c r="L42" s="48"/>
      <c r="M42" s="48"/>
      <c r="N42" s="48"/>
      <c r="O42" s="48"/>
    </row>
    <row r="43" spans="1:15" ht="15" hidden="1" customHeight="1" outlineLevel="1" x14ac:dyDescent="0.25">
      <c r="C43" s="48"/>
      <c r="D43" s="20" t="s">
        <v>139</v>
      </c>
      <c r="E43" s="14">
        <f>'2bis. Panels'!B12*B24</f>
        <v>302.10000000000002</v>
      </c>
      <c r="F43" s="48"/>
      <c r="G43" s="20" t="s">
        <v>147</v>
      </c>
      <c r="H43" s="14">
        <f>B29*'2bis. Batteries'!B20</f>
        <v>4165.0647901181983</v>
      </c>
      <c r="I43" s="49"/>
      <c r="J43" s="48"/>
      <c r="K43" s="48"/>
      <c r="L43" s="48"/>
      <c r="M43" s="48"/>
      <c r="N43" s="48"/>
      <c r="O43" s="48"/>
    </row>
    <row r="44" spans="1:15" ht="15" hidden="1" customHeight="1" outlineLevel="1" x14ac:dyDescent="0.25">
      <c r="C44" s="48"/>
      <c r="D44" s="20" t="s">
        <v>140</v>
      </c>
      <c r="E44" s="14">
        <f>'2bis. Hyb. Inverter'!C13*'2bis. Hyb. Inverter'!B5</f>
        <v>132</v>
      </c>
      <c r="F44" s="48"/>
      <c r="G44" s="20" t="s">
        <v>148</v>
      </c>
      <c r="H44" s="14">
        <f>'1. Appliances'!E28</f>
        <v>2184</v>
      </c>
      <c r="I44" s="49"/>
      <c r="J44" s="48"/>
      <c r="K44" s="48"/>
      <c r="L44" s="48"/>
      <c r="M44" s="48"/>
      <c r="N44" s="48"/>
      <c r="O44" s="48"/>
    </row>
    <row r="45" spans="1:15" collapsed="1" x14ac:dyDescent="0.25">
      <c r="A45" s="20" t="s">
        <v>522</v>
      </c>
      <c r="B45" s="15" t="str">
        <f>IF('2bis. Panels'!B16&gt;15000,"High power system. Consider a AC-coupling system","Ok")</f>
        <v>High power system. Consider a AC-coupling system</v>
      </c>
      <c r="C45" s="48"/>
      <c r="D45" s="20" t="s">
        <v>142</v>
      </c>
      <c r="E45" s="15" t="str">
        <f>IF(E43&lt;E44,"Increase panels in series","Ok")</f>
        <v>Ok</v>
      </c>
      <c r="F45" s="48"/>
      <c r="G45" s="20" t="s">
        <v>149</v>
      </c>
      <c r="H45" s="15" t="str">
        <f>IF(H43&lt;H44,"Demand cannot be supplied, increase number of batteries","Ok")</f>
        <v>Ok</v>
      </c>
      <c r="I45" s="49"/>
      <c r="J45" s="48"/>
      <c r="K45" s="48"/>
      <c r="L45" s="48"/>
      <c r="M45" s="48"/>
      <c r="N45" s="48"/>
      <c r="O45" s="48"/>
    </row>
    <row r="46" spans="1:15" ht="15" hidden="1" customHeight="1" outlineLevel="1" x14ac:dyDescent="0.25">
      <c r="A46" s="48"/>
      <c r="B46" s="48"/>
      <c r="C46" s="48"/>
      <c r="D46" s="20" t="s">
        <v>139</v>
      </c>
      <c r="E46" s="14">
        <f>'2bis. Panels'!B12*B24</f>
        <v>302.10000000000002</v>
      </c>
      <c r="F46" s="48"/>
      <c r="G46" s="20" t="s">
        <v>153</v>
      </c>
      <c r="H46" s="14">
        <f>B29*'2bis. Batteries'!B22</f>
        <v>7080.6101432009382</v>
      </c>
      <c r="I46" s="49"/>
      <c r="J46" s="48"/>
      <c r="K46" s="48"/>
      <c r="L46" s="48"/>
      <c r="M46" s="48"/>
      <c r="N46" s="48"/>
      <c r="O46" s="48"/>
    </row>
    <row r="47" spans="1:15" ht="15" hidden="1" customHeight="1" outlineLevel="1" x14ac:dyDescent="0.25">
      <c r="A47" s="48"/>
      <c r="B47" s="48"/>
      <c r="C47" s="48"/>
      <c r="D47" s="20" t="s">
        <v>143</v>
      </c>
      <c r="E47" s="14">
        <f>'2bis. Hyb. Inverter'!C11/'2bis. Hyb. Inverter'!B5</f>
        <v>454.5454545454545</v>
      </c>
      <c r="F47" s="48"/>
      <c r="G47" s="20" t="s">
        <v>154</v>
      </c>
      <c r="H47" s="14">
        <f>'1. Appliances'!F28</f>
        <v>2184</v>
      </c>
      <c r="I47" s="49"/>
      <c r="J47" s="48"/>
      <c r="K47" s="48"/>
      <c r="L47" s="48"/>
      <c r="M47" s="48"/>
      <c r="N47" s="48"/>
      <c r="O47" s="48"/>
    </row>
    <row r="48" spans="1:15" collapsed="1" x14ac:dyDescent="0.25">
      <c r="A48" s="48"/>
      <c r="B48" s="48"/>
      <c r="C48" s="48"/>
      <c r="D48" s="20" t="s">
        <v>131</v>
      </c>
      <c r="E48" s="15" t="str">
        <f>IF(E46&gt;E47,"Decrease panels in serie","Ok")</f>
        <v>Ok</v>
      </c>
      <c r="F48" s="48"/>
      <c r="G48" s="20" t="s">
        <v>155</v>
      </c>
      <c r="H48" s="15" t="str">
        <f>IF(H46&lt;H47,"Surge demand cannot be supplied, increase number of batteries","Ok")</f>
        <v>Ok</v>
      </c>
      <c r="I48" s="49"/>
      <c r="J48" s="48"/>
      <c r="K48" s="48"/>
      <c r="L48" s="48"/>
      <c r="M48" s="48"/>
      <c r="N48" s="48"/>
      <c r="O48" s="48"/>
    </row>
    <row r="49" spans="1:15" ht="15" hidden="1" customHeight="1" outlineLevel="1" x14ac:dyDescent="0.25">
      <c r="A49" s="48"/>
      <c r="B49" s="48"/>
      <c r="C49" s="48"/>
      <c r="D49" s="20" t="s">
        <v>144</v>
      </c>
      <c r="E49" s="14">
        <f>'2bis. Panels'!B11*B25</f>
        <v>23</v>
      </c>
      <c r="F49" s="48"/>
      <c r="G49" s="20" t="s">
        <v>156</v>
      </c>
      <c r="H49" s="14">
        <f>H43/B69/B32</f>
        <v>21.693045781865617</v>
      </c>
      <c r="I49" s="49"/>
      <c r="J49" s="48"/>
      <c r="K49" s="48"/>
      <c r="L49" s="48"/>
      <c r="M49" s="48"/>
      <c r="N49" s="48"/>
      <c r="O49" s="48"/>
    </row>
    <row r="50" spans="1:15" ht="15" hidden="1" customHeight="1" outlineLevel="1" x14ac:dyDescent="0.25">
      <c r="A50" s="48"/>
      <c r="B50" s="48"/>
      <c r="C50" s="48"/>
      <c r="D50" s="20" t="s">
        <v>145</v>
      </c>
      <c r="E50" s="14">
        <f>'2bis. Hyb. Inverter'!C14</f>
        <v>100</v>
      </c>
      <c r="F50" s="48"/>
      <c r="G50" s="20" t="s">
        <v>157</v>
      </c>
      <c r="H50" s="14">
        <f>'2bis. Hyb. Inverter'!C16</f>
        <v>100</v>
      </c>
      <c r="I50" s="49"/>
      <c r="J50" s="48"/>
      <c r="K50" s="48"/>
      <c r="L50" s="48"/>
      <c r="M50" s="48"/>
      <c r="N50" s="48"/>
      <c r="O50" s="48"/>
    </row>
    <row r="51" spans="1:15" collapsed="1" x14ac:dyDescent="0.25">
      <c r="A51" s="48"/>
      <c r="B51" s="48"/>
      <c r="C51" s="48"/>
      <c r="D51" s="20" t="s">
        <v>132</v>
      </c>
      <c r="E51" s="15" t="str">
        <f>IF(E49&gt;E50,"Decrease panels in parallel","Ok")</f>
        <v>Ok</v>
      </c>
      <c r="F51" s="48"/>
      <c r="G51" s="20" t="s">
        <v>158</v>
      </c>
      <c r="H51" s="15" t="str">
        <f>IF(H49&gt;H50,"Current from batteries too high, increase system voltage","Ok")</f>
        <v>Ok</v>
      </c>
      <c r="I51" s="49"/>
      <c r="J51" s="48"/>
      <c r="K51" s="48"/>
      <c r="L51" s="48"/>
      <c r="M51" s="48"/>
      <c r="N51" s="48"/>
      <c r="O51" s="48"/>
    </row>
    <row r="52" spans="1:15" ht="15" hidden="1" customHeight="1" outlineLevel="1" x14ac:dyDescent="0.25">
      <c r="A52" s="48"/>
      <c r="B52" s="48"/>
      <c r="C52" s="48"/>
      <c r="D52" s="20" t="s">
        <v>507</v>
      </c>
      <c r="E52" s="14">
        <f>'2bis. Panels'!B9*B22</f>
        <v>5826.36</v>
      </c>
      <c r="F52" s="48"/>
      <c r="G52" s="20" t="s">
        <v>188</v>
      </c>
      <c r="H52" s="14">
        <f>'2bis. Batteries'!B23</f>
        <v>1500</v>
      </c>
      <c r="I52" s="49"/>
      <c r="J52" s="48"/>
      <c r="K52" s="48"/>
      <c r="L52" s="48"/>
      <c r="M52" s="48"/>
      <c r="N52" s="48"/>
      <c r="O52" s="48"/>
    </row>
    <row r="53" spans="1:15" ht="15" hidden="1" customHeight="1" outlineLevel="1" x14ac:dyDescent="0.25">
      <c r="A53" s="48"/>
      <c r="B53" s="48"/>
      <c r="C53" s="48"/>
      <c r="D53" s="20" t="s">
        <v>508</v>
      </c>
      <c r="E53" s="14">
        <f>'2bis. Hyb. Inverter'!C11*'2bis. Hyb. Inverter'!C14</f>
        <v>50000</v>
      </c>
      <c r="F53" s="48"/>
      <c r="G53" s="20" t="s">
        <v>189</v>
      </c>
      <c r="H53" s="14">
        <f>'2. System'!B8*'2bis. Batteries'!B13</f>
        <v>2856</v>
      </c>
      <c r="I53" s="49"/>
      <c r="J53" s="48"/>
      <c r="K53" s="48"/>
      <c r="L53" s="48"/>
      <c r="M53" s="48"/>
      <c r="N53" s="48"/>
      <c r="O53" s="48"/>
    </row>
    <row r="54" spans="1:15" collapsed="1" x14ac:dyDescent="0.25">
      <c r="A54" s="48"/>
      <c r="B54" s="48"/>
      <c r="C54" s="48"/>
      <c r="D54" s="20" t="s">
        <v>509</v>
      </c>
      <c r="E54" s="15" t="str">
        <f>IF(E52&gt;E53,"Decrease number of panels","Ok")</f>
        <v>Ok</v>
      </c>
      <c r="F54" s="48"/>
      <c r="G54" s="20" t="s">
        <v>238</v>
      </c>
      <c r="H54" s="15" t="str">
        <f>IF(H52&lt;H53,"Number of cycles insufficient to ensure correct lifetime. Advice: decrease Depth of Discharge, chose another battery","Ok")</f>
        <v>Number of cycles insufficient to ensure correct lifetime. Advice: decrease Depth of Discharge, chose another battery</v>
      </c>
      <c r="I54" s="49"/>
      <c r="J54" s="48"/>
      <c r="K54" s="48"/>
      <c r="L54" s="48"/>
      <c r="M54" s="48"/>
      <c r="N54" s="48"/>
      <c r="O54" s="48"/>
    </row>
    <row r="55" spans="1:15" ht="15" hidden="1" customHeight="1" outlineLevel="1" x14ac:dyDescent="0.25">
      <c r="A55" s="48"/>
      <c r="B55" s="48"/>
      <c r="C55" s="48"/>
      <c r="D55" s="48"/>
      <c r="E55" s="48"/>
      <c r="F55" s="48"/>
      <c r="G55" s="20" t="s">
        <v>552</v>
      </c>
      <c r="H55" s="14">
        <f>B33</f>
        <v>4</v>
      </c>
      <c r="I55" s="49"/>
      <c r="J55" s="48"/>
      <c r="K55" s="48"/>
      <c r="L55" s="48"/>
      <c r="M55" s="48"/>
      <c r="N55" s="48"/>
      <c r="O55" s="48"/>
    </row>
    <row r="56" spans="1:15" ht="15" hidden="1" customHeight="1" outlineLevel="1" x14ac:dyDescent="0.25">
      <c r="A56" s="48"/>
      <c r="B56" s="48"/>
      <c r="C56" s="48"/>
      <c r="D56" s="48"/>
      <c r="E56" s="48"/>
      <c r="F56" s="48"/>
      <c r="G56" s="20" t="s">
        <v>551</v>
      </c>
      <c r="H56" s="13">
        <v>3</v>
      </c>
      <c r="I56" s="49"/>
      <c r="J56" s="48"/>
      <c r="K56" s="48"/>
      <c r="L56" s="48"/>
      <c r="M56" s="48"/>
      <c r="N56" s="48"/>
      <c r="O56" s="48"/>
    </row>
    <row r="57" spans="1:15" collapsed="1" x14ac:dyDescent="0.25">
      <c r="A57" s="48"/>
      <c r="B57" s="48"/>
      <c r="C57" s="48"/>
      <c r="D57" s="48"/>
      <c r="E57" s="48"/>
      <c r="F57" s="48"/>
      <c r="G57" s="20" t="s">
        <v>550</v>
      </c>
      <c r="H57" s="15" t="str">
        <f>IF(H55&gt;H56,"Too many batteries in parallel, consider using 2V batteries or increase system voltage","Ok")</f>
        <v>Too many batteries in parallel, consider using 2V batteries or increase system voltage</v>
      </c>
      <c r="I57" s="49"/>
      <c r="J57" s="48"/>
      <c r="K57" s="48"/>
      <c r="L57" s="48"/>
      <c r="M57" s="48"/>
      <c r="N57" s="48"/>
      <c r="O57" s="48"/>
    </row>
    <row r="58" spans="1:15" x14ac:dyDescent="0.25">
      <c r="A58" s="49"/>
      <c r="B58" s="49"/>
      <c r="C58" s="49"/>
      <c r="D58" s="49"/>
      <c r="E58" s="49"/>
      <c r="F58" s="49"/>
      <c r="G58" s="49"/>
      <c r="H58" s="49"/>
      <c r="I58" s="49"/>
    </row>
    <row r="59" spans="1:15" ht="156" customHeight="1" x14ac:dyDescent="0.25">
      <c r="A59" s="59" t="s">
        <v>159</v>
      </c>
      <c r="B59" s="58">
        <f>'2bis. Hyb. Inverter'!C17</f>
        <v>0</v>
      </c>
      <c r="C59" s="48"/>
      <c r="D59" s="59" t="s">
        <v>62</v>
      </c>
      <c r="E59" s="58">
        <f>'2bis. Hyb. Inverter'!C17</f>
        <v>0</v>
      </c>
      <c r="F59" s="48"/>
      <c r="G59" s="59" t="s">
        <v>159</v>
      </c>
      <c r="H59" s="58">
        <f>'2bis. Batteries'!B24</f>
        <v>0</v>
      </c>
      <c r="I59" s="49"/>
    </row>
    <row r="60" spans="1:15" x14ac:dyDescent="0.25">
      <c r="A60" s="48"/>
      <c r="B60" s="48"/>
      <c r="C60" s="48"/>
      <c r="D60" s="48"/>
      <c r="E60" s="48"/>
      <c r="F60" s="48"/>
      <c r="G60" s="48"/>
      <c r="H60" s="48"/>
      <c r="I60" s="48"/>
    </row>
    <row r="69" spans="2:3" hidden="1" outlineLevel="1" x14ac:dyDescent="0.25">
      <c r="B69" s="14">
        <f>B31</f>
        <v>48</v>
      </c>
    </row>
    <row r="70" spans="2:3" hidden="1" outlineLevel="1" x14ac:dyDescent="0.25">
      <c r="B70" s="14">
        <f>'2bis. Hyb. Inverter'!C15</f>
        <v>48</v>
      </c>
    </row>
    <row r="71" spans="2:3" collapsed="1" x14ac:dyDescent="0.25"/>
    <row r="72" spans="2:3" hidden="1" outlineLevel="1" x14ac:dyDescent="0.25">
      <c r="C72" t="s">
        <v>2</v>
      </c>
    </row>
    <row r="73" spans="2:3" hidden="1" outlineLevel="1" x14ac:dyDescent="0.25">
      <c r="C73" t="s">
        <v>2</v>
      </c>
    </row>
    <row r="74" spans="2:3" collapsed="1" x14ac:dyDescent="0.25"/>
    <row r="75" spans="2:3" hidden="1" outlineLevel="1" x14ac:dyDescent="0.25">
      <c r="C75" t="s">
        <v>2</v>
      </c>
    </row>
    <row r="76" spans="2:3" hidden="1" outlineLevel="1" x14ac:dyDescent="0.25">
      <c r="C76" t="s">
        <v>2</v>
      </c>
    </row>
    <row r="77" spans="2:3" collapsed="1" x14ac:dyDescent="0.25"/>
    <row r="78" spans="2:3" hidden="1" outlineLevel="1" x14ac:dyDescent="0.25">
      <c r="C78" t="s">
        <v>146</v>
      </c>
    </row>
    <row r="79" spans="2:3" hidden="1" outlineLevel="1" x14ac:dyDescent="0.25">
      <c r="C79" t="s">
        <v>146</v>
      </c>
    </row>
    <row r="80" spans="2:3" collapsed="1" x14ac:dyDescent="0.25"/>
    <row r="81" spans="3:3" hidden="1" outlineLevel="1" x14ac:dyDescent="0.25">
      <c r="C81" t="s">
        <v>46</v>
      </c>
    </row>
    <row r="82" spans="3:3" hidden="1" outlineLevel="1" x14ac:dyDescent="0.25">
      <c r="C82" t="s">
        <v>46</v>
      </c>
    </row>
    <row r="83" spans="3:3" collapsed="1" x14ac:dyDescent="0.25">
      <c r="C83" t="s">
        <v>86</v>
      </c>
    </row>
  </sheetData>
  <mergeCells count="12">
    <mergeCell ref="A39:B39"/>
    <mergeCell ref="D39:E39"/>
    <mergeCell ref="G39:H39"/>
    <mergeCell ref="A1:E1"/>
    <mergeCell ref="B10:C10"/>
    <mergeCell ref="B11:C11"/>
    <mergeCell ref="B12:C12"/>
    <mergeCell ref="C20:C26"/>
    <mergeCell ref="C28:C29"/>
    <mergeCell ref="C30:C31"/>
    <mergeCell ref="C32:C33"/>
    <mergeCell ref="C17:C18"/>
  </mergeCells>
  <conditionalFormatting sqref="E42">
    <cfRule type="notContainsText" dxfId="15" priority="21" operator="notContains" text="Ok">
      <formula>ISERROR(SEARCH("Ok",E42))</formula>
    </cfRule>
  </conditionalFormatting>
  <conditionalFormatting sqref="E45">
    <cfRule type="notContainsText" dxfId="14" priority="20" operator="notContains" text="Ok">
      <formula>ISERROR(SEARCH("Ok",E45))</formula>
    </cfRule>
  </conditionalFormatting>
  <conditionalFormatting sqref="E48">
    <cfRule type="notContainsText" dxfId="13" priority="19" operator="notContains" text="Ok">
      <formula>ISERROR(SEARCH("Ok",E48))</formula>
    </cfRule>
  </conditionalFormatting>
  <conditionalFormatting sqref="E51">
    <cfRule type="notContainsText" dxfId="12" priority="18" operator="notContains" text="Ok">
      <formula>ISERROR(SEARCH("Ok",E51))</formula>
    </cfRule>
  </conditionalFormatting>
  <conditionalFormatting sqref="B42">
    <cfRule type="notContainsText" dxfId="11" priority="17" operator="notContains" text="Ok">
      <formula>ISERROR(SEARCH("Ok",B42))</formula>
    </cfRule>
  </conditionalFormatting>
  <conditionalFormatting sqref="H42">
    <cfRule type="notContainsText" dxfId="10" priority="16" operator="notContains" text="Ok">
      <formula>ISERROR(SEARCH("Ok",H42))</formula>
    </cfRule>
  </conditionalFormatting>
  <conditionalFormatting sqref="H45">
    <cfRule type="notContainsText" dxfId="9" priority="15" operator="notContains" text="Ok">
      <formula>ISERROR(SEARCH("Ok",H45))</formula>
    </cfRule>
  </conditionalFormatting>
  <conditionalFormatting sqref="H48">
    <cfRule type="notContainsText" dxfId="8" priority="14" operator="notContains" text="Ok">
      <formula>ISERROR(SEARCH("Ok",H48))</formula>
    </cfRule>
  </conditionalFormatting>
  <conditionalFormatting sqref="H51">
    <cfRule type="notContainsText" dxfId="7" priority="13" operator="notContains" text="Ok">
      <formula>ISERROR(SEARCH("Ok",H51))</formula>
    </cfRule>
  </conditionalFormatting>
  <conditionalFormatting sqref="H54">
    <cfRule type="notContainsText" dxfId="6" priority="12" operator="notContains" text="Ok">
      <formula>ISERROR(SEARCH("Ok",H54))</formula>
    </cfRule>
  </conditionalFormatting>
  <conditionalFormatting sqref="B59">
    <cfRule type="notContainsText" dxfId="5" priority="11" operator="notContains" text="Ok">
      <formula>ISERROR(SEARCH("Ok",B59))</formula>
    </cfRule>
  </conditionalFormatting>
  <conditionalFormatting sqref="E59">
    <cfRule type="notContainsText" dxfId="4" priority="8" operator="notContains" text="Ok">
      <formula>ISERROR(SEARCH("Ok",E59))</formula>
    </cfRule>
  </conditionalFormatting>
  <conditionalFormatting sqref="H59">
    <cfRule type="notContainsText" dxfId="3" priority="7" operator="notContains" text="Ok">
      <formula>ISERROR(SEARCH("Ok",H59))</formula>
    </cfRule>
  </conditionalFormatting>
  <conditionalFormatting sqref="E54">
    <cfRule type="notContainsText" dxfId="2" priority="5" operator="notContains" text="Ok">
      <formula>ISERROR(SEARCH("Ok",E54))</formula>
    </cfRule>
  </conditionalFormatting>
  <conditionalFormatting sqref="B45">
    <cfRule type="notContainsText" dxfId="1" priority="4" operator="notContains" text="Ok">
      <formula>ISERROR(SEARCH("Ok",B45))</formula>
    </cfRule>
  </conditionalFormatting>
  <conditionalFormatting sqref="H57">
    <cfRule type="notContainsText" dxfId="0" priority="1" operator="notContains" text="Ok">
      <formula>ISERROR(SEARCH("Ok",H57))</formula>
    </cfRule>
  </conditionalFormatting>
  <dataValidations count="1">
    <dataValidation type="list" allowBlank="1" showInputMessage="1" showErrorMessage="1" promptTitle="Panels" sqref="B14">
      <formula1>$A$27:$A$64</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Panels">
          <x14:formula1>
            <xm:f>'2bis. Panels'!$A$24:$A$56</xm:f>
          </x14:formula1>
          <xm:sqref>B10</xm:sqref>
        </x14:dataValidation>
        <x14:dataValidation type="list" allowBlank="1" showInputMessage="1" showErrorMessage="1" promptTitle="Panels">
          <x14:formula1>
            <xm:f>'2bis. Hyb. Inverter'!$A$27:$A$59</xm:f>
          </x14:formula1>
          <xm:sqref>B12</xm:sqref>
        </x14:dataValidation>
        <x14:dataValidation type="list" allowBlank="1" showInputMessage="1" showErrorMessage="1" promptTitle="Panels">
          <x14:formula1>
            <xm:f>'2bis. Batteries'!$A$36:$A$68</xm:f>
          </x14:formula1>
          <xm:sqref>B11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election activeCell="B24" sqref="B24"/>
    </sheetView>
    <sheetView showGridLines="0" workbookViewId="1">
      <selection sqref="A1:E1"/>
    </sheetView>
  </sheetViews>
  <sheetFormatPr baseColWidth="10" defaultRowHeight="15" x14ac:dyDescent="0.25"/>
  <cols>
    <col min="1" max="1" width="30.28515625" customWidth="1"/>
    <col min="2" max="2" width="13.85546875" bestFit="1" customWidth="1"/>
    <col min="3" max="3" width="16.5703125" bestFit="1" customWidth="1"/>
    <col min="9" max="9" width="32.5703125" bestFit="1" customWidth="1"/>
    <col min="10" max="10" width="26.5703125" bestFit="1" customWidth="1"/>
  </cols>
  <sheetData>
    <row r="1" spans="1:5" ht="26.25" x14ac:dyDescent="0.4">
      <c r="A1" s="173" t="s">
        <v>194</v>
      </c>
      <c r="B1" s="173"/>
      <c r="C1" s="173"/>
      <c r="D1" s="173"/>
      <c r="E1" s="173"/>
    </row>
    <row r="2" spans="1:5" ht="15.75" x14ac:dyDescent="0.25">
      <c r="A2" s="175" t="s">
        <v>9</v>
      </c>
      <c r="B2" s="175"/>
      <c r="C2" s="175"/>
      <c r="D2" s="20" t="s">
        <v>170</v>
      </c>
    </row>
    <row r="3" spans="1:5" x14ac:dyDescent="0.25">
      <c r="A3" s="52" t="s">
        <v>53</v>
      </c>
      <c r="B3" s="158">
        <f>'1. Appliances'!I24</f>
        <v>53208</v>
      </c>
      <c r="C3" s="64" t="s">
        <v>173</v>
      </c>
    </row>
    <row r="4" spans="1:5" x14ac:dyDescent="0.25">
      <c r="A4" s="52" t="s">
        <v>164</v>
      </c>
      <c r="B4" s="67">
        <v>5366</v>
      </c>
      <c r="C4" s="64" t="s">
        <v>174</v>
      </c>
      <c r="D4" s="50" t="s">
        <v>165</v>
      </c>
    </row>
    <row r="5" spans="1:5" x14ac:dyDescent="0.25">
      <c r="A5" s="52" t="s">
        <v>168</v>
      </c>
      <c r="B5" s="161">
        <v>0.7</v>
      </c>
      <c r="C5" s="64" t="s">
        <v>28</v>
      </c>
      <c r="D5" s="50" t="s">
        <v>195</v>
      </c>
    </row>
    <row r="6" spans="1:5" x14ac:dyDescent="0.25">
      <c r="A6" s="52" t="s">
        <v>169</v>
      </c>
      <c r="B6" s="161">
        <v>0.9</v>
      </c>
      <c r="C6" s="64" t="s">
        <v>28</v>
      </c>
      <c r="D6" s="50" t="s">
        <v>196</v>
      </c>
    </row>
    <row r="8" spans="1:5" ht="15.75" x14ac:dyDescent="0.25">
      <c r="A8" s="175" t="s">
        <v>77</v>
      </c>
      <c r="B8" s="175"/>
      <c r="C8" s="175"/>
      <c r="D8" s="20" t="s">
        <v>170</v>
      </c>
    </row>
    <row r="9" spans="1:5" x14ac:dyDescent="0.25">
      <c r="A9" s="52" t="s">
        <v>57</v>
      </c>
      <c r="B9" s="158">
        <f>VLOOKUP('2. System'!B$10,A$24:J$56,4,FALSE)</f>
        <v>485.53</v>
      </c>
      <c r="C9" s="64" t="s">
        <v>175</v>
      </c>
      <c r="D9" s="50" t="s">
        <v>203</v>
      </c>
    </row>
    <row r="10" spans="1:5" x14ac:dyDescent="0.25">
      <c r="A10" s="52" t="s">
        <v>78</v>
      </c>
      <c r="B10" s="158">
        <f>VLOOKUP('2. System'!B$10,A$24:J$56,5,FALSE)</f>
        <v>42.22</v>
      </c>
      <c r="C10" s="64" t="s">
        <v>176</v>
      </c>
      <c r="D10" s="50" t="s">
        <v>204</v>
      </c>
    </row>
    <row r="11" spans="1:5" x14ac:dyDescent="0.25">
      <c r="A11" s="52" t="s">
        <v>79</v>
      </c>
      <c r="B11" s="158">
        <f>VLOOKUP('2. System'!B$10,A$24:J$56,6,FALSE)</f>
        <v>11.5</v>
      </c>
      <c r="C11" s="64" t="s">
        <v>177</v>
      </c>
      <c r="D11" s="50" t="s">
        <v>205</v>
      </c>
    </row>
    <row r="12" spans="1:5" x14ac:dyDescent="0.25">
      <c r="A12" s="52" t="s">
        <v>80</v>
      </c>
      <c r="B12" s="158">
        <f>VLOOKUP('2. System'!B$10,A$24:J$56,7,FALSE)</f>
        <v>50.35</v>
      </c>
      <c r="C12" s="64" t="s">
        <v>176</v>
      </c>
      <c r="D12" s="50" t="s">
        <v>206</v>
      </c>
    </row>
    <row r="13" spans="1:5" x14ac:dyDescent="0.25">
      <c r="A13" s="52" t="s">
        <v>81</v>
      </c>
      <c r="B13" s="158">
        <f>VLOOKUP('2. System'!B$10,A$24:J$56,8,FALSE)</f>
        <v>12.25</v>
      </c>
      <c r="C13" s="64" t="s">
        <v>177</v>
      </c>
      <c r="D13" s="50" t="s">
        <v>207</v>
      </c>
    </row>
    <row r="15" spans="1:5" ht="15.75" x14ac:dyDescent="0.25">
      <c r="A15" s="175" t="s">
        <v>83</v>
      </c>
      <c r="B15" s="175"/>
      <c r="C15" s="175"/>
      <c r="D15" s="20" t="s">
        <v>170</v>
      </c>
    </row>
    <row r="16" spans="1:5" x14ac:dyDescent="0.25">
      <c r="A16" s="52" t="s">
        <v>166</v>
      </c>
      <c r="B16" s="66">
        <f>B3/B4/B5/B6*1000</f>
        <v>15739.311005803738</v>
      </c>
      <c r="C16" s="64" t="s">
        <v>175</v>
      </c>
    </row>
    <row r="17" spans="1:10" x14ac:dyDescent="0.25">
      <c r="A17" s="52" t="s">
        <v>84</v>
      </c>
      <c r="B17" s="66">
        <f>B16/B9</f>
        <v>32.416763136786066</v>
      </c>
      <c r="C17" s="64" t="s">
        <v>171</v>
      </c>
    </row>
    <row r="18" spans="1:10" x14ac:dyDescent="0.25">
      <c r="A18" s="52" t="s">
        <v>533</v>
      </c>
      <c r="B18" s="66">
        <f>TRUNC('2bis. Hyb. Inverter'!C13/B12,0)</f>
        <v>2</v>
      </c>
      <c r="C18" s="64" t="s">
        <v>171</v>
      </c>
      <c r="D18" s="50" t="s">
        <v>561</v>
      </c>
    </row>
    <row r="19" spans="1:10" ht="30" x14ac:dyDescent="0.25">
      <c r="A19" s="157" t="s">
        <v>506</v>
      </c>
      <c r="B19" s="81">
        <f>TRUNC('2bis. Hyb. Inverter'!C11/B12/'2bis. Hyb. Inverter'!B5,0)</f>
        <v>9</v>
      </c>
      <c r="C19" s="64" t="s">
        <v>171</v>
      </c>
      <c r="D19" s="50" t="s">
        <v>562</v>
      </c>
    </row>
    <row r="20" spans="1:10" ht="30" x14ac:dyDescent="0.25">
      <c r="A20" s="157" t="s">
        <v>553</v>
      </c>
      <c r="B20" s="81">
        <f>'2bis. Hyb. Inverter'!C14/'2bis. Panels'!B13</f>
        <v>8.1632653061224492</v>
      </c>
      <c r="C20" s="64" t="s">
        <v>171</v>
      </c>
      <c r="D20" s="50" t="s">
        <v>563</v>
      </c>
    </row>
    <row r="22" spans="1:10" ht="26.25" x14ac:dyDescent="0.4">
      <c r="A22" s="173" t="s">
        <v>54</v>
      </c>
      <c r="B22" s="173"/>
      <c r="C22" s="173"/>
      <c r="D22" s="173"/>
      <c r="E22" s="173"/>
      <c r="F22" s="50" t="s">
        <v>263</v>
      </c>
    </row>
    <row r="23" spans="1:10" x14ac:dyDescent="0.25">
      <c r="B23" s="24" t="s">
        <v>55</v>
      </c>
      <c r="C23" s="24" t="s">
        <v>56</v>
      </c>
      <c r="D23" s="24" t="s">
        <v>57</v>
      </c>
      <c r="E23" s="24" t="s">
        <v>58</v>
      </c>
      <c r="F23" s="24" t="s">
        <v>59</v>
      </c>
      <c r="G23" s="24" t="s">
        <v>60</v>
      </c>
      <c r="H23" s="24" t="s">
        <v>61</v>
      </c>
      <c r="I23" s="24" t="s">
        <v>76</v>
      </c>
      <c r="J23" s="24" t="s">
        <v>62</v>
      </c>
    </row>
    <row r="24" spans="1:10" x14ac:dyDescent="0.25">
      <c r="A24" s="22" t="str">
        <f>B24&amp;" "&amp;C24</f>
        <v>Victron Energy SPM20-12</v>
      </c>
      <c r="B24" s="22" t="s">
        <v>63</v>
      </c>
      <c r="C24" s="22" t="s">
        <v>64</v>
      </c>
      <c r="D24" s="22">
        <f>E24*F24</f>
        <v>20.165000000000003</v>
      </c>
      <c r="E24" s="22">
        <v>18.5</v>
      </c>
      <c r="F24" s="22">
        <v>1.0900000000000001</v>
      </c>
      <c r="G24" s="22">
        <v>22.6</v>
      </c>
      <c r="H24" s="22">
        <v>1.19</v>
      </c>
      <c r="I24" s="22"/>
      <c r="J24" s="22" t="s">
        <v>65</v>
      </c>
    </row>
    <row r="25" spans="1:10" x14ac:dyDescent="0.25">
      <c r="A25" s="23" t="str">
        <f t="shared" ref="A25:A34" si="0">B25&amp;" "&amp;C25</f>
        <v>risen RSM144-410M</v>
      </c>
      <c r="B25" s="23" t="s">
        <v>66</v>
      </c>
      <c r="C25" s="23" t="s">
        <v>67</v>
      </c>
      <c r="D25" s="23">
        <f>E25*F25</f>
        <v>410.565</v>
      </c>
      <c r="E25" s="23">
        <v>40.65</v>
      </c>
      <c r="F25" s="23">
        <v>10.1</v>
      </c>
      <c r="G25" s="23">
        <v>48.9</v>
      </c>
      <c r="H25" s="23">
        <v>10.7</v>
      </c>
      <c r="I25" s="23" t="s">
        <v>68</v>
      </c>
      <c r="J25" s="23"/>
    </row>
    <row r="26" spans="1:10" x14ac:dyDescent="0.25">
      <c r="A26" s="22" t="str">
        <f t="shared" si="0"/>
        <v>FUTURASUN FU 310 P</v>
      </c>
      <c r="B26" s="22" t="s">
        <v>69</v>
      </c>
      <c r="C26" s="22" t="s">
        <v>70</v>
      </c>
      <c r="D26" s="22">
        <f>E26*F26</f>
        <v>310.52699999999999</v>
      </c>
      <c r="E26" s="22">
        <v>37.1</v>
      </c>
      <c r="F26" s="22">
        <v>8.3699999999999992</v>
      </c>
      <c r="G26" s="22">
        <v>45.7</v>
      </c>
      <c r="H26" s="22">
        <v>8.85</v>
      </c>
      <c r="I26" s="22" t="s">
        <v>71</v>
      </c>
      <c r="J26" s="22"/>
    </row>
    <row r="27" spans="1:10" x14ac:dyDescent="0.25">
      <c r="A27" s="23" t="str">
        <f t="shared" si="0"/>
        <v>risen  RSM150-8-485M</v>
      </c>
      <c r="B27" s="23" t="s">
        <v>72</v>
      </c>
      <c r="C27" s="23" t="s">
        <v>73</v>
      </c>
      <c r="D27" s="23">
        <f>E27*F27</f>
        <v>485.53</v>
      </c>
      <c r="E27" s="23">
        <v>42.22</v>
      </c>
      <c r="F27" s="23">
        <v>11.5</v>
      </c>
      <c r="G27" s="23">
        <v>50.35</v>
      </c>
      <c r="H27" s="23">
        <v>12.25</v>
      </c>
      <c r="I27" s="23" t="s">
        <v>74</v>
      </c>
      <c r="J27" s="23"/>
    </row>
    <row r="28" spans="1:10" x14ac:dyDescent="0.25">
      <c r="A28" s="22" t="str">
        <f t="shared" si="0"/>
        <v xml:space="preserve"> </v>
      </c>
      <c r="B28" s="22"/>
      <c r="C28" s="22"/>
      <c r="D28" s="22"/>
      <c r="E28" s="22"/>
      <c r="F28" s="22"/>
      <c r="G28" s="22"/>
      <c r="H28" s="22"/>
      <c r="I28" s="22"/>
      <c r="J28" s="22"/>
    </row>
    <row r="29" spans="1:10" x14ac:dyDescent="0.25">
      <c r="A29" s="23"/>
      <c r="B29" s="23"/>
      <c r="C29" s="23"/>
      <c r="D29" s="23"/>
      <c r="E29" s="23"/>
      <c r="F29" s="23"/>
      <c r="G29" s="23"/>
      <c r="H29" s="23"/>
      <c r="I29" s="23"/>
      <c r="J29" s="23"/>
    </row>
    <row r="30" spans="1:10" x14ac:dyDescent="0.25">
      <c r="A30" s="22"/>
      <c r="B30" s="22"/>
      <c r="C30" s="22"/>
      <c r="D30" s="22"/>
      <c r="E30" s="22"/>
      <c r="F30" s="22"/>
      <c r="G30" s="22"/>
      <c r="H30" s="22"/>
      <c r="I30" s="22"/>
      <c r="J30" s="22"/>
    </row>
    <row r="31" spans="1:10" x14ac:dyDescent="0.25">
      <c r="A31" s="23"/>
      <c r="B31" s="23"/>
      <c r="C31" s="23"/>
      <c r="D31" s="23"/>
      <c r="E31" s="23"/>
      <c r="F31" s="23"/>
      <c r="G31" s="23"/>
      <c r="H31" s="23"/>
      <c r="I31" s="23"/>
      <c r="J31" s="23"/>
    </row>
    <row r="32" spans="1:10" x14ac:dyDescent="0.25">
      <c r="A32" s="22"/>
      <c r="B32" s="22"/>
      <c r="C32" s="22"/>
      <c r="D32" s="22"/>
      <c r="E32" s="22"/>
      <c r="F32" s="22"/>
      <c r="G32" s="22"/>
      <c r="H32" s="22"/>
      <c r="I32" s="22"/>
      <c r="J32" s="22"/>
    </row>
    <row r="33" spans="1:10" x14ac:dyDescent="0.25">
      <c r="A33" s="23"/>
      <c r="B33" s="23"/>
      <c r="C33" s="23"/>
      <c r="D33" s="23"/>
      <c r="E33" s="23"/>
      <c r="F33" s="23"/>
      <c r="G33" s="23"/>
      <c r="H33" s="23"/>
      <c r="I33" s="23"/>
      <c r="J33" s="23"/>
    </row>
    <row r="34" spans="1:10" x14ac:dyDescent="0.25">
      <c r="A34" s="22" t="str">
        <f t="shared" si="0"/>
        <v xml:space="preserve"> </v>
      </c>
      <c r="B34" s="22"/>
      <c r="C34" s="22"/>
      <c r="D34" s="22"/>
      <c r="E34" s="22"/>
      <c r="F34" s="22"/>
      <c r="G34" s="22"/>
      <c r="H34" s="22"/>
      <c r="I34" s="22"/>
      <c r="J34" s="22"/>
    </row>
    <row r="35" spans="1:10" x14ac:dyDescent="0.25">
      <c r="A35" s="23"/>
      <c r="B35" s="23"/>
      <c r="C35" s="23"/>
      <c r="D35" s="23"/>
      <c r="E35" s="23"/>
      <c r="F35" s="23"/>
      <c r="G35" s="23"/>
      <c r="H35" s="23"/>
      <c r="I35" s="23"/>
      <c r="J35" s="23"/>
    </row>
    <row r="36" spans="1:10" x14ac:dyDescent="0.25">
      <c r="A36" s="22"/>
      <c r="B36" s="22"/>
      <c r="C36" s="22"/>
      <c r="D36" s="22"/>
      <c r="E36" s="22"/>
      <c r="F36" s="22"/>
      <c r="G36" s="22"/>
      <c r="H36" s="22"/>
      <c r="I36" s="22"/>
      <c r="J36" s="22"/>
    </row>
    <row r="37" spans="1:10" x14ac:dyDescent="0.25">
      <c r="A37" s="23"/>
      <c r="B37" s="23"/>
      <c r="C37" s="23"/>
      <c r="D37" s="23"/>
      <c r="E37" s="23"/>
      <c r="F37" s="23"/>
      <c r="G37" s="23"/>
      <c r="H37" s="23"/>
      <c r="I37" s="23"/>
      <c r="J37" s="23"/>
    </row>
    <row r="38" spans="1:10" x14ac:dyDescent="0.25">
      <c r="A38" s="22"/>
      <c r="B38" s="22"/>
      <c r="C38" s="22"/>
      <c r="D38" s="22"/>
      <c r="E38" s="22"/>
      <c r="F38" s="22"/>
      <c r="G38" s="22"/>
      <c r="H38" s="22"/>
      <c r="I38" s="22"/>
      <c r="J38" s="22"/>
    </row>
    <row r="39" spans="1:10" x14ac:dyDescent="0.25">
      <c r="A39" s="23"/>
      <c r="B39" s="23"/>
      <c r="C39" s="23"/>
      <c r="D39" s="23"/>
      <c r="E39" s="23"/>
      <c r="F39" s="23"/>
      <c r="G39" s="23"/>
      <c r="H39" s="23"/>
      <c r="I39" s="23"/>
      <c r="J39" s="23"/>
    </row>
    <row r="40" spans="1:10" x14ac:dyDescent="0.25">
      <c r="A40" s="22"/>
      <c r="B40" s="22"/>
      <c r="C40" s="22"/>
      <c r="D40" s="22"/>
      <c r="E40" s="22"/>
      <c r="F40" s="22"/>
      <c r="G40" s="22"/>
      <c r="H40" s="22"/>
      <c r="I40" s="22"/>
      <c r="J40" s="22"/>
    </row>
    <row r="41" spans="1:10" x14ac:dyDescent="0.25">
      <c r="A41" s="23"/>
      <c r="B41" s="23"/>
      <c r="C41" s="23"/>
      <c r="D41" s="23"/>
      <c r="E41" s="23"/>
      <c r="F41" s="23"/>
      <c r="G41" s="23"/>
      <c r="H41" s="23"/>
      <c r="I41" s="23"/>
      <c r="J41" s="23"/>
    </row>
    <row r="42" spans="1:10" x14ac:dyDescent="0.25">
      <c r="A42" s="22"/>
      <c r="B42" s="22"/>
      <c r="C42" s="22"/>
      <c r="D42" s="22"/>
      <c r="E42" s="22"/>
      <c r="F42" s="22"/>
      <c r="G42" s="22"/>
      <c r="H42" s="22"/>
      <c r="I42" s="22"/>
      <c r="J42" s="22"/>
    </row>
    <row r="43" spans="1:10" x14ac:dyDescent="0.25">
      <c r="A43" s="23"/>
      <c r="B43" s="23"/>
      <c r="C43" s="23"/>
      <c r="D43" s="23"/>
      <c r="E43" s="23"/>
      <c r="F43" s="23"/>
      <c r="G43" s="23"/>
      <c r="H43" s="23"/>
      <c r="I43" s="23"/>
      <c r="J43" s="23"/>
    </row>
    <row r="44" spans="1:10" x14ac:dyDescent="0.25">
      <c r="A44" s="22"/>
      <c r="B44" s="22"/>
      <c r="C44" s="22"/>
      <c r="D44" s="22"/>
      <c r="E44" s="22"/>
      <c r="F44" s="22"/>
      <c r="G44" s="22"/>
      <c r="H44" s="22"/>
      <c r="I44" s="22"/>
      <c r="J44" s="22"/>
    </row>
    <row r="45" spans="1:10" x14ac:dyDescent="0.25">
      <c r="A45" s="23"/>
      <c r="B45" s="23"/>
      <c r="C45" s="23"/>
      <c r="D45" s="23"/>
      <c r="E45" s="23"/>
      <c r="F45" s="23"/>
      <c r="G45" s="23"/>
      <c r="H45" s="23"/>
      <c r="I45" s="23"/>
      <c r="J45" s="23"/>
    </row>
    <row r="46" spans="1:10" x14ac:dyDescent="0.25">
      <c r="A46" s="22"/>
      <c r="B46" s="22"/>
      <c r="C46" s="22"/>
      <c r="D46" s="22"/>
      <c r="E46" s="22"/>
      <c r="F46" s="22"/>
      <c r="G46" s="22"/>
      <c r="H46" s="22"/>
      <c r="I46" s="22"/>
      <c r="J46" s="22"/>
    </row>
    <row r="47" spans="1:10" x14ac:dyDescent="0.25">
      <c r="A47" s="23"/>
      <c r="B47" s="23"/>
      <c r="C47" s="23"/>
      <c r="D47" s="23"/>
      <c r="E47" s="23"/>
      <c r="F47" s="23"/>
      <c r="G47" s="23"/>
      <c r="H47" s="23"/>
      <c r="I47" s="23"/>
      <c r="J47" s="23"/>
    </row>
    <row r="48" spans="1:10" x14ac:dyDescent="0.25">
      <c r="A48" s="22"/>
      <c r="B48" s="22"/>
      <c r="C48" s="22"/>
      <c r="D48" s="22"/>
      <c r="E48" s="22"/>
      <c r="F48" s="22"/>
      <c r="G48" s="22"/>
      <c r="H48" s="22"/>
      <c r="I48" s="22"/>
      <c r="J48" s="22"/>
    </row>
    <row r="49" spans="1:10" x14ac:dyDescent="0.25">
      <c r="A49" s="23"/>
      <c r="B49" s="23"/>
      <c r="C49" s="23"/>
      <c r="D49" s="23"/>
      <c r="E49" s="23"/>
      <c r="F49" s="23"/>
      <c r="G49" s="23"/>
      <c r="H49" s="23"/>
      <c r="I49" s="23"/>
      <c r="J49" s="23"/>
    </row>
    <row r="50" spans="1:10" x14ac:dyDescent="0.25">
      <c r="A50" s="22"/>
      <c r="B50" s="22"/>
      <c r="C50" s="22"/>
      <c r="D50" s="22"/>
      <c r="E50" s="22"/>
      <c r="F50" s="22"/>
      <c r="G50" s="22"/>
      <c r="H50" s="22"/>
      <c r="I50" s="22"/>
      <c r="J50" s="22"/>
    </row>
    <row r="51" spans="1:10" x14ac:dyDescent="0.25">
      <c r="A51" s="23"/>
      <c r="B51" s="23"/>
      <c r="C51" s="23"/>
      <c r="D51" s="23"/>
      <c r="E51" s="23"/>
      <c r="F51" s="23"/>
      <c r="G51" s="23"/>
      <c r="H51" s="23"/>
      <c r="I51" s="23"/>
      <c r="J51" s="23"/>
    </row>
    <row r="52" spans="1:10" x14ac:dyDescent="0.25">
      <c r="A52" s="22"/>
      <c r="B52" s="22"/>
      <c r="C52" s="22"/>
      <c r="D52" s="22"/>
      <c r="E52" s="22"/>
      <c r="F52" s="22"/>
      <c r="G52" s="22"/>
      <c r="H52" s="22"/>
      <c r="I52" s="22"/>
      <c r="J52" s="22"/>
    </row>
    <row r="53" spans="1:10" x14ac:dyDescent="0.25">
      <c r="A53" s="23"/>
      <c r="B53" s="23"/>
      <c r="C53" s="23"/>
      <c r="D53" s="23"/>
      <c r="E53" s="23"/>
      <c r="F53" s="23"/>
      <c r="G53" s="23"/>
      <c r="H53" s="23"/>
      <c r="I53" s="23"/>
      <c r="J53" s="23"/>
    </row>
    <row r="54" spans="1:10" x14ac:dyDescent="0.25">
      <c r="A54" s="22"/>
      <c r="B54" s="22"/>
      <c r="C54" s="22"/>
      <c r="D54" s="22"/>
      <c r="E54" s="22"/>
      <c r="F54" s="22"/>
      <c r="G54" s="22"/>
      <c r="H54" s="22"/>
      <c r="I54" s="22"/>
      <c r="J54" s="22"/>
    </row>
    <row r="55" spans="1:10" x14ac:dyDescent="0.25">
      <c r="A55" s="23"/>
      <c r="B55" s="23"/>
      <c r="C55" s="23"/>
      <c r="D55" s="23"/>
      <c r="E55" s="23"/>
      <c r="F55" s="23"/>
      <c r="G55" s="23"/>
      <c r="H55" s="23"/>
      <c r="I55" s="23"/>
      <c r="J55" s="23"/>
    </row>
    <row r="56" spans="1:10" x14ac:dyDescent="0.25">
      <c r="A56" s="22"/>
      <c r="B56" s="22"/>
      <c r="C56" s="22"/>
      <c r="D56" s="22"/>
      <c r="E56" s="22"/>
      <c r="F56" s="22"/>
      <c r="G56" s="22"/>
      <c r="H56" s="22"/>
      <c r="I56" s="22"/>
      <c r="J56" s="22"/>
    </row>
  </sheetData>
  <mergeCells count="5">
    <mergeCell ref="A1:E1"/>
    <mergeCell ref="A2:C2"/>
    <mergeCell ref="A22:E22"/>
    <mergeCell ref="A8:C8"/>
    <mergeCell ref="A15:C1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8"/>
  <sheetViews>
    <sheetView showGridLines="0" zoomScale="85" zoomScaleNormal="85" workbookViewId="0">
      <selection activeCell="A35" sqref="A35"/>
    </sheetView>
    <sheetView showGridLines="0" topLeftCell="B1" workbookViewId="1">
      <selection activeCell="C28" sqref="C28"/>
    </sheetView>
  </sheetViews>
  <sheetFormatPr baseColWidth="10" defaultRowHeight="15" x14ac:dyDescent="0.25"/>
  <cols>
    <col min="1" max="1" width="24.42578125" bestFit="1" customWidth="1"/>
    <col min="2" max="2" width="19.5703125" bestFit="1" customWidth="1"/>
    <col min="3" max="3" width="16" customWidth="1"/>
    <col min="8" max="8" width="21.85546875" customWidth="1"/>
    <col min="10" max="10" width="15.28515625" bestFit="1" customWidth="1"/>
    <col min="11" max="11" width="14" customWidth="1"/>
    <col min="12" max="12" width="19.85546875" customWidth="1"/>
    <col min="13" max="13" width="17.42578125" customWidth="1"/>
    <col min="14" max="14" width="49" customWidth="1"/>
    <col min="15" max="15" width="25.140625" bestFit="1" customWidth="1"/>
  </cols>
  <sheetData>
    <row r="1" spans="1:18" ht="26.25" x14ac:dyDescent="0.4">
      <c r="A1" s="173" t="s">
        <v>192</v>
      </c>
      <c r="B1" s="173"/>
      <c r="C1" s="173"/>
      <c r="D1" s="173"/>
      <c r="E1" s="173"/>
    </row>
    <row r="2" spans="1:18" ht="15.75" x14ac:dyDescent="0.25">
      <c r="A2" s="175" t="s">
        <v>9</v>
      </c>
      <c r="B2" s="175"/>
      <c r="C2" s="175"/>
      <c r="D2" s="20" t="s">
        <v>8</v>
      </c>
      <c r="R2" t="s">
        <v>215</v>
      </c>
    </row>
    <row r="3" spans="1:18" x14ac:dyDescent="0.25">
      <c r="A3" s="52" t="str">
        <f>'2. System'!A6</f>
        <v>Hours of autonomy</v>
      </c>
      <c r="B3" s="158">
        <f>'2. System'!B6</f>
        <v>8</v>
      </c>
      <c r="C3" s="64" t="s">
        <v>172</v>
      </c>
      <c r="D3" s="50" t="s">
        <v>197</v>
      </c>
    </row>
    <row r="4" spans="1:18" x14ac:dyDescent="0.25">
      <c r="A4" s="52" t="s">
        <v>87</v>
      </c>
      <c r="B4" s="158">
        <f>'1. Appliances'!E28</f>
        <v>2184</v>
      </c>
      <c r="C4" s="64" t="s">
        <v>175</v>
      </c>
      <c r="D4" s="50" t="s">
        <v>198</v>
      </c>
    </row>
    <row r="5" spans="1:18" x14ac:dyDescent="0.25">
      <c r="A5" s="52" t="s">
        <v>31</v>
      </c>
      <c r="B5" s="158">
        <f>'1. Appliances'!I24</f>
        <v>53208</v>
      </c>
      <c r="C5" s="64" t="s">
        <v>347</v>
      </c>
      <c r="D5" s="50"/>
    </row>
    <row r="6" spans="1:18" x14ac:dyDescent="0.25">
      <c r="A6" s="52" t="s">
        <v>95</v>
      </c>
      <c r="B6" s="158" t="str">
        <f>B17</f>
        <v>Lead Acid Gel/VRLA</v>
      </c>
      <c r="C6" s="64" t="s">
        <v>28</v>
      </c>
      <c r="D6" s="50"/>
    </row>
    <row r="7" spans="1:18" x14ac:dyDescent="0.25">
      <c r="A7" s="52" t="s">
        <v>96</v>
      </c>
      <c r="B7" s="159">
        <f>VLOOKUP(B$6,H$12:O$15,2,FALSE)</f>
        <v>0.5</v>
      </c>
      <c r="C7" s="64" t="s">
        <v>97</v>
      </c>
      <c r="D7" s="50" t="s">
        <v>199</v>
      </c>
    </row>
    <row r="8" spans="1:18" x14ac:dyDescent="0.25">
      <c r="A8" s="52" t="s">
        <v>558</v>
      </c>
      <c r="B8" s="159">
        <f>VLOOKUP(B$6,H$12:O$15,4,FALSE)</f>
        <v>0.1</v>
      </c>
      <c r="C8" s="64" t="s">
        <v>531</v>
      </c>
      <c r="D8" s="50" t="s">
        <v>266</v>
      </c>
    </row>
    <row r="9" spans="1:18" x14ac:dyDescent="0.25">
      <c r="A9" s="52" t="s">
        <v>557</v>
      </c>
      <c r="B9" s="159">
        <f>VLOOKUP(B$6,H$12:O$15,3,FALSE)</f>
        <v>0.2</v>
      </c>
      <c r="C9" s="64" t="s">
        <v>531</v>
      </c>
      <c r="D9" s="50" t="s">
        <v>267</v>
      </c>
    </row>
    <row r="10" spans="1:18" x14ac:dyDescent="0.25">
      <c r="A10" s="52" t="s">
        <v>99</v>
      </c>
      <c r="B10" s="159">
        <f>B8</f>
        <v>0.1</v>
      </c>
      <c r="C10" s="64" t="s">
        <v>531</v>
      </c>
      <c r="D10" s="50"/>
      <c r="H10" s="149" t="s">
        <v>585</v>
      </c>
    </row>
    <row r="11" spans="1:18" ht="45" x14ac:dyDescent="0.25">
      <c r="A11" s="52" t="s">
        <v>532</v>
      </c>
      <c r="B11" s="158">
        <f>VLOOKUP(B$6,H$12:O$15,5,FALSE)</f>
        <v>1500</v>
      </c>
      <c r="C11" s="64" t="s">
        <v>28</v>
      </c>
      <c r="H11" s="156"/>
      <c r="I11" s="156" t="s">
        <v>523</v>
      </c>
      <c r="J11" s="156" t="s">
        <v>524</v>
      </c>
      <c r="K11" s="156" t="s">
        <v>525</v>
      </c>
      <c r="L11" s="156" t="s">
        <v>526</v>
      </c>
    </row>
    <row r="12" spans="1:18" x14ac:dyDescent="0.25">
      <c r="A12" s="52" t="s">
        <v>167</v>
      </c>
      <c r="B12" s="160">
        <f>0.85</f>
        <v>0.85</v>
      </c>
      <c r="C12" s="64" t="s">
        <v>97</v>
      </c>
      <c r="D12" s="50" t="s">
        <v>88</v>
      </c>
      <c r="H12" s="80" t="s">
        <v>527</v>
      </c>
      <c r="I12" s="151">
        <v>0.5</v>
      </c>
      <c r="J12" s="151">
        <v>0.2</v>
      </c>
      <c r="K12" s="151">
        <v>0.1</v>
      </c>
      <c r="L12" s="152">
        <v>1500</v>
      </c>
    </row>
    <row r="13" spans="1:18" x14ac:dyDescent="0.25">
      <c r="A13" s="52" t="s">
        <v>190</v>
      </c>
      <c r="B13" s="158">
        <f>'2. System'!B7*51</f>
        <v>357</v>
      </c>
      <c r="C13" s="64" t="s">
        <v>191</v>
      </c>
      <c r="D13" s="50" t="s">
        <v>271</v>
      </c>
      <c r="H13" s="150" t="s">
        <v>528</v>
      </c>
      <c r="I13" s="151">
        <v>0.5</v>
      </c>
      <c r="J13" s="151">
        <v>0.2</v>
      </c>
      <c r="K13" s="151">
        <v>0.1</v>
      </c>
      <c r="L13" s="152">
        <v>3000</v>
      </c>
    </row>
    <row r="14" spans="1:18" x14ac:dyDescent="0.25">
      <c r="H14" s="80" t="s">
        <v>529</v>
      </c>
      <c r="I14" s="151">
        <v>0.8</v>
      </c>
      <c r="J14" s="151">
        <v>1</v>
      </c>
      <c r="K14" s="151">
        <v>0.5</v>
      </c>
      <c r="L14" s="152">
        <v>6000</v>
      </c>
    </row>
    <row r="15" spans="1:18" ht="15.75" x14ac:dyDescent="0.25">
      <c r="A15" s="175" t="s">
        <v>89</v>
      </c>
      <c r="B15" s="175"/>
      <c r="C15" s="175"/>
      <c r="D15" s="20" t="s">
        <v>170</v>
      </c>
      <c r="H15" s="150" t="s">
        <v>530</v>
      </c>
      <c r="I15" s="151">
        <v>0.8</v>
      </c>
      <c r="J15" s="151">
        <v>0.2</v>
      </c>
      <c r="K15" s="151">
        <v>0.2</v>
      </c>
      <c r="L15" s="152">
        <v>4500</v>
      </c>
    </row>
    <row r="16" spans="1:18" x14ac:dyDescent="0.25">
      <c r="A16" s="52" t="s">
        <v>94</v>
      </c>
      <c r="B16" s="158">
        <f>VLOOKUP('2. System'!B$11,A$36:O$68,5,FALSE)</f>
        <v>12</v>
      </c>
      <c r="C16" s="64" t="s">
        <v>176</v>
      </c>
      <c r="D16" s="50" t="s">
        <v>208</v>
      </c>
    </row>
    <row r="17" spans="1:18" x14ac:dyDescent="0.25">
      <c r="A17" s="52" t="s">
        <v>95</v>
      </c>
      <c r="B17" s="158" t="str">
        <f>VLOOKUP('2. System'!B$11,A$36:O$68,4,FALSE)</f>
        <v>Lead Acid Gel/VRLA</v>
      </c>
      <c r="C17" s="64" t="s">
        <v>28</v>
      </c>
      <c r="D17" s="50" t="s">
        <v>209</v>
      </c>
      <c r="H17" s="21" t="s">
        <v>358</v>
      </c>
      <c r="I17" s="20"/>
      <c r="J17" s="20"/>
      <c r="K17" s="20"/>
    </row>
    <row r="18" spans="1:18" x14ac:dyDescent="0.25">
      <c r="A18" s="52" t="s">
        <v>98</v>
      </c>
      <c r="B18" s="158">
        <f>VLOOKUP('2. System'!B$11,A$36:O$68,6,FALSE)</f>
        <v>200</v>
      </c>
      <c r="C18" s="64" t="s">
        <v>178</v>
      </c>
      <c r="D18" s="50" t="s">
        <v>210</v>
      </c>
      <c r="H18" s="201" t="s">
        <v>359</v>
      </c>
      <c r="I18" s="202"/>
      <c r="J18" s="79" t="s">
        <v>360</v>
      </c>
    </row>
    <row r="19" spans="1:18" x14ac:dyDescent="0.25">
      <c r="A19" s="52" t="s">
        <v>269</v>
      </c>
      <c r="B19" s="158">
        <f>1/B8</f>
        <v>10</v>
      </c>
      <c r="C19" s="64" t="s">
        <v>86</v>
      </c>
      <c r="D19" s="50"/>
      <c r="H19" s="80" t="s">
        <v>355</v>
      </c>
      <c r="I19" s="80" t="s">
        <v>356</v>
      </c>
      <c r="J19" s="80" t="s">
        <v>361</v>
      </c>
      <c r="R19" t="s">
        <v>216</v>
      </c>
    </row>
    <row r="20" spans="1:18" x14ac:dyDescent="0.25">
      <c r="A20" s="52" t="s">
        <v>270</v>
      </c>
      <c r="B20" s="158">
        <f>B18/B19*B16/SQRT(B12)</f>
        <v>260.31654938238739</v>
      </c>
      <c r="C20" s="64" t="s">
        <v>175</v>
      </c>
      <c r="D20" s="50" t="s">
        <v>211</v>
      </c>
      <c r="H20" s="78">
        <v>0</v>
      </c>
      <c r="I20" s="78">
        <v>250</v>
      </c>
      <c r="J20" s="78">
        <v>12</v>
      </c>
      <c r="N20" t="s">
        <v>184</v>
      </c>
    </row>
    <row r="21" spans="1:18" x14ac:dyDescent="0.25">
      <c r="A21" s="52" t="s">
        <v>265</v>
      </c>
      <c r="B21" s="158">
        <f>B18/B19*B16*SQRT(B12)</f>
        <v>221.26906697502929</v>
      </c>
      <c r="C21" s="64" t="s">
        <v>175</v>
      </c>
      <c r="D21" s="50" t="s">
        <v>212</v>
      </c>
      <c r="H21" s="78">
        <v>250</v>
      </c>
      <c r="I21" s="78">
        <v>2500</v>
      </c>
      <c r="J21" s="78">
        <v>24</v>
      </c>
      <c r="P21" t="s">
        <v>183</v>
      </c>
    </row>
    <row r="22" spans="1:18" x14ac:dyDescent="0.25">
      <c r="A22" s="52" t="s">
        <v>109</v>
      </c>
      <c r="B22" s="158">
        <f>MAX(VLOOKUP('2. System'!B$11,A$36:O$68,11,FALSE),B9*B16*B18*SQRT(B12))</f>
        <v>442.53813395005864</v>
      </c>
      <c r="C22" s="64" t="s">
        <v>175</v>
      </c>
      <c r="D22" s="50" t="s">
        <v>213</v>
      </c>
      <c r="H22" s="78">
        <v>2500</v>
      </c>
      <c r="I22" s="78">
        <v>15000</v>
      </c>
      <c r="J22" s="78">
        <v>48</v>
      </c>
    </row>
    <row r="23" spans="1:18" x14ac:dyDescent="0.25">
      <c r="A23" s="52" t="s">
        <v>108</v>
      </c>
      <c r="B23" s="158">
        <f>B11</f>
        <v>1500</v>
      </c>
      <c r="C23" s="64" t="s">
        <v>191</v>
      </c>
      <c r="D23" s="50" t="s">
        <v>214</v>
      </c>
      <c r="J23" t="s">
        <v>559</v>
      </c>
    </row>
    <row r="24" spans="1:18" x14ac:dyDescent="0.25">
      <c r="A24" s="52" t="s">
        <v>62</v>
      </c>
      <c r="B24" s="158">
        <f>VLOOKUP('2. System'!B$11,A$36:O$68,14,FALSE)</f>
        <v>0</v>
      </c>
      <c r="C24" s="150"/>
    </row>
    <row r="26" spans="1:18" ht="15.75" x14ac:dyDescent="0.25">
      <c r="A26" s="146" t="s">
        <v>83</v>
      </c>
      <c r="B26" s="146"/>
      <c r="C26" s="146"/>
      <c r="D26" s="20" t="s">
        <v>170</v>
      </c>
    </row>
    <row r="27" spans="1:18" ht="30" x14ac:dyDescent="0.25">
      <c r="A27" s="157" t="s">
        <v>345</v>
      </c>
      <c r="B27" s="66">
        <f>(B4*B3)/(B16*B18)/B12</f>
        <v>8.5647058823529409</v>
      </c>
      <c r="C27" s="64" t="s">
        <v>111</v>
      </c>
      <c r="D27" s="50" t="s">
        <v>570</v>
      </c>
    </row>
    <row r="28" spans="1:18" ht="30" x14ac:dyDescent="0.25">
      <c r="A28" s="157" t="s">
        <v>346</v>
      </c>
      <c r="B28" s="66">
        <f>(B5*(B3/24))/(B16*B18*B7)</f>
        <v>14.78</v>
      </c>
      <c r="C28" s="64" t="s">
        <v>111</v>
      </c>
      <c r="D28" s="50" t="s">
        <v>571</v>
      </c>
    </row>
    <row r="29" spans="1:18" x14ac:dyDescent="0.25">
      <c r="A29" s="157" t="s">
        <v>357</v>
      </c>
      <c r="B29" s="66">
        <f>IF('1. Appliances'!L3*1000&lt;I20,J20,IF('1. Appliances'!L3*1000&lt;I21,J21,J22))</f>
        <v>48</v>
      </c>
      <c r="C29" s="64" t="s">
        <v>91</v>
      </c>
      <c r="D29" s="50" t="s">
        <v>572</v>
      </c>
    </row>
    <row r="30" spans="1:18" x14ac:dyDescent="0.25">
      <c r="A30" s="157" t="s">
        <v>564</v>
      </c>
      <c r="B30" s="66">
        <f>B11/B13</f>
        <v>4.2016806722689077</v>
      </c>
      <c r="C30" s="64" t="s">
        <v>565</v>
      </c>
      <c r="D30" s="50" t="s">
        <v>573</v>
      </c>
    </row>
    <row r="31" spans="1:18" x14ac:dyDescent="0.25">
      <c r="N31" s="51" t="s">
        <v>185</v>
      </c>
      <c r="P31" t="s">
        <v>182</v>
      </c>
    </row>
    <row r="33" spans="1:14" x14ac:dyDescent="0.25">
      <c r="H33" s="2"/>
      <c r="I33" s="2"/>
      <c r="J33" s="2"/>
    </row>
    <row r="34" spans="1:14" ht="26.25" x14ac:dyDescent="0.4">
      <c r="A34" s="173" t="s">
        <v>600</v>
      </c>
      <c r="B34" s="173"/>
      <c r="C34" s="173"/>
      <c r="D34" s="173"/>
      <c r="E34" s="173"/>
      <c r="F34" s="50" t="s">
        <v>263</v>
      </c>
    </row>
    <row r="35" spans="1:14" x14ac:dyDescent="0.25">
      <c r="B35" s="24" t="s">
        <v>55</v>
      </c>
      <c r="C35" s="24" t="s">
        <v>75</v>
      </c>
      <c r="D35" s="24" t="s">
        <v>56</v>
      </c>
      <c r="E35" s="24" t="s">
        <v>82</v>
      </c>
      <c r="F35" s="24" t="s">
        <v>100</v>
      </c>
      <c r="G35" s="24" t="s">
        <v>103</v>
      </c>
      <c r="H35" s="24" t="s">
        <v>104</v>
      </c>
      <c r="I35" s="24" t="s">
        <v>186</v>
      </c>
      <c r="J35" s="24" t="s">
        <v>268</v>
      </c>
      <c r="K35" s="24" t="s">
        <v>105</v>
      </c>
      <c r="L35" s="24" t="s">
        <v>106</v>
      </c>
      <c r="M35" s="24" t="s">
        <v>76</v>
      </c>
      <c r="N35" s="26" t="s">
        <v>62</v>
      </c>
    </row>
    <row r="36" spans="1:14" x14ac:dyDescent="0.25">
      <c r="A36" s="22" t="str">
        <f>B36&amp;" "&amp;C36</f>
        <v>Vision CG12-200XA</v>
      </c>
      <c r="B36" s="22" t="s">
        <v>101</v>
      </c>
      <c r="C36" s="22" t="s">
        <v>102</v>
      </c>
      <c r="D36" s="22" t="s">
        <v>527</v>
      </c>
      <c r="E36" s="22">
        <v>12</v>
      </c>
      <c r="F36" s="22">
        <v>200</v>
      </c>
      <c r="G36" s="22">
        <v>11.6</v>
      </c>
      <c r="H36" s="22">
        <v>12.8</v>
      </c>
      <c r="I36" s="22">
        <v>12.4</v>
      </c>
      <c r="J36" s="22">
        <v>10</v>
      </c>
      <c r="K36" s="22">
        <v>1000</v>
      </c>
      <c r="L36" s="22">
        <v>600</v>
      </c>
      <c r="M36" s="22" t="s">
        <v>102</v>
      </c>
      <c r="N36" s="22" t="s">
        <v>107</v>
      </c>
    </row>
    <row r="37" spans="1:14" x14ac:dyDescent="0.25">
      <c r="A37" s="23" t="str">
        <f t="shared" ref="A37:A46" si="0">B37&amp;" "&amp;C37</f>
        <v>Victron GEL 24 OPzV 3000 turbular plate 2V cells battery</v>
      </c>
      <c r="B37" s="23" t="s">
        <v>556</v>
      </c>
      <c r="C37" s="23" t="s">
        <v>555</v>
      </c>
      <c r="D37" s="23" t="s">
        <v>528</v>
      </c>
      <c r="E37" s="23">
        <v>2</v>
      </c>
      <c r="F37" s="23">
        <v>1000</v>
      </c>
      <c r="G37" s="23"/>
      <c r="H37" s="23"/>
      <c r="I37" s="23"/>
      <c r="J37" s="23"/>
      <c r="K37" s="23"/>
      <c r="L37" s="23">
        <v>2500</v>
      </c>
      <c r="M37" s="155" t="s">
        <v>560</v>
      </c>
      <c r="N37" s="155"/>
    </row>
    <row r="38" spans="1:14" x14ac:dyDescent="0.25">
      <c r="A38" s="22" t="str">
        <f t="shared" si="0"/>
        <v>Rita DG12-200</v>
      </c>
      <c r="B38" s="22" t="s">
        <v>593</v>
      </c>
      <c r="C38" s="22" t="s">
        <v>594</v>
      </c>
      <c r="D38" s="22" t="s">
        <v>527</v>
      </c>
      <c r="E38" s="22">
        <v>12</v>
      </c>
      <c r="F38" s="22">
        <v>200</v>
      </c>
      <c r="G38" s="22">
        <f>1.93*6</f>
        <v>11.58</v>
      </c>
      <c r="H38" s="22">
        <f>2.15*6</f>
        <v>12.899999999999999</v>
      </c>
      <c r="I38" s="22">
        <v>13.7</v>
      </c>
      <c r="J38" s="22">
        <v>10</v>
      </c>
      <c r="K38" s="22">
        <v>300</v>
      </c>
      <c r="L38" s="22">
        <v>1400</v>
      </c>
      <c r="M38" s="165" t="s">
        <v>595</v>
      </c>
      <c r="N38" s="22"/>
    </row>
    <row r="39" spans="1:14" x14ac:dyDescent="0.25">
      <c r="A39" s="23" t="str">
        <f t="shared" si="0"/>
        <v xml:space="preserve"> </v>
      </c>
      <c r="B39" s="23"/>
      <c r="C39" s="23"/>
      <c r="D39" s="23"/>
      <c r="E39" s="23"/>
      <c r="F39" s="23"/>
      <c r="G39" s="23"/>
      <c r="H39" s="23"/>
      <c r="I39" s="23"/>
      <c r="J39" s="23"/>
      <c r="K39" s="23"/>
      <c r="L39" s="23"/>
      <c r="M39" s="23"/>
      <c r="N39" s="23"/>
    </row>
    <row r="40" spans="1:14" x14ac:dyDescent="0.25">
      <c r="A40" s="22" t="str">
        <f t="shared" si="0"/>
        <v xml:space="preserve"> </v>
      </c>
      <c r="B40" s="22"/>
      <c r="C40" s="22"/>
      <c r="D40" s="22"/>
      <c r="E40" s="22"/>
      <c r="F40" s="22"/>
      <c r="G40" s="22"/>
      <c r="H40" s="22"/>
      <c r="I40" s="22"/>
      <c r="J40" s="22"/>
      <c r="K40" s="22"/>
      <c r="L40" s="22"/>
      <c r="M40" s="22"/>
      <c r="N40" s="22"/>
    </row>
    <row r="41" spans="1:14" x14ac:dyDescent="0.25">
      <c r="A41" s="23"/>
      <c r="B41" s="23"/>
      <c r="C41" s="23"/>
      <c r="D41" s="23"/>
      <c r="E41" s="23"/>
      <c r="F41" s="23"/>
      <c r="G41" s="23"/>
      <c r="H41" s="23"/>
      <c r="I41" s="23"/>
      <c r="J41" s="23"/>
      <c r="K41" s="23"/>
      <c r="L41" s="23"/>
      <c r="M41" s="23"/>
      <c r="N41" s="23"/>
    </row>
    <row r="42" spans="1:14" x14ac:dyDescent="0.25">
      <c r="A42" s="22"/>
      <c r="B42" s="22"/>
      <c r="C42" s="22"/>
      <c r="D42" s="22"/>
      <c r="E42" s="22"/>
      <c r="F42" s="22"/>
      <c r="G42" s="22"/>
      <c r="H42" s="22"/>
      <c r="I42" s="22"/>
      <c r="J42" s="22"/>
      <c r="K42" s="22"/>
      <c r="L42" s="22"/>
      <c r="M42" s="22"/>
      <c r="N42" s="22"/>
    </row>
    <row r="43" spans="1:14" x14ac:dyDescent="0.25">
      <c r="A43" s="23"/>
      <c r="B43" s="23"/>
      <c r="C43" s="23"/>
      <c r="D43" s="23"/>
      <c r="E43" s="23"/>
      <c r="F43" s="23"/>
      <c r="G43" s="23"/>
      <c r="H43" s="23"/>
      <c r="I43" s="23"/>
      <c r="J43" s="23"/>
      <c r="K43" s="23"/>
      <c r="L43" s="23"/>
      <c r="M43" s="23"/>
      <c r="N43" s="23"/>
    </row>
    <row r="44" spans="1:14" x14ac:dyDescent="0.25">
      <c r="A44" s="22"/>
      <c r="B44" s="22"/>
      <c r="C44" s="22"/>
      <c r="D44" s="22"/>
      <c r="E44" s="22"/>
      <c r="F44" s="22"/>
      <c r="G44" s="22"/>
      <c r="H44" s="22"/>
      <c r="I44" s="22"/>
      <c r="J44" s="22"/>
      <c r="K44" s="22"/>
      <c r="L44" s="22"/>
      <c r="M44" s="22"/>
      <c r="N44" s="22"/>
    </row>
    <row r="45" spans="1:14" x14ac:dyDescent="0.25">
      <c r="A45" s="23"/>
      <c r="B45" s="23"/>
      <c r="C45" s="23"/>
      <c r="D45" s="23"/>
      <c r="E45" s="23"/>
      <c r="F45" s="23"/>
      <c r="G45" s="23"/>
      <c r="H45" s="23"/>
      <c r="I45" s="23"/>
      <c r="J45" s="23"/>
      <c r="K45" s="23"/>
      <c r="L45" s="23"/>
      <c r="M45" s="23"/>
      <c r="N45" s="23"/>
    </row>
    <row r="46" spans="1:14" x14ac:dyDescent="0.25">
      <c r="A46" s="22" t="str">
        <f t="shared" si="0"/>
        <v xml:space="preserve"> </v>
      </c>
      <c r="B46" s="22"/>
      <c r="C46" s="22"/>
      <c r="D46" s="22"/>
      <c r="E46" s="22"/>
      <c r="F46" s="22"/>
      <c r="G46" s="22"/>
      <c r="H46" s="22"/>
      <c r="I46" s="22"/>
      <c r="J46" s="22"/>
      <c r="K46" s="22"/>
      <c r="L46" s="22"/>
      <c r="M46" s="22"/>
      <c r="N46" s="22"/>
    </row>
    <row r="47" spans="1:14" x14ac:dyDescent="0.25">
      <c r="A47" s="23"/>
      <c r="B47" s="23"/>
      <c r="C47" s="23"/>
      <c r="D47" s="23"/>
      <c r="E47" s="23"/>
      <c r="F47" s="23"/>
      <c r="G47" s="23"/>
      <c r="H47" s="23"/>
      <c r="I47" s="23"/>
      <c r="J47" s="23"/>
      <c r="K47" s="23"/>
      <c r="L47" s="23"/>
      <c r="M47" s="23"/>
      <c r="N47" s="23"/>
    </row>
    <row r="48" spans="1:14" x14ac:dyDescent="0.25">
      <c r="A48" s="22"/>
      <c r="B48" s="22"/>
      <c r="C48" s="22"/>
      <c r="D48" s="22"/>
      <c r="E48" s="22"/>
      <c r="F48" s="22"/>
      <c r="G48" s="22"/>
      <c r="H48" s="22"/>
      <c r="I48" s="22"/>
      <c r="J48" s="22"/>
      <c r="K48" s="22"/>
      <c r="L48" s="22"/>
      <c r="M48" s="22"/>
      <c r="N48" s="22"/>
    </row>
    <row r="49" spans="1:14" x14ac:dyDescent="0.25">
      <c r="A49" s="23"/>
      <c r="B49" s="23"/>
      <c r="C49" s="23"/>
      <c r="D49" s="23"/>
      <c r="E49" s="23"/>
      <c r="F49" s="23"/>
      <c r="G49" s="23"/>
      <c r="H49" s="23"/>
      <c r="I49" s="23"/>
      <c r="J49" s="23"/>
      <c r="K49" s="23"/>
      <c r="L49" s="23"/>
      <c r="M49" s="23"/>
      <c r="N49" s="23"/>
    </row>
    <row r="50" spans="1:14" x14ac:dyDescent="0.25">
      <c r="A50" s="22"/>
      <c r="B50" s="22"/>
      <c r="C50" s="22"/>
      <c r="D50" s="22"/>
      <c r="E50" s="22"/>
      <c r="F50" s="22"/>
      <c r="G50" s="22"/>
      <c r="H50" s="22"/>
      <c r="I50" s="22"/>
      <c r="J50" s="22"/>
      <c r="K50" s="22"/>
      <c r="L50" s="22"/>
      <c r="M50" s="22"/>
      <c r="N50" s="22"/>
    </row>
    <row r="51" spans="1:14" x14ac:dyDescent="0.25">
      <c r="A51" s="23"/>
      <c r="B51" s="23"/>
      <c r="C51" s="23"/>
      <c r="D51" s="23"/>
      <c r="E51" s="23"/>
      <c r="F51" s="23"/>
      <c r="G51" s="23"/>
      <c r="H51" s="23"/>
      <c r="I51" s="23"/>
      <c r="J51" s="23"/>
      <c r="K51" s="23"/>
      <c r="L51" s="23"/>
      <c r="M51" s="23"/>
      <c r="N51" s="23"/>
    </row>
    <row r="52" spans="1:14" x14ac:dyDescent="0.25">
      <c r="A52" s="22"/>
      <c r="B52" s="22"/>
      <c r="C52" s="22"/>
      <c r="D52" s="22"/>
      <c r="E52" s="22"/>
      <c r="F52" s="22"/>
      <c r="G52" s="22"/>
      <c r="H52" s="22"/>
      <c r="I52" s="22"/>
      <c r="J52" s="22"/>
      <c r="K52" s="22"/>
      <c r="L52" s="22"/>
      <c r="M52" s="22"/>
      <c r="N52" s="22"/>
    </row>
    <row r="53" spans="1:14" x14ac:dyDescent="0.25">
      <c r="A53" s="23"/>
      <c r="B53" s="23"/>
      <c r="C53" s="23"/>
      <c r="D53" s="23"/>
      <c r="E53" s="23"/>
      <c r="F53" s="23"/>
      <c r="G53" s="23"/>
      <c r="H53" s="23"/>
      <c r="I53" s="23"/>
      <c r="J53" s="23"/>
      <c r="K53" s="23"/>
      <c r="L53" s="23"/>
      <c r="M53" s="23"/>
      <c r="N53" s="23"/>
    </row>
    <row r="54" spans="1:14" x14ac:dyDescent="0.25">
      <c r="A54" s="22"/>
      <c r="B54" s="22"/>
      <c r="C54" s="22"/>
      <c r="D54" s="22"/>
      <c r="E54" s="22"/>
      <c r="F54" s="22"/>
      <c r="G54" s="22"/>
      <c r="H54" s="22"/>
      <c r="I54" s="22"/>
      <c r="J54" s="22"/>
      <c r="K54" s="22"/>
      <c r="L54" s="22"/>
      <c r="M54" s="22"/>
      <c r="N54" s="22"/>
    </row>
    <row r="55" spans="1:14" x14ac:dyDescent="0.25">
      <c r="A55" s="23"/>
      <c r="B55" s="23"/>
      <c r="C55" s="23"/>
      <c r="D55" s="23"/>
      <c r="E55" s="23"/>
      <c r="F55" s="23"/>
      <c r="G55" s="23"/>
      <c r="H55" s="23"/>
      <c r="I55" s="23"/>
      <c r="J55" s="23"/>
      <c r="K55" s="23"/>
      <c r="L55" s="23"/>
      <c r="M55" s="23"/>
      <c r="N55" s="23"/>
    </row>
    <row r="56" spans="1:14" x14ac:dyDescent="0.25">
      <c r="A56" s="22"/>
      <c r="B56" s="22"/>
      <c r="C56" s="22"/>
      <c r="D56" s="22"/>
      <c r="E56" s="22"/>
      <c r="F56" s="22"/>
      <c r="G56" s="22"/>
      <c r="H56" s="22"/>
      <c r="I56" s="22"/>
      <c r="J56" s="22"/>
      <c r="K56" s="22"/>
      <c r="L56" s="22"/>
      <c r="M56" s="22"/>
      <c r="N56" s="22"/>
    </row>
    <row r="57" spans="1:14" x14ac:dyDescent="0.25">
      <c r="A57" s="23"/>
      <c r="B57" s="23"/>
      <c r="C57" s="23"/>
      <c r="D57" s="23"/>
      <c r="E57" s="23"/>
      <c r="F57" s="23"/>
      <c r="G57" s="23"/>
      <c r="H57" s="23"/>
      <c r="I57" s="23"/>
      <c r="J57" s="23"/>
      <c r="K57" s="23"/>
      <c r="L57" s="23"/>
      <c r="M57" s="23"/>
      <c r="N57" s="23"/>
    </row>
    <row r="58" spans="1:14" x14ac:dyDescent="0.25">
      <c r="A58" s="22"/>
      <c r="B58" s="22"/>
      <c r="C58" s="22"/>
      <c r="D58" s="22"/>
      <c r="E58" s="22"/>
      <c r="F58" s="22"/>
      <c r="G58" s="22"/>
      <c r="H58" s="22"/>
      <c r="I58" s="22"/>
      <c r="J58" s="22"/>
      <c r="K58" s="22"/>
      <c r="L58" s="22"/>
      <c r="M58" s="22"/>
      <c r="N58" s="22"/>
    </row>
    <row r="59" spans="1:14" x14ac:dyDescent="0.25">
      <c r="A59" s="23"/>
      <c r="B59" s="23"/>
      <c r="C59" s="23"/>
      <c r="D59" s="23"/>
      <c r="E59" s="23"/>
      <c r="F59" s="23"/>
      <c r="G59" s="23"/>
      <c r="H59" s="23"/>
      <c r="I59" s="23"/>
      <c r="J59" s="23"/>
      <c r="K59" s="23"/>
      <c r="L59" s="23"/>
      <c r="M59" s="23"/>
      <c r="N59" s="23"/>
    </row>
    <row r="60" spans="1:14" x14ac:dyDescent="0.25">
      <c r="A60" s="22"/>
      <c r="B60" s="22"/>
      <c r="C60" s="22"/>
      <c r="D60" s="22"/>
      <c r="E60" s="22"/>
      <c r="F60" s="22"/>
      <c r="G60" s="22"/>
      <c r="H60" s="22"/>
      <c r="I60" s="22"/>
      <c r="J60" s="22"/>
      <c r="K60" s="22"/>
      <c r="L60" s="22"/>
      <c r="M60" s="22"/>
      <c r="N60" s="22"/>
    </row>
    <row r="61" spans="1:14" x14ac:dyDescent="0.25">
      <c r="A61" s="23"/>
      <c r="B61" s="23"/>
      <c r="C61" s="23"/>
      <c r="D61" s="23"/>
      <c r="E61" s="23"/>
      <c r="F61" s="23"/>
      <c r="G61" s="23"/>
      <c r="H61" s="23"/>
      <c r="I61" s="23"/>
      <c r="J61" s="23"/>
      <c r="K61" s="23"/>
      <c r="L61" s="23"/>
      <c r="M61" s="23"/>
      <c r="N61" s="23"/>
    </row>
    <row r="62" spans="1:14" x14ac:dyDescent="0.25">
      <c r="A62" s="22"/>
      <c r="B62" s="22"/>
      <c r="C62" s="22"/>
      <c r="D62" s="22"/>
      <c r="E62" s="22"/>
      <c r="F62" s="22"/>
      <c r="G62" s="22"/>
      <c r="H62" s="22"/>
      <c r="I62" s="22"/>
      <c r="J62" s="22"/>
      <c r="K62" s="22"/>
      <c r="L62" s="22"/>
      <c r="M62" s="22"/>
      <c r="N62" s="22"/>
    </row>
    <row r="63" spans="1:14" x14ac:dyDescent="0.25">
      <c r="A63" s="23"/>
      <c r="B63" s="23"/>
      <c r="C63" s="23"/>
      <c r="D63" s="23"/>
      <c r="E63" s="23"/>
      <c r="F63" s="23"/>
      <c r="G63" s="23"/>
      <c r="H63" s="23"/>
      <c r="I63" s="23"/>
      <c r="J63" s="23"/>
      <c r="K63" s="23"/>
      <c r="L63" s="23"/>
      <c r="M63" s="23"/>
      <c r="N63" s="23"/>
    </row>
    <row r="64" spans="1:14" x14ac:dyDescent="0.25">
      <c r="A64" s="22"/>
      <c r="B64" s="22"/>
      <c r="C64" s="22"/>
      <c r="D64" s="22"/>
      <c r="E64" s="22"/>
      <c r="F64" s="22"/>
      <c r="G64" s="22"/>
      <c r="H64" s="22"/>
      <c r="I64" s="22"/>
      <c r="J64" s="22"/>
      <c r="K64" s="22"/>
      <c r="L64" s="22"/>
      <c r="M64" s="22"/>
      <c r="N64" s="22"/>
    </row>
    <row r="65" spans="1:14" x14ac:dyDescent="0.25">
      <c r="A65" s="23"/>
      <c r="B65" s="23"/>
      <c r="C65" s="23"/>
      <c r="D65" s="23"/>
      <c r="E65" s="23"/>
      <c r="F65" s="23"/>
      <c r="G65" s="23"/>
      <c r="H65" s="23"/>
      <c r="I65" s="23"/>
      <c r="J65" s="23"/>
      <c r="K65" s="23"/>
      <c r="L65" s="23"/>
      <c r="M65" s="23"/>
      <c r="N65" s="23"/>
    </row>
    <row r="66" spans="1:14" x14ac:dyDescent="0.25">
      <c r="A66" s="22"/>
      <c r="B66" s="22"/>
      <c r="C66" s="22"/>
      <c r="D66" s="22"/>
      <c r="E66" s="22"/>
      <c r="F66" s="22"/>
      <c r="G66" s="22"/>
      <c r="H66" s="22"/>
      <c r="I66" s="22"/>
      <c r="J66" s="22"/>
      <c r="K66" s="22"/>
      <c r="L66" s="22"/>
      <c r="M66" s="22"/>
      <c r="N66" s="22"/>
    </row>
    <row r="67" spans="1:14" x14ac:dyDescent="0.25">
      <c r="A67" s="23"/>
      <c r="B67" s="23"/>
      <c r="C67" s="23"/>
      <c r="D67" s="23"/>
      <c r="E67" s="23"/>
      <c r="F67" s="23"/>
      <c r="G67" s="23"/>
      <c r="H67" s="23"/>
      <c r="I67" s="23"/>
      <c r="J67" s="23"/>
      <c r="K67" s="23"/>
      <c r="L67" s="23"/>
      <c r="M67" s="23"/>
      <c r="N67" s="23"/>
    </row>
    <row r="68" spans="1:14" x14ac:dyDescent="0.25">
      <c r="A68" s="22"/>
      <c r="B68" s="22"/>
      <c r="C68" s="22"/>
      <c r="D68" s="22"/>
      <c r="E68" s="22"/>
      <c r="F68" s="22"/>
      <c r="G68" s="22"/>
      <c r="H68" s="22"/>
      <c r="I68" s="22"/>
      <c r="J68" s="22"/>
      <c r="K68" s="22"/>
      <c r="L68" s="22"/>
      <c r="M68" s="22"/>
      <c r="N68" s="22"/>
    </row>
  </sheetData>
  <mergeCells count="5">
    <mergeCell ref="A34:E34"/>
    <mergeCell ref="A15:C15"/>
    <mergeCell ref="A1:E1"/>
    <mergeCell ref="A2:C2"/>
    <mergeCell ref="H18:I18"/>
  </mergeCells>
  <dataValidations count="1">
    <dataValidation type="list" allowBlank="1" showInputMessage="1" showErrorMessage="1" promptTitle="Panels" sqref="B6">
      <formula1>$H$12:$H$15</formula1>
    </dataValidation>
  </dataValidations>
  <hyperlinks>
    <hyperlink ref="M37" r:id="rId1"/>
    <hyperlink ref="M38" r:id="rId2"/>
  </hyperlinks>
  <pageMargins left="0.7" right="0.7" top="0.75" bottom="0.75" header="0.3" footer="0.3"/>
  <pageSetup paperSize="9" orientation="portrait" r:id="rId3"/>
  <drawing r:id="rId4"/>
  <legacy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showGridLines="0" workbookViewId="0">
      <selection activeCell="B20" sqref="B20"/>
    </sheetView>
    <sheetView showGridLines="0" workbookViewId="1">
      <selection sqref="A1:E1"/>
    </sheetView>
  </sheetViews>
  <sheetFormatPr baseColWidth="10" defaultRowHeight="15" x14ac:dyDescent="0.25"/>
  <cols>
    <col min="1" max="1" width="22.42578125" customWidth="1"/>
    <col min="2" max="2" width="19.5703125" bestFit="1" customWidth="1"/>
    <col min="4" max="4" width="12.5703125" bestFit="1" customWidth="1"/>
    <col min="7" max="7" width="12.140625" bestFit="1" customWidth="1"/>
    <col min="9" max="9" width="32.5703125" bestFit="1" customWidth="1"/>
    <col min="10" max="10" width="26.5703125" bestFit="1" customWidth="1"/>
    <col min="11" max="11" width="13.7109375" customWidth="1"/>
    <col min="15" max="15" width="21.7109375" bestFit="1" customWidth="1"/>
    <col min="16" max="16" width="70.5703125" bestFit="1" customWidth="1"/>
  </cols>
  <sheetData>
    <row r="1" spans="1:9" ht="26.25" x14ac:dyDescent="0.4">
      <c r="A1" s="173" t="s">
        <v>193</v>
      </c>
      <c r="B1" s="173"/>
      <c r="C1" s="173"/>
      <c r="D1" s="173"/>
      <c r="E1" s="173"/>
    </row>
    <row r="2" spans="1:9" ht="15.75" x14ac:dyDescent="0.25">
      <c r="A2" s="175" t="s">
        <v>9</v>
      </c>
      <c r="B2" s="175"/>
      <c r="C2" s="175"/>
      <c r="D2" s="20" t="s">
        <v>170</v>
      </c>
    </row>
    <row r="3" spans="1:9" x14ac:dyDescent="0.25">
      <c r="A3" s="20" t="s">
        <v>201</v>
      </c>
      <c r="B3" s="14">
        <f>'1. Appliances'!E28</f>
        <v>2184</v>
      </c>
      <c r="C3" s="19" t="s">
        <v>175</v>
      </c>
      <c r="D3" s="50" t="s">
        <v>198</v>
      </c>
    </row>
    <row r="4" spans="1:9" x14ac:dyDescent="0.25">
      <c r="A4" s="20" t="s">
        <v>200</v>
      </c>
      <c r="B4" s="14">
        <f>'1. Appliances'!F28</f>
        <v>2184</v>
      </c>
      <c r="C4" s="19" t="s">
        <v>175</v>
      </c>
      <c r="D4" s="50" t="s">
        <v>218</v>
      </c>
    </row>
    <row r="5" spans="1:9" x14ac:dyDescent="0.25">
      <c r="A5" s="20" t="s">
        <v>179</v>
      </c>
      <c r="B5" s="13">
        <v>1.1000000000000001</v>
      </c>
      <c r="C5" s="19" t="s">
        <v>28</v>
      </c>
      <c r="D5" s="50" t="s">
        <v>217</v>
      </c>
    </row>
    <row r="7" spans="1:9" ht="16.5" thickBot="1" x14ac:dyDescent="0.3">
      <c r="A7" s="209" t="s">
        <v>112</v>
      </c>
      <c r="B7" s="209"/>
      <c r="C7" s="209"/>
      <c r="D7" s="209"/>
      <c r="E7" s="20" t="s">
        <v>170</v>
      </c>
    </row>
    <row r="8" spans="1:9" x14ac:dyDescent="0.25">
      <c r="A8" s="206" t="s">
        <v>135</v>
      </c>
      <c r="B8" s="53" t="s">
        <v>126</v>
      </c>
      <c r="C8" s="54">
        <f>VLOOKUP('2. System'!B$12,A$27:P$59,4,FALSE)</f>
        <v>5500</v>
      </c>
      <c r="D8" s="19" t="s">
        <v>175</v>
      </c>
      <c r="E8" s="50" t="s">
        <v>219</v>
      </c>
    </row>
    <row r="9" spans="1:9" ht="15.75" thickBot="1" x14ac:dyDescent="0.3">
      <c r="A9" s="208"/>
      <c r="B9" s="55" t="s">
        <v>127</v>
      </c>
      <c r="C9" s="56">
        <f>VLOOKUP('2. System'!B$12,A$27:P$59,5,FALSE)</f>
        <v>11000</v>
      </c>
      <c r="D9" s="19" t="s">
        <v>175</v>
      </c>
      <c r="E9" s="50" t="s">
        <v>220</v>
      </c>
    </row>
    <row r="10" spans="1:9" ht="15.75" thickBot="1" x14ac:dyDescent="0.3">
      <c r="A10" s="147" t="s">
        <v>510</v>
      </c>
      <c r="B10" s="53" t="s">
        <v>511</v>
      </c>
      <c r="C10" s="56">
        <f>VLOOKUP('2. System'!B$12,A$27:P$59,7,FALSE)</f>
        <v>6000</v>
      </c>
      <c r="D10" s="19" t="s">
        <v>175</v>
      </c>
      <c r="E10" s="50" t="s">
        <v>512</v>
      </c>
      <c r="I10" s="148" t="s">
        <v>549</v>
      </c>
    </row>
    <row r="11" spans="1:9" x14ac:dyDescent="0.25">
      <c r="A11" s="206" t="s">
        <v>136</v>
      </c>
      <c r="B11" s="53" t="s">
        <v>116</v>
      </c>
      <c r="C11" s="54">
        <f>VLOOKUP('2. System'!B$12,A$27:P$59,8,FALSE)</f>
        <v>500</v>
      </c>
      <c r="D11" s="19" t="s">
        <v>176</v>
      </c>
      <c r="E11" s="50" t="s">
        <v>221</v>
      </c>
    </row>
    <row r="12" spans="1:9" x14ac:dyDescent="0.25">
      <c r="A12" s="207"/>
      <c r="B12" s="52" t="s">
        <v>134</v>
      </c>
      <c r="C12" s="57">
        <f>VLOOKUP('2. System'!B$12,A$27:P$59,9,FALSE)</f>
        <v>120</v>
      </c>
      <c r="D12" s="19" t="s">
        <v>176</v>
      </c>
      <c r="E12" s="50" t="s">
        <v>222</v>
      </c>
    </row>
    <row r="13" spans="1:9" x14ac:dyDescent="0.25">
      <c r="A13" s="207"/>
      <c r="B13" s="52" t="s">
        <v>133</v>
      </c>
      <c r="C13" s="57">
        <f>VLOOKUP('2. System'!B$12,A$27:P$59,10,FALSE)</f>
        <v>120</v>
      </c>
      <c r="D13" s="19" t="s">
        <v>176</v>
      </c>
      <c r="E13" s="50" t="s">
        <v>223</v>
      </c>
    </row>
    <row r="14" spans="1:9" ht="15.75" thickBot="1" x14ac:dyDescent="0.3">
      <c r="A14" s="208"/>
      <c r="B14" s="55" t="s">
        <v>117</v>
      </c>
      <c r="C14" s="56">
        <f>VLOOKUP('2. System'!B$12,A$27:P$59,11,FALSE)</f>
        <v>100</v>
      </c>
      <c r="D14" s="19" t="s">
        <v>202</v>
      </c>
      <c r="E14" s="50" t="s">
        <v>224</v>
      </c>
    </row>
    <row r="15" spans="1:9" x14ac:dyDescent="0.25">
      <c r="A15" s="206" t="s">
        <v>137</v>
      </c>
      <c r="B15" s="53" t="s">
        <v>94</v>
      </c>
      <c r="C15" s="54">
        <f>VLOOKUP('2. System'!B$12,A$27:P$59,12,FALSE)</f>
        <v>48</v>
      </c>
      <c r="D15" s="19" t="s">
        <v>176</v>
      </c>
      <c r="E15" s="50" t="s">
        <v>225</v>
      </c>
    </row>
    <row r="16" spans="1:9" x14ac:dyDescent="0.25">
      <c r="A16" s="207"/>
      <c r="B16" s="52" t="s">
        <v>150</v>
      </c>
      <c r="C16" s="57">
        <f>VLOOKUP('2. System'!B$12,A$27:P$59,14,FALSE)</f>
        <v>100</v>
      </c>
      <c r="D16" s="19" t="s">
        <v>202</v>
      </c>
      <c r="E16" s="50" t="s">
        <v>226</v>
      </c>
    </row>
    <row r="17" spans="1:16" ht="15.75" thickBot="1" x14ac:dyDescent="0.3">
      <c r="A17" s="208"/>
      <c r="B17" s="55" t="s">
        <v>62</v>
      </c>
      <c r="C17" s="56">
        <f>VLOOKUP('2. System'!B$12,A$27:P$59,16,FALSE)</f>
        <v>0</v>
      </c>
    </row>
    <row r="19" spans="1:16" ht="15.75" x14ac:dyDescent="0.25">
      <c r="A19" s="194" t="s">
        <v>83</v>
      </c>
      <c r="B19" s="194"/>
      <c r="C19" s="194"/>
      <c r="D19" s="20" t="s">
        <v>170</v>
      </c>
    </row>
    <row r="20" spans="1:16" ht="30" x14ac:dyDescent="0.25">
      <c r="A20" s="157" t="s">
        <v>566</v>
      </c>
      <c r="B20" s="65">
        <f>CEILING('1. Appliances'!E28/'2bis. Hyb. Inverter'!C8,1)</f>
        <v>1</v>
      </c>
      <c r="C20" s="64" t="s">
        <v>111</v>
      </c>
      <c r="D20" s="50" t="s">
        <v>567</v>
      </c>
    </row>
    <row r="21" spans="1:16" ht="30" x14ac:dyDescent="0.25">
      <c r="A21" s="157" t="s">
        <v>513</v>
      </c>
      <c r="B21" s="65">
        <f>CEILING('1. Appliances'!$L$3*1000/$C$10,1)</f>
        <v>3</v>
      </c>
      <c r="C21" s="64" t="s">
        <v>111</v>
      </c>
      <c r="D21" s="50" t="s">
        <v>568</v>
      </c>
    </row>
    <row r="22" spans="1:16" ht="30" x14ac:dyDescent="0.25">
      <c r="A22" s="157" t="s">
        <v>514</v>
      </c>
      <c r="B22" s="65">
        <f>MAX(B20:B21)</f>
        <v>3</v>
      </c>
      <c r="C22" s="64" t="s">
        <v>111</v>
      </c>
      <c r="D22" s="50" t="s">
        <v>569</v>
      </c>
    </row>
    <row r="24" spans="1:16" ht="27" thickBot="1" x14ac:dyDescent="0.45">
      <c r="A24" s="173" t="s">
        <v>601</v>
      </c>
      <c r="B24" s="173"/>
      <c r="C24" s="173"/>
      <c r="D24" s="173"/>
      <c r="E24" s="173"/>
      <c r="F24" s="50" t="s">
        <v>263</v>
      </c>
    </row>
    <row r="25" spans="1:16" ht="15.75" x14ac:dyDescent="0.25">
      <c r="A25" s="28"/>
      <c r="B25" s="40"/>
      <c r="C25" s="29"/>
      <c r="D25" s="28" t="s">
        <v>13</v>
      </c>
      <c r="E25" s="29"/>
      <c r="F25" s="203" t="s">
        <v>261</v>
      </c>
      <c r="G25" s="204"/>
      <c r="H25" s="204"/>
      <c r="I25" s="204"/>
      <c r="J25" s="204"/>
      <c r="K25" s="205"/>
      <c r="L25" s="28" t="s">
        <v>122</v>
      </c>
      <c r="M25" s="40"/>
      <c r="N25" s="29"/>
      <c r="O25" s="28" t="s">
        <v>163</v>
      </c>
      <c r="P25" s="29"/>
    </row>
    <row r="26" spans="1:16" x14ac:dyDescent="0.25">
      <c r="A26" s="41"/>
      <c r="B26" s="24" t="s">
        <v>55</v>
      </c>
      <c r="C26" s="31" t="s">
        <v>75</v>
      </c>
      <c r="D26" s="30" t="s">
        <v>115</v>
      </c>
      <c r="E26" s="31" t="s">
        <v>121</v>
      </c>
      <c r="F26" s="30" t="s">
        <v>56</v>
      </c>
      <c r="G26" s="24" t="s">
        <v>262</v>
      </c>
      <c r="H26" s="24" t="s">
        <v>116</v>
      </c>
      <c r="I26" s="24" t="s">
        <v>134</v>
      </c>
      <c r="J26" s="24" t="s">
        <v>133</v>
      </c>
      <c r="K26" s="31" t="s">
        <v>117</v>
      </c>
      <c r="L26" s="30" t="s">
        <v>94</v>
      </c>
      <c r="M26" s="24" t="s">
        <v>123</v>
      </c>
      <c r="N26" s="31" t="s">
        <v>150</v>
      </c>
      <c r="O26" s="30" t="s">
        <v>76</v>
      </c>
      <c r="P26" s="42" t="s">
        <v>62</v>
      </c>
    </row>
    <row r="27" spans="1:16" ht="45" x14ac:dyDescent="0.25">
      <c r="A27" s="32" t="str">
        <f>B27&amp;" "&amp;C27</f>
        <v>Solaredge SE3000H</v>
      </c>
      <c r="B27" s="22" t="s">
        <v>113</v>
      </c>
      <c r="C27" s="33" t="s">
        <v>114</v>
      </c>
      <c r="D27" s="32">
        <v>3000</v>
      </c>
      <c r="E27" s="38"/>
      <c r="F27" s="46"/>
      <c r="G27" s="22">
        <v>4650</v>
      </c>
      <c r="H27" s="22">
        <v>480</v>
      </c>
      <c r="I27" s="27"/>
      <c r="J27" s="27">
        <v>100</v>
      </c>
      <c r="K27" s="33">
        <v>9</v>
      </c>
      <c r="L27" s="32">
        <v>24</v>
      </c>
      <c r="M27" s="22">
        <v>27</v>
      </c>
      <c r="N27" s="38">
        <v>60</v>
      </c>
      <c r="O27" s="32" t="s">
        <v>118</v>
      </c>
      <c r="P27" s="43" t="s">
        <v>151</v>
      </c>
    </row>
    <row r="28" spans="1:16" ht="45" x14ac:dyDescent="0.25">
      <c r="A28" s="34" t="str">
        <f t="shared" ref="A28:A37" si="0">B28&amp;" "&amp;C28</f>
        <v>Alpha Outback Energy SPC III 3000-24</v>
      </c>
      <c r="B28" s="23" t="s">
        <v>119</v>
      </c>
      <c r="C28" s="35" t="s">
        <v>120</v>
      </c>
      <c r="D28" s="34">
        <v>3000</v>
      </c>
      <c r="E28" s="35">
        <v>6000</v>
      </c>
      <c r="F28" s="34" t="s">
        <v>124</v>
      </c>
      <c r="G28" s="23">
        <v>2000</v>
      </c>
      <c r="H28" s="23">
        <v>380</v>
      </c>
      <c r="I28" s="27"/>
      <c r="J28" s="23">
        <v>120</v>
      </c>
      <c r="K28" s="35">
        <v>60</v>
      </c>
      <c r="L28" s="34">
        <v>24</v>
      </c>
      <c r="M28" s="27"/>
      <c r="N28" s="38">
        <v>60</v>
      </c>
      <c r="O28" s="34" t="s">
        <v>125</v>
      </c>
      <c r="P28" s="44" t="s">
        <v>152</v>
      </c>
    </row>
    <row r="29" spans="1:16" x14ac:dyDescent="0.25">
      <c r="A29" s="32" t="str">
        <f t="shared" si="0"/>
        <v>Raggie RG-MH5500W Plus</v>
      </c>
      <c r="B29" s="22" t="s">
        <v>596</v>
      </c>
      <c r="C29" s="33" t="s">
        <v>597</v>
      </c>
      <c r="D29" s="32">
        <v>5500</v>
      </c>
      <c r="E29" s="33">
        <v>11000</v>
      </c>
      <c r="F29" s="32" t="s">
        <v>124</v>
      </c>
      <c r="G29" s="22">
        <v>6000</v>
      </c>
      <c r="H29" s="22">
        <v>500</v>
      </c>
      <c r="I29" s="22">
        <v>120</v>
      </c>
      <c r="J29" s="22">
        <v>120</v>
      </c>
      <c r="K29" s="33">
        <v>100</v>
      </c>
      <c r="L29" s="32">
        <v>48</v>
      </c>
      <c r="M29" s="22">
        <v>54</v>
      </c>
      <c r="N29" s="33">
        <v>100</v>
      </c>
      <c r="O29" s="32"/>
      <c r="P29" s="43"/>
    </row>
    <row r="30" spans="1:16" x14ac:dyDescent="0.25">
      <c r="A30" s="34" t="str">
        <f t="shared" si="0"/>
        <v xml:space="preserve"> </v>
      </c>
      <c r="B30" s="23"/>
      <c r="C30" s="35"/>
      <c r="D30" s="34"/>
      <c r="E30" s="35"/>
      <c r="F30" s="34"/>
      <c r="G30" s="23"/>
      <c r="H30" s="23"/>
      <c r="I30" s="23"/>
      <c r="J30" s="23"/>
      <c r="K30" s="35"/>
      <c r="L30" s="34"/>
      <c r="M30" s="23"/>
      <c r="N30" s="35"/>
      <c r="O30" s="34"/>
      <c r="P30" s="44"/>
    </row>
    <row r="31" spans="1:16" x14ac:dyDescent="0.25">
      <c r="A31" s="32" t="str">
        <f t="shared" si="0"/>
        <v xml:space="preserve"> </v>
      </c>
      <c r="B31" s="22"/>
      <c r="C31" s="33"/>
      <c r="D31" s="32"/>
      <c r="E31" s="33"/>
      <c r="F31" s="32"/>
      <c r="G31" s="22"/>
      <c r="H31" s="22"/>
      <c r="I31" s="22"/>
      <c r="J31" s="22"/>
      <c r="K31" s="33"/>
      <c r="L31" s="32"/>
      <c r="M31" s="22"/>
      <c r="N31" s="33"/>
      <c r="O31" s="32"/>
      <c r="P31" s="43"/>
    </row>
    <row r="32" spans="1:16" x14ac:dyDescent="0.25">
      <c r="A32" s="34"/>
      <c r="B32" s="23"/>
      <c r="C32" s="35"/>
      <c r="D32" s="34"/>
      <c r="E32" s="35"/>
      <c r="F32" s="34"/>
      <c r="G32" s="23"/>
      <c r="H32" s="23"/>
      <c r="I32" s="23"/>
      <c r="J32" s="23"/>
      <c r="K32" s="35"/>
      <c r="L32" s="34"/>
      <c r="M32" s="23"/>
      <c r="N32" s="35"/>
      <c r="O32" s="34"/>
      <c r="P32" s="44"/>
    </row>
    <row r="33" spans="1:16" x14ac:dyDescent="0.25">
      <c r="A33" s="32"/>
      <c r="B33" s="22"/>
      <c r="C33" s="33"/>
      <c r="D33" s="32"/>
      <c r="E33" s="33"/>
      <c r="F33" s="32"/>
      <c r="G33" s="22"/>
      <c r="H33" s="22"/>
      <c r="I33" s="22"/>
      <c r="J33" s="22"/>
      <c r="K33" s="33"/>
      <c r="L33" s="32"/>
      <c r="M33" s="22"/>
      <c r="N33" s="33"/>
      <c r="O33" s="32"/>
      <c r="P33" s="43"/>
    </row>
    <row r="34" spans="1:16" x14ac:dyDescent="0.25">
      <c r="A34" s="34"/>
      <c r="B34" s="23"/>
      <c r="C34" s="35"/>
      <c r="D34" s="34"/>
      <c r="E34" s="35"/>
      <c r="F34" s="34"/>
      <c r="G34" s="23"/>
      <c r="H34" s="23"/>
      <c r="I34" s="23"/>
      <c r="J34" s="23"/>
      <c r="K34" s="35"/>
      <c r="L34" s="34"/>
      <c r="M34" s="23"/>
      <c r="N34" s="35"/>
      <c r="O34" s="34"/>
      <c r="P34" s="44"/>
    </row>
    <row r="35" spans="1:16" x14ac:dyDescent="0.25">
      <c r="A35" s="32"/>
      <c r="B35" s="22"/>
      <c r="C35" s="33"/>
      <c r="D35" s="32"/>
      <c r="E35" s="33"/>
      <c r="F35" s="32"/>
      <c r="G35" s="22"/>
      <c r="H35" s="22"/>
      <c r="I35" s="22"/>
      <c r="J35" s="22"/>
      <c r="K35" s="33"/>
      <c r="L35" s="32"/>
      <c r="M35" s="22"/>
      <c r="N35" s="33"/>
      <c r="O35" s="32"/>
      <c r="P35" s="43"/>
    </row>
    <row r="36" spans="1:16" x14ac:dyDescent="0.25">
      <c r="A36" s="34"/>
      <c r="B36" s="23"/>
      <c r="C36" s="35"/>
      <c r="D36" s="34"/>
      <c r="E36" s="35"/>
      <c r="F36" s="34"/>
      <c r="G36" s="23"/>
      <c r="H36" s="23"/>
      <c r="I36" s="23"/>
      <c r="J36" s="23"/>
      <c r="K36" s="35"/>
      <c r="L36" s="34"/>
      <c r="M36" s="23"/>
      <c r="N36" s="35"/>
      <c r="O36" s="34"/>
      <c r="P36" s="44"/>
    </row>
    <row r="37" spans="1:16" x14ac:dyDescent="0.25">
      <c r="A37" s="32" t="str">
        <f t="shared" si="0"/>
        <v xml:space="preserve"> </v>
      </c>
      <c r="B37" s="22"/>
      <c r="C37" s="33"/>
      <c r="D37" s="32"/>
      <c r="E37" s="33"/>
      <c r="F37" s="32"/>
      <c r="G37" s="22"/>
      <c r="H37" s="22"/>
      <c r="I37" s="22"/>
      <c r="J37" s="22"/>
      <c r="K37" s="33"/>
      <c r="L37" s="32"/>
      <c r="M37" s="22"/>
      <c r="N37" s="33"/>
      <c r="O37" s="32"/>
      <c r="P37" s="43"/>
    </row>
    <row r="38" spans="1:16" x14ac:dyDescent="0.25">
      <c r="A38" s="34"/>
      <c r="B38" s="23"/>
      <c r="C38" s="35"/>
      <c r="D38" s="34"/>
      <c r="E38" s="35"/>
      <c r="F38" s="34"/>
      <c r="G38" s="23"/>
      <c r="H38" s="23"/>
      <c r="I38" s="23"/>
      <c r="J38" s="23"/>
      <c r="K38" s="35"/>
      <c r="L38" s="34"/>
      <c r="M38" s="23"/>
      <c r="N38" s="35"/>
      <c r="O38" s="34"/>
      <c r="P38" s="44"/>
    </row>
    <row r="39" spans="1:16" x14ac:dyDescent="0.25">
      <c r="A39" s="32"/>
      <c r="B39" s="22"/>
      <c r="C39" s="33"/>
      <c r="D39" s="32"/>
      <c r="E39" s="33"/>
      <c r="F39" s="32"/>
      <c r="G39" s="22"/>
      <c r="H39" s="22"/>
      <c r="I39" s="22"/>
      <c r="J39" s="22"/>
      <c r="K39" s="33"/>
      <c r="L39" s="32"/>
      <c r="M39" s="22"/>
      <c r="N39" s="33"/>
      <c r="O39" s="32"/>
      <c r="P39" s="43"/>
    </row>
    <row r="40" spans="1:16" x14ac:dyDescent="0.25">
      <c r="A40" s="34"/>
      <c r="B40" s="23"/>
      <c r="C40" s="35"/>
      <c r="D40" s="34"/>
      <c r="E40" s="35"/>
      <c r="F40" s="34"/>
      <c r="G40" s="23"/>
      <c r="H40" s="23"/>
      <c r="I40" s="23"/>
      <c r="J40" s="23"/>
      <c r="K40" s="35"/>
      <c r="L40" s="34"/>
      <c r="M40" s="23"/>
      <c r="N40" s="35"/>
      <c r="O40" s="34"/>
      <c r="P40" s="44"/>
    </row>
    <row r="41" spans="1:16" x14ac:dyDescent="0.25">
      <c r="A41" s="32"/>
      <c r="B41" s="22"/>
      <c r="C41" s="33"/>
      <c r="D41" s="32"/>
      <c r="E41" s="33"/>
      <c r="F41" s="32"/>
      <c r="G41" s="22"/>
      <c r="H41" s="22"/>
      <c r="I41" s="22"/>
      <c r="J41" s="22"/>
      <c r="K41" s="33"/>
      <c r="L41" s="32"/>
      <c r="M41" s="22"/>
      <c r="N41" s="33"/>
      <c r="O41" s="32"/>
      <c r="P41" s="43"/>
    </row>
    <row r="42" spans="1:16" x14ac:dyDescent="0.25">
      <c r="A42" s="34"/>
      <c r="B42" s="23"/>
      <c r="C42" s="35"/>
      <c r="D42" s="34"/>
      <c r="E42" s="35"/>
      <c r="F42" s="34"/>
      <c r="G42" s="23"/>
      <c r="H42" s="23"/>
      <c r="I42" s="23"/>
      <c r="J42" s="23"/>
      <c r="K42" s="35"/>
      <c r="L42" s="34"/>
      <c r="M42" s="23"/>
      <c r="N42" s="35"/>
      <c r="O42" s="34"/>
      <c r="P42" s="44"/>
    </row>
    <row r="43" spans="1:16" x14ac:dyDescent="0.25">
      <c r="A43" s="32"/>
      <c r="B43" s="22"/>
      <c r="C43" s="33"/>
      <c r="D43" s="32"/>
      <c r="E43" s="33"/>
      <c r="F43" s="32"/>
      <c r="G43" s="22"/>
      <c r="H43" s="22"/>
      <c r="I43" s="22"/>
      <c r="J43" s="22"/>
      <c r="K43" s="33"/>
      <c r="L43" s="32"/>
      <c r="M43" s="22"/>
      <c r="N43" s="33"/>
      <c r="O43" s="32"/>
      <c r="P43" s="43"/>
    </row>
    <row r="44" spans="1:16" x14ac:dyDescent="0.25">
      <c r="A44" s="34"/>
      <c r="B44" s="23"/>
      <c r="C44" s="35"/>
      <c r="D44" s="34"/>
      <c r="E44" s="35"/>
      <c r="F44" s="34"/>
      <c r="G44" s="23"/>
      <c r="H44" s="23"/>
      <c r="I44" s="23"/>
      <c r="J44" s="23"/>
      <c r="K44" s="35"/>
      <c r="L44" s="34"/>
      <c r="M44" s="23"/>
      <c r="N44" s="35"/>
      <c r="O44" s="34"/>
      <c r="P44" s="44"/>
    </row>
    <row r="45" spans="1:16" x14ac:dyDescent="0.25">
      <c r="A45" s="32"/>
      <c r="B45" s="22"/>
      <c r="C45" s="33"/>
      <c r="D45" s="32"/>
      <c r="E45" s="33"/>
      <c r="F45" s="32"/>
      <c r="G45" s="22"/>
      <c r="H45" s="22"/>
      <c r="I45" s="22"/>
      <c r="J45" s="22"/>
      <c r="K45" s="33"/>
      <c r="L45" s="32"/>
      <c r="M45" s="22"/>
      <c r="N45" s="33"/>
      <c r="O45" s="32"/>
      <c r="P45" s="43"/>
    </row>
    <row r="46" spans="1:16" x14ac:dyDescent="0.25">
      <c r="A46" s="34"/>
      <c r="B46" s="23"/>
      <c r="C46" s="35"/>
      <c r="D46" s="34"/>
      <c r="E46" s="35"/>
      <c r="F46" s="34"/>
      <c r="G46" s="23"/>
      <c r="H46" s="23"/>
      <c r="I46" s="23"/>
      <c r="J46" s="23"/>
      <c r="K46" s="35"/>
      <c r="L46" s="34"/>
      <c r="M46" s="23"/>
      <c r="N46" s="35"/>
      <c r="O46" s="34"/>
      <c r="P46" s="44"/>
    </row>
    <row r="47" spans="1:16" x14ac:dyDescent="0.25">
      <c r="A47" s="32"/>
      <c r="B47" s="22"/>
      <c r="C47" s="33"/>
      <c r="D47" s="32"/>
      <c r="E47" s="33"/>
      <c r="F47" s="32"/>
      <c r="G47" s="22"/>
      <c r="H47" s="22"/>
      <c r="I47" s="22"/>
      <c r="J47" s="22"/>
      <c r="K47" s="33"/>
      <c r="L47" s="32"/>
      <c r="M47" s="22"/>
      <c r="N47" s="33"/>
      <c r="O47" s="32"/>
      <c r="P47" s="43"/>
    </row>
    <row r="48" spans="1:16" x14ac:dyDescent="0.25">
      <c r="A48" s="34"/>
      <c r="B48" s="23"/>
      <c r="C48" s="35"/>
      <c r="D48" s="34"/>
      <c r="E48" s="35"/>
      <c r="F48" s="34"/>
      <c r="G48" s="23"/>
      <c r="H48" s="23"/>
      <c r="I48" s="23"/>
      <c r="J48" s="23"/>
      <c r="K48" s="35"/>
      <c r="L48" s="34"/>
      <c r="M48" s="23"/>
      <c r="N48" s="35"/>
      <c r="O48" s="34"/>
      <c r="P48" s="44"/>
    </row>
    <row r="49" spans="1:16" x14ac:dyDescent="0.25">
      <c r="A49" s="32"/>
      <c r="B49" s="22"/>
      <c r="C49" s="33"/>
      <c r="D49" s="32"/>
      <c r="E49" s="33"/>
      <c r="F49" s="32"/>
      <c r="G49" s="22"/>
      <c r="H49" s="22"/>
      <c r="I49" s="22"/>
      <c r="J49" s="22"/>
      <c r="K49" s="33"/>
      <c r="L49" s="32"/>
      <c r="M49" s="22"/>
      <c r="N49" s="33"/>
      <c r="O49" s="32"/>
      <c r="P49" s="43"/>
    </row>
    <row r="50" spans="1:16" x14ac:dyDescent="0.25">
      <c r="A50" s="34"/>
      <c r="B50" s="23"/>
      <c r="C50" s="35"/>
      <c r="D50" s="34"/>
      <c r="E50" s="35"/>
      <c r="F50" s="34"/>
      <c r="G50" s="23"/>
      <c r="H50" s="23"/>
      <c r="I50" s="23"/>
      <c r="J50" s="23"/>
      <c r="K50" s="35"/>
      <c r="L50" s="34"/>
      <c r="M50" s="23"/>
      <c r="N50" s="35"/>
      <c r="O50" s="34"/>
      <c r="P50" s="44"/>
    </row>
    <row r="51" spans="1:16" x14ac:dyDescent="0.25">
      <c r="A51" s="32"/>
      <c r="B51" s="22"/>
      <c r="C51" s="33"/>
      <c r="D51" s="32"/>
      <c r="E51" s="33"/>
      <c r="F51" s="32"/>
      <c r="G51" s="22"/>
      <c r="H51" s="22"/>
      <c r="I51" s="22"/>
      <c r="J51" s="22"/>
      <c r="K51" s="33"/>
      <c r="L51" s="32"/>
      <c r="M51" s="22"/>
      <c r="N51" s="33"/>
      <c r="O51" s="32"/>
      <c r="P51" s="43"/>
    </row>
    <row r="52" spans="1:16" x14ac:dyDescent="0.25">
      <c r="A52" s="34"/>
      <c r="B52" s="23"/>
      <c r="C52" s="35"/>
      <c r="D52" s="34"/>
      <c r="E52" s="35"/>
      <c r="F52" s="34"/>
      <c r="G52" s="23"/>
      <c r="H52" s="23"/>
      <c r="I52" s="23"/>
      <c r="J52" s="23"/>
      <c r="K52" s="35"/>
      <c r="L52" s="34"/>
      <c r="M52" s="23"/>
      <c r="N52" s="35"/>
      <c r="O52" s="34"/>
      <c r="P52" s="44"/>
    </row>
    <row r="53" spans="1:16" x14ac:dyDescent="0.25">
      <c r="A53" s="32"/>
      <c r="B53" s="22"/>
      <c r="C53" s="33"/>
      <c r="D53" s="32"/>
      <c r="E53" s="33"/>
      <c r="F53" s="32"/>
      <c r="G53" s="22"/>
      <c r="H53" s="22"/>
      <c r="I53" s="22"/>
      <c r="J53" s="22"/>
      <c r="K53" s="33"/>
      <c r="L53" s="32"/>
      <c r="M53" s="22"/>
      <c r="N53" s="33"/>
      <c r="O53" s="32"/>
      <c r="P53" s="43"/>
    </row>
    <row r="54" spans="1:16" x14ac:dyDescent="0.25">
      <c r="A54" s="34"/>
      <c r="B54" s="23"/>
      <c r="C54" s="35"/>
      <c r="D54" s="34"/>
      <c r="E54" s="35"/>
      <c r="F54" s="34"/>
      <c r="G54" s="23"/>
      <c r="H54" s="23"/>
      <c r="I54" s="23"/>
      <c r="J54" s="23"/>
      <c r="K54" s="35"/>
      <c r="L54" s="34"/>
      <c r="M54" s="23"/>
      <c r="N54" s="35"/>
      <c r="O54" s="34"/>
      <c r="P54" s="44"/>
    </row>
    <row r="55" spans="1:16" x14ac:dyDescent="0.25">
      <c r="A55" s="32"/>
      <c r="B55" s="22"/>
      <c r="C55" s="33"/>
      <c r="D55" s="32"/>
      <c r="E55" s="33"/>
      <c r="F55" s="32"/>
      <c r="G55" s="22"/>
      <c r="H55" s="22"/>
      <c r="I55" s="22"/>
      <c r="J55" s="22"/>
      <c r="K55" s="33"/>
      <c r="L55" s="32"/>
      <c r="M55" s="22"/>
      <c r="N55" s="33"/>
      <c r="O55" s="32"/>
      <c r="P55" s="43"/>
    </row>
    <row r="56" spans="1:16" x14ac:dyDescent="0.25">
      <c r="A56" s="34"/>
      <c r="B56" s="23"/>
      <c r="C56" s="35"/>
      <c r="D56" s="34"/>
      <c r="E56" s="35"/>
      <c r="F56" s="34"/>
      <c r="G56" s="23"/>
      <c r="H56" s="23"/>
      <c r="I56" s="23"/>
      <c r="J56" s="23"/>
      <c r="K56" s="35"/>
      <c r="L56" s="34"/>
      <c r="M56" s="23"/>
      <c r="N56" s="35"/>
      <c r="O56" s="34"/>
      <c r="P56" s="44"/>
    </row>
    <row r="57" spans="1:16" x14ac:dyDescent="0.25">
      <c r="A57" s="32"/>
      <c r="B57" s="22"/>
      <c r="C57" s="33"/>
      <c r="D57" s="32"/>
      <c r="E57" s="33"/>
      <c r="F57" s="32"/>
      <c r="G57" s="22"/>
      <c r="H57" s="22"/>
      <c r="I57" s="22"/>
      <c r="J57" s="22"/>
      <c r="K57" s="33"/>
      <c r="L57" s="32"/>
      <c r="M57" s="22"/>
      <c r="N57" s="33"/>
      <c r="O57" s="32"/>
      <c r="P57" s="43"/>
    </row>
    <row r="58" spans="1:16" x14ac:dyDescent="0.25">
      <c r="A58" s="34"/>
      <c r="B58" s="23"/>
      <c r="C58" s="35"/>
      <c r="D58" s="34"/>
      <c r="E58" s="35"/>
      <c r="F58" s="34"/>
      <c r="G58" s="23"/>
      <c r="H58" s="23"/>
      <c r="I58" s="23"/>
      <c r="J58" s="23"/>
      <c r="K58" s="35"/>
      <c r="L58" s="34"/>
      <c r="M58" s="23"/>
      <c r="N58" s="35"/>
      <c r="O58" s="34"/>
      <c r="P58" s="44"/>
    </row>
    <row r="59" spans="1:16" ht="15.75" thickBot="1" x14ac:dyDescent="0.3">
      <c r="A59" s="36"/>
      <c r="B59" s="39"/>
      <c r="C59" s="37"/>
      <c r="D59" s="36"/>
      <c r="E59" s="37"/>
      <c r="F59" s="36"/>
      <c r="G59" s="39"/>
      <c r="H59" s="39"/>
      <c r="I59" s="39"/>
      <c r="J59" s="39"/>
      <c r="K59" s="37"/>
      <c r="L59" s="36"/>
      <c r="M59" s="39"/>
      <c r="N59" s="37"/>
      <c r="O59" s="36"/>
      <c r="P59" s="45"/>
    </row>
  </sheetData>
  <mergeCells count="9">
    <mergeCell ref="F25:K25"/>
    <mergeCell ref="A15:A17"/>
    <mergeCell ref="A7:D7"/>
    <mergeCell ref="A1:E1"/>
    <mergeCell ref="A2:C2"/>
    <mergeCell ref="A19:C19"/>
    <mergeCell ref="A24:E24"/>
    <mergeCell ref="A8:A9"/>
    <mergeCell ref="A11:A1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election activeCell="C18" sqref="C18"/>
    </sheetView>
    <sheetView showGridLines="0" workbookViewId="1">
      <selection activeCell="B15" sqref="B15"/>
    </sheetView>
  </sheetViews>
  <sheetFormatPr baseColWidth="10" defaultRowHeight="15" x14ac:dyDescent="0.25"/>
  <cols>
    <col min="1" max="1" width="32.5703125" bestFit="1" customWidth="1"/>
  </cols>
  <sheetData>
    <row r="1" spans="1:4" ht="26.25" x14ac:dyDescent="0.4">
      <c r="A1" s="210" t="s">
        <v>586</v>
      </c>
      <c r="B1" s="210"/>
      <c r="C1" s="210"/>
    </row>
    <row r="2" spans="1:4" ht="15.75" x14ac:dyDescent="0.25">
      <c r="A2" s="175" t="s">
        <v>575</v>
      </c>
      <c r="B2" s="175"/>
      <c r="C2" s="175"/>
    </row>
    <row r="3" spans="1:4" x14ac:dyDescent="0.25">
      <c r="A3" s="52" t="s">
        <v>579</v>
      </c>
      <c r="B3" s="164">
        <f>'1. Appliances'!E24</f>
        <v>2730</v>
      </c>
      <c r="C3" s="64" t="s">
        <v>587</v>
      </c>
    </row>
    <row r="4" spans="1:4" x14ac:dyDescent="0.25">
      <c r="A4" s="52" t="s">
        <v>578</v>
      </c>
      <c r="B4" s="164">
        <f>'1. Appliances'!F24</f>
        <v>2730</v>
      </c>
      <c r="C4" s="64" t="s">
        <v>587</v>
      </c>
    </row>
    <row r="5" spans="1:4" x14ac:dyDescent="0.25">
      <c r="A5" s="52" t="s">
        <v>580</v>
      </c>
      <c r="B5" s="164">
        <f>'1. Appliances'!I24/24</f>
        <v>2217</v>
      </c>
      <c r="C5" s="64" t="s">
        <v>587</v>
      </c>
    </row>
    <row r="6" spans="1:4" ht="15.75" x14ac:dyDescent="0.25">
      <c r="A6" s="175" t="s">
        <v>137</v>
      </c>
      <c r="B6" s="175"/>
      <c r="C6" s="175"/>
    </row>
    <row r="7" spans="1:4" x14ac:dyDescent="0.25">
      <c r="A7" s="52" t="s">
        <v>238</v>
      </c>
      <c r="B7" s="164">
        <f>'2. System'!B35</f>
        <v>4.2016806722689077</v>
      </c>
      <c r="C7" s="64" t="s">
        <v>582</v>
      </c>
      <c r="D7" t="s">
        <v>583</v>
      </c>
    </row>
    <row r="8" spans="1:4" x14ac:dyDescent="0.25">
      <c r="A8" s="52" t="s">
        <v>576</v>
      </c>
      <c r="B8" s="164">
        <f>'2. System'!B34</f>
        <v>8.6603518267929633</v>
      </c>
      <c r="C8" s="64" t="s">
        <v>86</v>
      </c>
      <c r="D8" t="s">
        <v>584</v>
      </c>
    </row>
    <row r="9" spans="1:4" ht="15.75" x14ac:dyDescent="0.25">
      <c r="A9" s="175" t="s">
        <v>588</v>
      </c>
      <c r="B9" s="175"/>
      <c r="C9" s="175"/>
    </row>
    <row r="12" spans="1:4" x14ac:dyDescent="0.25">
      <c r="B12" s="8"/>
      <c r="C12" s="8"/>
    </row>
  </sheetData>
  <mergeCells count="4">
    <mergeCell ref="A1:C1"/>
    <mergeCell ref="A2:C2"/>
    <mergeCell ref="A6:C6"/>
    <mergeCell ref="A9:C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topLeftCell="A25" workbookViewId="0">
      <selection activeCell="H32" sqref="H32"/>
    </sheetView>
    <sheetView showGridLines="0" workbookViewId="1">
      <selection sqref="A1:F1"/>
    </sheetView>
  </sheetViews>
  <sheetFormatPr baseColWidth="10" defaultRowHeight="15" x14ac:dyDescent="0.25"/>
  <cols>
    <col min="1" max="1" width="8.85546875" style="141" customWidth="1"/>
    <col min="2" max="2" width="60.7109375" style="142" customWidth="1"/>
    <col min="3" max="3" width="9.140625" style="141"/>
    <col min="4" max="4" width="7.42578125" style="143" customWidth="1"/>
    <col min="5" max="5" width="11.42578125" style="143" bestFit="1" customWidth="1"/>
    <col min="6" max="6" width="15.28515625" style="141" customWidth="1"/>
  </cols>
  <sheetData>
    <row r="1" spans="1:8" ht="15.75" thickBot="1" x14ac:dyDescent="0.3">
      <c r="A1" s="220" t="s">
        <v>589</v>
      </c>
      <c r="B1" s="221"/>
      <c r="C1" s="221"/>
      <c r="D1" s="221"/>
      <c r="E1" s="221"/>
      <c r="F1" s="222"/>
    </row>
    <row r="2" spans="1:8" ht="30.75" thickBot="1" x14ac:dyDescent="0.3">
      <c r="A2" s="88" t="s">
        <v>436</v>
      </c>
      <c r="B2" s="88" t="s">
        <v>278</v>
      </c>
      <c r="C2" s="89" t="s">
        <v>437</v>
      </c>
      <c r="D2" s="88" t="s">
        <v>438</v>
      </c>
      <c r="E2" s="90" t="s">
        <v>439</v>
      </c>
      <c r="F2" s="90" t="s">
        <v>440</v>
      </c>
      <c r="H2" s="166" t="s">
        <v>8</v>
      </c>
    </row>
    <row r="3" spans="1:8" ht="51" customHeight="1" thickBot="1" x14ac:dyDescent="0.3">
      <c r="A3" s="91" t="s">
        <v>441</v>
      </c>
      <c r="B3" s="92" t="s">
        <v>598</v>
      </c>
      <c r="C3" s="93"/>
      <c r="D3" s="93"/>
      <c r="E3" s="93"/>
      <c r="F3" s="94"/>
      <c r="H3" s="166" t="s">
        <v>599</v>
      </c>
    </row>
    <row r="4" spans="1:8" x14ac:dyDescent="0.25">
      <c r="A4" s="95" t="s">
        <v>442</v>
      </c>
      <c r="B4" s="96" t="str">
        <f>ROUND('2bis. Panels'!B9,0)&amp;"W solar panel such as "&amp;'2. System'!B10:C10&amp;". (see tech specs)"</f>
        <v>486W solar panel such as risen  RSM150-8-485M. (see tech specs)</v>
      </c>
      <c r="C4" s="97" t="s">
        <v>443</v>
      </c>
      <c r="D4" s="144">
        <f>'2. System'!B22</f>
        <v>12</v>
      </c>
      <c r="E4" s="228">
        <v>200</v>
      </c>
      <c r="F4" s="98">
        <f>E4*D4</f>
        <v>2400</v>
      </c>
    </row>
    <row r="5" spans="1:8" ht="25.5" x14ac:dyDescent="0.25">
      <c r="A5" s="95" t="s">
        <v>444</v>
      </c>
      <c r="B5" s="96" t="s">
        <v>445</v>
      </c>
      <c r="C5" s="97" t="s">
        <v>446</v>
      </c>
      <c r="D5" s="144">
        <f>2*D4</f>
        <v>24</v>
      </c>
      <c r="E5" s="228">
        <v>6</v>
      </c>
      <c r="F5" s="98">
        <f t="shared" ref="F5:F18" si="0">E5*D5</f>
        <v>144</v>
      </c>
    </row>
    <row r="6" spans="1:8" ht="38.25" x14ac:dyDescent="0.25">
      <c r="A6" s="95"/>
      <c r="B6" s="96" t="s">
        <v>447</v>
      </c>
      <c r="C6" s="97" t="s">
        <v>446</v>
      </c>
      <c r="D6" s="144">
        <f>20*SUM(D11:D11)</f>
        <v>60</v>
      </c>
      <c r="E6" s="228">
        <v>6</v>
      </c>
      <c r="F6" s="98">
        <f t="shared" si="0"/>
        <v>360</v>
      </c>
    </row>
    <row r="7" spans="1:8" ht="38.25" x14ac:dyDescent="0.25">
      <c r="A7" s="95" t="s">
        <v>448</v>
      </c>
      <c r="B7" s="96" t="s">
        <v>449</v>
      </c>
      <c r="C7" s="97" t="s">
        <v>446</v>
      </c>
      <c r="D7" s="145">
        <f>10+D4*1.5</f>
        <v>28</v>
      </c>
      <c r="E7" s="228">
        <v>3</v>
      </c>
      <c r="F7" s="98">
        <f t="shared" si="0"/>
        <v>84</v>
      </c>
    </row>
    <row r="8" spans="1:8" ht="25.5" x14ac:dyDescent="0.25">
      <c r="A8" s="95" t="s">
        <v>450</v>
      </c>
      <c r="B8" s="96" t="s">
        <v>451</v>
      </c>
      <c r="C8" s="97" t="s">
        <v>443</v>
      </c>
      <c r="D8" s="145">
        <f>1*SUM(D11:D11)</f>
        <v>3</v>
      </c>
      <c r="E8" s="228">
        <v>130</v>
      </c>
      <c r="F8" s="98">
        <f t="shared" si="0"/>
        <v>390</v>
      </c>
    </row>
    <row r="9" spans="1:8" x14ac:dyDescent="0.25">
      <c r="A9" s="95" t="s">
        <v>452</v>
      </c>
      <c r="B9" s="96" t="s">
        <v>453</v>
      </c>
      <c r="C9" s="97" t="s">
        <v>446</v>
      </c>
      <c r="D9" s="145">
        <f>30*SUM(D11:D11)</f>
        <v>90</v>
      </c>
      <c r="E9" s="228">
        <v>6</v>
      </c>
      <c r="F9" s="98">
        <f t="shared" si="0"/>
        <v>540</v>
      </c>
    </row>
    <row r="10" spans="1:8" ht="51" x14ac:dyDescent="0.25">
      <c r="A10" s="95" t="s">
        <v>454</v>
      </c>
      <c r="B10" s="96" t="s">
        <v>455</v>
      </c>
      <c r="C10" s="97" t="s">
        <v>443</v>
      </c>
      <c r="D10" s="145">
        <f>1*SUM(D11:D11)+1</f>
        <v>4</v>
      </c>
      <c r="E10" s="228">
        <v>75</v>
      </c>
      <c r="F10" s="98">
        <f>E10*D10</f>
        <v>300</v>
      </c>
    </row>
    <row r="11" spans="1:8" ht="54" customHeight="1" x14ac:dyDescent="0.25">
      <c r="A11" s="95" t="s">
        <v>504</v>
      </c>
      <c r="B11" s="96" t="str">
        <f>"Supply and install an hybrid inverter with in-built controller of AC output power of "&amp;'2bis. Hyb. Inverter'!C8/1000&amp;" kW or more, such as "&amp;'2. System'!B12:C12&amp;" or equally approved. See tabular technical specifications for the ones inverter must respect."</f>
        <v>Supply and install an hybrid inverter with in-built controller of AC output power of 5.5 kW or more, such as Raggie RG-MH5500W Plus or equally approved. See tabular technical specifications for the ones inverter must respect.</v>
      </c>
      <c r="C11" s="97" t="s">
        <v>443</v>
      </c>
      <c r="D11" s="145">
        <f>'2. System'!B18</f>
        <v>3</v>
      </c>
      <c r="E11" s="228">
        <v>2174</v>
      </c>
      <c r="F11" s="98">
        <f t="shared" si="0"/>
        <v>6522</v>
      </c>
    </row>
    <row r="12" spans="1:8" ht="25.5" customHeight="1" x14ac:dyDescent="0.25">
      <c r="A12" s="95" t="s">
        <v>456</v>
      </c>
      <c r="B12" s="96" t="str">
        <f>'2bis. Batteries'!B16&amp;"V, "&amp;'2bis. Batteries'!B18&amp;"Ah, lifetime of "&amp;'2bis. Batteries'!B23&amp;" cycles at "&amp;'2bis. Batteries'!B7*100&amp;"% depth of Discharge at 25°C. Such as "&amp;'2. System'!B11:C11</f>
        <v>12V, 200Ah, lifetime of 1500 cycles at 50% depth of Discharge at 25°C. Such as Rita DG12-200</v>
      </c>
      <c r="C12" s="97" t="s">
        <v>443</v>
      </c>
      <c r="D12" s="145">
        <f>'2. System'!B29</f>
        <v>16</v>
      </c>
      <c r="E12" s="228">
        <v>408</v>
      </c>
      <c r="F12" s="98">
        <f t="shared" si="0"/>
        <v>6528</v>
      </c>
    </row>
    <row r="13" spans="1:8" ht="25.5" x14ac:dyDescent="0.25">
      <c r="A13" s="95" t="s">
        <v>457</v>
      </c>
      <c r="B13" s="96" t="s">
        <v>458</v>
      </c>
      <c r="C13" s="97" t="s">
        <v>443</v>
      </c>
      <c r="D13" s="145">
        <f>SUM(D11:D11)</f>
        <v>3</v>
      </c>
      <c r="E13" s="228">
        <v>35</v>
      </c>
      <c r="F13" s="98">
        <f t="shared" si="0"/>
        <v>105</v>
      </c>
    </row>
    <row r="14" spans="1:8" ht="38.25" x14ac:dyDescent="0.25">
      <c r="A14" s="95" t="s">
        <v>459</v>
      </c>
      <c r="B14" s="96" t="s">
        <v>460</v>
      </c>
      <c r="C14" s="97" t="s">
        <v>443</v>
      </c>
      <c r="D14" s="145">
        <f>ROUND(D12/8,0)</f>
        <v>2</v>
      </c>
      <c r="E14" s="228">
        <v>150</v>
      </c>
      <c r="F14" s="98">
        <f t="shared" si="0"/>
        <v>300</v>
      </c>
    </row>
    <row r="15" spans="1:8" ht="25.5" x14ac:dyDescent="0.25">
      <c r="A15" s="95" t="s">
        <v>461</v>
      </c>
      <c r="B15" s="96" t="s">
        <v>462</v>
      </c>
      <c r="C15" s="97" t="s">
        <v>446</v>
      </c>
      <c r="D15" s="145">
        <f>10*SUM(D11:D11)</f>
        <v>30</v>
      </c>
      <c r="E15" s="228">
        <v>6</v>
      </c>
      <c r="F15" s="98">
        <f>E15*D15</f>
        <v>180</v>
      </c>
    </row>
    <row r="16" spans="1:8" ht="25.5" x14ac:dyDescent="0.25">
      <c r="A16" s="95"/>
      <c r="B16" s="96" t="s">
        <v>574</v>
      </c>
      <c r="C16" s="97" t="s">
        <v>443</v>
      </c>
      <c r="D16" s="145">
        <f>2*IF('2. System'!B33&gt;1,1,0)</f>
        <v>2</v>
      </c>
      <c r="E16" s="228">
        <v>30</v>
      </c>
      <c r="F16" s="98">
        <f>E16*D16</f>
        <v>60</v>
      </c>
    </row>
    <row r="17" spans="1:6" ht="25.5" x14ac:dyDescent="0.25">
      <c r="A17" s="95" t="s">
        <v>463</v>
      </c>
      <c r="B17" s="96" t="s">
        <v>464</v>
      </c>
      <c r="C17" s="97" t="s">
        <v>443</v>
      </c>
      <c r="D17" s="145">
        <f>1*SUM(D11:D11)</f>
        <v>3</v>
      </c>
      <c r="E17" s="228">
        <v>130</v>
      </c>
      <c r="F17" s="98">
        <f t="shared" si="0"/>
        <v>390</v>
      </c>
    </row>
    <row r="18" spans="1:6" ht="15.75" thickBot="1" x14ac:dyDescent="0.3">
      <c r="A18" s="95" t="s">
        <v>465</v>
      </c>
      <c r="B18" s="96" t="s">
        <v>466</v>
      </c>
      <c r="C18" s="97" t="s">
        <v>443</v>
      </c>
      <c r="D18" s="99">
        <v>1</v>
      </c>
      <c r="E18" s="228">
        <v>400</v>
      </c>
      <c r="F18" s="98">
        <f t="shared" si="0"/>
        <v>400</v>
      </c>
    </row>
    <row r="19" spans="1:6" ht="15.75" thickBot="1" x14ac:dyDescent="0.3">
      <c r="A19" s="91"/>
      <c r="B19" s="100" t="s">
        <v>467</v>
      </c>
      <c r="C19" s="223"/>
      <c r="D19" s="224"/>
      <c r="E19" s="225"/>
      <c r="F19" s="101">
        <f>SUM(F4:F18)</f>
        <v>18703</v>
      </c>
    </row>
    <row r="20" spans="1:6" ht="39" thickBot="1" x14ac:dyDescent="0.3">
      <c r="A20" s="91" t="s">
        <v>468</v>
      </c>
      <c r="B20" s="102" t="s">
        <v>610</v>
      </c>
      <c r="C20" s="214"/>
      <c r="D20" s="215"/>
      <c r="E20" s="215"/>
      <c r="F20" s="216"/>
    </row>
    <row r="21" spans="1:6" ht="165.75" x14ac:dyDescent="0.25">
      <c r="A21" s="103" t="s">
        <v>469</v>
      </c>
      <c r="B21" s="104" t="s">
        <v>470</v>
      </c>
      <c r="C21" s="105" t="s">
        <v>443</v>
      </c>
      <c r="D21" s="106">
        <v>1</v>
      </c>
      <c r="E21" s="228">
        <v>35</v>
      </c>
      <c r="F21" s="107">
        <f>E21*D21</f>
        <v>35</v>
      </c>
    </row>
    <row r="22" spans="1:6" ht="102" x14ac:dyDescent="0.25">
      <c r="A22" s="103" t="s">
        <v>471</v>
      </c>
      <c r="B22" s="108" t="s">
        <v>472</v>
      </c>
      <c r="C22" s="105" t="s">
        <v>473</v>
      </c>
      <c r="D22" s="106">
        <v>1</v>
      </c>
      <c r="E22" s="228">
        <v>10</v>
      </c>
      <c r="F22" s="107">
        <f t="shared" ref="F22:F24" si="1">E22*D22</f>
        <v>10</v>
      </c>
    </row>
    <row r="23" spans="1:6" ht="63.75" x14ac:dyDescent="0.25">
      <c r="A23" s="103" t="s">
        <v>474</v>
      </c>
      <c r="B23" s="109" t="s">
        <v>475</v>
      </c>
      <c r="C23" s="97" t="s">
        <v>443</v>
      </c>
      <c r="D23" s="99">
        <v>1</v>
      </c>
      <c r="E23" s="228">
        <v>35</v>
      </c>
      <c r="F23" s="107">
        <f t="shared" si="1"/>
        <v>35</v>
      </c>
    </row>
    <row r="24" spans="1:6" ht="64.5" thickBot="1" x14ac:dyDescent="0.3">
      <c r="A24" s="103" t="s">
        <v>476</v>
      </c>
      <c r="B24" s="110" t="s">
        <v>477</v>
      </c>
      <c r="C24" s="111" t="s">
        <v>443</v>
      </c>
      <c r="D24" s="112">
        <v>1</v>
      </c>
      <c r="E24" s="228">
        <v>35</v>
      </c>
      <c r="F24" s="107">
        <f t="shared" si="1"/>
        <v>35</v>
      </c>
    </row>
    <row r="25" spans="1:6" ht="15.75" thickBot="1" x14ac:dyDescent="0.3">
      <c r="A25" s="113"/>
      <c r="B25" s="100" t="s">
        <v>467</v>
      </c>
      <c r="C25" s="223"/>
      <c r="D25" s="224"/>
      <c r="E25" s="225"/>
      <c r="F25" s="101">
        <f>SUM(F21:F24)</f>
        <v>115</v>
      </c>
    </row>
    <row r="26" spans="1:6" ht="64.5" thickBot="1" x14ac:dyDescent="0.3">
      <c r="A26" s="91" t="s">
        <v>478</v>
      </c>
      <c r="B26" s="114" t="s">
        <v>479</v>
      </c>
      <c r="C26" s="214"/>
      <c r="D26" s="215"/>
      <c r="E26" s="215"/>
      <c r="F26" s="216"/>
    </row>
    <row r="27" spans="1:6" x14ac:dyDescent="0.25">
      <c r="A27" s="115" t="s">
        <v>480</v>
      </c>
      <c r="B27" s="116" t="s">
        <v>481</v>
      </c>
      <c r="C27" s="117" t="s">
        <v>443</v>
      </c>
      <c r="D27" s="118">
        <v>2</v>
      </c>
      <c r="E27" s="228">
        <v>41</v>
      </c>
      <c r="F27" s="119">
        <f>E27*D27</f>
        <v>82</v>
      </c>
    </row>
    <row r="28" spans="1:6" ht="45" x14ac:dyDescent="0.25">
      <c r="A28" s="115" t="s">
        <v>482</v>
      </c>
      <c r="B28" s="86" t="s">
        <v>483</v>
      </c>
      <c r="C28" s="117" t="s">
        <v>443</v>
      </c>
      <c r="D28" s="118">
        <v>1</v>
      </c>
      <c r="E28" s="228">
        <v>3</v>
      </c>
      <c r="F28" s="119">
        <f>E28*D28</f>
        <v>3</v>
      </c>
    </row>
    <row r="29" spans="1:6" x14ac:dyDescent="0.25">
      <c r="A29" s="115" t="s">
        <v>484</v>
      </c>
      <c r="B29" s="120" t="s">
        <v>485</v>
      </c>
      <c r="C29" s="121" t="s">
        <v>446</v>
      </c>
      <c r="D29" s="122">
        <v>25</v>
      </c>
      <c r="E29" s="228">
        <v>13</v>
      </c>
      <c r="F29" s="119">
        <f t="shared" ref="F29:F34" si="2">E29*D29</f>
        <v>325</v>
      </c>
    </row>
    <row r="30" spans="1:6" ht="25.5" x14ac:dyDescent="0.25">
      <c r="A30" s="115" t="s">
        <v>486</v>
      </c>
      <c r="B30" s="120" t="s">
        <v>487</v>
      </c>
      <c r="C30" s="121" t="s">
        <v>443</v>
      </c>
      <c r="D30" s="122">
        <v>1</v>
      </c>
      <c r="E30" s="228">
        <v>72</v>
      </c>
      <c r="F30" s="119">
        <f t="shared" si="2"/>
        <v>72</v>
      </c>
    </row>
    <row r="31" spans="1:6" x14ac:dyDescent="0.25">
      <c r="A31" s="115" t="s">
        <v>488</v>
      </c>
      <c r="B31" s="123" t="s">
        <v>489</v>
      </c>
      <c r="C31" s="121" t="s">
        <v>443</v>
      </c>
      <c r="D31" s="122">
        <v>1</v>
      </c>
      <c r="E31" s="228">
        <v>43</v>
      </c>
      <c r="F31" s="119">
        <f t="shared" si="2"/>
        <v>43</v>
      </c>
    </row>
    <row r="32" spans="1:6" ht="63.75" x14ac:dyDescent="0.25">
      <c r="A32" s="115" t="s">
        <v>490</v>
      </c>
      <c r="B32" s="124" t="s">
        <v>491</v>
      </c>
      <c r="C32" s="121" t="s">
        <v>443</v>
      </c>
      <c r="D32" s="125">
        <v>1</v>
      </c>
      <c r="E32" s="228">
        <v>9</v>
      </c>
      <c r="F32" s="119">
        <f t="shared" si="2"/>
        <v>9</v>
      </c>
    </row>
    <row r="33" spans="1:6" x14ac:dyDescent="0.25">
      <c r="A33" s="115" t="s">
        <v>492</v>
      </c>
      <c r="B33" s="126" t="s">
        <v>493</v>
      </c>
      <c r="C33" s="121" t="s">
        <v>443</v>
      </c>
      <c r="D33" s="125">
        <v>4</v>
      </c>
      <c r="E33" s="228">
        <v>35</v>
      </c>
      <c r="F33" s="119">
        <f t="shared" si="2"/>
        <v>140</v>
      </c>
    </row>
    <row r="34" spans="1:6" ht="15.75" thickBot="1" x14ac:dyDescent="0.3">
      <c r="A34" s="115" t="s">
        <v>494</v>
      </c>
      <c r="B34" s="127" t="s">
        <v>466</v>
      </c>
      <c r="C34" s="128" t="s">
        <v>473</v>
      </c>
      <c r="D34" s="129">
        <v>1</v>
      </c>
      <c r="E34" s="228">
        <v>43</v>
      </c>
      <c r="F34" s="119">
        <f t="shared" si="2"/>
        <v>43</v>
      </c>
    </row>
    <row r="35" spans="1:6" ht="15.75" thickBot="1" x14ac:dyDescent="0.3">
      <c r="A35" s="130"/>
      <c r="B35" s="100" t="s">
        <v>467</v>
      </c>
      <c r="C35" s="211"/>
      <c r="D35" s="212"/>
      <c r="E35" s="213"/>
      <c r="F35" s="131">
        <f>SUM(F27:F34)</f>
        <v>717</v>
      </c>
    </row>
    <row r="36" spans="1:6" ht="39" thickBot="1" x14ac:dyDescent="0.3">
      <c r="A36" s="91" t="s">
        <v>495</v>
      </c>
      <c r="B36" s="114" t="s">
        <v>496</v>
      </c>
      <c r="C36" s="214"/>
      <c r="D36" s="215"/>
      <c r="E36" s="215"/>
      <c r="F36" s="216"/>
    </row>
    <row r="37" spans="1:6" ht="25.5" x14ac:dyDescent="0.25">
      <c r="A37" s="132" t="s">
        <v>497</v>
      </c>
      <c r="B37" s="120" t="s">
        <v>498</v>
      </c>
      <c r="C37" s="117" t="s">
        <v>443</v>
      </c>
      <c r="D37" s="153">
        <v>14</v>
      </c>
      <c r="E37" s="228">
        <v>16</v>
      </c>
      <c r="F37" s="119">
        <f>E37*D37</f>
        <v>224</v>
      </c>
    </row>
    <row r="38" spans="1:6" ht="25.5" x14ac:dyDescent="0.25">
      <c r="A38" s="115" t="s">
        <v>499</v>
      </c>
      <c r="B38" s="120" t="s">
        <v>500</v>
      </c>
      <c r="C38" s="117" t="s">
        <v>443</v>
      </c>
      <c r="D38" s="153">
        <v>10</v>
      </c>
      <c r="E38" s="228">
        <v>19</v>
      </c>
      <c r="F38" s="119">
        <f>E38*D38</f>
        <v>190</v>
      </c>
    </row>
    <row r="39" spans="1:6" ht="15.75" thickBot="1" x14ac:dyDescent="0.3">
      <c r="A39" s="115" t="s">
        <v>501</v>
      </c>
      <c r="B39" s="127" t="s">
        <v>502</v>
      </c>
      <c r="C39" s="121" t="s">
        <v>443</v>
      </c>
      <c r="D39" s="129">
        <v>1</v>
      </c>
      <c r="E39" s="228">
        <v>87</v>
      </c>
      <c r="F39" s="119">
        <f t="shared" ref="F39" si="3">E39*D39</f>
        <v>87</v>
      </c>
    </row>
    <row r="40" spans="1:6" ht="15.75" thickBot="1" x14ac:dyDescent="0.3">
      <c r="A40" s="130"/>
      <c r="B40" s="100" t="s">
        <v>467</v>
      </c>
      <c r="C40" s="211"/>
      <c r="D40" s="212"/>
      <c r="E40" s="213"/>
      <c r="F40" s="131">
        <f>SUM(F37:F39)</f>
        <v>501</v>
      </c>
    </row>
    <row r="41" spans="1:6" ht="15.75" thickBot="1" x14ac:dyDescent="0.3">
      <c r="A41" s="133"/>
      <c r="B41" s="134"/>
      <c r="C41" s="135"/>
      <c r="D41" s="135"/>
      <c r="E41" s="136"/>
      <c r="F41" s="137"/>
    </row>
    <row r="42" spans="1:6" ht="16.5" thickBot="1" x14ac:dyDescent="0.3">
      <c r="A42" s="138"/>
      <c r="B42" s="139" t="s">
        <v>503</v>
      </c>
      <c r="C42" s="217"/>
      <c r="D42" s="218"/>
      <c r="E42" s="219"/>
      <c r="F42" s="140">
        <f>F35+F25+F19+F40</f>
        <v>20036</v>
      </c>
    </row>
  </sheetData>
  <mergeCells count="9">
    <mergeCell ref="C35:E35"/>
    <mergeCell ref="C36:F36"/>
    <mergeCell ref="C40:E40"/>
    <mergeCell ref="C42:E42"/>
    <mergeCell ref="A1:F1"/>
    <mergeCell ref="C19:E19"/>
    <mergeCell ref="C20:F20"/>
    <mergeCell ref="C25:E25"/>
    <mergeCell ref="C26:F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Readme</vt:lpstr>
      <vt:lpstr>0. Info</vt:lpstr>
      <vt:lpstr>1. Appliances</vt:lpstr>
      <vt:lpstr>2. System</vt:lpstr>
      <vt:lpstr>2bis. Panels</vt:lpstr>
      <vt:lpstr>2bis. Batteries</vt:lpstr>
      <vt:lpstr>2bis. Hyb. Inverter</vt:lpstr>
      <vt:lpstr>3. Design performances</vt:lpstr>
      <vt:lpstr>3. BoQ</vt:lpstr>
      <vt:lpstr>3. BoQ_tech_specs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Gauthier Limpens</cp:lastModifiedBy>
  <dcterms:created xsi:type="dcterms:W3CDTF">2020-04-16T09:29:09Z</dcterms:created>
  <dcterms:modified xsi:type="dcterms:W3CDTF">2022-12-22T16:39:39Z</dcterms:modified>
</cp:coreProperties>
</file>