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2ebb688526442f/Documentos/"/>
    </mc:Choice>
  </mc:AlternateContent>
  <xr:revisionPtr revIDLastSave="0" documentId="8_{DE3C3A62-82F8-4E86-BF54-06FE367147F3}" xr6:coauthVersionLast="45" xr6:coauthVersionMax="45" xr10:uidLastSave="{00000000-0000-0000-0000-000000000000}"/>
  <bookViews>
    <workbookView xWindow="12660" yWindow="1515" windowWidth="15375" windowHeight="7875" xr2:uid="{6534A186-C34F-41F7-A855-E291B2F29CC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1" l="1"/>
  <c r="C16" i="1"/>
  <c r="B40" i="1"/>
  <c r="I29" i="1"/>
  <c r="C26" i="1"/>
  <c r="V23" i="1"/>
  <c r="U23" i="1"/>
  <c r="T23" i="1"/>
  <c r="S23" i="1"/>
  <c r="V22" i="1"/>
  <c r="V21" i="1"/>
  <c r="U22" i="1"/>
  <c r="T22" i="1"/>
  <c r="S22" i="1"/>
  <c r="U21" i="1"/>
  <c r="T21" i="1"/>
  <c r="S21" i="1"/>
  <c r="U3" i="1"/>
  <c r="V3" i="1" s="1"/>
  <c r="W3" i="1" s="1"/>
  <c r="U4" i="1"/>
  <c r="U6" i="1" s="1"/>
  <c r="T4" i="1"/>
  <c r="V4" i="1" s="1"/>
  <c r="W4" i="1" s="1"/>
  <c r="S4" i="1"/>
  <c r="W5" i="1"/>
  <c r="V5" i="1"/>
  <c r="S13" i="1"/>
  <c r="S12" i="1"/>
  <c r="T3" i="1"/>
  <c r="S3" i="1"/>
  <c r="S6" i="1" s="1"/>
  <c r="J8" i="1"/>
  <c r="N11" i="1"/>
  <c r="N6" i="1"/>
  <c r="E6" i="1"/>
  <c r="D6" i="1"/>
  <c r="C6" i="1"/>
  <c r="C12" i="1" s="1"/>
  <c r="C15" i="1" s="1"/>
  <c r="O5" i="1"/>
  <c r="P5" i="1"/>
  <c r="O4" i="1"/>
  <c r="P4" i="1"/>
  <c r="O3" i="1"/>
  <c r="P3" i="1"/>
  <c r="N5" i="1"/>
  <c r="N4" i="1"/>
  <c r="N3" i="1"/>
  <c r="O6" i="1"/>
  <c r="P6" i="1"/>
  <c r="J6" i="1"/>
  <c r="K6" i="1"/>
  <c r="L6" i="1"/>
  <c r="D10" i="1"/>
  <c r="C20" i="1"/>
  <c r="C37" i="1"/>
  <c r="E9" i="1"/>
  <c r="D9" i="1"/>
  <c r="C9" i="1"/>
  <c r="C29" i="1"/>
  <c r="C32" i="1" s="1"/>
  <c r="C25" i="1"/>
  <c r="T6" i="1" l="1"/>
  <c r="V6" i="1" s="1"/>
  <c r="C7" i="1"/>
  <c r="C36" i="1"/>
  <c r="D7" i="1"/>
  <c r="E7" i="1"/>
  <c r="S8" i="1" l="1"/>
  <c r="C18" i="1"/>
  <c r="C22" i="1" s="1"/>
  <c r="C28" i="1"/>
  <c r="C34" i="1" s="1"/>
  <c r="C13" i="1" s="1"/>
  <c r="L8" i="1" l="1"/>
  <c r="K8" i="1"/>
  <c r="N13" i="1" l="1"/>
  <c r="N12" i="1"/>
  <c r="O13" i="1"/>
  <c r="T13" i="1" s="1"/>
  <c r="O12" i="1"/>
  <c r="T12" i="1" s="1"/>
  <c r="O11" i="1"/>
  <c r="P13" i="1"/>
  <c r="U13" i="1" s="1"/>
  <c r="P12" i="1"/>
  <c r="U12" i="1" s="1"/>
  <c r="P11" i="1"/>
  <c r="N14" i="1" l="1"/>
  <c r="P14" i="1"/>
  <c r="U11" i="1"/>
  <c r="U14" i="1" s="1"/>
  <c r="O14" i="1"/>
  <c r="T11" i="1"/>
  <c r="T14" i="1" s="1"/>
  <c r="S11" i="1"/>
  <c r="S14" i="1" s="1"/>
  <c r="S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tc={54147517-F7AF-41A2-A5FF-10288309C78B}</author>
    <author>tc={97402B8F-ED12-427E-B52B-3322C8DD8F95}</author>
    <author>tc={B01A4B44-514D-4A9A-96D7-6DA95014D111}</author>
    <author>tc={879A04F3-71B7-4F2F-A4FB-63235DD06A33}</author>
  </authors>
  <commentList>
    <comment ref="C18" authorId="0" shapeId="0" xr:uid="{54147517-F7AF-41A2-A5FF-10288309C7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frações de hora</t>
      </text>
    </comment>
    <comment ref="B24" authorId="1" shapeId="0" xr:uid="{97402B8F-ED12-427E-B52B-3322C8DD8F9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Trabalhadores não especializados</t>
      </text>
    </comment>
    <comment ref="B25" authorId="2" shapeId="0" xr:uid="{B01A4B44-514D-4A9A-96D7-6DA95014D11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Trabalhadores não especializados</t>
      </text>
    </comment>
    <comment ref="B29" authorId="3" shapeId="0" xr:uid="{879A04F3-71B7-4F2F-A4FB-63235DD06A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Horas disponiveis - absentismo dado pelo excel</t>
      </text>
    </comment>
  </commentList>
</comments>
</file>

<file path=xl/sharedStrings.xml><?xml version="1.0" encoding="utf-8"?>
<sst xmlns="http://schemas.openxmlformats.org/spreadsheetml/2006/main" count="78" uniqueCount="59">
  <si>
    <t>Produto1</t>
  </si>
  <si>
    <t>Produto2</t>
  </si>
  <si>
    <t>Produto3</t>
  </si>
  <si>
    <t>Total:</t>
  </si>
  <si>
    <t>Total Produtos</t>
  </si>
  <si>
    <t>Quota de produto</t>
  </si>
  <si>
    <t>Tempo Util maquinas</t>
  </si>
  <si>
    <t>Horas trabalhadas maquinas</t>
  </si>
  <si>
    <t>Media de tempo por montagem produto</t>
  </si>
  <si>
    <t>Tempo por produto Maquina</t>
  </si>
  <si>
    <t>Tempo Util pessoas</t>
  </si>
  <si>
    <t>Numero Maquinas</t>
  </si>
  <si>
    <t>Numero pessoal a trabalhar por maquina</t>
  </si>
  <si>
    <t>Pessoal necessario Maquinas</t>
  </si>
  <si>
    <t>Absentismo</t>
  </si>
  <si>
    <t>Percentagem de horas de trabalho por pessoa</t>
  </si>
  <si>
    <t>Horas trabalhadas pessoas</t>
  </si>
  <si>
    <t>Tempo Montagem(HORAS)</t>
  </si>
  <si>
    <t>Numero de pessoas</t>
  </si>
  <si>
    <t>Horas de trabalho por pessoa por trimestre</t>
  </si>
  <si>
    <t>Tempo real de trabalho por pessoa(MAX)</t>
  </si>
  <si>
    <t>Horas de trabalho por pessoa por trimestre(MAX)</t>
  </si>
  <si>
    <t>Total de produtos q pode ser feitos</t>
  </si>
  <si>
    <t>Total de produtos q pode ser feito</t>
  </si>
  <si>
    <t>Numero de pessoas para conseguir o max de producao de maquinas:</t>
  </si>
  <si>
    <t>Do you wanna build a snowman</t>
  </si>
  <si>
    <t>NO BITCH</t>
  </si>
  <si>
    <t>ok....bye......</t>
  </si>
  <si>
    <t>it doesnt have to be a snowman</t>
  </si>
  <si>
    <t>it gets a little lonely all this empty rooms just watching the hours pass by.... Tic toc tic toc</t>
  </si>
  <si>
    <t>Tempo Real Maquinas</t>
  </si>
  <si>
    <t>Produtos a mais next trimestre</t>
  </si>
  <si>
    <t>Materia prima a encomendar</t>
  </si>
  <si>
    <t>Materia prima por unidade</t>
  </si>
  <si>
    <t>Tempo Maquinação(HORAS)</t>
  </si>
  <si>
    <t>Percentagem de cada</t>
  </si>
  <si>
    <t>A adicionar a cada</t>
  </si>
  <si>
    <t>A adicionar</t>
  </si>
  <si>
    <t>Total</t>
  </si>
  <si>
    <t>FINAL</t>
  </si>
  <si>
    <t>Quantidade PRODUZIDA</t>
  </si>
  <si>
    <t>FINAL Q PODE SER PRODUZIDO</t>
  </si>
  <si>
    <t>FINAL Com atencao a contentores</t>
  </si>
  <si>
    <t>contentor leva 500 produto1</t>
  </si>
  <si>
    <t>125 produto 3</t>
  </si>
  <si>
    <t xml:space="preserve">250 produto 2 </t>
  </si>
  <si>
    <t>Produtos(contentores)</t>
  </si>
  <si>
    <t>Contentores necessarios</t>
  </si>
  <si>
    <t>Tempo real de Produção</t>
  </si>
  <si>
    <t>Produtos</t>
  </si>
  <si>
    <t>Montagem</t>
  </si>
  <si>
    <t>Maquina</t>
  </si>
  <si>
    <t>TOTAL</t>
  </si>
  <si>
    <t>Proximo trimestre encomendar</t>
  </si>
  <si>
    <t>Produtos feitos por maquina MEDIA</t>
  </si>
  <si>
    <t>1 trimestre</t>
  </si>
  <si>
    <t>2 Trimestre</t>
  </si>
  <si>
    <t>3 Trimestre</t>
  </si>
  <si>
    <t>CRESCIMENTO PRODUTOS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</si>
</sst>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8" fontId="0" fillId="0" borderId="0" xfId="0" applyNumberFormat="1"/>
    <xf numFmtId="1" fontId="0" fillId="0" borderId="0" xfId="0" applyNumberFormat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Miranda" id="{FD229180-24A0-411D-A8BE-66D1D19F1EA4}" userId="2f2ebb688526442f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19-11-23T20:07:28.33" personId="{FD229180-24A0-411D-A8BE-66D1D19F1EA4}" id="{54147517-F7AF-41A2-A5FF-10288309C78B}">
    <text>frações de hora</text>
  </threadedComment>
  <threadedComment ref="B24" dT="2019-11-23T20:09:48.79" personId="{FD229180-24A0-411D-A8BE-66D1D19F1EA4}" id="{97402B8F-ED12-427E-B52B-3322C8DD8F95}">
    <text>Trabalhadores não especializados</text>
  </threadedComment>
  <threadedComment ref="B25" dT="2019-11-23T20:09:53.23" personId="{FD229180-24A0-411D-A8BE-66D1D19F1EA4}" id="{B01A4B44-514D-4A9A-96D7-6DA95014D111}">
    <text>Trabalhadores não especializados</text>
  </threadedComment>
  <threadedComment ref="B29" dT="2019-11-23T20:15:15.63" personId="{FD229180-24A0-411D-A8BE-66D1D19F1EA4}" id="{879A04F3-71B7-4F2F-A4FB-63235DD06A33}">
    <text>Horas disponiveis - absentismo dado pelo excel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84A54-01D0-4851-A30C-91CE2595600B}">
  <dimension ref="B1:Z52"/>
  <sheetViews>
    <sheetView tabSelected="1" topLeftCell="C4" workbookViewId="0">
      <selection activeCell="G24" sqref="G24"/>
    </sheetView>
  </sheetViews>
  <sheetFormatPr defaultRowHeight="15" x14ac:dyDescent="0.25"/>
  <cols>
    <col min="2" max="2" width="44.140625" customWidth="1"/>
    <col min="3" max="3" width="13.7109375" bestFit="1" customWidth="1"/>
    <col min="7" max="7" width="11.28515625" customWidth="1"/>
    <col min="8" max="8" width="10.7109375" customWidth="1"/>
    <col min="9" max="9" width="11" customWidth="1"/>
    <col min="10" max="10" width="10.42578125" customWidth="1"/>
    <col min="18" max="18" width="10.5703125" customWidth="1"/>
    <col min="22" max="22" width="21.140625" customWidth="1"/>
    <col min="23" max="24" width="23" customWidth="1"/>
  </cols>
  <sheetData>
    <row r="1" spans="2:26" x14ac:dyDescent="0.25">
      <c r="K1" t="s">
        <v>40</v>
      </c>
      <c r="O1" s="4" t="s">
        <v>35</v>
      </c>
      <c r="T1" s="4" t="s">
        <v>42</v>
      </c>
    </row>
    <row r="2" spans="2:26" x14ac:dyDescent="0.25">
      <c r="C2" t="s">
        <v>0</v>
      </c>
      <c r="D2" t="s">
        <v>1</v>
      </c>
      <c r="E2" t="s">
        <v>2</v>
      </c>
      <c r="J2" t="s">
        <v>0</v>
      </c>
      <c r="K2" t="s">
        <v>1</v>
      </c>
      <c r="L2" t="s">
        <v>2</v>
      </c>
      <c r="N2" t="s">
        <v>0</v>
      </c>
      <c r="O2" t="s">
        <v>1</v>
      </c>
      <c r="P2" t="s">
        <v>2</v>
      </c>
      <c r="S2" t="s">
        <v>0</v>
      </c>
      <c r="T2" t="s">
        <v>1</v>
      </c>
      <c r="U2" t="s">
        <v>2</v>
      </c>
      <c r="V2" t="s">
        <v>46</v>
      </c>
      <c r="W2" t="s">
        <v>47</v>
      </c>
    </row>
    <row r="3" spans="2:26" x14ac:dyDescent="0.25">
      <c r="C3">
        <v>1720</v>
      </c>
      <c r="D3">
        <v>1015</v>
      </c>
      <c r="E3">
        <v>389</v>
      </c>
      <c r="J3">
        <v>1720</v>
      </c>
      <c r="K3">
        <v>1015</v>
      </c>
      <c r="L3">
        <v>389</v>
      </c>
      <c r="N3">
        <f>J3/N6</f>
        <v>0.40281030444964872</v>
      </c>
      <c r="O3">
        <f t="shared" ref="O3:P3" si="0">K3/O6</f>
        <v>0.40134440490312379</v>
      </c>
      <c r="P3">
        <f t="shared" si="0"/>
        <v>0.40478668054110301</v>
      </c>
      <c r="S3">
        <f>2133-40</f>
        <v>2093</v>
      </c>
      <c r="T3">
        <f>1259-30</f>
        <v>1229</v>
      </c>
      <c r="U3">
        <f>482-4</f>
        <v>478</v>
      </c>
      <c r="V3">
        <f>S3+T3*2+U3*4</f>
        <v>6463</v>
      </c>
      <c r="W3">
        <f>V3/500</f>
        <v>12.926</v>
      </c>
    </row>
    <row r="4" spans="2:26" x14ac:dyDescent="0.25">
      <c r="C4">
        <v>640</v>
      </c>
      <c r="D4">
        <v>474</v>
      </c>
      <c r="E4">
        <v>158</v>
      </c>
      <c r="J4">
        <v>640</v>
      </c>
      <c r="K4">
        <v>474</v>
      </c>
      <c r="L4">
        <v>158</v>
      </c>
      <c r="N4">
        <f>J4/N6</f>
        <v>0.14988290398126464</v>
      </c>
      <c r="O4">
        <f t="shared" ref="O4:P4" si="1">K4/O6</f>
        <v>0.1874258600237248</v>
      </c>
      <c r="P4">
        <f t="shared" si="1"/>
        <v>0.16441207075962538</v>
      </c>
      <c r="S4">
        <f>793+40</f>
        <v>833</v>
      </c>
      <c r="T4">
        <f>587+30</f>
        <v>617</v>
      </c>
      <c r="U4">
        <f>195+9</f>
        <v>204</v>
      </c>
      <c r="V4">
        <f t="shared" ref="V4:V6" si="2">S4+T4*2+U4*4</f>
        <v>2883</v>
      </c>
      <c r="W4">
        <f>V4/500</f>
        <v>5.766</v>
      </c>
      <c r="Y4" t="s">
        <v>43</v>
      </c>
    </row>
    <row r="5" spans="2:26" x14ac:dyDescent="0.25">
      <c r="C5">
        <v>1910</v>
      </c>
      <c r="D5">
        <v>1040</v>
      </c>
      <c r="E5">
        <v>414</v>
      </c>
      <c r="J5">
        <v>1910</v>
      </c>
      <c r="K5">
        <v>1040</v>
      </c>
      <c r="L5">
        <v>414</v>
      </c>
      <c r="N5">
        <f>J5/N6</f>
        <v>0.44730679156908665</v>
      </c>
      <c r="O5">
        <f t="shared" ref="O5:P5" si="3">K5/O6</f>
        <v>0.41122973507315147</v>
      </c>
      <c r="P5">
        <f t="shared" si="3"/>
        <v>0.43080124869927161</v>
      </c>
      <c r="S5">
        <v>2368</v>
      </c>
      <c r="T5">
        <v>1290</v>
      </c>
      <c r="U5">
        <v>513</v>
      </c>
      <c r="V5">
        <f t="shared" si="2"/>
        <v>7000</v>
      </c>
      <c r="W5">
        <f>V5/500</f>
        <v>14</v>
      </c>
      <c r="Z5" t="s">
        <v>45</v>
      </c>
    </row>
    <row r="6" spans="2:26" x14ac:dyDescent="0.25">
      <c r="B6" t="s">
        <v>3</v>
      </c>
      <c r="C6">
        <f>C3+C4+C5</f>
        <v>4270</v>
      </c>
      <c r="D6">
        <f t="shared" ref="D6" si="4">D3+D4+D5</f>
        <v>2529</v>
      </c>
      <c r="E6">
        <f t="shared" ref="E6" si="5">E3+E4+E5</f>
        <v>961</v>
      </c>
      <c r="J6">
        <f>J3+J4+J5</f>
        <v>4270</v>
      </c>
      <c r="K6">
        <f t="shared" ref="K6:L6" si="6">K3+K4+K5</f>
        <v>2529</v>
      </c>
      <c r="L6">
        <f t="shared" si="6"/>
        <v>961</v>
      </c>
      <c r="N6">
        <f>J3+J4+J5</f>
        <v>4270</v>
      </c>
      <c r="O6">
        <f t="shared" ref="O6:P6" si="7">K3+K4+K5</f>
        <v>2529</v>
      </c>
      <c r="P6">
        <f t="shared" si="7"/>
        <v>961</v>
      </c>
      <c r="S6">
        <f>S3+S4+S5</f>
        <v>5294</v>
      </c>
      <c r="T6">
        <f t="shared" ref="T6:U6" si="8">T3+T4+T5</f>
        <v>3136</v>
      </c>
      <c r="U6">
        <f t="shared" si="8"/>
        <v>1195</v>
      </c>
      <c r="V6">
        <f t="shared" si="2"/>
        <v>16346</v>
      </c>
      <c r="Z6" t="s">
        <v>44</v>
      </c>
    </row>
    <row r="7" spans="2:26" x14ac:dyDescent="0.25">
      <c r="B7" t="s">
        <v>5</v>
      </c>
      <c r="C7">
        <f>C6/C12</f>
        <v>0.55025773195876293</v>
      </c>
      <c r="D7">
        <f>D6/C12</f>
        <v>0.32590206185567011</v>
      </c>
      <c r="E7">
        <f>E6/C12</f>
        <v>0.12384020618556701</v>
      </c>
    </row>
    <row r="8" spans="2:26" x14ac:dyDescent="0.25">
      <c r="I8" s="4" t="s">
        <v>37</v>
      </c>
      <c r="J8">
        <f>C13*C7</f>
        <v>1026.7369813907771</v>
      </c>
      <c r="K8">
        <f>C13*D7</f>
        <v>608.10721918905745</v>
      </c>
      <c r="L8">
        <f>C13*E7</f>
        <v>231.07593421932944</v>
      </c>
      <c r="R8" s="4" t="s">
        <v>39</v>
      </c>
      <c r="S8">
        <f>S6+T6+U6</f>
        <v>9625</v>
      </c>
    </row>
    <row r="9" spans="2:26" x14ac:dyDescent="0.25">
      <c r="B9" t="s">
        <v>17</v>
      </c>
      <c r="C9">
        <f>110/60</f>
        <v>1.8333333333333333</v>
      </c>
      <c r="D9">
        <f>160/60</f>
        <v>2.6666666666666665</v>
      </c>
      <c r="E9">
        <f>350/60</f>
        <v>5.833333333333333</v>
      </c>
      <c r="N9" s="4" t="s">
        <v>36</v>
      </c>
      <c r="T9" s="4" t="s">
        <v>41</v>
      </c>
    </row>
    <row r="10" spans="2:26" x14ac:dyDescent="0.25">
      <c r="B10" t="s">
        <v>34</v>
      </c>
      <c r="C10">
        <v>1</v>
      </c>
      <c r="D10">
        <f>75/60</f>
        <v>1.25</v>
      </c>
      <c r="E10">
        <v>2</v>
      </c>
      <c r="N10" t="s">
        <v>0</v>
      </c>
      <c r="O10" t="s">
        <v>1</v>
      </c>
      <c r="P10" t="s">
        <v>2</v>
      </c>
      <c r="S10" t="s">
        <v>0</v>
      </c>
      <c r="T10" t="s">
        <v>1</v>
      </c>
      <c r="U10" t="s">
        <v>2</v>
      </c>
    </row>
    <row r="11" spans="2:26" x14ac:dyDescent="0.25">
      <c r="N11">
        <f>J8*N3</f>
        <v>413.58023606373223</v>
      </c>
      <c r="O11">
        <f t="shared" ref="O11:P11" si="9">K8*O3</f>
        <v>244.06043000272572</v>
      </c>
      <c r="P11">
        <f t="shared" si="9"/>
        <v>93.536460365576644</v>
      </c>
      <c r="S11">
        <f>J3+N11</f>
        <v>2133.5802360637322</v>
      </c>
      <c r="T11">
        <f t="shared" ref="T11:U11" si="10">K3+O11</f>
        <v>1259.0604300027258</v>
      </c>
      <c r="U11">
        <f t="shared" si="10"/>
        <v>482.53646036557666</v>
      </c>
    </row>
    <row r="12" spans="2:26" x14ac:dyDescent="0.25">
      <c r="B12" t="s">
        <v>4</v>
      </c>
      <c r="C12">
        <f>C6+D6+E6</f>
        <v>7760</v>
      </c>
      <c r="N12">
        <f>J8*N4</f>
        <v>153.89032039580735</v>
      </c>
      <c r="O12">
        <f t="shared" ref="O12:P12" si="11">K8*O4</f>
        <v>113.97501854314481</v>
      </c>
      <c r="P12">
        <f t="shared" si="11"/>
        <v>37.991672847714931</v>
      </c>
      <c r="S12">
        <f>J4+N12</f>
        <v>793.89032039580729</v>
      </c>
      <c r="T12">
        <f t="shared" ref="T12:U12" si="12">K4+O12</f>
        <v>587.97501854314487</v>
      </c>
      <c r="U12">
        <f t="shared" si="12"/>
        <v>195.99167284771494</v>
      </c>
    </row>
    <row r="13" spans="2:26" x14ac:dyDescent="0.25">
      <c r="B13" t="s">
        <v>31</v>
      </c>
      <c r="C13" s="2">
        <f>C34-C12</f>
        <v>1865.9201347991639</v>
      </c>
      <c r="N13">
        <f>J8*N5</f>
        <v>459.26642493123757</v>
      </c>
      <c r="O13">
        <f t="shared" ref="O13:P13" si="13">K8*O5</f>
        <v>250.07177064318694</v>
      </c>
      <c r="P13">
        <f t="shared" si="13"/>
        <v>99.547801006037872</v>
      </c>
      <c r="S13">
        <f>J5+N13</f>
        <v>2369.2664249312375</v>
      </c>
      <c r="T13">
        <f t="shared" ref="T13:U13" si="14">K5+O13</f>
        <v>1290.0717706431869</v>
      </c>
      <c r="U13">
        <f t="shared" si="14"/>
        <v>513.54780100603784</v>
      </c>
    </row>
    <row r="14" spans="2:26" x14ac:dyDescent="0.25">
      <c r="M14" s="4" t="s">
        <v>38</v>
      </c>
      <c r="N14">
        <f>N11+N12+N13</f>
        <v>1026.7369813907771</v>
      </c>
      <c r="O14">
        <f t="shared" ref="O14:P14" si="15">O11+O12+O13</f>
        <v>608.10721918905745</v>
      </c>
      <c r="P14">
        <f t="shared" si="15"/>
        <v>231.07593421932944</v>
      </c>
      <c r="S14">
        <f>S11+S12+S13</f>
        <v>5296.7369813907771</v>
      </c>
      <c r="T14">
        <f t="shared" ref="T14" si="16">T11+T12+T13</f>
        <v>3137.1072191890576</v>
      </c>
      <c r="U14">
        <f t="shared" ref="U14" si="17">U11+U12+U13</f>
        <v>1192.0759342193294</v>
      </c>
    </row>
    <row r="15" spans="2:26" x14ac:dyDescent="0.25">
      <c r="B15" t="s">
        <v>33</v>
      </c>
      <c r="C15">
        <f>12211/C12</f>
        <v>1.5735824742268041</v>
      </c>
    </row>
    <row r="16" spans="2:26" x14ac:dyDescent="0.25">
      <c r="B16" s="5" t="s">
        <v>32</v>
      </c>
      <c r="C16" s="2">
        <f>C15*(S8)</f>
        <v>15145.731314432989</v>
      </c>
      <c r="F16" s="5" t="s">
        <v>53</v>
      </c>
      <c r="I16">
        <f>C16+(C22*C15)</f>
        <v>32137.275964688248</v>
      </c>
      <c r="R16" s="4" t="s">
        <v>39</v>
      </c>
      <c r="S16">
        <f>S14+T14+U14</f>
        <v>9625.9201347991639</v>
      </c>
    </row>
    <row r="17" spans="2:22" x14ac:dyDescent="0.25">
      <c r="K17" s="3"/>
    </row>
    <row r="18" spans="2:22" x14ac:dyDescent="0.25">
      <c r="B18" t="s">
        <v>9</v>
      </c>
      <c r="C18">
        <f>C10*C7+D10*D7+E10*E7</f>
        <v>1.2053157216494845</v>
      </c>
    </row>
    <row r="19" spans="2:22" x14ac:dyDescent="0.25">
      <c r="B19" t="s">
        <v>6</v>
      </c>
      <c r="C19">
        <v>13700</v>
      </c>
      <c r="S19" s="4" t="s">
        <v>48</v>
      </c>
    </row>
    <row r="20" spans="2:22" x14ac:dyDescent="0.25">
      <c r="B20" t="s">
        <v>30</v>
      </c>
      <c r="C20">
        <f>C19*0.95</f>
        <v>13015</v>
      </c>
      <c r="S20" t="s">
        <v>0</v>
      </c>
      <c r="T20" t="s">
        <v>1</v>
      </c>
      <c r="U20" t="s">
        <v>2</v>
      </c>
      <c r="V20" s="4" t="s">
        <v>52</v>
      </c>
    </row>
    <row r="21" spans="2:22" x14ac:dyDescent="0.25">
      <c r="B21" t="s">
        <v>7</v>
      </c>
      <c r="C21">
        <v>10159</v>
      </c>
      <c r="R21" s="3" t="s">
        <v>49</v>
      </c>
      <c r="S21">
        <f>S6</f>
        <v>5294</v>
      </c>
      <c r="T21">
        <f>T6</f>
        <v>3136</v>
      </c>
      <c r="U21">
        <f>U6</f>
        <v>1195</v>
      </c>
      <c r="V21">
        <f>S21+T21+U21</f>
        <v>9625</v>
      </c>
    </row>
    <row r="22" spans="2:22" x14ac:dyDescent="0.25">
      <c r="B22" t="s">
        <v>23</v>
      </c>
      <c r="C22" s="2">
        <f>C20/C18</f>
        <v>10798.000694945607</v>
      </c>
      <c r="R22" s="3" t="s">
        <v>50</v>
      </c>
      <c r="S22">
        <f>S21*C9</f>
        <v>9705.6666666666661</v>
      </c>
      <c r="T22">
        <f>T21*D9</f>
        <v>8362.6666666666661</v>
      </c>
      <c r="U22">
        <f>U21*E9</f>
        <v>6970.833333333333</v>
      </c>
      <c r="V22">
        <f>S22+T22+U22</f>
        <v>25039.166666666664</v>
      </c>
    </row>
    <row r="23" spans="2:22" x14ac:dyDescent="0.25">
      <c r="B23" t="s">
        <v>11</v>
      </c>
      <c r="C23">
        <v>25</v>
      </c>
      <c r="R23" s="3" t="s">
        <v>51</v>
      </c>
      <c r="S23">
        <f>S21*C10</f>
        <v>5294</v>
      </c>
      <c r="T23">
        <f>T21*D10</f>
        <v>3920</v>
      </c>
      <c r="U23">
        <f>U21*E10</f>
        <v>2390</v>
      </c>
      <c r="V23">
        <f>S23+T23+U23</f>
        <v>11604</v>
      </c>
    </row>
    <row r="24" spans="2:22" x14ac:dyDescent="0.25">
      <c r="B24" t="s">
        <v>12</v>
      </c>
      <c r="C24">
        <v>4</v>
      </c>
    </row>
    <row r="25" spans="2:22" x14ac:dyDescent="0.25">
      <c r="B25" t="s">
        <v>13</v>
      </c>
      <c r="C25">
        <f>C23*C24</f>
        <v>100</v>
      </c>
    </row>
    <row r="26" spans="2:22" x14ac:dyDescent="0.25">
      <c r="B26" t="s">
        <v>54</v>
      </c>
      <c r="C26">
        <f>C22/C23</f>
        <v>431.92002779782428</v>
      </c>
    </row>
    <row r="27" spans="2:22" x14ac:dyDescent="0.25">
      <c r="G27" s="4" t="s">
        <v>58</v>
      </c>
    </row>
    <row r="28" spans="2:22" x14ac:dyDescent="0.25">
      <c r="B28" t="s">
        <v>8</v>
      </c>
      <c r="C28">
        <f>(C9*C7+D9*D7+E9*E7)</f>
        <v>2.6002792096219931</v>
      </c>
      <c r="G28" t="s">
        <v>55</v>
      </c>
      <c r="H28" t="s">
        <v>56</v>
      </c>
      <c r="I28" t="s">
        <v>57</v>
      </c>
    </row>
    <row r="29" spans="2:22" x14ac:dyDescent="0.25">
      <c r="B29" t="s">
        <v>10</v>
      </c>
      <c r="C29">
        <f>26460-387</f>
        <v>26073</v>
      </c>
      <c r="G29">
        <v>7760</v>
      </c>
      <c r="H29">
        <v>9625</v>
      </c>
      <c r="I29">
        <f>H29*1.3</f>
        <v>12512.5</v>
      </c>
    </row>
    <row r="30" spans="2:22" x14ac:dyDescent="0.25">
      <c r="B30" t="s">
        <v>14</v>
      </c>
      <c r="C30">
        <v>0.01</v>
      </c>
    </row>
    <row r="31" spans="2:22" x14ac:dyDescent="0.25">
      <c r="B31" t="s">
        <v>15</v>
      </c>
      <c r="C31">
        <v>0.95</v>
      </c>
    </row>
    <row r="32" spans="2:22" x14ac:dyDescent="0.25">
      <c r="B32" t="s">
        <v>20</v>
      </c>
      <c r="C32">
        <f>C29*(C30+C31)</f>
        <v>25030.079999999998</v>
      </c>
    </row>
    <row r="33" spans="2:3" x14ac:dyDescent="0.25">
      <c r="B33" t="s">
        <v>16</v>
      </c>
      <c r="C33">
        <v>20177</v>
      </c>
    </row>
    <row r="34" spans="2:3" x14ac:dyDescent="0.25">
      <c r="B34" t="s">
        <v>22</v>
      </c>
      <c r="C34" s="2">
        <f>C32/C28</f>
        <v>9625.9201347991639</v>
      </c>
    </row>
    <row r="35" spans="2:3" x14ac:dyDescent="0.25">
      <c r="B35" t="s">
        <v>18</v>
      </c>
      <c r="C35">
        <v>45</v>
      </c>
    </row>
    <row r="36" spans="2:3" x14ac:dyDescent="0.25">
      <c r="B36" t="s">
        <v>21</v>
      </c>
      <c r="C36">
        <f>C32/45</f>
        <v>556.22399999999993</v>
      </c>
    </row>
    <row r="37" spans="2:3" x14ac:dyDescent="0.25">
      <c r="B37" t="s">
        <v>19</v>
      </c>
      <c r="C37">
        <f>C33/45</f>
        <v>448.37777777777779</v>
      </c>
    </row>
    <row r="39" spans="2:3" x14ac:dyDescent="0.25">
      <c r="B39" t="s">
        <v>24</v>
      </c>
    </row>
    <row r="40" spans="2:3" x14ac:dyDescent="0.25">
      <c r="B40" s="1">
        <f>(C22*C28)/C36</f>
        <v>50.479333348706454</v>
      </c>
    </row>
    <row r="47" spans="2:3" x14ac:dyDescent="0.25">
      <c r="B47" t="s">
        <v>25</v>
      </c>
    </row>
    <row r="48" spans="2:3" x14ac:dyDescent="0.25">
      <c r="B48" t="s">
        <v>26</v>
      </c>
    </row>
    <row r="49" spans="2:2" x14ac:dyDescent="0.25">
      <c r="B49" t="s">
        <v>27</v>
      </c>
    </row>
    <row r="51" spans="2:2" x14ac:dyDescent="0.25">
      <c r="B51" t="s">
        <v>28</v>
      </c>
    </row>
    <row r="52" spans="2:2" x14ac:dyDescent="0.25">
      <c r="B52" t="s">
        <v>29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Miranda</dc:creator>
  <cp:lastModifiedBy>David Miranda</cp:lastModifiedBy>
  <dcterms:created xsi:type="dcterms:W3CDTF">2019-11-23T19:52:45Z</dcterms:created>
  <dcterms:modified xsi:type="dcterms:W3CDTF">2019-11-24T14:38:30Z</dcterms:modified>
</cp:coreProperties>
</file>