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84D2BBE8-971C-4D15-9DFF-4846DAD076D8}" xr6:coauthVersionLast="47" xr6:coauthVersionMax="47" xr10:uidLastSave="{00000000-0000-0000-0000-000000000000}"/>
  <bookViews>
    <workbookView xWindow="-120" yWindow="-120" windowWidth="20730" windowHeight="11160" tabRatio="599" firstSheet="1" activeTab="4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  <sheet name="Products_Rawmaterial" sheetId="43" r:id="rId35"/>
  </sheets>
  <externalReferences>
    <externalReference r:id="rId3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47" i="2"/>
  <c r="C46" i="2"/>
  <c r="C45" i="2"/>
  <c r="C44" i="2"/>
  <c r="C43" i="2"/>
  <c r="C42" i="2"/>
  <c r="H72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I1" i="4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C6" i="34" s="1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35" i="2" l="1"/>
  <c r="D35" i="2"/>
  <c r="G30" i="2"/>
  <c r="W30" i="2" s="1"/>
  <c r="W35" i="2" s="1"/>
  <c r="O32" i="2"/>
  <c r="N32" i="2"/>
  <c r="F32" i="2"/>
  <c r="E32" i="2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E5" i="37"/>
  <c r="C5" i="37"/>
  <c r="L5" i="37"/>
  <c r="H5" i="37"/>
  <c r="D5" i="37"/>
  <c r="F5" i="37"/>
  <c r="M5" i="37"/>
  <c r="K5" i="37"/>
  <c r="G5" i="37"/>
  <c r="J5" i="37"/>
  <c r="I5" i="37"/>
  <c r="C22" i="2"/>
  <c r="D22" i="2" s="1"/>
  <c r="C21" i="2"/>
  <c r="D21" i="2" s="1"/>
  <c r="G20" i="2"/>
  <c r="C20" i="2"/>
  <c r="D20" i="2" s="1"/>
  <c r="F19" i="2"/>
  <c r="C19" i="2"/>
  <c r="D19" i="2" s="1"/>
  <c r="E18" i="2"/>
  <c r="C18" i="2"/>
  <c r="D18" i="2" s="1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3" i="20"/>
  <c r="J5" i="20" s="1"/>
  <c r="N3" i="20"/>
  <c r="N5" i="20" s="1"/>
  <c r="M3" i="20"/>
  <c r="M5" i="20" s="1"/>
  <c r="O3" i="20"/>
  <c r="O5" i="20" s="1"/>
  <c r="I3" i="20"/>
  <c r="I5" i="20" s="1"/>
  <c r="H3" i="20"/>
  <c r="H5" i="20" s="1"/>
  <c r="G3" i="20"/>
  <c r="G5" i="20" s="1"/>
  <c r="L3" i="20"/>
  <c r="L5" i="20" s="1"/>
  <c r="F3" i="20"/>
  <c r="F5" i="20" s="1"/>
  <c r="E3" i="20"/>
  <c r="E5" i="20" s="1"/>
  <c r="D3" i="20"/>
  <c r="D5" i="20" s="1"/>
  <c r="C3" i="20"/>
  <c r="C5" i="20" s="1"/>
  <c r="B5" i="20"/>
  <c r="N3" i="19"/>
  <c r="N5" i="19" s="1"/>
  <c r="K3" i="19"/>
  <c r="K5" i="19" s="1"/>
  <c r="J3" i="19"/>
  <c r="J5" i="19" s="1"/>
  <c r="G3" i="19"/>
  <c r="G5" i="19" s="1"/>
  <c r="P3" i="19"/>
  <c r="P5" i="19" s="1"/>
  <c r="Q3" i="19"/>
  <c r="Q5" i="19" s="1"/>
  <c r="R13" i="30" s="1"/>
  <c r="S13" i="32" s="1"/>
  <c r="O3" i="19"/>
  <c r="O5" i="19" s="1"/>
  <c r="M3" i="19"/>
  <c r="M5" i="19" s="1"/>
  <c r="L3" i="19"/>
  <c r="L5" i="19" s="1"/>
  <c r="I3" i="19"/>
  <c r="I5" i="19" s="1"/>
  <c r="H3" i="19"/>
  <c r="H5" i="19" s="1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C14" i="3"/>
  <c r="D14" i="3"/>
  <c r="L14" i="3" s="1"/>
  <c r="J14" i="3"/>
  <c r="C13" i="3"/>
  <c r="D13" i="3"/>
  <c r="L13" i="3" s="1"/>
  <c r="F13" i="3"/>
  <c r="C12" i="3"/>
  <c r="D12" i="3"/>
  <c r="G12" i="3" s="1"/>
  <c r="C11" i="3"/>
  <c r="D11" i="3"/>
  <c r="L11" i="3" s="1"/>
  <c r="F11" i="3"/>
  <c r="I11" i="3"/>
  <c r="C10" i="3"/>
  <c r="D10" i="3" s="1"/>
  <c r="C8" i="3"/>
  <c r="D8" i="3"/>
  <c r="L8" i="3" s="1"/>
  <c r="C7" i="3"/>
  <c r="D7" i="3" s="1"/>
  <c r="C6" i="3"/>
  <c r="D6" i="3" s="1"/>
  <c r="C5" i="3"/>
  <c r="D5" i="3" s="1"/>
  <c r="H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H3" i="12"/>
  <c r="G3" i="12"/>
  <c r="F3" i="12"/>
  <c r="E3" i="12"/>
  <c r="E5" i="12" s="1"/>
  <c r="B5" i="12"/>
  <c r="M5" i="12"/>
  <c r="H19" i="30" s="1"/>
  <c r="H5" i="12"/>
  <c r="G5" i="12"/>
  <c r="F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N3" i="10"/>
  <c r="N5" i="10" s="1"/>
  <c r="M3" i="10"/>
  <c r="M5" i="10" s="1"/>
  <c r="L3" i="10"/>
  <c r="L5" i="10" s="1"/>
  <c r="K3" i="10"/>
  <c r="K5" i="10" s="1"/>
  <c r="H23" i="30" s="1"/>
  <c r="J3" i="10"/>
  <c r="J5" i="10" s="1"/>
  <c r="I3" i="10"/>
  <c r="I5" i="10" s="1"/>
  <c r="H3" i="10"/>
  <c r="H5" i="10" s="1"/>
  <c r="G3" i="10"/>
  <c r="G5" i="10" s="1"/>
  <c r="F3" i="10"/>
  <c r="F5" i="10" s="1"/>
  <c r="E3" i="10"/>
  <c r="E5" i="10" s="1"/>
  <c r="D3" i="10"/>
  <c r="C3" i="10"/>
  <c r="C5" i="10" s="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E35" i="2" l="1"/>
  <c r="S35" i="2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F8" i="3"/>
  <c r="K14" i="3"/>
  <c r="M4" i="3"/>
  <c r="F14" i="3"/>
  <c r="J13" i="3"/>
  <c r="H7" i="30"/>
  <c r="I7" i="30" s="1"/>
  <c r="I7" i="32"/>
  <c r="R7" i="30"/>
  <c r="S7" i="30" s="1"/>
  <c r="S13" i="30"/>
  <c r="R6" i="30"/>
  <c r="S6" i="32" s="1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F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L5" i="2"/>
  <c r="O5" i="2"/>
  <c r="G5" i="2"/>
  <c r="Q5" i="2"/>
  <c r="Q10" i="2" s="1"/>
  <c r="M5" i="2"/>
  <c r="I5" i="2"/>
  <c r="E5" i="2"/>
  <c r="P5" i="2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D19" i="3"/>
  <c r="H4" i="3"/>
  <c r="E4" i="3"/>
  <c r="E19" i="3" s="1"/>
  <c r="C23" i="30" s="1"/>
  <c r="M3" i="3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H14" i="3"/>
  <c r="K12" i="3"/>
  <c r="J12" i="3"/>
  <c r="L12" i="3"/>
  <c r="I12" i="3"/>
  <c r="H12" i="3"/>
  <c r="M12" i="3"/>
  <c r="K11" i="3"/>
  <c r="J11" i="3"/>
  <c r="L7" i="3"/>
  <c r="F7" i="3"/>
  <c r="J7" i="3"/>
  <c r="K7" i="3"/>
  <c r="M7" i="3"/>
  <c r="I7" i="3"/>
  <c r="H7" i="3"/>
  <c r="G7" i="3"/>
  <c r="M5" i="3"/>
  <c r="I6" i="3"/>
  <c r="H6" i="3"/>
  <c r="J6" i="3"/>
  <c r="F4" i="3"/>
  <c r="G4" i="3"/>
  <c r="K4" i="3"/>
  <c r="H3" i="3"/>
  <c r="L17" i="3"/>
  <c r="K17" i="3"/>
  <c r="G17" i="3"/>
  <c r="F17" i="3"/>
  <c r="J17" i="3"/>
  <c r="I17" i="3"/>
  <c r="K3" i="3"/>
  <c r="I3" i="3"/>
  <c r="F5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E3" i="6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N3" i="6"/>
  <c r="K3" i="6"/>
  <c r="M3" i="6"/>
  <c r="O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T10" i="2" l="1"/>
  <c r="P10" i="2"/>
  <c r="P12" i="2" s="1"/>
  <c r="O10" i="2"/>
  <c r="C10" i="30" s="1"/>
  <c r="L10" i="2"/>
  <c r="C21" i="30" s="1"/>
  <c r="K10" i="2"/>
  <c r="M13" i="30" s="1"/>
  <c r="R10" i="2"/>
  <c r="R12" i="2" s="1"/>
  <c r="M10" i="2"/>
  <c r="S10" i="2"/>
  <c r="C13" i="30" s="1"/>
  <c r="N10" i="2"/>
  <c r="M14" i="30" s="1"/>
  <c r="L3" i="3"/>
  <c r="J3" i="3"/>
  <c r="G3" i="3"/>
  <c r="S7" i="32"/>
  <c r="K19" i="3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D3" i="2"/>
  <c r="D10" i="2" s="1"/>
  <c r="N8" i="6"/>
  <c r="N9" i="6" s="1"/>
  <c r="K8" i="6"/>
  <c r="K9" i="6" s="1"/>
  <c r="L8" i="6"/>
  <c r="G19" i="3"/>
  <c r="F19" i="3"/>
  <c r="J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L12" i="2" l="1"/>
  <c r="S12" i="2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D22" i="32"/>
  <c r="D22" i="30"/>
  <c r="N13" i="30"/>
  <c r="N26" i="30" s="1"/>
  <c r="N13" i="32"/>
  <c r="G12" i="2" l="1"/>
  <c r="H12" i="2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<sst xmlns="http://schemas.openxmlformats.org/spreadsheetml/2006/main" count="1642" uniqueCount="321">
  <si>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</si>
  <si>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</si>
  <si>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</si>
  <si>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</si>
  <si>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</si>
  <si>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</si>
  <si>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</si>
  <si>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</si>
  <si>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</si>
  <si>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</si>
  <si>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</si>
  <si>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</si>
  <si>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</si>
  <si>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</si>
  <si>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</si>
  <si>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</si>
  <si>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</si>
  <si>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</si>
  <si>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</si>
  <si>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</si>
  <si>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</si>
  <si>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</si>
  <si>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</si>
  <si>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</si>
  <si>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</si>
  <si>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</si>
  <si>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</si>
  <si>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</si>
  <si>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</si>
  <si>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</si>
  <si>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</si>
  <si>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</si>
  <si>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</si>
  <si>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</si>
  <si>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</si>
  <si>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</si>
  <si>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</si>
  <si>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</si>
  <si>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</si>
  <si>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</si>
  <si>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</si>
  <si>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</si>
  <si>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</si>
  <si>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</si>
  <si>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</si>
  <si>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</si>
  <si>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</si>
  <si>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</si>
  <si>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</si>
  <si>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</si>
  <si>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</si>
  <si>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</si>
  <si>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</si>
  <si>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</si>
  <si>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</si>
  <si>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</si>
  <si>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</si>
  <si>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</si>
  <si>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</si>
  <si>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</si>
  <si>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</si>
  <si>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</si>
  <si>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</si>
  <si>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</si>
  <si>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</si>
  <si>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</si>
  <si>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</si>
  <si>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</si>
  <si>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</si>
  <si>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</si>
  <si>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</si>
  <si>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</si>
  <si>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</si>
  <si>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</si>
  <si>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</si>
  <si>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</si>
  <si>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</si>
  <si>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</si>
  <si>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</si>
  <si>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</si>
  <si>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</si>
  <si>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</si>
  <si>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</si>
  <si>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</si>
  <si>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</si>
  <si>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</si>
  <si>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</si>
  <si>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</si>
  <si>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</si>
  <si>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</si>
  <si>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</si>
  <si>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</si>
  <si>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</si>
  <si>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</si>
  <si>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</si>
  <si>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</si>
  <si>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</si>
  <si>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</si>
  <si>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</si>
  <si>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</si>
  <si>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</si>
  <si>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</si>
  <si>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</si>
  <si>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</si>
  <si>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</si>
  <si>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</si>
  <si>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</si>
  <si>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</si>
  <si>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</si>
  <si>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</si>
  <si>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</si>
  <si>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</si>
  <si>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</si>
  <si>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</si>
  <si>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</si>
  <si>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</si>
  <si>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</si>
  <si>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</si>
  <si>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</si>
  <si>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</si>
  <si>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</si>
  <si>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</si>
  <si>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</si>
  <si>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</si>
  <si>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</si>
  <si>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</si>
  <si>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</si>
  <si>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</si>
  <si>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</si>
  <si>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</si>
  <si>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</si>
  <si>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</si>
  <si>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</si>
  <si>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</si>
  <si>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</si>
  <si>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</si>
  <si>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</si>
  <si>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</si>
  <si>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</si>
  <si>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</si>
  <si>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</si>
  <si>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</si>
  <si>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</si>
  <si>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</si>
  <si>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</si>
  <si>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</si>
  <si>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</si>
  <si>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</si>
  <si>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</si>
  <si>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</si>
  <si>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</si>
  <si>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</si>
  <si>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</si>
  <si>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</si>
  <si>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</si>
  <si>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</si>
  <si>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</si>
  <si>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</si>
  <si>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</si>
  <si>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</si>
  <si>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</si>
  <si>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</si>
  <si>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</si>
  <si>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</si>
  <si>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</si>
  <si>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</si>
  <si>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</si>
  <si>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</si>
  <si>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</si>
  <si>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</si>
  <si>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</si>
  <si>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</si>
  <si>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</si>
  <si>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</si>
  <si>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</si>
  <si>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</si>
  <si>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</si>
  <si>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</si>
  <si>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</si>
  <si>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</si>
  <si>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</si>
  <si>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</si>
  <si>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</si>
  <si>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</si>
  <si>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</si>
  <si>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</si>
  <si>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</si>
  <si>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</si>
  <si>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</si>
  <si>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</si>
  <si>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</si>
  <si>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</si>
  <si>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</si>
  <si>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</si>
  <si>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</si>
  <si>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</si>
  <si>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</si>
  <si>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</si>
  <si>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</si>
  <si>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</si>
  <si>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</si>
  <si>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</si>
  <si>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</si>
  <si>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</si>
  <si>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</si>
  <si>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</si>
  <si>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</si>
  <si>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</si>
  <si>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</si>
  <si>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</si>
  <si>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</si>
  <si>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</si>
  <si>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</si>
  <si>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</si>
  <si>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</si>
  <si>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</si>
  <si>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</si>
  <si>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</si>
  <si>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</si>
  <si>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</si>
  <si>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</si>
  <si>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</si>
  <si>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</si>
  <si>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</si>
  <si>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</si>
  <si>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</si>
  <si>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</si>
  <si>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</si>
  <si>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</si>
  <si>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</si>
  <si>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</si>
  <si>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</si>
  <si>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</si>
  <si>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</si>
  <si>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</si>
  <si>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</si>
  <si>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</si>
  <si>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</si>
  <si>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</si>
  <si>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</si>
  <si>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</si>
  <si>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</si>
  <si>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</si>
  <si>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</si>
  <si>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</si>
  <si>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</si>
  <si>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</si>
  <si>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</si>
  <si>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</si>
  <si>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</si>
  <si>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</si>
  <si>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</si>
  <si>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</si>
  <si>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</si>
  <si>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</si>
  <si>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</si>
  <si>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</si>
  <si>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</si>
  <si>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</si>
  <si>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</si>
  <si>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</si>
  <si>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</si>
  <si>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</si>
  <si>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</si>
  <si>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</si>
  <si>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</si>
  <si>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</si>
  <si>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</si>
  <si>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</si>
  <si>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</si>
  <si>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</si>
  <si>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</si>
  <si>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</si>
  <si>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</si>
  <si>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</si>
  <si>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</si>
  <si>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</si>
  <si>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</si>
  <si>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</si>
  <si>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</si>
  <si>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</si>
  <si>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</si>
  <si>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</si>
  <si>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</si>
  <si>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</si>
  <si>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</si>
  <si>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</si>
  <si>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</si>
  <si>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</si>
  <si>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</si>
  <si>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</si>
  <si>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</si>
  <si>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</si>
  <si>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</si>
  <si>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</si>
  <si>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</si>
  <si>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</si>
  <si>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</si>
  <si>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</si>
  <si>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</si>
  <si>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</si>
  <si>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</si>
  <si>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</si>
  <si>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</si>
  <si>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</si>
  <si>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</si>
  <si>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</si>
  <si>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</si>
  <si>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</si>
  <si>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</si>
  <si>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</si>
  <si>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</si>
  <si>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</si>
  <si>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</si>
  <si>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</si>
  <si>
    <t>CategoryId</t>
  </si>
  <si>
    <t>SubCategoryId</t>
  </si>
  <si>
    <t>null</t>
  </si>
  <si>
    <t>MRP</t>
  </si>
  <si>
    <t>RM</t>
  </si>
  <si>
    <t>RM MapID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</si>
</sst>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G5" sqref="G5:H31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34" t="s">
        <v>236</v>
      </c>
      <c r="D5" s="134"/>
      <c r="E5" s="135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K21" sqref="K21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37" t="s">
        <v>227</v>
      </c>
      <c r="T2" s="137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37"/>
      <c r="T3" s="137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A3" sqref="A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42" t="s">
        <v>67</v>
      </c>
      <c r="P1" s="142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37" t="s">
        <v>227</v>
      </c>
      <c r="S2" s="137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37"/>
      <c r="S3" s="137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A3" sqref="A3"/>
    </sheetView>
  </sheetViews>
  <sheetFormatPr defaultColWidth="8.85546875" defaultRowHeight="15" x14ac:dyDescent="0.25"/>
  <cols>
    <col min="1" max="1" width="19.140625" bestFit="1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43"/>
      <c r="N1" s="143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37" t="s">
        <v>227</v>
      </c>
      <c r="Q2" s="137"/>
    </row>
    <row r="3" spans="1:17" x14ac:dyDescent="0.25">
      <c r="A3" s="5" t="s">
        <v>86</v>
      </c>
      <c r="B3" s="27">
        <v>2.5</v>
      </c>
      <c r="C3" s="9">
        <f>$B3*1</f>
        <v>2.5</v>
      </c>
      <c r="D3" s="9">
        <f>$B3*1</f>
        <v>2.5</v>
      </c>
      <c r="E3" s="9">
        <f>$B3*0.78</f>
        <v>1.9500000000000002</v>
      </c>
      <c r="F3" s="9">
        <f>$B3*0.13</f>
        <v>0.32500000000000001</v>
      </c>
      <c r="G3" s="9">
        <f>$B3*0.13</f>
        <v>0.32500000000000001</v>
      </c>
      <c r="H3" s="9">
        <f>$B3*25</f>
        <v>62.5</v>
      </c>
      <c r="I3" s="9">
        <f>$B3*1.04</f>
        <v>2.6</v>
      </c>
      <c r="J3" s="9">
        <f>$B3*0.025</f>
        <v>6.25E-2</v>
      </c>
      <c r="K3" s="9">
        <f>$B3*0.13</f>
        <v>0.32500000000000001</v>
      </c>
      <c r="L3" s="9">
        <f>$B3*0.025</f>
        <v>6.25E-2</v>
      </c>
      <c r="M3" s="9">
        <f>$B3*0.13</f>
        <v>0.32500000000000001</v>
      </c>
      <c r="N3" s="9">
        <f>$B3*0.05</f>
        <v>0.125</v>
      </c>
      <c r="O3">
        <f>B3*0.13</f>
        <v>0.32500000000000001</v>
      </c>
      <c r="P3" s="137"/>
      <c r="Q3" s="137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2.5</v>
      </c>
      <c r="C5" s="12">
        <f>SUM(C3:C3)</f>
        <v>2.5</v>
      </c>
      <c r="D5" s="12">
        <f>SUM(D3:D3)</f>
        <v>2.5</v>
      </c>
      <c r="E5" s="12">
        <f>SUM(E3:E3)</f>
        <v>1.9500000000000002</v>
      </c>
      <c r="F5" s="12">
        <f>SUM(F3:F3)</f>
        <v>0.32500000000000001</v>
      </c>
      <c r="G5" s="12">
        <f t="shared" ref="G5:O5" si="0">SUM(G3:G3)</f>
        <v>0.32500000000000001</v>
      </c>
      <c r="H5" s="12">
        <f t="shared" si="0"/>
        <v>62.5</v>
      </c>
      <c r="I5" s="12">
        <f t="shared" si="0"/>
        <v>2.6</v>
      </c>
      <c r="J5" s="12">
        <f t="shared" si="0"/>
        <v>6.25E-2</v>
      </c>
      <c r="K5" s="12">
        <f t="shared" si="0"/>
        <v>0.32500000000000001</v>
      </c>
      <c r="L5" s="12">
        <f t="shared" si="0"/>
        <v>6.25E-2</v>
      </c>
      <c r="M5" s="12">
        <f t="shared" si="0"/>
        <v>0.32500000000000001</v>
      </c>
      <c r="N5" s="12">
        <f t="shared" si="0"/>
        <v>0.125</v>
      </c>
      <c r="O5" s="12">
        <f t="shared" si="0"/>
        <v>0.32500000000000001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5"/>
  <sheetViews>
    <sheetView workbookViewId="0"/>
  </sheetViews>
  <sheetFormatPr defaultColWidth="8.85546875" defaultRowHeight="15" x14ac:dyDescent="0.25"/>
  <cols>
    <col min="1" max="1" width="21.140625" customWidth="1"/>
    <col min="2" max="2" width="9.42578125" style="1" bestFit="1" customWidth="1"/>
    <col min="3" max="3" width="9.85546875" style="1" bestFit="1" customWidth="1"/>
    <col min="4" max="4" width="14.710937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20</v>
      </c>
      <c r="F2" s="137" t="s">
        <v>227</v>
      </c>
      <c r="G2" s="137"/>
    </row>
    <row r="3" spans="1:7" x14ac:dyDescent="0.25">
      <c r="A3" s="29" t="s">
        <v>96</v>
      </c>
      <c r="B3" s="27">
        <v>6</v>
      </c>
      <c r="C3" s="9">
        <f>$B3*1.5</f>
        <v>9</v>
      </c>
      <c r="D3" s="9">
        <f>$B3*0.01</f>
        <v>0.06</v>
      </c>
      <c r="F3" s="137"/>
      <c r="G3" s="137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6</v>
      </c>
      <c r="C5" s="12">
        <f>SUM(C3:C3)</f>
        <v>9</v>
      </c>
      <c r="D5" s="12">
        <f t="shared" ref="D5" si="0">SUM(D3:D3)</f>
        <v>0.06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44" t="s">
        <v>93</v>
      </c>
      <c r="L1" s="144"/>
      <c r="M1" s="144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37" t="s">
        <v>227</v>
      </c>
      <c r="P2" s="137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37"/>
      <c r="P3" s="137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G5" sqref="G5:H31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37" t="s">
        <v>227</v>
      </c>
      <c r="I2" s="137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37"/>
      <c r="I3" s="13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37" t="s">
        <v>227</v>
      </c>
      <c r="I2" s="137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37"/>
      <c r="I3" s="13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37">
        <v>1</v>
      </c>
      <c r="I2" s="137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37"/>
      <c r="I3" s="13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37" t="s">
        <v>227</v>
      </c>
      <c r="J2" s="137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37"/>
      <c r="J3" s="137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B1" sqref="B1"/>
    </sheetView>
  </sheetViews>
  <sheetFormatPr defaultColWidth="8.85546875" defaultRowHeight="15" x14ac:dyDescent="0.25"/>
  <cols>
    <col min="1" max="1" width="21.140625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5.42578125" style="1" bestFit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40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37" t="s">
        <v>227</v>
      </c>
      <c r="P2" s="137"/>
    </row>
    <row r="3" spans="1:19" x14ac:dyDescent="0.25">
      <c r="A3" s="5" t="s">
        <v>118</v>
      </c>
      <c r="B3" s="21">
        <v>12</v>
      </c>
      <c r="C3" s="9">
        <f>550/1000</f>
        <v>0.55000000000000004</v>
      </c>
      <c r="D3" s="9">
        <f>(B3*C3)/2</f>
        <v>3.3000000000000003</v>
      </c>
      <c r="E3" s="9"/>
      <c r="F3" s="9">
        <f>(D3*100)/1000</f>
        <v>0.33</v>
      </c>
      <c r="G3" s="9">
        <f>(D3*15)/1000</f>
        <v>4.9500000000000009E-2</v>
      </c>
      <c r="H3" s="9">
        <f t="shared" ref="H3:H14" si="0">(D3*150)/1000</f>
        <v>0.49500000000000005</v>
      </c>
      <c r="I3" s="9">
        <f>(D3*5)/1000</f>
        <v>1.6500000000000001E-2</v>
      </c>
      <c r="J3" s="9">
        <f>(D3*10)/1000</f>
        <v>3.3000000000000002E-2</v>
      </c>
      <c r="K3" s="9">
        <f t="shared" ref="K3:K14" si="1">(D3*20)/1000</f>
        <v>6.6000000000000003E-2</v>
      </c>
      <c r="L3" s="20">
        <f t="shared" ref="L3:L14" si="2">(D3*10)/1000</f>
        <v>3.3000000000000002E-2</v>
      </c>
      <c r="M3" s="31">
        <f t="shared" ref="M3:M14" si="3">D3*1</f>
        <v>3.3000000000000003</v>
      </c>
      <c r="O3" s="137"/>
      <c r="P3" s="137"/>
      <c r="S3" s="51"/>
    </row>
    <row r="4" spans="1:19" x14ac:dyDescent="0.25">
      <c r="A4" s="5" t="s">
        <v>22</v>
      </c>
      <c r="B4" s="21">
        <v>7</v>
      </c>
      <c r="C4" s="9">
        <v>0.45</v>
      </c>
      <c r="D4" s="9">
        <f>((B4*C4)/2)*0.698413</f>
        <v>1.1000004749999999</v>
      </c>
      <c r="E4" s="9">
        <f>D4*0.455</f>
        <v>0.50050021612499995</v>
      </c>
      <c r="F4" s="9">
        <f t="shared" ref="F4:F17" si="4">(D4*90)/1000</f>
        <v>9.9000042749999989E-2</v>
      </c>
      <c r="G4" s="9">
        <f t="shared" ref="G4:G17" si="5">(D4*15)/1000</f>
        <v>1.6500007124999997E-2</v>
      </c>
      <c r="H4" s="9">
        <f t="shared" si="0"/>
        <v>0.16500007124999999</v>
      </c>
      <c r="I4" s="9">
        <f t="shared" ref="I4:I17" si="6">(D4*5)/1000</f>
        <v>5.5000023749999993E-3</v>
      </c>
      <c r="J4" s="9">
        <f t="shared" ref="J4:J17" si="7">(D4*10)/1000</f>
        <v>1.1000004749999999E-2</v>
      </c>
      <c r="K4" s="9">
        <f t="shared" si="1"/>
        <v>2.2000009499999997E-2</v>
      </c>
      <c r="L4" s="20">
        <f t="shared" si="2"/>
        <v>1.1000004749999999E-2</v>
      </c>
      <c r="M4" s="31">
        <f t="shared" si="3"/>
        <v>1.1000004749999999</v>
      </c>
    </row>
    <row r="5" spans="1:19" x14ac:dyDescent="0.25">
      <c r="A5" s="8" t="s">
        <v>23</v>
      </c>
      <c r="B5" s="21">
        <v>24</v>
      </c>
      <c r="C5" s="9">
        <f>40/1000</f>
        <v>0.04</v>
      </c>
      <c r="D5" s="9">
        <f t="shared" ref="D5:D17" si="8">(B5*C5)/2</f>
        <v>0.48</v>
      </c>
      <c r="E5" s="9"/>
      <c r="F5" s="9">
        <f t="shared" si="4"/>
        <v>4.3199999999999995E-2</v>
      </c>
      <c r="G5" s="9">
        <f t="shared" si="5"/>
        <v>7.1999999999999989E-3</v>
      </c>
      <c r="H5" s="9">
        <f t="shared" si="0"/>
        <v>7.1999999999999995E-2</v>
      </c>
      <c r="I5" s="9">
        <f t="shared" si="6"/>
        <v>2.3999999999999998E-3</v>
      </c>
      <c r="J5" s="9">
        <f t="shared" si="7"/>
        <v>4.7999999999999996E-3</v>
      </c>
      <c r="K5" s="9">
        <f t="shared" si="1"/>
        <v>9.5999999999999992E-3</v>
      </c>
      <c r="L5" s="20">
        <f t="shared" si="2"/>
        <v>4.7999999999999996E-3</v>
      </c>
      <c r="M5" s="31">
        <f t="shared" si="3"/>
        <v>0.48</v>
      </c>
    </row>
    <row r="6" spans="1:19" x14ac:dyDescent="0.25">
      <c r="A6" s="8" t="s">
        <v>106</v>
      </c>
      <c r="B6" s="21">
        <v>140</v>
      </c>
      <c r="C6" s="9">
        <f>50/1000</f>
        <v>0.05</v>
      </c>
      <c r="D6" s="9">
        <f t="shared" ref="D6" si="9">(B6*C6)/2</f>
        <v>3.5</v>
      </c>
      <c r="E6" s="9"/>
      <c r="F6" s="9">
        <f t="shared" si="4"/>
        <v>0.315</v>
      </c>
      <c r="G6" s="9">
        <f t="shared" ref="G6" si="10">(D6*15)/1000</f>
        <v>5.2499999999999998E-2</v>
      </c>
      <c r="H6" s="9">
        <f t="shared" si="0"/>
        <v>0.52500000000000002</v>
      </c>
      <c r="I6" s="9">
        <f t="shared" ref="I6" si="11">(D6*5)/1000</f>
        <v>1.7500000000000002E-2</v>
      </c>
      <c r="J6" s="9">
        <f t="shared" ref="J6" si="12">(D6*10)/1000</f>
        <v>3.5000000000000003E-2</v>
      </c>
      <c r="K6" s="9">
        <f t="shared" si="1"/>
        <v>7.0000000000000007E-2</v>
      </c>
      <c r="L6" s="20">
        <f t="shared" si="2"/>
        <v>3.5000000000000003E-2</v>
      </c>
      <c r="M6" s="31">
        <f t="shared" si="3"/>
        <v>3.5</v>
      </c>
    </row>
    <row r="7" spans="1:19" x14ac:dyDescent="0.25">
      <c r="A7" s="8" t="s">
        <v>107</v>
      </c>
      <c r="B7" s="21">
        <v>20</v>
      </c>
      <c r="C7" s="9">
        <f t="shared" ref="C7:C14" si="13">80/1000</f>
        <v>0.08</v>
      </c>
      <c r="D7" s="9">
        <f t="shared" ref="D7" si="14">(B7*C7)/2</f>
        <v>0.8</v>
      </c>
      <c r="E7" s="9"/>
      <c r="F7" s="9">
        <f t="shared" si="4"/>
        <v>7.1999999999999995E-2</v>
      </c>
      <c r="G7" s="9">
        <f t="shared" ref="G7" si="15">(D7*15)/1000</f>
        <v>1.2E-2</v>
      </c>
      <c r="H7" s="9">
        <f t="shared" si="0"/>
        <v>0.12</v>
      </c>
      <c r="I7" s="9">
        <f t="shared" ref="I7" si="16">(D7*5)/1000</f>
        <v>4.0000000000000001E-3</v>
      </c>
      <c r="J7" s="9">
        <f t="shared" ref="J7" si="17">(D7*10)/1000</f>
        <v>8.0000000000000002E-3</v>
      </c>
      <c r="K7" s="9">
        <f t="shared" si="1"/>
        <v>1.6E-2</v>
      </c>
      <c r="L7" s="20">
        <f t="shared" si="2"/>
        <v>8.0000000000000002E-3</v>
      </c>
      <c r="M7" s="31">
        <f t="shared" si="3"/>
        <v>0.8</v>
      </c>
    </row>
    <row r="8" spans="1:19" x14ac:dyDescent="0.25">
      <c r="A8" s="8" t="s">
        <v>108</v>
      </c>
      <c r="B8" s="21">
        <v>20</v>
      </c>
      <c r="C8" s="9">
        <f t="shared" si="13"/>
        <v>0.08</v>
      </c>
      <c r="D8" s="9">
        <f t="shared" ref="D8" si="18">(B8*C8)/2</f>
        <v>0.8</v>
      </c>
      <c r="E8" s="9"/>
      <c r="F8" s="9">
        <f t="shared" si="4"/>
        <v>7.1999999999999995E-2</v>
      </c>
      <c r="G8" s="9">
        <f t="shared" ref="G8" si="19">(D8*15)/1000</f>
        <v>1.2E-2</v>
      </c>
      <c r="H8" s="9">
        <f t="shared" si="0"/>
        <v>0.12</v>
      </c>
      <c r="I8" s="9">
        <f t="shared" ref="I8" si="20">(D8*5)/1000</f>
        <v>4.0000000000000001E-3</v>
      </c>
      <c r="J8" s="9">
        <f t="shared" ref="J8" si="21">(D8*10)/1000</f>
        <v>8.0000000000000002E-3</v>
      </c>
      <c r="K8" s="9">
        <f t="shared" si="1"/>
        <v>1.6E-2</v>
      </c>
      <c r="L8" s="20">
        <f t="shared" si="2"/>
        <v>8.0000000000000002E-3</v>
      </c>
      <c r="M8" s="31">
        <f t="shared" si="3"/>
        <v>0.8</v>
      </c>
    </row>
    <row r="9" spans="1:19" x14ac:dyDescent="0.25">
      <c r="A9" s="8" t="s">
        <v>111</v>
      </c>
      <c r="B9" s="21">
        <v>0</v>
      </c>
      <c r="C9" s="9">
        <f t="shared" si="13"/>
        <v>0.08</v>
      </c>
      <c r="D9" s="9">
        <f t="shared" ref="D9" si="22">(B9*C9)/2</f>
        <v>0</v>
      </c>
      <c r="E9" s="9"/>
      <c r="F9" s="9">
        <f t="shared" si="4"/>
        <v>0</v>
      </c>
      <c r="G9" s="9">
        <f t="shared" ref="G9" si="23">(D9*15)/1000</f>
        <v>0</v>
      </c>
      <c r="H9" s="9">
        <f t="shared" si="0"/>
        <v>0</v>
      </c>
      <c r="I9" s="9">
        <f t="shared" ref="I9" si="24">(D9*5)/1000</f>
        <v>0</v>
      </c>
      <c r="J9" s="9">
        <f t="shared" ref="J9" si="25">(D9*10)/1000</f>
        <v>0</v>
      </c>
      <c r="K9" s="9">
        <f t="shared" si="1"/>
        <v>0</v>
      </c>
      <c r="L9" s="20">
        <f t="shared" si="2"/>
        <v>0</v>
      </c>
      <c r="M9" s="31">
        <f t="shared" si="3"/>
        <v>0</v>
      </c>
    </row>
    <row r="10" spans="1:19" x14ac:dyDescent="0.25">
      <c r="A10" s="8" t="s">
        <v>115</v>
      </c>
      <c r="B10" s="21">
        <v>30</v>
      </c>
      <c r="C10" s="9">
        <f t="shared" si="13"/>
        <v>0.08</v>
      </c>
      <c r="D10" s="9">
        <f t="shared" ref="D10" si="26">(B10*C10)/2</f>
        <v>1.2</v>
      </c>
      <c r="E10" s="9"/>
      <c r="F10" s="9">
        <f t="shared" si="4"/>
        <v>0.108</v>
      </c>
      <c r="G10" s="9">
        <f t="shared" ref="G10" si="27">(D10*15)/1000</f>
        <v>1.7999999999999999E-2</v>
      </c>
      <c r="H10" s="9">
        <f t="shared" si="0"/>
        <v>0.18</v>
      </c>
      <c r="I10" s="9">
        <f t="shared" ref="I10" si="28">(D10*5)/1000</f>
        <v>6.0000000000000001E-3</v>
      </c>
      <c r="J10" s="9">
        <f t="shared" ref="J10" si="29">(D10*10)/1000</f>
        <v>1.2E-2</v>
      </c>
      <c r="K10" s="9">
        <f t="shared" si="1"/>
        <v>2.4E-2</v>
      </c>
      <c r="L10" s="20">
        <f t="shared" si="2"/>
        <v>1.2E-2</v>
      </c>
      <c r="M10" s="31">
        <f t="shared" si="3"/>
        <v>1.2</v>
      </c>
    </row>
    <row r="11" spans="1:19" x14ac:dyDescent="0.25">
      <c r="A11" s="8" t="s">
        <v>116</v>
      </c>
      <c r="B11" s="21">
        <v>10</v>
      </c>
      <c r="C11" s="9">
        <f t="shared" si="13"/>
        <v>0.08</v>
      </c>
      <c r="D11" s="9">
        <f t="shared" ref="D11" si="30">(B11*C11)/2</f>
        <v>0.4</v>
      </c>
      <c r="E11" s="9"/>
      <c r="F11" s="9">
        <f t="shared" si="4"/>
        <v>3.5999999999999997E-2</v>
      </c>
      <c r="G11" s="9">
        <f t="shared" ref="G11" si="31">(D11*15)/1000</f>
        <v>6.0000000000000001E-3</v>
      </c>
      <c r="H11" s="9">
        <f t="shared" si="0"/>
        <v>0.06</v>
      </c>
      <c r="I11" s="9">
        <f t="shared" ref="I11" si="32">(D11*5)/1000</f>
        <v>2E-3</v>
      </c>
      <c r="J11" s="9">
        <f t="shared" ref="J11" si="33">(D11*10)/1000</f>
        <v>4.0000000000000001E-3</v>
      </c>
      <c r="K11" s="9">
        <f t="shared" si="1"/>
        <v>8.0000000000000002E-3</v>
      </c>
      <c r="L11" s="20">
        <f t="shared" si="2"/>
        <v>4.0000000000000001E-3</v>
      </c>
      <c r="M11" s="31">
        <f t="shared" si="3"/>
        <v>0.4</v>
      </c>
    </row>
    <row r="12" spans="1:19" x14ac:dyDescent="0.25">
      <c r="A12" s="8" t="s">
        <v>117</v>
      </c>
      <c r="B12" s="21">
        <v>6</v>
      </c>
      <c r="C12" s="9">
        <f t="shared" si="13"/>
        <v>0.08</v>
      </c>
      <c r="D12" s="9">
        <f t="shared" ref="D12" si="34">(B12*C12)/2</f>
        <v>0.24</v>
      </c>
      <c r="E12" s="9"/>
      <c r="F12" s="9">
        <f t="shared" si="4"/>
        <v>2.1599999999999998E-2</v>
      </c>
      <c r="G12" s="9">
        <f t="shared" ref="G12" si="35">(D12*15)/1000</f>
        <v>3.5999999999999995E-3</v>
      </c>
      <c r="H12" s="9">
        <f t="shared" si="0"/>
        <v>3.5999999999999997E-2</v>
      </c>
      <c r="I12" s="9">
        <f t="shared" ref="I12" si="36">(D12*5)/1000</f>
        <v>1.1999999999999999E-3</v>
      </c>
      <c r="J12" s="9">
        <f t="shared" ref="J12" si="37">(D12*10)/1000</f>
        <v>2.3999999999999998E-3</v>
      </c>
      <c r="K12" s="9">
        <f t="shared" si="1"/>
        <v>4.7999999999999996E-3</v>
      </c>
      <c r="L12" s="20">
        <f t="shared" si="2"/>
        <v>2.3999999999999998E-3</v>
      </c>
      <c r="M12" s="31">
        <f t="shared" si="3"/>
        <v>0.24</v>
      </c>
    </row>
    <row r="13" spans="1:19" x14ac:dyDescent="0.25">
      <c r="A13" s="8" t="s">
        <v>109</v>
      </c>
      <c r="B13" s="21">
        <v>6</v>
      </c>
      <c r="C13" s="9">
        <f t="shared" si="13"/>
        <v>0.08</v>
      </c>
      <c r="D13" s="9">
        <f t="shared" ref="D13" si="38">(B13*C13)/2</f>
        <v>0.24</v>
      </c>
      <c r="E13" s="9"/>
      <c r="F13" s="9">
        <f t="shared" si="4"/>
        <v>2.1599999999999998E-2</v>
      </c>
      <c r="G13" s="9">
        <f t="shared" ref="G13" si="39">(D13*15)/1000</f>
        <v>3.5999999999999995E-3</v>
      </c>
      <c r="H13" s="9">
        <f t="shared" si="0"/>
        <v>3.5999999999999997E-2</v>
      </c>
      <c r="I13" s="9">
        <f t="shared" ref="I13" si="40">(D13*5)/1000</f>
        <v>1.1999999999999999E-3</v>
      </c>
      <c r="J13" s="9">
        <f t="shared" ref="J13" si="41">(D13*10)/1000</f>
        <v>2.3999999999999998E-3</v>
      </c>
      <c r="K13" s="9">
        <f t="shared" si="1"/>
        <v>4.7999999999999996E-3</v>
      </c>
      <c r="L13" s="20">
        <f t="shared" si="2"/>
        <v>2.3999999999999998E-3</v>
      </c>
      <c r="M13" s="31">
        <f t="shared" si="3"/>
        <v>0.24</v>
      </c>
    </row>
    <row r="14" spans="1:19" x14ac:dyDescent="0.25">
      <c r="A14" s="8" t="s">
        <v>110</v>
      </c>
      <c r="B14" s="21">
        <v>2</v>
      </c>
      <c r="C14" s="9">
        <f t="shared" si="13"/>
        <v>0.08</v>
      </c>
      <c r="D14" s="9">
        <f t="shared" ref="D14" si="42">(B14*C14)/2</f>
        <v>0.08</v>
      </c>
      <c r="E14" s="9"/>
      <c r="F14" s="9">
        <f t="shared" si="4"/>
        <v>7.1999999999999998E-3</v>
      </c>
      <c r="G14" s="9">
        <f t="shared" ref="G14" si="43">(D14*15)/1000</f>
        <v>1.1999999999999999E-3</v>
      </c>
      <c r="H14" s="9">
        <f t="shared" si="0"/>
        <v>1.2E-2</v>
      </c>
      <c r="I14" s="9">
        <f t="shared" ref="I14" si="44">(D14*5)/1000</f>
        <v>4.0000000000000002E-4</v>
      </c>
      <c r="J14" s="9">
        <f t="shared" ref="J14" si="45">(D14*10)/1000</f>
        <v>8.0000000000000004E-4</v>
      </c>
      <c r="K14" s="9">
        <f t="shared" si="1"/>
        <v>1.6000000000000001E-3</v>
      </c>
      <c r="L14" s="20">
        <f t="shared" si="2"/>
        <v>8.0000000000000004E-4</v>
      </c>
      <c r="M14" s="31">
        <f t="shared" si="3"/>
        <v>0.08</v>
      </c>
    </row>
    <row r="15" spans="1:19" x14ac:dyDescent="0.25">
      <c r="A15" s="8" t="s">
        <v>112</v>
      </c>
      <c r="B15" s="21">
        <v>20</v>
      </c>
      <c r="C15" s="9">
        <v>0.1</v>
      </c>
      <c r="D15" s="9">
        <f t="shared" ref="D15:D16" si="46">(B15*C15)/2</f>
        <v>1</v>
      </c>
      <c r="E15" s="9"/>
      <c r="F15" s="9">
        <f t="shared" si="4"/>
        <v>0.09</v>
      </c>
      <c r="G15" s="9">
        <f t="shared" ref="G15:G16" si="47">(D15*15)/1000</f>
        <v>1.4999999999999999E-2</v>
      </c>
      <c r="H15" s="9">
        <f t="shared" ref="H15:H16" si="48">(D15*150)/1000</f>
        <v>0.15</v>
      </c>
      <c r="I15" s="9">
        <f t="shared" ref="I15:I16" si="49">(D15*5)/1000</f>
        <v>5.0000000000000001E-3</v>
      </c>
      <c r="J15" s="9">
        <f t="shared" ref="J15:J16" si="50">(D15*10)/1000</f>
        <v>0.01</v>
      </c>
      <c r="K15" s="9">
        <f t="shared" ref="K15:K16" si="51">(D15*20)/1000</f>
        <v>0.02</v>
      </c>
      <c r="L15" s="20">
        <f t="shared" ref="L15:L16" si="52">(D15*10)/1000</f>
        <v>0.01</v>
      </c>
      <c r="M15" s="31">
        <f t="shared" ref="M15:M17" si="53">D15*1</f>
        <v>1</v>
      </c>
    </row>
    <row r="16" spans="1:19" x14ac:dyDescent="0.25">
      <c r="A16" s="8" t="s">
        <v>113</v>
      </c>
      <c r="B16" s="21">
        <v>20</v>
      </c>
      <c r="C16" s="9">
        <f>100/1000</f>
        <v>0.1</v>
      </c>
      <c r="D16" s="9">
        <f t="shared" si="46"/>
        <v>1</v>
      </c>
      <c r="E16" s="9"/>
      <c r="F16" s="9">
        <f t="shared" si="4"/>
        <v>0.09</v>
      </c>
      <c r="G16" s="9">
        <f t="shared" si="47"/>
        <v>1.4999999999999999E-2</v>
      </c>
      <c r="H16" s="9">
        <f t="shared" si="48"/>
        <v>0.15</v>
      </c>
      <c r="I16" s="9">
        <f t="shared" si="49"/>
        <v>5.0000000000000001E-3</v>
      </c>
      <c r="J16" s="9">
        <f t="shared" si="50"/>
        <v>0.01</v>
      </c>
      <c r="K16" s="9">
        <f t="shared" si="51"/>
        <v>0.02</v>
      </c>
      <c r="L16" s="20">
        <f t="shared" si="52"/>
        <v>0.01</v>
      </c>
      <c r="M16" s="31">
        <f t="shared" si="53"/>
        <v>1</v>
      </c>
    </row>
    <row r="17" spans="1:13" x14ac:dyDescent="0.25">
      <c r="A17" s="8" t="s">
        <v>114</v>
      </c>
      <c r="B17" s="21">
        <v>10</v>
      </c>
      <c r="C17" s="9">
        <f>100/1000</f>
        <v>0.1</v>
      </c>
      <c r="D17" s="9">
        <f t="shared" si="8"/>
        <v>0.5</v>
      </c>
      <c r="E17" s="9"/>
      <c r="F17" s="9">
        <f t="shared" si="4"/>
        <v>4.4999999999999998E-2</v>
      </c>
      <c r="G17" s="9">
        <f t="shared" si="5"/>
        <v>7.4999999999999997E-3</v>
      </c>
      <c r="H17" s="9">
        <f>(D17*150)/1000</f>
        <v>7.4999999999999997E-2</v>
      </c>
      <c r="I17" s="9">
        <f t="shared" si="6"/>
        <v>2.5000000000000001E-3</v>
      </c>
      <c r="J17" s="9">
        <f t="shared" si="7"/>
        <v>5.0000000000000001E-3</v>
      </c>
      <c r="K17" s="9">
        <f>(D17*20)/1000</f>
        <v>0.01</v>
      </c>
      <c r="L17" s="20">
        <f>(D17*10)/1000</f>
        <v>5.0000000000000001E-3</v>
      </c>
      <c r="M17" s="31">
        <f t="shared" si="53"/>
        <v>0.5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327</v>
      </c>
      <c r="C19" s="32">
        <f t="shared" ref="C19:M19" si="54">SUM(C3:C17)</f>
        <v>2.0300000000000007</v>
      </c>
      <c r="D19" s="32">
        <f t="shared" si="54"/>
        <v>14.640000475000003</v>
      </c>
      <c r="E19" s="32">
        <f t="shared" si="54"/>
        <v>0.50050021612499995</v>
      </c>
      <c r="F19" s="32">
        <f t="shared" si="54"/>
        <v>1.3506000427500005</v>
      </c>
      <c r="G19" s="32">
        <f t="shared" si="54"/>
        <v>0.21960000712500005</v>
      </c>
      <c r="H19" s="32">
        <f t="shared" si="54"/>
        <v>2.1960000712500003</v>
      </c>
      <c r="I19" s="32">
        <f t="shared" si="54"/>
        <v>7.3200002375000003E-2</v>
      </c>
      <c r="J19" s="32">
        <f t="shared" si="54"/>
        <v>0.14640000475000001</v>
      </c>
      <c r="K19" s="32">
        <f t="shared" si="54"/>
        <v>0.29280000950000001</v>
      </c>
      <c r="L19" s="32">
        <f t="shared" si="54"/>
        <v>0.14640000475000001</v>
      </c>
      <c r="M19" s="32">
        <f t="shared" si="54"/>
        <v>14.640000475000003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" workbookViewId="0">
      <selection activeCell="I15" sqref="I1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36" t="s">
        <v>205</v>
      </c>
      <c r="B1" s="136"/>
      <c r="C1" s="136"/>
      <c r="D1" s="136"/>
      <c r="E1" s="136"/>
      <c r="F1" s="136"/>
      <c r="G1" s="136"/>
      <c r="H1" s="136"/>
      <c r="I1" s="52"/>
    </row>
    <row r="2" spans="1:22" ht="15.75" thickBot="1" x14ac:dyDescent="0.3">
      <c r="U2" s="137" t="s">
        <v>227</v>
      </c>
      <c r="V2" s="137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37"/>
      <c r="V3" s="137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243.13030904880949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56.771935404940479</v>
      </c>
      <c r="F5" s="57">
        <v>22</v>
      </c>
      <c r="G5" s="8" t="s">
        <v>162</v>
      </c>
      <c r="H5" s="96">
        <v>19.7</v>
      </c>
      <c r="I5" s="69">
        <f>H5-Daily_Consumption!H5</f>
        <v>19.468759523809524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19.889959999999999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99.326994992875001</v>
      </c>
      <c r="F6" s="57">
        <v>23</v>
      </c>
      <c r="G6" s="8" t="s">
        <v>163</v>
      </c>
      <c r="H6" s="96">
        <v>8.09</v>
      </c>
      <c r="I6" s="69">
        <f>H6-Daily_Consumption!H6</f>
        <v>5.3595499999999996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19.974979999999999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0.39733109048809523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3.9999999999999996</v>
      </c>
      <c r="P7" s="57">
        <v>60</v>
      </c>
      <c r="Q7" s="8" t="s">
        <v>61</v>
      </c>
      <c r="R7" s="96">
        <v>20</v>
      </c>
      <c r="S7" s="72">
        <f>R7-Daily_Consumption!R7</f>
        <v>19.8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1.6386495452440475</v>
      </c>
      <c r="F8" s="57">
        <v>25</v>
      </c>
      <c r="G8" s="8" t="s">
        <v>165</v>
      </c>
      <c r="H8" s="96">
        <v>19.7</v>
      </c>
      <c r="I8" s="69">
        <f>H8-Daily_Consumption!H8</f>
        <v>13.7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390.84130904880953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1.8129175000000002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5.7792925000000004</v>
      </c>
      <c r="F12" s="57">
        <v>29</v>
      </c>
      <c r="G12" s="8" t="s">
        <v>50</v>
      </c>
      <c r="H12" s="96">
        <v>0.15</v>
      </c>
      <c r="I12" s="69">
        <f>H12-Daily_Consumption!H12</f>
        <v>0.15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0.72037499999999999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>
        <f>M13-Daily_Consumption!M13</f>
        <v>2.1614749999999998</v>
      </c>
      <c r="P13" s="57">
        <v>66</v>
      </c>
      <c r="Q13" s="8" t="s">
        <v>32</v>
      </c>
      <c r="R13" s="96">
        <v>20</v>
      </c>
      <c r="S13" s="72">
        <f>R13-Daily_Consumption!R13</f>
        <v>20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0.56499999999999995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1.7438749999999998</v>
      </c>
      <c r="F15" s="57">
        <v>32</v>
      </c>
      <c r="G15" s="8" t="s">
        <v>171</v>
      </c>
      <c r="H15" s="96">
        <v>100</v>
      </c>
      <c r="I15" s="69">
        <f>H15-Daily_Consumption!H15</f>
        <v>100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0.6331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0.18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0.909968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1.0576499904999999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1.3613499952499994</v>
      </c>
      <c r="F19" s="57">
        <v>36</v>
      </c>
      <c r="G19" s="8" t="s">
        <v>174</v>
      </c>
      <c r="H19" s="96">
        <v>4.4000000000000004</v>
      </c>
      <c r="I19" s="69">
        <f>H19-Daily_Consumption!H19</f>
        <v>4.0750000000000002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0.94624999999999915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0.38250000000000001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0.15807178571428571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0.85949978387500015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U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1" width="9.140625" style="1" customWidth="1"/>
    <col min="12" max="12" width="7.28515625" style="1" bestFit="1" customWidth="1"/>
    <col min="13" max="13" width="11.140625" style="17" bestFit="1" customWidth="1"/>
    <col min="14" max="14" width="6" bestFit="1" customWidth="1"/>
    <col min="15" max="15" width="6.85546875" bestFit="1" customWidth="1"/>
    <col min="16" max="16" width="9" bestFit="1" customWidth="1"/>
  </cols>
  <sheetData>
    <row r="1" spans="1:21" x14ac:dyDescent="0.25">
      <c r="N1" s="141" t="s">
        <v>82</v>
      </c>
      <c r="O1" s="141"/>
      <c r="P1" s="141"/>
      <c r="Q1" s="141"/>
    </row>
    <row r="2" spans="1:21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77</v>
      </c>
      <c r="K2" s="3" t="s">
        <v>8</v>
      </c>
      <c r="L2" s="3" t="s">
        <v>56</v>
      </c>
      <c r="M2" s="3" t="s">
        <v>69</v>
      </c>
      <c r="N2" s="3" t="s">
        <v>20</v>
      </c>
      <c r="O2" s="3" t="s">
        <v>63</v>
      </c>
      <c r="P2" s="3" t="s">
        <v>61</v>
      </c>
      <c r="Q2" s="33" t="s">
        <v>32</v>
      </c>
      <c r="S2" s="137" t="s">
        <v>227</v>
      </c>
      <c r="T2" s="137"/>
      <c r="U2" s="51"/>
    </row>
    <row r="3" spans="1:21" x14ac:dyDescent="0.25">
      <c r="A3" s="5" t="s">
        <v>119</v>
      </c>
      <c r="B3" s="27">
        <v>0</v>
      </c>
      <c r="C3" s="9">
        <f>$B3*0.8572</f>
        <v>0</v>
      </c>
      <c r="D3" s="9">
        <f>$B3*0.643</f>
        <v>0</v>
      </c>
      <c r="E3" s="9">
        <f>$B3*0.0715</f>
        <v>0</v>
      </c>
      <c r="F3" s="9">
        <f>$B3*0.029</f>
        <v>0</v>
      </c>
      <c r="G3" s="9">
        <f>$B3*0.0057</f>
        <v>0</v>
      </c>
      <c r="H3" s="9">
        <f>$B3*0.007</f>
        <v>0</v>
      </c>
      <c r="I3" s="9">
        <f>$B3*0.0145</f>
        <v>0</v>
      </c>
      <c r="J3" s="9">
        <f>$B3*0.0057</f>
        <v>0</v>
      </c>
      <c r="K3" s="9">
        <f>$B3*0.0715</f>
        <v>0</v>
      </c>
      <c r="L3" s="7">
        <f>$B3*15.71</f>
        <v>0</v>
      </c>
      <c r="M3" s="9">
        <f>$B3*0.007</f>
        <v>0</v>
      </c>
      <c r="N3" s="9">
        <f>$B3*0.0035</f>
        <v>0</v>
      </c>
      <c r="O3" s="9">
        <f>$B3*0.0014</f>
        <v>0</v>
      </c>
      <c r="P3" s="9">
        <f t="shared" ref="P3:Q3" si="0">$B3*0.0014</f>
        <v>0</v>
      </c>
      <c r="Q3" s="9">
        <f t="shared" si="0"/>
        <v>0</v>
      </c>
      <c r="S3" s="137"/>
      <c r="T3" s="137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1" x14ac:dyDescent="0.25">
      <c r="A5" s="13" t="s">
        <v>16</v>
      </c>
      <c r="B5" s="12">
        <f>SUM(B3:B3)</f>
        <v>0</v>
      </c>
      <c r="C5" s="12">
        <f t="shared" ref="C5:Q5" si="1">SUM(C3:C3)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mergeCells count="2">
    <mergeCell ref="N1:Q1"/>
    <mergeCell ref="S2:T3"/>
  </mergeCells>
  <hyperlinks>
    <hyperlink ref="S2:T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1" width="9.140625" style="1" customWidth="1"/>
    <col min="12" max="12" width="5.28515625" style="1" bestFit="1" customWidth="1"/>
    <col min="13" max="13" width="12.28515625" style="1" bestFit="1" customWidth="1"/>
    <col min="14" max="14" width="8.42578125" style="1" bestFit="1" customWidth="1"/>
    <col min="15" max="15" width="11.140625" style="17" bestFit="1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8</v>
      </c>
      <c r="M2" s="3" t="s">
        <v>122</v>
      </c>
      <c r="N2" s="3" t="s">
        <v>76</v>
      </c>
      <c r="O2" s="3" t="s">
        <v>15</v>
      </c>
      <c r="Q2" s="137" t="s">
        <v>227</v>
      </c>
      <c r="R2" s="137"/>
    </row>
    <row r="3" spans="1:18" x14ac:dyDescent="0.25">
      <c r="A3" s="5" t="s">
        <v>121</v>
      </c>
      <c r="B3" s="27">
        <v>0</v>
      </c>
      <c r="C3" s="9">
        <f>$B3*0.3</f>
        <v>0</v>
      </c>
      <c r="D3" s="9">
        <f>$B3*0.1</f>
        <v>0</v>
      </c>
      <c r="E3" s="9">
        <f>$B3*0.02</f>
        <v>0</v>
      </c>
      <c r="F3" s="9">
        <f>$B3*0.02</f>
        <v>0</v>
      </c>
      <c r="G3" s="9">
        <f>$B3*0.02</f>
        <v>0</v>
      </c>
      <c r="H3" s="9">
        <f>$B3*0.0053</f>
        <v>0</v>
      </c>
      <c r="I3" s="9">
        <f>$B3*0.01</f>
        <v>0</v>
      </c>
      <c r="J3" s="9">
        <f>$B3*0.125</f>
        <v>0</v>
      </c>
      <c r="K3" s="9">
        <f>$B3*0.0053</f>
        <v>0</v>
      </c>
      <c r="L3" s="9">
        <f>$B3*0.05</f>
        <v>0</v>
      </c>
      <c r="M3" s="9">
        <f>$B3*0.0053</f>
        <v>0</v>
      </c>
      <c r="N3" s="9">
        <f>$B3*0.0033</f>
        <v>0</v>
      </c>
      <c r="O3" s="9">
        <f>$B3*0.0053</f>
        <v>0</v>
      </c>
      <c r="Q3" s="137"/>
      <c r="R3" s="137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x14ac:dyDescent="0.25">
      <c r="A5" s="13" t="s">
        <v>16</v>
      </c>
      <c r="B5" s="12">
        <f>SUM(B3:B3)</f>
        <v>0</v>
      </c>
      <c r="C5" s="12">
        <f t="shared" ref="C5:O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37" t="s">
        <v>227</v>
      </c>
      <c r="I2" s="137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37"/>
      <c r="I3" s="13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44" t="s">
        <v>93</v>
      </c>
      <c r="L1" s="144"/>
      <c r="M1" s="144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37" t="s">
        <v>227</v>
      </c>
      <c r="R2" s="137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37"/>
      <c r="R3" s="137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44" t="s">
        <v>93</v>
      </c>
      <c r="L1" s="144"/>
      <c r="M1" s="14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37" t="s">
        <v>227</v>
      </c>
      <c r="Q2" s="137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37"/>
      <c r="Q3" s="13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4" t="s">
        <v>93</v>
      </c>
      <c r="M1" s="144"/>
      <c r="N1" s="14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37" t="s">
        <v>227</v>
      </c>
      <c r="Q2" s="137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7"/>
      <c r="Q3" s="13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4" t="s">
        <v>93</v>
      </c>
      <c r="M1" s="144"/>
      <c r="N1" s="14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37" t="s">
        <v>227</v>
      </c>
      <c r="Q2" s="137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7"/>
      <c r="Q3" s="13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4" t="s">
        <v>93</v>
      </c>
      <c r="M1" s="144"/>
      <c r="N1" s="144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37" t="s">
        <v>227</v>
      </c>
      <c r="Q2" s="137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7"/>
      <c r="Q3" s="13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37" t="s">
        <v>227</v>
      </c>
      <c r="I2" s="137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37"/>
      <c r="I3" s="13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37" t="s">
        <v>227</v>
      </c>
      <c r="U2" s="137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37"/>
      <c r="U3" s="137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38" t="s">
        <v>215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</row>
    <row r="2" spans="1:22" ht="15.75" thickBot="1" x14ac:dyDescent="0.3">
      <c r="U2" s="137" t="s">
        <v>227</v>
      </c>
      <c r="V2" s="137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37"/>
      <c r="V3" s="137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52.769690951190476</v>
      </c>
      <c r="D4" s="74">
        <f>C4*'Cost of raw materials'!C7</f>
        <v>1899.7088742428571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18.928064595059524</v>
      </c>
      <c r="D5" s="74">
        <f>C5*'Cost of raw materials'!C8</f>
        <v>738.19451920732149</v>
      </c>
      <c r="F5" s="57">
        <v>22</v>
      </c>
      <c r="G5" s="8" t="s">
        <v>162</v>
      </c>
      <c r="H5" s="49">
        <f>Puffs_Sweetna!E10</f>
        <v>0.23124047619047616</v>
      </c>
      <c r="I5" s="77">
        <f>H5*'Cost of raw materials'!G8</f>
        <v>36.767235714285711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Tea_Cake!M5+Plum_Cake!B9+Pineapple_Cake!O5+Spunge_Cake!K5+Cream!D5+Tea_Rusk!N5+Pineapple_Cookies!K5+Orange_Cookies!K5+Strawberry_Cookies!L5+Pista_Cookies!L5+Semia_Cookies!L5</f>
        <v>0.11004</v>
      </c>
      <c r="S5" s="79">
        <f>R5*'Cost of raw materials'!O8</f>
        <v>46.216799999999999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0.673005007125</v>
      </c>
      <c r="D6" s="74">
        <f>C6*'Cost of raw materials'!C9</f>
        <v>6.057045064125</v>
      </c>
      <c r="F6" s="57">
        <v>23</v>
      </c>
      <c r="G6" s="8" t="s">
        <v>163</v>
      </c>
      <c r="H6" s="49">
        <f>Bread_Bun!E8+Fruit_ButterBread_Donut!E7+Tea_Rusk!D5+White_Rusk!D5</f>
        <v>2.7304500000000003</v>
      </c>
      <c r="I6" s="77">
        <f>H6*'Cost of raw materials'!G9</f>
        <v>404.10660000000001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Tea_Cake!N5+Plum_Cake!I9+Spunge_Cake!L5+Tea_Rusk!O5+Pineapple_Cookies!M5+Orange_Cookies!M5+Strawberry_Cookies!N5+Pista_Cookies!N5+Semia_Cookies!N5</f>
        <v>2.5019999999999997E-2</v>
      </c>
      <c r="S6" s="79">
        <f>R6*'Cost of raw materials'!O9</f>
        <v>12.009599999999999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0.48266890951190478</v>
      </c>
      <c r="D7" s="74">
        <f>C7*'Cost of raw materials'!C10</f>
        <v>152.04070649625001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2.6</v>
      </c>
      <c r="N7" s="77">
        <f>M7*'Cost of raw materials'!K10</f>
        <v>273</v>
      </c>
      <c r="P7" s="57">
        <v>60</v>
      </c>
      <c r="Q7" s="8" t="s">
        <v>61</v>
      </c>
      <c r="R7" s="49">
        <f>Plum_Cake!E9+Pineapple_Cake!P5+Spunge_Cake!M5+Tea_Rusk!P5+Pineapple_Cookies!L5+Orange_Cookies!L5+Strawberry_Cookies!M5+Pista_Cookies!M5+Semia_Cookies!M5+Muffins!E6</f>
        <v>0.2</v>
      </c>
      <c r="S7" s="79">
        <f>R7*'Cost of raw materials'!O10</f>
        <v>86.2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0.26135045475595242</v>
      </c>
      <c r="D8" s="74">
        <f>C8*'Cost of raw materials'!C11</f>
        <v>81.541341883857157</v>
      </c>
      <c r="F8" s="57">
        <v>25</v>
      </c>
      <c r="G8" s="8" t="s">
        <v>165</v>
      </c>
      <c r="H8" s="49">
        <f>Cream!B5</f>
        <v>6</v>
      </c>
      <c r="I8" s="77">
        <f>H8*'Cost of raw materials'!G11</f>
        <v>1020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L5+Beans_Biscuit!D5+Pineapple_Cookies!E5+Orange_Cookies!E5+Strawberry_Cookies!E5+Pista_Cookies!E5+Semia_Cookies!F5+Coconut_Cookies!E5+Masala_Cookies!E5+Muffins!C6+Chocolate_Muffin!C5+'Cherry Cake'!F5</f>
        <v>308.15869095119047</v>
      </c>
      <c r="D9" s="74">
        <f>C9*'Cost of raw materials'!C12</f>
        <v>1540.7934547559523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0.97708249999999985</v>
      </c>
      <c r="D10" s="74">
        <f>C10*'Cost of raw materials'!C13</f>
        <v>537.39537499999994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0.98070749999999984</v>
      </c>
      <c r="D12" s="74">
        <f>C12*'Cost of raw materials'!C15</f>
        <v>251.06111999999996</v>
      </c>
      <c r="F12" s="57">
        <v>29</v>
      </c>
      <c r="G12" s="8" t="s">
        <v>50</v>
      </c>
      <c r="H12" s="49">
        <f>Plum_Cake!I5+White_Rusk!N5</f>
        <v>0</v>
      </c>
      <c r="I12" s="77">
        <f>H12*'Cost of raw materials'!G15</f>
        <v>0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0.329625</v>
      </c>
      <c r="D13" s="74">
        <f>C13*'Cost of raw materials'!C16</f>
        <v>164.8125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>
        <f>Puffs_Sweetna!K10+Fruit_ButterBread_Donut!M7+Tea_Rusk!K5+White_Rusk!L5+Coconut_Cookies!D5+Plum_Cake!C14+'Cherry Cake'!J5</f>
        <v>0.23852499999999999</v>
      </c>
      <c r="N13" s="77">
        <f>M13*'Cost of raw materials'!K16</f>
        <v>13.357399999999998</v>
      </c>
      <c r="P13" s="57">
        <v>66</v>
      </c>
      <c r="Q13" s="8" t="s">
        <v>32</v>
      </c>
      <c r="R13" s="49">
        <f>Tea_Rusk!Q5</f>
        <v>0</v>
      </c>
      <c r="S13" s="79">
        <f>R13*'Cost of raw materials'!O16</f>
        <v>0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0</v>
      </c>
      <c r="I14" s="77">
        <f>H14*'Cost of raw materials'!G17</f>
        <v>0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Bread_Bun!K8+Fruit_ButterBread_Donut!I7+Pineapple_Cake!E5+Tea_Rusk!Q5</f>
        <v>0.146125</v>
      </c>
      <c r="D15" s="74">
        <f>C15*'Cost of raw materials'!C18</f>
        <v>67.948125000000005</v>
      </c>
      <c r="F15" s="57">
        <v>32</v>
      </c>
      <c r="G15" s="8" t="s">
        <v>171</v>
      </c>
      <c r="H15" s="49">
        <f>Plum_Cake!L5+White_Rusk!K5</f>
        <v>0</v>
      </c>
      <c r="I15" s="77">
        <f>H15*'Cost of raw materials'!G18</f>
        <v>0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0.1169</v>
      </c>
      <c r="D16" s="74">
        <f>C16*'Cost of raw materials'!C19</f>
        <v>22.211000000000002</v>
      </c>
      <c r="F16" s="57">
        <v>33</v>
      </c>
      <c r="G16" s="8" t="s">
        <v>172</v>
      </c>
      <c r="H16" s="49">
        <f>Carrot_Dates_Cake!N5</f>
        <v>0.125</v>
      </c>
      <c r="I16" s="77">
        <f>H16*'Cost of raw materials'!G19</f>
        <v>6.25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Tea_Cake!L5+Pineapple_Cake!L5+Spunge_Cake!J5+Tea_Rusk!M5</f>
        <v>4.0031999999999998E-2</v>
      </c>
      <c r="D17" s="74">
        <f>C17*'Cost of raw materials'!C20</f>
        <v>3.40272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0.90235000950000011</v>
      </c>
      <c r="D18" s="74">
        <f>C18*'Cost of raw materials'!C21</f>
        <v>130.84075137750003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3.1886500047500004</v>
      </c>
      <c r="D19" s="74">
        <f>C19*'Cost of raw materials'!C22</f>
        <v>494.24075073625005</v>
      </c>
      <c r="F19" s="57">
        <v>36</v>
      </c>
      <c r="G19" s="8" t="s">
        <v>174</v>
      </c>
      <c r="H19" s="49">
        <f>Carrot_Dates_Cake!M5</f>
        <v>0.32500000000000001</v>
      </c>
      <c r="I19" s="77">
        <f>H19*'Cost of raw materials'!G22</f>
        <v>24.375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9.0537500000000009</v>
      </c>
      <c r="D21" s="74">
        <f>C21*'Cost of raw materials'!C24</f>
        <v>633.76250000000005</v>
      </c>
      <c r="F21" s="57">
        <v>38</v>
      </c>
      <c r="G21" s="8" t="s">
        <v>90</v>
      </c>
      <c r="H21" s="49">
        <f>Plum_Cake!Q5+Carrot_Dates_Cake!L5+'Cherry Cake'!L5</f>
        <v>6.25E-2</v>
      </c>
      <c r="I21" s="77">
        <f>H21*'Cost of raw materials'!G24</f>
        <v>6.875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8.1928214285714285E-2</v>
      </c>
      <c r="D22" s="74">
        <f>C22*'Cost of raw materials'!C25</f>
        <v>108.14524285714286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0.50050021612499995</v>
      </c>
      <c r="D23" s="74">
        <f>C23*'Cost of raw materials'!C26</f>
        <v>30.030012967499996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6956.4792270887565</v>
      </c>
      <c r="I26" s="100">
        <f>SUM(I5:I25)</f>
        <v>2223.1355957142855</v>
      </c>
      <c r="N26" s="100">
        <f>SUM(N4:N25)</f>
        <v>1186.9111499999999</v>
      </c>
      <c r="S26" s="101">
        <f>SUM(S5:S25)</f>
        <v>547.59640000000002</v>
      </c>
    </row>
    <row r="27" spans="1:19" x14ac:dyDescent="0.25">
      <c r="B27" s="102" t="s">
        <v>237</v>
      </c>
      <c r="C27" s="103">
        <f>D26+I26+N26+S26</f>
        <v>10914.122372803042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I12"/>
  <sheetViews>
    <sheetView workbookViewId="0">
      <selection activeCell="A3" sqref="A3:A4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  <col min="5" max="5" width="12.85546875" bestFit="1" customWidth="1"/>
    <col min="6" max="6" width="11" bestFit="1" customWidth="1"/>
  </cols>
  <sheetData>
    <row r="1" spans="1:9" x14ac:dyDescent="0.25">
      <c r="B1" s="1"/>
      <c r="C1" s="1"/>
      <c r="D1" s="1"/>
      <c r="E1" s="1"/>
      <c r="F1" s="1"/>
    </row>
    <row r="2" spans="1:9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H2" s="137" t="s">
        <v>227</v>
      </c>
      <c r="I2" s="137"/>
    </row>
    <row r="3" spans="1:9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H3" s="137"/>
      <c r="I3" s="137"/>
    </row>
    <row r="4" spans="1:9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H4" s="105"/>
      <c r="I4" s="105"/>
    </row>
    <row r="5" spans="1:9" x14ac:dyDescent="0.25">
      <c r="B5" s="10"/>
      <c r="C5" s="10"/>
      <c r="D5" s="10"/>
      <c r="E5" s="10"/>
      <c r="F5" s="10"/>
    </row>
    <row r="6" spans="1:9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</row>
    <row r="7" spans="1:9" x14ac:dyDescent="0.25">
      <c r="B7" s="1"/>
      <c r="C7" s="1"/>
      <c r="D7" s="1"/>
      <c r="E7" s="1"/>
      <c r="F7" s="1"/>
    </row>
    <row r="8" spans="1:9" x14ac:dyDescent="0.25">
      <c r="B8" s="1"/>
      <c r="C8" s="1"/>
      <c r="D8" s="1"/>
      <c r="E8" s="1"/>
      <c r="F8" s="1"/>
    </row>
    <row r="9" spans="1:9" x14ac:dyDescent="0.25">
      <c r="B9" s="1"/>
      <c r="C9" s="1"/>
      <c r="D9" s="1"/>
      <c r="E9" s="1"/>
      <c r="F9" s="1"/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</sheetData>
  <mergeCells count="1">
    <mergeCell ref="H2:I3"/>
  </mergeCells>
  <hyperlinks>
    <hyperlink ref="H2:I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37" t="s">
        <v>227</v>
      </c>
      <c r="G2" s="137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37"/>
      <c r="G3" s="137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41"/>
      <c r="O1" s="141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37" t="s">
        <v>227</v>
      </c>
      <c r="R2" s="137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37"/>
      <c r="R3" s="137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topLeftCell="A16" workbookViewId="0">
      <selection activeCell="H76" sqref="H76"/>
    </sheetView>
  </sheetViews>
  <sheetFormatPr defaultRowHeight="15" x14ac:dyDescent="0.25"/>
  <cols>
    <col min="2" max="2" width="20" bestFit="1" customWidth="1"/>
    <col min="4" max="4" width="20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14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R72"/>
  <sheetViews>
    <sheetView topLeftCell="G1" workbookViewId="0">
      <selection activeCell="H75" sqref="H7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6" max="6" width="23.7109375" customWidth="1"/>
    <col min="7" max="7" width="12.5703125" bestFit="1" customWidth="1"/>
    <col min="8" max="8" width="68.28515625" customWidth="1"/>
  </cols>
  <sheetData>
    <row r="1" spans="1:18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F1" s="8" t="s">
        <v>318</v>
      </c>
      <c r="G1" s="8" t="s">
        <v>311</v>
      </c>
      <c r="I1" t="str">
        <f>""</f>
        <v/>
      </c>
      <c r="M1" s="8">
        <v>23</v>
      </c>
      <c r="N1" s="8" t="e">
        <v>#N/A</v>
      </c>
      <c r="O1" s="8"/>
      <c r="P1" s="115" t="s">
        <v>299</v>
      </c>
      <c r="Q1" s="116" t="s">
        <v>39</v>
      </c>
      <c r="R1" s="115" t="s">
        <v>313</v>
      </c>
    </row>
    <row r="2" spans="1:18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F2" s="8">
        <v>450</v>
      </c>
      <c r="G2" s="8"/>
      <c r="H2" t="str">
        <f t="shared" ref="H2:H65" si="0">"new Product { ProductId = "&amp;A2&amp;", CategoryId = "&amp;B2&amp;", SubCategoryId = "&amp;C2&amp;", Name = """&amp;D2&amp;""", MRP =  "&amp;F2&amp;", CreatedById = UserId, CreatedOn = CurrentTime },"</f>
        <v>new Product { ProductId = 1, CategoryId = 1, SubCategoryId = null, Name = "SWEETNA", MRP =  450, CreatedById = UserId, CreatedOn = CurrentTime },</v>
      </c>
      <c r="M2" s="8">
        <v>24</v>
      </c>
      <c r="N2" s="8" t="e">
        <v>#N/A</v>
      </c>
      <c r="O2" s="8"/>
      <c r="P2" s="115" t="s">
        <v>295</v>
      </c>
      <c r="Q2" s="116" t="s">
        <v>39</v>
      </c>
      <c r="R2" s="115" t="s">
        <v>313</v>
      </c>
    </row>
    <row r="3" spans="1:18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F3" s="8">
        <v>450</v>
      </c>
      <c r="G3" s="8"/>
      <c r="H3" t="str">
        <f t="shared" si="0"/>
        <v>new Product { ProductId = 2, CategoryId = 1, SubCategoryId = null, Name = "SWEET STICK", MRP =  450, CreatedById = UserId, CreatedOn = CurrentTime },</v>
      </c>
      <c r="M3" s="8">
        <v>25</v>
      </c>
      <c r="N3" s="8" t="e">
        <v>#N/A</v>
      </c>
      <c r="O3" s="8"/>
      <c r="P3" s="115" t="s">
        <v>296</v>
      </c>
      <c r="Q3" s="116" t="s">
        <v>39</v>
      </c>
      <c r="R3" s="115" t="s">
        <v>313</v>
      </c>
    </row>
    <row r="4" spans="1:18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F4" s="8">
        <v>450</v>
      </c>
      <c r="G4" s="8"/>
      <c r="H4" t="str">
        <f t="shared" si="0"/>
        <v>new Product { ProductId = 3, CategoryId = 1, SubCategoryId = null, Name = "KARI", MRP =  450, CreatedById = UserId, CreatedOn = CurrentTime },</v>
      </c>
      <c r="M4" s="8">
        <v>26</v>
      </c>
      <c r="N4" s="8" t="e">
        <v>#N/A</v>
      </c>
      <c r="O4" s="8"/>
      <c r="P4" s="115" t="s">
        <v>304</v>
      </c>
      <c r="Q4" s="116" t="s">
        <v>39</v>
      </c>
      <c r="R4" s="115" t="s">
        <v>313</v>
      </c>
    </row>
    <row r="5" spans="1:18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F5" s="8">
        <v>450</v>
      </c>
      <c r="G5" s="8"/>
      <c r="H5" t="str">
        <f t="shared" si="0"/>
        <v>new Product { ProductId = 4, CategoryId = 1, SubCategoryId = null, Name = "DILPASANTH", MRP =  450, CreatedById = UserId, CreatedOn = CurrentTime },</v>
      </c>
      <c r="M5" s="8">
        <v>27</v>
      </c>
      <c r="N5" s="8" t="e">
        <v>#N/A</v>
      </c>
      <c r="O5" s="8"/>
      <c r="P5" s="115" t="s">
        <v>297</v>
      </c>
      <c r="Q5" s="116" t="s">
        <v>39</v>
      </c>
      <c r="R5" s="115" t="s">
        <v>313</v>
      </c>
    </row>
    <row r="6" spans="1:18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F6" s="8">
        <v>450</v>
      </c>
      <c r="G6" s="8"/>
      <c r="H6" t="str">
        <f t="shared" si="0"/>
        <v>new Product { ProductId = 5, CategoryId = 1, SubCategoryId = null, Name = "CREAM CORN", MRP =  450, CreatedById = UserId, CreatedOn = CurrentTime },</v>
      </c>
      <c r="M6" s="8">
        <v>28</v>
      </c>
      <c r="N6" s="8" t="e">
        <v>#N/A</v>
      </c>
      <c r="O6" s="8"/>
      <c r="P6" s="115" t="s">
        <v>305</v>
      </c>
      <c r="Q6" s="116" t="s">
        <v>39</v>
      </c>
      <c r="R6" s="8"/>
    </row>
    <row r="7" spans="1:18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  <c r="F7" s="8">
        <v>450</v>
      </c>
      <c r="G7" s="5" t="s">
        <v>9</v>
      </c>
      <c r="H7" t="str">
        <f t="shared" si="0"/>
        <v>new Product { ProductId = 6, CategoryId = 1, SubCategoryId = 1, Name = "Egg Puffs", MRP =  450, CreatedById = UserId, CreatedOn = CurrentTime },</v>
      </c>
    </row>
    <row r="8" spans="1:18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  <c r="F8" s="8">
        <v>450</v>
      </c>
      <c r="G8" s="5" t="s">
        <v>9</v>
      </c>
      <c r="H8" t="str">
        <f t="shared" si="0"/>
        <v>new Product { ProductId = 7, CategoryId = 1, SubCategoryId = 1, Name = "Chicken Puffs", MRP =  450, CreatedById = UserId, CreatedOn = CurrentTime },</v>
      </c>
    </row>
    <row r="9" spans="1:18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  <c r="F9" s="8">
        <v>450</v>
      </c>
      <c r="G9" s="5" t="s">
        <v>9</v>
      </c>
      <c r="H9" t="str">
        <f t="shared" si="0"/>
        <v>new Product { ProductId = 8, CategoryId = 1, SubCategoryId = 1, Name = "Meat Puffs", MRP =  450, CreatedById = UserId, CreatedOn = CurrentTime },</v>
      </c>
    </row>
    <row r="10" spans="1:18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  <c r="F10" s="8">
        <v>450</v>
      </c>
      <c r="G10" s="5" t="s">
        <v>9</v>
      </c>
      <c r="H10" t="str">
        <f t="shared" si="0"/>
        <v>new Product { ProductId = 9, CategoryId = 1, SubCategoryId = 1, Name = "Banana Puffs", MRP =  450, CreatedById = UserId, CreatedOn = CurrentTime },</v>
      </c>
    </row>
    <row r="11" spans="1:18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  <c r="F11" s="8">
        <v>450</v>
      </c>
      <c r="G11" s="5" t="s">
        <v>9</v>
      </c>
      <c r="H11" t="str">
        <f t="shared" si="0"/>
        <v>new Product { ProductId = 10, CategoryId = 1, SubCategoryId = 1, Name = "Veg Puffs", MRP =  450, CreatedById = UserId, CreatedOn = CurrentTime },</v>
      </c>
    </row>
    <row r="12" spans="1:18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  <c r="F12" s="8">
        <v>450</v>
      </c>
      <c r="G12" s="8"/>
      <c r="H12" t="str">
        <f t="shared" si="0"/>
        <v>new Product { ProductId = 11, CategoryId = 1, SubCategoryId = null, Name = "Neyyappam", MRP =  450, CreatedById = UserId, CreatedOn = CurrentTime },</v>
      </c>
    </row>
    <row r="13" spans="1:18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  <c r="F13" s="8">
        <v>450</v>
      </c>
      <c r="G13" s="8"/>
      <c r="H13" t="str">
        <f t="shared" si="0"/>
        <v>new Product { ProductId = 12, CategoryId = 1, SubCategoryId = null, Name = "Kubalappam", MRP =  450, CreatedById = UserId, CreatedOn = CurrentTime },</v>
      </c>
    </row>
    <row r="14" spans="1:18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  <c r="F14" s="8">
        <v>450</v>
      </c>
      <c r="G14" s="8"/>
      <c r="H14" t="str">
        <f t="shared" si="0"/>
        <v>new Product { ProductId = 13, CategoryId = 1, SubCategoryId = null, Name = "Kozhakatta", MRP =  450, CreatedById = UserId, CreatedOn = CurrentTime },</v>
      </c>
    </row>
    <row r="15" spans="1:18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  <c r="F15" s="8">
        <v>450</v>
      </c>
      <c r="G15" s="8"/>
      <c r="H15" t="str">
        <f t="shared" si="0"/>
        <v>new Product { ProductId = 14, CategoryId = 1, SubCategoryId = null, Name = "Elayappam", MRP =  450, CreatedById = UserId, CreatedOn = CurrentTime },</v>
      </c>
    </row>
    <row r="16" spans="1:18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  <c r="F16" s="8">
        <v>450</v>
      </c>
      <c r="G16" s="8"/>
      <c r="H16" t="str">
        <f t="shared" si="0"/>
        <v>new Product { ProductId = 15, CategoryId = 1, SubCategoryId = null, Name = "Sugiyan", MRP =  450, CreatedById = UserId, CreatedOn = CurrentTime },</v>
      </c>
    </row>
    <row r="17" spans="1:8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  <c r="F17" s="8">
        <v>450</v>
      </c>
      <c r="G17" s="8"/>
      <c r="H17" t="str">
        <f t="shared" si="0"/>
        <v>new Product { ProductId = 16, CategoryId = 1, SubCategoryId = null, Name = "Uzhunnuvada", MRP =  450, CreatedById = UserId, CreatedOn = CurrentTime },</v>
      </c>
    </row>
    <row r="18" spans="1:8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  <c r="F18" s="8">
        <v>450</v>
      </c>
      <c r="G18" s="8"/>
      <c r="H18" t="str">
        <f t="shared" si="0"/>
        <v>new Product { ProductId = 17, CategoryId = 1, SubCategoryId = null, Name = "Parippuvada", MRP =  450, CreatedById = UserId, CreatedOn = CurrentTime },</v>
      </c>
    </row>
    <row r="19" spans="1:8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  <c r="F19" s="8">
        <v>450</v>
      </c>
      <c r="G19" s="8"/>
      <c r="H19" t="str">
        <f t="shared" si="0"/>
        <v>new Product { ProductId = 18, CategoryId = 1, SubCategoryId = null, Name = "Pazhampori", MRP =  450, CreatedById = UserId, CreatedOn = CurrentTime },</v>
      </c>
    </row>
    <row r="20" spans="1:8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  <c r="F20" s="8">
        <v>450</v>
      </c>
      <c r="G20" s="8" t="s">
        <v>312</v>
      </c>
      <c r="H20" t="str">
        <f t="shared" si="0"/>
        <v>new Product { ProductId = 19, CategoryId = 27, SubCategoryId = 4, Name = "Veg Samosa", MRP =  450, CreatedById = UserId, CreatedOn = CurrentTime },</v>
      </c>
    </row>
    <row r="21" spans="1:8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  <c r="F21" s="8">
        <v>450</v>
      </c>
      <c r="G21" s="8" t="s">
        <v>312</v>
      </c>
      <c r="H21" t="str">
        <f t="shared" si="0"/>
        <v>new Product { ProductId = 20, CategoryId = 27, SubCategoryId = 4, Name = "Egg Samosa", MRP =  450, CreatedById = UserId, CreatedOn = CurrentTime },</v>
      </c>
    </row>
    <row r="22" spans="1:8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  <c r="F22" s="8">
        <v>450</v>
      </c>
      <c r="G22" s="8" t="s">
        <v>312</v>
      </c>
      <c r="H22" t="str">
        <f t="shared" si="0"/>
        <v>new Product { ProductId = 21, CategoryId = 27, SubCategoryId = 4, Name = "Meat Samosa", MRP =  450, CreatedById = UserId, CreatedOn = CurrentTime },</v>
      </c>
    </row>
    <row r="23" spans="1:8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  <c r="F23" s="8">
        <v>450</v>
      </c>
      <c r="G23" s="8" t="s">
        <v>312</v>
      </c>
      <c r="H23" t="str">
        <f t="shared" si="0"/>
        <v>new Product { ProductId = 22, CategoryId = 27, SubCategoryId = 4, Name = "Chicken Samosa", MRP =  450, CreatedById = UserId, CreatedOn = CurrentTime },</v>
      </c>
    </row>
    <row r="24" spans="1:8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  <c r="F24" s="8">
        <v>450</v>
      </c>
      <c r="G24" s="8"/>
      <c r="H24" t="str">
        <f t="shared" si="0"/>
        <v>new Product { ProductId = 23, CategoryId = 2, SubCategoryId = null, Name = "BREAD", MRP =  450, CreatedById = UserId, CreatedOn = CurrentTime },</v>
      </c>
    </row>
    <row r="25" spans="1:8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  <c r="F25" s="8">
        <v>450</v>
      </c>
      <c r="G25" s="8"/>
      <c r="H25" t="str">
        <f t="shared" si="0"/>
        <v>new Product { ProductId = 24, CategoryId = 2, SubCategoryId = null, Name = "BUN", MRP =  450, CreatedById = UserId, CreatedOn = CurrentTime },</v>
      </c>
    </row>
    <row r="26" spans="1:8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  <c r="F26" s="8">
        <v>450</v>
      </c>
      <c r="G26" s="8"/>
      <c r="H26" t="str">
        <f t="shared" si="0"/>
        <v>new Product { ProductId = 25, CategoryId = 2, SubCategoryId = null, Name = "AVAL BUN", MRP =  450, CreatedById = UserId, CreatedOn = CurrentTime },</v>
      </c>
    </row>
    <row r="27" spans="1:8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  <c r="F27" s="8">
        <v>450</v>
      </c>
      <c r="G27" s="8"/>
      <c r="H27" t="str">
        <f t="shared" si="0"/>
        <v>new Product { ProductId = 26, CategoryId = 2, SubCategoryId = null, Name = "CREAM BUN", MRP =  450, CreatedById = UserId, CreatedOn = CurrentTime },</v>
      </c>
    </row>
    <row r="28" spans="1:8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  <c r="F28" s="8">
        <v>450</v>
      </c>
      <c r="G28" s="8"/>
      <c r="H28" t="str">
        <f t="shared" si="0"/>
        <v>new Product { ProductId = 27, CategoryId = 3, SubCategoryId = null, Name = "FRUIT BREAD", MRP =  450, CreatedById = UserId, CreatedOn = CurrentTime },</v>
      </c>
    </row>
    <row r="29" spans="1:8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  <c r="F29" s="8">
        <v>450</v>
      </c>
      <c r="G29" s="8"/>
      <c r="H29" t="str">
        <f t="shared" si="0"/>
        <v>new Product { ProductId = 28, CategoryId = 3, SubCategoryId = null, Name = "BUTTER BREAD", MRP =  450, CreatedById = UserId, CreatedOn = CurrentTime },</v>
      </c>
    </row>
    <row r="30" spans="1:8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  <c r="F30" s="8">
        <v>450</v>
      </c>
      <c r="G30" s="8"/>
      <c r="H30" t="str">
        <f t="shared" si="0"/>
        <v>new Product { ProductId = 29, CategoryId = 3, SubCategoryId = null, Name = "DONUT", MRP =  450, CreatedById = UserId, CreatedOn = CurrentTime },</v>
      </c>
    </row>
    <row r="31" spans="1:8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  <c r="F31" s="8">
        <v>450</v>
      </c>
      <c r="G31" s="8" t="s">
        <v>81</v>
      </c>
      <c r="H31" t="str">
        <f t="shared" si="0"/>
        <v>new Product { ProductId = 30, CategoryId = 4, SubCategoryId = 2, Name = "Marble Cake", MRP =  450, CreatedById = UserId, CreatedOn = CurrentTime },</v>
      </c>
    </row>
    <row r="32" spans="1:8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  <c r="F32" s="8">
        <v>450</v>
      </c>
      <c r="G32" s="8" t="s">
        <v>81</v>
      </c>
      <c r="H32" t="str">
        <f t="shared" si="0"/>
        <v>new Product { ProductId = 31, CategoryId = 4, SubCategoryId = 2, Name = "Tea Cake", MRP =  450, CreatedById = UserId, CreatedOn = CurrentTime },</v>
      </c>
    </row>
    <row r="33" spans="1:8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  <c r="F33" s="8">
        <v>450</v>
      </c>
      <c r="G33" s="8" t="s">
        <v>81</v>
      </c>
      <c r="H33" t="str">
        <f t="shared" si="0"/>
        <v>new Product { ProductId = 32, CategoryId = 4, SubCategoryId = 2, Name = "Butter Plum", MRP =  450, CreatedById = UserId, CreatedOn = CurrentTime },</v>
      </c>
    </row>
    <row r="34" spans="1:8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  <c r="F34" s="8">
        <v>450</v>
      </c>
      <c r="G34" s="8" t="s">
        <v>81</v>
      </c>
      <c r="H34" t="str">
        <f t="shared" si="0"/>
        <v>new Product { ProductId = 33, CategoryId = 4, SubCategoryId = 2, Name = "Strawberry Cake", MRP =  450, CreatedById = UserId, CreatedOn = CurrentTime },</v>
      </c>
    </row>
    <row r="35" spans="1:8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  <c r="F35" s="8">
        <v>450</v>
      </c>
      <c r="G35" s="8"/>
      <c r="H35" t="str">
        <f t="shared" si="0"/>
        <v>new Product { ProductId = 34, CategoryId = 5, SubCategoryId = null, Name = "PLUM CAKE", MRP =  450, CreatedById = UserId, CreatedOn = CurrentTime },</v>
      </c>
    </row>
    <row r="36" spans="1:8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  <c r="F36" s="8">
        <v>450</v>
      </c>
      <c r="G36" s="8"/>
      <c r="H36" t="str">
        <f t="shared" si="0"/>
        <v>new Product { ProductId = 35, CategoryId = 6, SubCategoryId = null, Name = "PINEAPPALE CAKE", MRP =  450, CreatedById = UserId, CreatedOn = CurrentTime },</v>
      </c>
    </row>
    <row r="37" spans="1:8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  <c r="F37" s="8">
        <v>450</v>
      </c>
      <c r="G37" s="8"/>
      <c r="H37" t="str">
        <f t="shared" si="0"/>
        <v>new Product { ProductId = 36, CategoryId = 7, SubCategoryId = null, Name = "CARROT&amp;DATES CAKE", MRP =  450, CreatedById = UserId, CreatedOn = CurrentTime },</v>
      </c>
    </row>
    <row r="38" spans="1:8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  <c r="F38" s="8">
        <v>450</v>
      </c>
      <c r="G38" s="8"/>
      <c r="H38" t="str">
        <f t="shared" si="0"/>
        <v>new Product { ProductId = 37, CategoryId = 9, SubCategoryId = null, Name = "Cream", MRP =  450, CreatedById = UserId, CreatedOn = CurrentTime },</v>
      </c>
    </row>
    <row r="39" spans="1:8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  <c r="F39" s="8">
        <v>450</v>
      </c>
      <c r="G39" s="8"/>
      <c r="H39" t="str">
        <f t="shared" si="0"/>
        <v>new Product { ProductId = 38, CategoryId = 8, SubCategoryId = null, Name = "SPUNGE CAKE", MRP =  450, CreatedById = UserId, CreatedOn = CurrentTime },</v>
      </c>
    </row>
    <row r="40" spans="1:8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  <c r="F40" s="8">
        <v>450</v>
      </c>
      <c r="G40" s="8"/>
      <c r="H40" t="str">
        <f t="shared" si="0"/>
        <v>new Product { ProductId = 39, CategoryId = 10, SubCategoryId = null, Name = "Black Forest Cake", MRP =  450, CreatedById = UserId, CreatedOn = CurrentTime },</v>
      </c>
    </row>
    <row r="41" spans="1:8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  <c r="F41" s="8">
        <v>450</v>
      </c>
      <c r="G41" s="8"/>
      <c r="H41" t="str">
        <f t="shared" si="0"/>
        <v>new Product { ProductId = 40, CategoryId = 11, SubCategoryId = null, Name = "White Forest Cake", MRP =  450, CreatedById = UserId, CreatedOn = CurrentTime },</v>
      </c>
    </row>
    <row r="42" spans="1:8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  <c r="F42" s="8">
        <v>450</v>
      </c>
      <c r="G42" s="8"/>
      <c r="H42" t="str">
        <f t="shared" si="0"/>
        <v>new Product { ProductId = 41, CategoryId = 12, SubCategoryId = null, Name = "Red Velvet Cake", MRP =  450, CreatedById = UserId, CreatedOn = CurrentTime },</v>
      </c>
    </row>
    <row r="43" spans="1:8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  <c r="F43" s="8">
        <v>450</v>
      </c>
      <c r="G43" s="8"/>
      <c r="H43" t="str">
        <f t="shared" si="0"/>
        <v>new Product { ProductId = 42, CategoryId = 13, SubCategoryId = null, Name = "GHEE CAKE", MRP =  450, CreatedById = UserId, CreatedOn = CurrentTime },</v>
      </c>
    </row>
    <row r="44" spans="1:8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  <c r="F44" s="8">
        <v>450</v>
      </c>
      <c r="G44" s="8"/>
      <c r="H44" t="str">
        <f t="shared" si="0"/>
        <v>new Product { ProductId = 43, CategoryId = 14, SubCategoryId = null, Name = "Sandwitch BREAD", MRP =  450, CreatedById = UserId, CreatedOn = CurrentTime },</v>
      </c>
    </row>
    <row r="45" spans="1:8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  <c r="F45" s="8">
        <v>450</v>
      </c>
      <c r="G45" s="8"/>
      <c r="H45" t="str">
        <f t="shared" si="0"/>
        <v>new Product { ProductId = 44, CategoryId = 14, SubCategoryId = null, Name = "ATTA BREAD", MRP =  450, CreatedById = UserId, CreatedOn = CurrentTime },</v>
      </c>
    </row>
    <row r="46" spans="1:8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  <c r="F46" s="8">
        <v>450</v>
      </c>
      <c r="G46" s="8"/>
      <c r="H46" t="str">
        <f t="shared" si="0"/>
        <v>new Product { ProductId = 45, CategoryId = 14, SubCategoryId = null, Name = "PAV BUN", MRP =  450, CreatedById = UserId, CreatedOn = CurrentTime },</v>
      </c>
    </row>
    <row r="47" spans="1:8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  <c r="F47" s="8">
        <v>450</v>
      </c>
      <c r="G47" s="8"/>
      <c r="H47" t="str">
        <f t="shared" si="0"/>
        <v>new Product { ProductId = 46, CategoryId = 14, SubCategoryId = null, Name = "Kubboos", MRP =  450, CreatedById = UserId, CreatedOn = CurrentTime },</v>
      </c>
    </row>
    <row r="48" spans="1:8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  <c r="F48" s="8">
        <v>450</v>
      </c>
      <c r="G48" s="8"/>
      <c r="H48" t="str">
        <f t="shared" si="0"/>
        <v>new Product { ProductId = 47, CategoryId = 14, SubCategoryId = null, Name = "Chicken Roll", MRP =  450, CreatedById = UserId, CreatedOn = CurrentTime },</v>
      </c>
    </row>
    <row r="49" spans="1:8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  <c r="F49" s="8">
        <v>450</v>
      </c>
      <c r="G49" s="8"/>
      <c r="H49" t="str">
        <f t="shared" si="0"/>
        <v>new Product { ProductId = 48, CategoryId = 14, SubCategoryId = null, Name = "Meat Roll", MRP =  450, CreatedById = UserId, CreatedOn = CurrentTime },</v>
      </c>
    </row>
    <row r="50" spans="1:8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  <c r="F50" s="8">
        <v>450</v>
      </c>
      <c r="G50" s="8"/>
      <c r="H50" t="str">
        <f t="shared" si="0"/>
        <v>new Product { ProductId = 49, CategoryId = 14, SubCategoryId = null, Name = "Veg Roll", MRP =  450, CreatedById = UserId, CreatedOn = CurrentTime },</v>
      </c>
    </row>
    <row r="51" spans="1:8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  <c r="F51" s="8">
        <v>450</v>
      </c>
      <c r="G51" s="8"/>
      <c r="H51" t="str">
        <f t="shared" si="0"/>
        <v>new Product { ProductId = 50, CategoryId = 14, SubCategoryId = 3, Name = "Chicken sandwitch", MRP =  450, CreatedById = UserId, CreatedOn = CurrentTime },</v>
      </c>
    </row>
    <row r="52" spans="1:8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  <c r="F52" s="8">
        <v>450</v>
      </c>
      <c r="G52" s="8"/>
      <c r="H52" t="str">
        <f t="shared" si="0"/>
        <v>new Product { ProductId = 51, CategoryId = 14, SubCategoryId = 3, Name = "Meat sandwitch", MRP =  450, CreatedById = UserId, CreatedOn = CurrentTime },</v>
      </c>
    </row>
    <row r="53" spans="1:8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  <c r="F53" s="8">
        <v>450</v>
      </c>
      <c r="G53" s="8"/>
      <c r="H53" t="str">
        <f t="shared" si="0"/>
        <v>new Product { ProductId = 52, CategoryId = 14, SubCategoryId = 3, Name = "Veg sandwitch", MRP =  450, CreatedById = UserId, CreatedOn = CurrentTime },</v>
      </c>
    </row>
    <row r="54" spans="1:8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  <c r="F54" s="8">
        <v>450</v>
      </c>
      <c r="G54" s="8"/>
      <c r="H54" t="str">
        <f t="shared" si="0"/>
        <v>new Product { ProductId = 53, CategoryId = 14, SubCategoryId = 3, Name = "Chicken Tikka", MRP =  450, CreatedById = UserId, CreatedOn = CurrentTime },</v>
      </c>
    </row>
    <row r="55" spans="1:8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  <c r="F55" s="8">
        <v>450</v>
      </c>
      <c r="G55" s="8"/>
      <c r="H55" t="str">
        <f t="shared" si="0"/>
        <v>new Product { ProductId = 54, CategoryId = 14, SubCategoryId = null, Name = "Chicken Pizza", MRP =  450, CreatedById = UserId, CreatedOn = CurrentTime },</v>
      </c>
    </row>
    <row r="56" spans="1:8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  <c r="F56" s="8">
        <v>450</v>
      </c>
      <c r="G56" s="8"/>
      <c r="H56" t="str">
        <f t="shared" si="0"/>
        <v>new Product { ProductId = 55, CategoryId = 14, SubCategoryId = null, Name = "Chicken Burger", MRP =  450, CreatedById = UserId, CreatedOn = CurrentTime },</v>
      </c>
    </row>
    <row r="57" spans="1:8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  <c r="F57" s="8">
        <v>450</v>
      </c>
      <c r="G57" s="8"/>
      <c r="H57" t="str">
        <f t="shared" si="0"/>
        <v>new Product { ProductId = 56, CategoryId = 14, SubCategoryId = null, Name = "Meat Burger", MRP =  450, CreatedById = UserId, CreatedOn = CurrentTime },</v>
      </c>
    </row>
    <row r="58" spans="1:8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  <c r="F58" s="8">
        <v>450</v>
      </c>
      <c r="G58" s="8"/>
      <c r="H58" t="str">
        <f t="shared" si="0"/>
        <v>new Product { ProductId = 57, CategoryId = 14, SubCategoryId = null, Name = "Veg Burger", MRP =  450, CreatedById = UserId, CreatedOn = CurrentTime },</v>
      </c>
    </row>
    <row r="59" spans="1:8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  <c r="F59" s="8">
        <v>450</v>
      </c>
      <c r="G59" s="8"/>
      <c r="H59" t="str">
        <f t="shared" si="0"/>
        <v>new Product { ProductId = 58, CategoryId = 15, SubCategoryId = null, Name = "TEA RUSK", MRP =  450, CreatedById = UserId, CreatedOn = CurrentTime },</v>
      </c>
    </row>
    <row r="60" spans="1:8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  <c r="F60" s="8">
        <v>450</v>
      </c>
      <c r="G60" s="8"/>
      <c r="H60" t="str">
        <f t="shared" si="0"/>
        <v>new Product { ProductId = 59, CategoryId = 16, SubCategoryId = null, Name = "WHITE RUSK", MRP =  450, CreatedById = UserId, CreatedOn = CurrentTime },</v>
      </c>
    </row>
    <row r="61" spans="1:8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  <c r="F61" s="8">
        <v>450</v>
      </c>
      <c r="G61" s="8"/>
      <c r="H61" t="str">
        <f t="shared" si="0"/>
        <v>new Product { ProductId = 60, CategoryId = 17, SubCategoryId = null, Name = "Beans Biscuit", MRP =  450, CreatedById = UserId, CreatedOn = CurrentTime },</v>
      </c>
    </row>
    <row r="62" spans="1:8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  <c r="F62" s="8">
        <v>450</v>
      </c>
      <c r="G62" s="8"/>
      <c r="H62" t="str">
        <f t="shared" si="0"/>
        <v>new Product { ProductId = 61, CategoryId = 18, SubCategoryId = null, Name = "Pineapple Cookies", MRP =  450, CreatedById = UserId, CreatedOn = CurrentTime },</v>
      </c>
    </row>
    <row r="63" spans="1:8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  <c r="F63" s="8">
        <v>450</v>
      </c>
      <c r="G63" s="8"/>
      <c r="H63" t="str">
        <f t="shared" si="0"/>
        <v>new Product { ProductId = 62, CategoryId = 19, SubCategoryId = null, Name = "Orange Cookies", MRP =  450, CreatedById = UserId, CreatedOn = CurrentTime },</v>
      </c>
    </row>
    <row r="64" spans="1:8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  <c r="F64" s="8">
        <v>450</v>
      </c>
      <c r="G64" s="8"/>
      <c r="H64" t="str">
        <f t="shared" si="0"/>
        <v>new Product { ProductId = 63, CategoryId = 20, SubCategoryId = null, Name = "Strawberry Cookies", MRP =  450, CreatedById = UserId, CreatedOn = CurrentTime },</v>
      </c>
    </row>
    <row r="65" spans="1:8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  <c r="F65" s="8">
        <v>450</v>
      </c>
      <c r="G65" s="8"/>
      <c r="H65" t="str">
        <f t="shared" si="0"/>
        <v>new Product { ProductId = 64, CategoryId = 21, SubCategoryId = null, Name = "Pista Cookies", MRP =  450, CreatedById = UserId, CreatedOn = CurrentTime },</v>
      </c>
    </row>
    <row r="66" spans="1:8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  <c r="F66" s="8">
        <v>450</v>
      </c>
      <c r="G66" s="8"/>
      <c r="H66" t="str">
        <f t="shared" ref="H66:H71" si="1">"new Product { ProductId = "&amp;A66&amp;", CategoryId = "&amp;B66&amp;", SubCategoryId = "&amp;C66&amp;", Name = """&amp;D66&amp;""", MRP =  "&amp;F66&amp;", CreatedById = UserId, CreatedOn = CurrentTime },"</f>
        <v>new Product { ProductId = 65, CategoryId = 22, SubCategoryId = null, Name = "Semia Cookies", MRP =  450, CreatedById = UserId, CreatedOn = CurrentTime },</v>
      </c>
    </row>
    <row r="67" spans="1:8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  <c r="F67" s="8">
        <v>450</v>
      </c>
      <c r="G67" s="8"/>
      <c r="H67" t="str">
        <f t="shared" si="1"/>
        <v>new Product { ProductId = 66, CategoryId = 23, SubCategoryId = null, Name = "Coconut Cookies", MRP =  450, CreatedById = UserId, CreatedOn = CurrentTime },</v>
      </c>
    </row>
    <row r="68" spans="1:8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  <c r="F68" s="8">
        <v>450</v>
      </c>
      <c r="G68" s="8"/>
      <c r="H68" t="str">
        <f t="shared" si="1"/>
        <v>new Product { ProductId = 67, CategoryId = 24, SubCategoryId = null, Name = "Masala Cookies", MRP =  450, CreatedById = UserId, CreatedOn = CurrentTime },</v>
      </c>
    </row>
    <row r="69" spans="1:8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  <c r="F69" s="8">
        <v>450</v>
      </c>
      <c r="G69" s="8"/>
      <c r="H69" t="str">
        <f t="shared" si="1"/>
        <v>new Product { ProductId = 68, CategoryId = 25, SubCategoryId = null, Name = "Pineapple Muffin", MRP =  450, CreatedById = UserId, CreatedOn = CurrentTime },</v>
      </c>
    </row>
    <row r="70" spans="1:8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  <c r="F70" s="8">
        <v>450</v>
      </c>
      <c r="G70" s="8"/>
      <c r="H70" t="str">
        <f t="shared" si="1"/>
        <v>new Product { ProductId = 69, CategoryId = 25, SubCategoryId = null, Name = "Strwberry Muffin", MRP =  450, CreatedById = UserId, CreatedOn = CurrentTime },</v>
      </c>
    </row>
    <row r="71" spans="1:8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  <c r="F71" s="8">
        <v>450</v>
      </c>
      <c r="G71" s="8"/>
      <c r="H71" t="str">
        <f t="shared" si="1"/>
        <v>new Product { ProductId = 70, CategoryId = 26, SubCategoryId = null, Name = "Choc Muffin", MRP =  450, CreatedById = UserId, CreatedOn = CurrentTime },</v>
      </c>
    </row>
    <row r="72" spans="1:8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  <c r="F72" s="8">
        <v>450</v>
      </c>
      <c r="G72" s="8"/>
      <c r="H72" t="str">
        <f>"new Product { ProductId = "&amp;A72&amp;", CategoryId = "&amp;B72&amp;", SubCategoryId = "&amp;C72&amp;", Name = """&amp;D72&amp;""", MRP =  "&amp;F72&amp;", CreatedById = UserId, CreatedOn = CurrentTime }"</f>
        <v>new Product { ProductId = 71, CategoryId = 27, SubCategoryId = null, Name = "Cherry Cake", MRP =  450, CreatedById = UserId, CreatedOn = CurrentTime }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A5E-3207-447D-9312-139734E3F6D4}">
  <dimension ref="A1:M72"/>
  <sheetViews>
    <sheetView workbookViewId="0">
      <selection activeCell="E19" sqref="A1:E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11" max="11" width="23" bestFit="1" customWidth="1"/>
    <col min="12" max="12" width="7.140625" bestFit="1" customWidth="1"/>
    <col min="13" max="13" width="10.85546875" bestFit="1" customWidth="1"/>
  </cols>
  <sheetData>
    <row r="1" spans="1:13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H1" s="8">
        <v>23</v>
      </c>
      <c r="I1" s="8" t="e">
        <v>#N/A</v>
      </c>
      <c r="J1" s="8"/>
      <c r="K1" s="115" t="s">
        <v>299</v>
      </c>
      <c r="L1" s="116" t="s">
        <v>39</v>
      </c>
      <c r="M1" s="115" t="s">
        <v>313</v>
      </c>
    </row>
    <row r="2" spans="1:13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H2" s="8">
        <v>24</v>
      </c>
      <c r="I2" s="8" t="e">
        <v>#N/A</v>
      </c>
      <c r="J2" s="8"/>
      <c r="K2" s="115" t="s">
        <v>295</v>
      </c>
      <c r="L2" s="116" t="s">
        <v>39</v>
      </c>
      <c r="M2" s="115" t="s">
        <v>313</v>
      </c>
    </row>
    <row r="3" spans="1:13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H3" s="8">
        <v>25</v>
      </c>
      <c r="I3" s="8" t="e">
        <v>#N/A</v>
      </c>
      <c r="J3" s="8"/>
      <c r="K3" s="115" t="s">
        <v>296</v>
      </c>
      <c r="L3" s="116" t="s">
        <v>39</v>
      </c>
      <c r="M3" s="115" t="s">
        <v>313</v>
      </c>
    </row>
    <row r="4" spans="1:13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H4" s="8">
        <v>26</v>
      </c>
      <c r="I4" s="8" t="e">
        <v>#N/A</v>
      </c>
      <c r="J4" s="8"/>
      <c r="K4" s="115" t="s">
        <v>304</v>
      </c>
      <c r="L4" s="116" t="s">
        <v>39</v>
      </c>
      <c r="M4" s="115" t="s">
        <v>313</v>
      </c>
    </row>
    <row r="5" spans="1:13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H5" s="8">
        <v>27</v>
      </c>
      <c r="I5" s="8" t="e">
        <v>#N/A</v>
      </c>
      <c r="J5" s="8"/>
      <c r="K5" s="115" t="s">
        <v>297</v>
      </c>
      <c r="L5" s="116" t="s">
        <v>39</v>
      </c>
      <c r="M5" s="115" t="s">
        <v>313</v>
      </c>
    </row>
    <row r="6" spans="1:13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H6" s="8">
        <v>28</v>
      </c>
      <c r="I6" s="8" t="e">
        <v>#N/A</v>
      </c>
      <c r="J6" s="8"/>
      <c r="K6" s="115" t="s">
        <v>305</v>
      </c>
      <c r="L6" s="116" t="s">
        <v>39</v>
      </c>
      <c r="M6" s="8"/>
    </row>
    <row r="7" spans="1:13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</row>
    <row r="8" spans="1:13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</row>
    <row r="9" spans="1:13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</row>
    <row r="10" spans="1:13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</row>
    <row r="11" spans="1:13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</row>
    <row r="12" spans="1:13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</row>
    <row r="13" spans="1:13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</row>
    <row r="14" spans="1:13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</row>
    <row r="15" spans="1:13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</row>
    <row r="16" spans="1:13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</row>
    <row r="17" spans="1:5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</row>
    <row r="18" spans="1:5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</row>
    <row r="19" spans="1:5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</row>
    <row r="20" spans="1:5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</row>
    <row r="21" spans="1:5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</row>
    <row r="22" spans="1:5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</row>
    <row r="23" spans="1:5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</row>
    <row r="24" spans="1:5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</row>
    <row r="25" spans="1:5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</row>
    <row r="26" spans="1:5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</row>
    <row r="27" spans="1:5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</row>
    <row r="28" spans="1:5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</row>
    <row r="29" spans="1:5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</row>
    <row r="30" spans="1:5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</row>
    <row r="31" spans="1:5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</row>
    <row r="32" spans="1:5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</row>
    <row r="33" spans="1:5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</row>
    <row r="34" spans="1:5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</row>
    <row r="35" spans="1:5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</row>
    <row r="36" spans="1:5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</row>
    <row r="37" spans="1:5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</row>
    <row r="38" spans="1:5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</row>
    <row r="39" spans="1:5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</row>
    <row r="40" spans="1:5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</row>
    <row r="41" spans="1:5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</row>
    <row r="42" spans="1:5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</row>
    <row r="43" spans="1:5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</row>
    <row r="44" spans="1:5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</row>
    <row r="45" spans="1:5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</row>
    <row r="46" spans="1:5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</row>
    <row r="47" spans="1:5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</row>
    <row r="48" spans="1:5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</row>
    <row r="49" spans="1:5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</row>
    <row r="50" spans="1:5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</row>
    <row r="51" spans="1:5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</row>
    <row r="52" spans="1:5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</row>
    <row r="53" spans="1:5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</row>
    <row r="54" spans="1:5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</row>
    <row r="55" spans="1:5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</row>
    <row r="56" spans="1:5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</row>
    <row r="57" spans="1:5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</row>
    <row r="58" spans="1:5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</row>
    <row r="59" spans="1:5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</row>
    <row r="60" spans="1:5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</row>
    <row r="61" spans="1:5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</row>
    <row r="62" spans="1:5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</row>
    <row r="63" spans="1:5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</row>
    <row r="64" spans="1:5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</row>
    <row r="65" spans="1:5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</row>
    <row r="66" spans="1:5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</row>
    <row r="67" spans="1:5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</row>
    <row r="68" spans="1:5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</row>
    <row r="69" spans="1:5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</row>
    <row r="70" spans="1:5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</row>
    <row r="71" spans="1:5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</row>
    <row r="72" spans="1:5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topLeftCell="A22" workbookViewId="0">
      <selection activeCell="G14" sqref="G14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37" t="s">
        <v>227</v>
      </c>
      <c r="R2" s="137"/>
    </row>
    <row r="3" spans="1:18" x14ac:dyDescent="0.25">
      <c r="Q3" s="137"/>
      <c r="R3" s="137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75"/>
  <sheetViews>
    <sheetView tabSelected="1" topLeftCell="A35" zoomScale="133" zoomScaleNormal="231" workbookViewId="0">
      <selection activeCell="F45" sqref="F45"/>
    </sheetView>
  </sheetViews>
  <sheetFormatPr defaultColWidth="8.85546875" defaultRowHeight="15" x14ac:dyDescent="0.25"/>
  <cols>
    <col min="1" max="1" width="15" bestFit="1" customWidth="1"/>
    <col min="2" max="2" width="14.5703125" style="1" bestFit="1" customWidth="1"/>
    <col min="3" max="8" width="12.85546875" style="1" bestFit="1" customWidth="1"/>
    <col min="9" max="9" width="17.7109375" style="1" bestFit="1" customWidth="1"/>
    <col min="10" max="10" width="12.85546875" style="1" bestFit="1" customWidth="1"/>
    <col min="11" max="11" width="13.7109375" style="1" bestFit="1" customWidth="1"/>
    <col min="12" max="12" width="10.85546875" style="1" bestFit="1" customWidth="1"/>
    <col min="13" max="13" width="10.85546875" style="2" bestFit="1" customWidth="1"/>
    <col min="14" max="14" width="9.28515625" style="17" bestFit="1" customWidth="1"/>
    <col min="15" max="15" width="9.5703125" style="17" bestFit="1" customWidth="1"/>
    <col min="16" max="16" width="8.28515625" style="17" bestFit="1" customWidth="1"/>
    <col min="17" max="18" width="10.7109375" style="17" bestFit="1" customWidth="1"/>
    <col min="19" max="19" width="9.5703125" style="17" bestFit="1" customWidth="1"/>
    <col min="20" max="20" width="13.7109375" style="17" bestFit="1" customWidth="1"/>
    <col min="21" max="21" width="7" bestFit="1" customWidth="1"/>
    <col min="22" max="22" width="5.85546875" bestFit="1" customWidth="1"/>
    <col min="23" max="23" width="6.5703125" bestFit="1" customWidth="1"/>
    <col min="24" max="24" width="7" bestFit="1" customWidth="1"/>
    <col min="25" max="25" width="15.5703125" bestFit="1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37" t="s">
        <v>227</v>
      </c>
      <c r="W2" s="137"/>
    </row>
    <row r="3" spans="1:23" x14ac:dyDescent="0.25">
      <c r="A3" s="5" t="s">
        <v>9</v>
      </c>
      <c r="B3" s="6">
        <v>1</v>
      </c>
      <c r="C3" s="9">
        <f>B3/90</f>
        <v>1.1111111111111112E-2</v>
      </c>
      <c r="D3" s="9">
        <f>C3*3</f>
        <v>3.3333333333333333E-2</v>
      </c>
      <c r="E3" s="9">
        <f>(D3*580)/1000</f>
        <v>1.9333333333333331E-2</v>
      </c>
      <c r="F3" s="9">
        <f>(D3*20)/1000</f>
        <v>6.6666666666666664E-4</v>
      </c>
      <c r="G3" s="9">
        <f>(D3*50)/1000</f>
        <v>1.6666666666666668E-3</v>
      </c>
      <c r="H3" s="9">
        <f>D3*1</f>
        <v>3.3333333333333333E-2</v>
      </c>
      <c r="I3" s="9">
        <f>(D3*5)/1000</f>
        <v>1.6666666666666666E-4</v>
      </c>
      <c r="J3" s="9">
        <f>(D3*10)/1000</f>
        <v>3.3333333333333332E-4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37"/>
      <c r="W3" s="137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2</v>
      </c>
      <c r="C10" s="12">
        <f t="shared" ref="C10:T10" si="10">SUM(C3:C8)</f>
        <v>0.1328968253968254</v>
      </c>
      <c r="D10" s="12">
        <f t="shared" si="10"/>
        <v>0.39869047619047621</v>
      </c>
      <c r="E10" s="12">
        <f t="shared" si="10"/>
        <v>0.23124047619047616</v>
      </c>
      <c r="F10" s="12">
        <f t="shared" si="10"/>
        <v>7.9738095238095236E-3</v>
      </c>
      <c r="G10" s="12">
        <f t="shared" si="10"/>
        <v>1.9934523809523812E-2</v>
      </c>
      <c r="H10" s="12">
        <f>SUM(H3:H8)+E18</f>
        <v>0.89869047619047615</v>
      </c>
      <c r="I10" s="12">
        <f t="shared" si="10"/>
        <v>1.9934523809523809E-3</v>
      </c>
      <c r="J10" s="12">
        <f t="shared" si="10"/>
        <v>3.9869047619047618E-3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14.352857142857143</v>
      </c>
      <c r="E12" s="42">
        <f>E10*'[1]Cost of raw materials'!G8</f>
        <v>36.767235714285711</v>
      </c>
      <c r="F12" s="42">
        <f>F10*'[1]Cost of raw materials'!C9</f>
        <v>7.1764285714285711E-2</v>
      </c>
      <c r="G12" s="42">
        <f>G10*'[1]Cost of raw materials'!C8</f>
        <v>0.77744642857142865</v>
      </c>
      <c r="H12" s="42">
        <f>H10*'[1]Cost of raw materials'!C12</f>
        <v>4.4934523809523803</v>
      </c>
      <c r="I12" s="42">
        <f>I10*'[1]Cost of raw materials'!C11</f>
        <v>0.62195714285714288</v>
      </c>
      <c r="J12" s="42">
        <f>J10*'[1]Cost of raw materials'!C10</f>
        <v>1.2558750000000001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101.75529345238093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3" t="s">
        <v>2</v>
      </c>
      <c r="E17" s="104" t="s">
        <v>19</v>
      </c>
      <c r="F17" s="104" t="s">
        <v>240</v>
      </c>
      <c r="G17" s="104" t="s">
        <v>241</v>
      </c>
      <c r="H17" s="104" t="s">
        <v>188</v>
      </c>
      <c r="I17" s="104" t="s">
        <v>242</v>
      </c>
    </row>
    <row r="18" spans="1:25" x14ac:dyDescent="0.25">
      <c r="A18" s="8" t="s">
        <v>243</v>
      </c>
      <c r="B18" s="21">
        <v>1</v>
      </c>
      <c r="C18" s="6">
        <f>B18/90</f>
        <v>1.1111111111111112E-2</v>
      </c>
      <c r="D18" s="9">
        <f>C18*3</f>
        <v>3.3333333333333333E-2</v>
      </c>
      <c r="E18" s="6">
        <f>B18/2</f>
        <v>0.5</v>
      </c>
      <c r="F18" s="6"/>
      <c r="G18" s="6"/>
      <c r="H18" s="6"/>
      <c r="I18" s="6"/>
    </row>
    <row r="19" spans="1:25" x14ac:dyDescent="0.25">
      <c r="A19" s="8" t="s">
        <v>244</v>
      </c>
      <c r="B19" s="21">
        <v>1</v>
      </c>
      <c r="C19" s="6">
        <f>B19/85</f>
        <v>1.1764705882352941E-2</v>
      </c>
      <c r="D19" s="9">
        <f t="shared" ref="D19:D22" si="11">C19*3</f>
        <v>3.5294117647058823E-2</v>
      </c>
      <c r="E19" s="6"/>
      <c r="F19" s="6">
        <f>B19*0.012</f>
        <v>1.2E-2</v>
      </c>
      <c r="G19" s="6"/>
      <c r="H19" s="6"/>
      <c r="I19" s="6"/>
    </row>
    <row r="20" spans="1:25" x14ac:dyDescent="0.25">
      <c r="A20" s="8" t="s">
        <v>245</v>
      </c>
      <c r="B20" s="21">
        <v>1</v>
      </c>
      <c r="C20" s="6">
        <f>B20/90</f>
        <v>1.1111111111111112E-2</v>
      </c>
      <c r="D20" s="9">
        <f t="shared" si="11"/>
        <v>3.3333333333333333E-2</v>
      </c>
      <c r="E20" s="6"/>
      <c r="F20" s="6"/>
      <c r="G20" s="6">
        <f>B20*0.012</f>
        <v>1.2E-2</v>
      </c>
      <c r="H20" s="6"/>
      <c r="I20" s="6"/>
    </row>
    <row r="21" spans="1:25" x14ac:dyDescent="0.25">
      <c r="A21" s="8" t="s">
        <v>246</v>
      </c>
      <c r="B21" s="21">
        <v>1</v>
      </c>
      <c r="C21" s="6">
        <f>B21/90</f>
        <v>1.1111111111111112E-2</v>
      </c>
      <c r="D21" s="9">
        <f t="shared" si="11"/>
        <v>3.3333333333333333E-2</v>
      </c>
      <c r="E21" s="6"/>
      <c r="F21" s="6"/>
      <c r="G21" s="6"/>
      <c r="H21" s="6"/>
      <c r="I21" s="6"/>
    </row>
    <row r="22" spans="1:25" x14ac:dyDescent="0.25">
      <c r="A22" s="8" t="s">
        <v>247</v>
      </c>
      <c r="B22" s="21">
        <v>1</v>
      </c>
      <c r="C22" s="6">
        <f>B22/90</f>
        <v>1.1111111111111112E-2</v>
      </c>
      <c r="D22" s="9">
        <f t="shared" si="11"/>
        <v>3.3333333333333333E-2</v>
      </c>
      <c r="E22" s="6"/>
      <c r="F22" s="6"/>
      <c r="G22" s="6"/>
      <c r="H22" s="6"/>
      <c r="I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/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/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2">(D28*50)/1000</f>
        <v>4.6249999999999999E-2</v>
      </c>
      <c r="H28" s="9">
        <v>0.32500000000000001</v>
      </c>
      <c r="I28" s="9">
        <f t="shared" ref="I28:I31" si="13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2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4">C30*3</f>
        <v>0</v>
      </c>
      <c r="E30" s="9">
        <v>0.01</v>
      </c>
      <c r="F30" s="9">
        <f t="shared" ref="F30" si="15">(D30*20)/1000</f>
        <v>0</v>
      </c>
      <c r="G30" s="9">
        <f t="shared" si="12"/>
        <v>0</v>
      </c>
      <c r="H30" s="9">
        <v>0.2</v>
      </c>
      <c r="I30" s="9">
        <f t="shared" si="13"/>
        <v>0</v>
      </c>
      <c r="J30" s="9">
        <f t="shared" ref="J30:J31" si="16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7">(F30*600)/1000</f>
        <v>0</v>
      </c>
      <c r="W30" s="15">
        <f t="shared" si="17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3"/>
        <v>0</v>
      </c>
      <c r="J31" s="9">
        <f t="shared" si="16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8">C32*3</f>
        <v>0</v>
      </c>
      <c r="E32" s="9">
        <f t="shared" ref="E32:E33" si="19">(D32*580)/1000</f>
        <v>0</v>
      </c>
      <c r="F32" s="9">
        <f t="shared" ref="F32" si="20">(D32*20)/1000</f>
        <v>0</v>
      </c>
      <c r="G32" s="9">
        <f t="shared" si="12"/>
        <v>0</v>
      </c>
      <c r="H32" s="9">
        <f t="shared" si="12"/>
        <v>0</v>
      </c>
      <c r="I32" s="9">
        <f t="shared" ref="I32" si="21">(D32*5)/1000</f>
        <v>0</v>
      </c>
      <c r="J32" s="9">
        <f t="shared" ref="J32" si="22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3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9"/>
        <v>0</v>
      </c>
      <c r="F33" s="9">
        <v>0.01</v>
      </c>
      <c r="G33" s="9" t="s">
        <v>281</v>
      </c>
      <c r="H33" s="9">
        <f t="shared" ref="H33" si="24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5">SUM(C26:C33)</f>
        <v>1.7999999999999998</v>
      </c>
      <c r="D35" s="12">
        <f t="shared" si="25"/>
        <v>2.4750000000000001</v>
      </c>
      <c r="E35" s="12">
        <f t="shared" si="25"/>
        <v>7.0000000000000007E-2</v>
      </c>
      <c r="F35" s="12">
        <f t="shared" si="25"/>
        <v>0.03</v>
      </c>
      <c r="G35" s="12">
        <f t="shared" si="25"/>
        <v>1.0924999999999998</v>
      </c>
      <c r="H35" s="12">
        <f t="shared" si="25"/>
        <v>1.9999999999999998</v>
      </c>
      <c r="I35" s="12">
        <f t="shared" si="25"/>
        <v>2.9249999999999998E-2</v>
      </c>
      <c r="J35" s="12">
        <f t="shared" si="25"/>
        <v>1.125E-2</v>
      </c>
      <c r="K35" s="12">
        <f t="shared" si="25"/>
        <v>0.05</v>
      </c>
      <c r="L35" s="12">
        <f t="shared" si="25"/>
        <v>0.08</v>
      </c>
      <c r="M35" s="12">
        <f t="shared" si="25"/>
        <v>0.15</v>
      </c>
      <c r="N35" s="12">
        <f t="shared" si="25"/>
        <v>0.04</v>
      </c>
      <c r="O35" s="12">
        <f t="shared" si="25"/>
        <v>0.04</v>
      </c>
      <c r="P35" s="12">
        <f t="shared" si="25"/>
        <v>0.1</v>
      </c>
      <c r="Q35" s="12">
        <f t="shared" si="25"/>
        <v>0.9</v>
      </c>
      <c r="R35" s="12">
        <f t="shared" si="25"/>
        <v>0.12</v>
      </c>
      <c r="S35" s="12">
        <f t="shared" si="25"/>
        <v>0.75</v>
      </c>
      <c r="T35" s="12">
        <f t="shared" si="25"/>
        <v>2.25</v>
      </c>
      <c r="U35" s="12">
        <f t="shared" si="25"/>
        <v>1.5</v>
      </c>
      <c r="V35" s="12">
        <f t="shared" ref="V35:X35" si="26">SUM(V28:V33)</f>
        <v>0.15000000000000002</v>
      </c>
      <c r="W35" s="12">
        <f t="shared" si="26"/>
        <v>0.25</v>
      </c>
      <c r="X35" s="12">
        <f t="shared" si="26"/>
        <v>0.34500000000000003</v>
      </c>
      <c r="Y35" s="12">
        <f>SUM(Y26:Y33)</f>
        <v>0.95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5"/>
      <c r="P37" s="15"/>
      <c r="Q37" s="15"/>
      <c r="R37" s="15"/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A39" s="117"/>
      <c r="B39" s="117" t="s">
        <v>308</v>
      </c>
      <c r="C39" s="117">
        <v>1</v>
      </c>
      <c r="D39" s="117">
        <v>2</v>
      </c>
      <c r="E39" s="117">
        <v>3</v>
      </c>
      <c r="F39" s="117">
        <v>4</v>
      </c>
      <c r="G39" s="117">
        <v>5</v>
      </c>
      <c r="H39" s="117">
        <v>6</v>
      </c>
      <c r="I39" s="117">
        <v>7</v>
      </c>
      <c r="J39" s="117">
        <v>8</v>
      </c>
      <c r="K39" s="117">
        <v>9</v>
      </c>
      <c r="L39" s="117">
        <v>10</v>
      </c>
      <c r="M39" s="117">
        <v>11</v>
      </c>
      <c r="N39" s="117">
        <v>12</v>
      </c>
      <c r="O39" s="117">
        <v>13</v>
      </c>
      <c r="P39" s="117">
        <v>14</v>
      </c>
      <c r="Q39" s="117">
        <v>15</v>
      </c>
      <c r="R39" s="117">
        <v>16</v>
      </c>
      <c r="S39" s="117">
        <v>17</v>
      </c>
      <c r="T39" s="117">
        <v>18</v>
      </c>
    </row>
    <row r="40" spans="1:25" x14ac:dyDescent="0.25">
      <c r="A40" s="117" t="s">
        <v>320</v>
      </c>
      <c r="B40" s="117" t="s">
        <v>319</v>
      </c>
      <c r="C40" s="117" t="s">
        <v>10</v>
      </c>
      <c r="D40" s="117" t="s">
        <v>11</v>
      </c>
      <c r="E40" s="117" t="s">
        <v>12</v>
      </c>
      <c r="F40" s="117" t="s">
        <v>13</v>
      </c>
      <c r="G40" s="117" t="s">
        <v>14</v>
      </c>
      <c r="H40" s="117" t="s">
        <v>243</v>
      </c>
      <c r="I40" s="117" t="s">
        <v>244</v>
      </c>
      <c r="J40" s="117" t="s">
        <v>245</v>
      </c>
      <c r="K40" s="117" t="s">
        <v>246</v>
      </c>
      <c r="L40" s="117" t="s">
        <v>247</v>
      </c>
      <c r="M40" s="118" t="s">
        <v>272</v>
      </c>
      <c r="N40" s="117" t="s">
        <v>273</v>
      </c>
      <c r="O40" s="117" t="s">
        <v>274</v>
      </c>
      <c r="P40" s="117" t="s">
        <v>275</v>
      </c>
      <c r="Q40" s="117" t="s">
        <v>276</v>
      </c>
      <c r="R40" s="117" t="s">
        <v>277</v>
      </c>
      <c r="S40" s="117" t="s">
        <v>278</v>
      </c>
      <c r="T40" s="117" t="s">
        <v>279</v>
      </c>
    </row>
    <row r="41" spans="1:25" x14ac:dyDescent="0.25">
      <c r="A41" s="117"/>
      <c r="B41" s="119" t="s">
        <v>2</v>
      </c>
      <c r="C41" s="120">
        <v>4.2857142857142858E-2</v>
      </c>
      <c r="D41" s="120">
        <v>3.7500000000000006E-2</v>
      </c>
      <c r="E41" s="121">
        <v>0.12</v>
      </c>
      <c r="F41" s="122">
        <v>0.125</v>
      </c>
      <c r="G41" s="122">
        <v>0.04</v>
      </c>
      <c r="H41" s="117">
        <v>3.4000000000000002E-2</v>
      </c>
      <c r="I41" s="123">
        <v>3.5000000000000003E-2</v>
      </c>
      <c r="J41" s="117">
        <v>3.4000000000000002E-2</v>
      </c>
      <c r="K41" s="117">
        <v>3.4000000000000002E-2</v>
      </c>
      <c r="L41" s="117">
        <v>3.4000000000000002E-2</v>
      </c>
      <c r="M41" s="117"/>
      <c r="N41" s="117"/>
      <c r="O41" s="117"/>
      <c r="P41" s="117"/>
      <c r="Q41" s="117"/>
      <c r="R41" s="117"/>
      <c r="S41" s="117"/>
      <c r="T41" s="117"/>
    </row>
    <row r="42" spans="1:25" x14ac:dyDescent="0.25">
      <c r="A42" s="117"/>
      <c r="B42" s="124" t="s">
        <v>6</v>
      </c>
      <c r="C42" s="122">
        <f>(C41*580)/1000</f>
        <v>2.4857142857142859E-2</v>
      </c>
      <c r="D42" s="120">
        <v>2.1750000000000002E-2</v>
      </c>
      <c r="E42" s="121">
        <v>6.9599999999999995E-2</v>
      </c>
      <c r="F42" s="122">
        <v>7.2499999999999995E-2</v>
      </c>
      <c r="G42" s="122">
        <v>2.3199999999999998E-2</v>
      </c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</row>
    <row r="43" spans="1:25" x14ac:dyDescent="0.25">
      <c r="A43" s="117"/>
      <c r="B43" s="119" t="s">
        <v>3</v>
      </c>
      <c r="C43" s="122">
        <f>(C41*20)/1000</f>
        <v>8.5714285714285721E-4</v>
      </c>
      <c r="D43" s="120">
        <v>7.5000000000000012E-4</v>
      </c>
      <c r="E43" s="121">
        <v>2.3999999999999998E-3</v>
      </c>
      <c r="F43" s="122">
        <v>2.5000000000000001E-3</v>
      </c>
      <c r="G43" s="122">
        <v>8.0000000000000004E-4</v>
      </c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5" x14ac:dyDescent="0.25">
      <c r="A44" s="117"/>
      <c r="B44" s="119" t="s">
        <v>4</v>
      </c>
      <c r="C44" s="122">
        <f>(C41*50)/1000</f>
        <v>2.142857142857143E-3</v>
      </c>
      <c r="D44" s="120">
        <v>1.8750000000000001E-3</v>
      </c>
      <c r="E44" s="121">
        <v>6.0000000000000001E-3</v>
      </c>
      <c r="F44" s="122">
        <v>6.2500000000000003E-3</v>
      </c>
      <c r="G44" s="122">
        <v>2E-3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</row>
    <row r="45" spans="1:25" x14ac:dyDescent="0.25">
      <c r="A45" s="117"/>
      <c r="B45" s="124" t="s">
        <v>19</v>
      </c>
      <c r="C45" s="122">
        <f>C41*1</f>
        <v>4.2857142857142858E-2</v>
      </c>
      <c r="D45" s="120">
        <v>3.7500000000000006E-2</v>
      </c>
      <c r="E45" s="121">
        <v>0.12</v>
      </c>
      <c r="F45" s="122">
        <v>0.125</v>
      </c>
      <c r="G45" s="122">
        <v>0.04</v>
      </c>
      <c r="H45" s="122">
        <v>0.53400000000000003</v>
      </c>
      <c r="I45" s="122">
        <v>3.4000000000000002E-2</v>
      </c>
      <c r="J45" s="122">
        <v>3.4000000000000002E-2</v>
      </c>
      <c r="K45" s="122">
        <v>3.4000000000000002E-2</v>
      </c>
      <c r="L45" s="122">
        <v>3.4000000000000002E-2</v>
      </c>
      <c r="M45" s="117"/>
      <c r="N45" s="117"/>
      <c r="O45" s="117"/>
      <c r="P45" s="117"/>
      <c r="Q45" s="117"/>
      <c r="R45" s="117"/>
      <c r="S45" s="117"/>
      <c r="T45" s="117"/>
    </row>
    <row r="46" spans="1:25" x14ac:dyDescent="0.25">
      <c r="A46" s="117"/>
      <c r="B46" s="124" t="s">
        <v>52</v>
      </c>
      <c r="C46" s="122">
        <f>(C41*5)/1000</f>
        <v>2.142857142857143E-4</v>
      </c>
      <c r="D46" s="120">
        <v>1.8750000000000003E-4</v>
      </c>
      <c r="E46" s="121">
        <v>5.9999999999999995E-4</v>
      </c>
      <c r="F46" s="122">
        <v>6.2500000000000001E-4</v>
      </c>
      <c r="G46" s="122">
        <v>2.0000000000000001E-4</v>
      </c>
      <c r="H46" s="125"/>
      <c r="I46" s="125"/>
      <c r="J46" s="125"/>
      <c r="K46" s="125"/>
      <c r="L46" s="125"/>
      <c r="M46" s="125"/>
      <c r="N46" s="125"/>
      <c r="O46" s="117"/>
      <c r="P46" s="117"/>
      <c r="Q46" s="117"/>
      <c r="R46" s="117"/>
      <c r="S46" s="117"/>
      <c r="T46" s="117"/>
    </row>
    <row r="47" spans="1:25" x14ac:dyDescent="0.25">
      <c r="A47" s="117"/>
      <c r="B47" s="124" t="s">
        <v>5</v>
      </c>
      <c r="C47" s="122">
        <f>(C41*10)/1000</f>
        <v>4.285714285714286E-4</v>
      </c>
      <c r="D47" s="120">
        <v>3.7500000000000006E-4</v>
      </c>
      <c r="E47" s="121">
        <v>1.1999999999999999E-3</v>
      </c>
      <c r="F47" s="122">
        <v>1.25E-3</v>
      </c>
      <c r="G47" s="122">
        <v>4.0000000000000002E-4</v>
      </c>
      <c r="H47" s="126"/>
      <c r="I47" s="127"/>
      <c r="J47" s="125"/>
      <c r="K47" s="125"/>
      <c r="L47" s="125"/>
      <c r="M47" s="125"/>
      <c r="N47" s="125"/>
      <c r="O47" s="125"/>
      <c r="P47" s="125"/>
      <c r="Q47" s="117"/>
      <c r="R47" s="117"/>
      <c r="S47" s="117"/>
      <c r="T47" s="117"/>
    </row>
    <row r="48" spans="1:25" x14ac:dyDescent="0.25">
      <c r="A48" s="117"/>
      <c r="B48" s="124" t="s">
        <v>8</v>
      </c>
      <c r="C48" s="122">
        <v>0.01</v>
      </c>
      <c r="D48" s="120">
        <v>5.6250000000000007E-3</v>
      </c>
      <c r="E48" s="121"/>
      <c r="F48" s="122">
        <v>1.2500000000000001E-2</v>
      </c>
      <c r="G48" s="122">
        <v>0.01</v>
      </c>
      <c r="H48" s="126"/>
      <c r="I48" s="127"/>
      <c r="J48" s="125"/>
      <c r="K48" s="125"/>
      <c r="L48" s="125"/>
      <c r="M48" s="125"/>
      <c r="N48" s="125"/>
      <c r="O48" s="125"/>
      <c r="P48" s="125"/>
      <c r="Q48" s="117"/>
      <c r="R48" s="117"/>
      <c r="S48" s="117"/>
      <c r="T48" s="117"/>
    </row>
    <row r="49" spans="1:20" x14ac:dyDescent="0.25">
      <c r="A49" s="117"/>
      <c r="B49" s="124" t="s">
        <v>97</v>
      </c>
      <c r="C49" s="122">
        <v>1.6E-2</v>
      </c>
      <c r="D49" s="120">
        <v>6.7500000000000008E-3</v>
      </c>
      <c r="E49" s="121"/>
      <c r="F49" s="122">
        <v>1.4999999999999999E-2</v>
      </c>
      <c r="G49" s="122">
        <v>1.6E-2</v>
      </c>
      <c r="H49" s="126"/>
      <c r="I49" s="127"/>
      <c r="J49" s="125"/>
      <c r="K49" s="125"/>
      <c r="L49" s="125"/>
      <c r="M49" s="125"/>
      <c r="N49" s="125"/>
      <c r="O49" s="125"/>
      <c r="P49" s="125"/>
      <c r="Q49" s="117"/>
      <c r="R49" s="117"/>
      <c r="S49" s="117"/>
      <c r="T49" s="117"/>
    </row>
    <row r="50" spans="1:20" x14ac:dyDescent="0.25">
      <c r="A50" s="117"/>
      <c r="B50" s="128" t="s">
        <v>15</v>
      </c>
      <c r="C50" s="122">
        <f>(C41*30)/1000</f>
        <v>1.2857142857142859E-3</v>
      </c>
      <c r="D50" s="120">
        <v>9.3750000000000007E-4</v>
      </c>
      <c r="E50" s="121"/>
      <c r="F50" s="122">
        <v>1.8749999999999999E-3</v>
      </c>
      <c r="G50" s="122">
        <v>2.9999999999999997E-4</v>
      </c>
      <c r="H50" s="126"/>
      <c r="I50" s="127"/>
      <c r="J50" s="125"/>
      <c r="K50" s="125"/>
      <c r="L50" s="125"/>
      <c r="M50" s="125"/>
      <c r="N50" s="125"/>
      <c r="O50" s="125"/>
      <c r="P50" s="125"/>
      <c r="Q50" s="117"/>
      <c r="R50" s="117"/>
      <c r="S50" s="117"/>
      <c r="T50" s="117"/>
    </row>
    <row r="51" spans="1:20" x14ac:dyDescent="0.25">
      <c r="A51" s="117"/>
      <c r="B51" s="129" t="s">
        <v>17</v>
      </c>
      <c r="C51" s="130"/>
      <c r="D51" s="120">
        <v>2.0625000000000005E-3</v>
      </c>
      <c r="E51" s="121"/>
      <c r="F51" s="130">
        <v>5.0000000000000001E-3</v>
      </c>
      <c r="G51" s="126"/>
      <c r="H51" s="126"/>
      <c r="I51" s="127"/>
      <c r="J51" s="125"/>
      <c r="K51" s="125"/>
      <c r="L51" s="125"/>
      <c r="M51" s="125"/>
      <c r="N51" s="125"/>
      <c r="O51" s="125"/>
      <c r="P51" s="125"/>
      <c r="Q51" s="117"/>
      <c r="R51" s="117"/>
      <c r="S51" s="117"/>
      <c r="T51" s="117"/>
    </row>
    <row r="52" spans="1:20" x14ac:dyDescent="0.25">
      <c r="A52" s="117"/>
      <c r="B52" s="128" t="s">
        <v>18</v>
      </c>
      <c r="C52" s="130"/>
      <c r="D52" s="131">
        <v>1.6875000000000002E-3</v>
      </c>
      <c r="E52" s="132"/>
      <c r="F52" s="130">
        <v>3.7499999999999999E-3</v>
      </c>
      <c r="G52" s="126"/>
      <c r="H52" s="126"/>
      <c r="I52" s="127"/>
      <c r="J52" s="125"/>
      <c r="K52" s="125"/>
      <c r="L52" s="125"/>
      <c r="M52" s="125"/>
      <c r="N52" s="125"/>
      <c r="O52" s="125"/>
      <c r="P52" s="125"/>
      <c r="Q52" s="117"/>
      <c r="R52" s="117"/>
      <c r="S52" s="117"/>
      <c r="T52" s="117"/>
    </row>
    <row r="53" spans="1:20" x14ac:dyDescent="0.25">
      <c r="A53" s="117"/>
      <c r="B53" s="128" t="s">
        <v>21</v>
      </c>
      <c r="C53" s="130"/>
      <c r="D53" s="120">
        <v>1.0500000000000002E-2</v>
      </c>
      <c r="E53" s="120"/>
      <c r="F53" s="130">
        <v>2.5000000000000001E-2</v>
      </c>
      <c r="G53" s="126"/>
      <c r="H53" s="126"/>
      <c r="I53" s="127"/>
      <c r="J53" s="125"/>
      <c r="K53" s="125"/>
      <c r="L53" s="125"/>
      <c r="M53" s="125"/>
      <c r="N53" s="125"/>
      <c r="O53" s="125"/>
      <c r="P53" s="125"/>
      <c r="Q53" s="117"/>
      <c r="R53" s="117"/>
      <c r="S53" s="117"/>
      <c r="T53" s="117"/>
    </row>
    <row r="54" spans="1:20" x14ac:dyDescent="0.25">
      <c r="A54" s="117"/>
      <c r="B54" s="129" t="s">
        <v>34</v>
      </c>
      <c r="C54" s="120"/>
      <c r="D54" s="120">
        <v>1.6875000000000002E-3</v>
      </c>
      <c r="E54" s="120"/>
      <c r="F54" s="120">
        <v>3.7499999999999999E-3</v>
      </c>
      <c r="G54" s="126"/>
      <c r="H54" s="126"/>
      <c r="I54" s="127"/>
      <c r="J54" s="125"/>
      <c r="K54" s="125"/>
      <c r="L54" s="125"/>
      <c r="M54" s="125"/>
      <c r="N54" s="125"/>
      <c r="O54" s="125"/>
      <c r="P54" s="125"/>
      <c r="Q54" s="117"/>
      <c r="R54" s="117"/>
      <c r="S54" s="117"/>
      <c r="T54" s="117"/>
    </row>
    <row r="55" spans="1:20" x14ac:dyDescent="0.25">
      <c r="A55" s="117"/>
      <c r="B55" s="129" t="s">
        <v>36</v>
      </c>
      <c r="C55" s="120"/>
      <c r="D55" s="120">
        <v>2.8125000000000003E-3</v>
      </c>
      <c r="E55" s="120"/>
      <c r="F55" s="120">
        <v>6.2500000000000003E-3</v>
      </c>
      <c r="G55" s="126"/>
      <c r="H55" s="126"/>
      <c r="I55" s="127"/>
      <c r="J55" s="125"/>
      <c r="K55" s="125"/>
      <c r="L55" s="125"/>
      <c r="M55" s="125"/>
      <c r="N55" s="125"/>
      <c r="O55" s="125"/>
      <c r="P55" s="125"/>
      <c r="Q55" s="117"/>
      <c r="R55" s="117"/>
      <c r="S55" s="117"/>
      <c r="T55" s="117"/>
    </row>
    <row r="56" spans="1:20" x14ac:dyDescent="0.25">
      <c r="A56" s="117"/>
      <c r="B56" s="129" t="s">
        <v>37</v>
      </c>
      <c r="C56" s="120"/>
      <c r="D56" s="120">
        <v>1.5000000000000002E-3</v>
      </c>
      <c r="E56" s="120"/>
      <c r="F56" s="120">
        <v>3.1250000000000002E-3</v>
      </c>
      <c r="G56" s="126"/>
      <c r="H56" s="126"/>
      <c r="I56" s="127"/>
      <c r="J56" s="125"/>
      <c r="K56" s="125"/>
      <c r="L56" s="125"/>
      <c r="M56" s="125"/>
      <c r="N56" s="125"/>
      <c r="O56" s="125"/>
      <c r="P56" s="125"/>
      <c r="Q56" s="117"/>
      <c r="R56" s="117"/>
      <c r="S56" s="117"/>
      <c r="T56" s="117"/>
    </row>
    <row r="57" spans="1:20" x14ac:dyDescent="0.25">
      <c r="A57" s="117"/>
      <c r="B57" s="128" t="s">
        <v>146</v>
      </c>
      <c r="C57" s="120"/>
      <c r="D57" s="120">
        <v>2.2500000000000003E-2</v>
      </c>
      <c r="E57" s="120"/>
      <c r="F57" s="120">
        <v>7.4999999999999997E-2</v>
      </c>
      <c r="G57" s="126"/>
      <c r="H57" s="126"/>
      <c r="I57" s="126"/>
      <c r="J57" s="126"/>
      <c r="K57" s="126"/>
      <c r="L57" s="126"/>
      <c r="M57" s="127"/>
      <c r="N57" s="125"/>
      <c r="O57" s="125"/>
      <c r="P57" s="125"/>
      <c r="Q57" s="125"/>
      <c r="R57" s="125"/>
      <c r="S57" s="125"/>
      <c r="T57" s="125"/>
    </row>
    <row r="58" spans="1:20" x14ac:dyDescent="0.25">
      <c r="A58" s="117"/>
      <c r="B58" s="133" t="s">
        <v>240</v>
      </c>
      <c r="C58" s="126"/>
      <c r="D58" s="126"/>
      <c r="E58" s="126"/>
      <c r="F58" s="126"/>
      <c r="G58" s="126"/>
      <c r="H58" s="126"/>
      <c r="I58" s="126">
        <v>1.2E-2</v>
      </c>
      <c r="J58" s="126"/>
      <c r="K58" s="126"/>
      <c r="L58" s="126"/>
      <c r="M58" s="127"/>
      <c r="N58" s="125"/>
      <c r="O58" s="125"/>
      <c r="P58" s="125"/>
      <c r="Q58" s="125"/>
      <c r="R58" s="125"/>
      <c r="S58" s="125"/>
      <c r="T58" s="125"/>
    </row>
    <row r="59" spans="1:20" x14ac:dyDescent="0.25">
      <c r="A59" s="117"/>
      <c r="B59" s="133" t="s">
        <v>241</v>
      </c>
      <c r="C59" s="126"/>
      <c r="D59" s="126"/>
      <c r="E59" s="126"/>
      <c r="F59" s="126"/>
      <c r="G59" s="126"/>
      <c r="H59" s="126"/>
      <c r="I59" s="126"/>
      <c r="J59" s="126">
        <v>1.2E-2</v>
      </c>
      <c r="K59" s="126"/>
      <c r="L59" s="126"/>
      <c r="M59" s="127"/>
      <c r="N59" s="125"/>
      <c r="O59" s="125"/>
      <c r="P59" s="125"/>
      <c r="Q59" s="125"/>
      <c r="R59" s="125"/>
      <c r="S59" s="125"/>
      <c r="T59" s="125"/>
    </row>
    <row r="60" spans="1:20" x14ac:dyDescent="0.25">
      <c r="A60" s="117"/>
      <c r="B60" s="124" t="s">
        <v>264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7"/>
      <c r="N60" s="125"/>
      <c r="O60" s="125"/>
      <c r="P60" s="125"/>
      <c r="Q60" s="125"/>
      <c r="R60" s="125"/>
      <c r="S60" s="125"/>
      <c r="T60" s="125"/>
    </row>
    <row r="61" spans="1:20" x14ac:dyDescent="0.25">
      <c r="A61" s="117"/>
      <c r="B61" s="124" t="s">
        <v>77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7"/>
      <c r="N61" s="125"/>
      <c r="O61" s="125"/>
      <c r="P61" s="125"/>
      <c r="Q61" s="125"/>
      <c r="R61" s="125"/>
      <c r="S61" s="125"/>
      <c r="T61" s="125"/>
    </row>
    <row r="62" spans="1:20" x14ac:dyDescent="0.25">
      <c r="A62" s="117"/>
      <c r="B62" s="124" t="s">
        <v>188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7"/>
      <c r="N62" s="125"/>
      <c r="O62" s="125"/>
      <c r="P62" s="125"/>
      <c r="Q62" s="125"/>
      <c r="R62" s="125"/>
      <c r="S62" s="125"/>
      <c r="T62" s="125"/>
    </row>
    <row r="63" spans="1:20" x14ac:dyDescent="0.25">
      <c r="A63" s="117"/>
      <c r="B63" s="124" t="s">
        <v>265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7"/>
      <c r="N63" s="125"/>
      <c r="O63" s="125"/>
      <c r="P63" s="125"/>
      <c r="Q63" s="125"/>
      <c r="R63" s="125"/>
      <c r="S63" s="125"/>
      <c r="T63" s="125"/>
    </row>
    <row r="64" spans="1:20" x14ac:dyDescent="0.25">
      <c r="A64" s="117"/>
      <c r="B64" s="124" t="s">
        <v>266</v>
      </c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7"/>
      <c r="N64" s="125"/>
      <c r="O64" s="125"/>
      <c r="P64" s="125"/>
      <c r="Q64" s="125"/>
      <c r="R64" s="125"/>
      <c r="S64" s="125"/>
      <c r="T64" s="125"/>
    </row>
    <row r="65" spans="1:20" x14ac:dyDescent="0.25">
      <c r="A65" s="117"/>
      <c r="B65" s="124" t="s">
        <v>172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7"/>
      <c r="N65" s="125"/>
      <c r="O65" s="125"/>
      <c r="P65" s="125"/>
      <c r="Q65" s="125"/>
      <c r="R65" s="125"/>
      <c r="S65" s="125"/>
      <c r="T65" s="125"/>
    </row>
    <row r="66" spans="1:20" x14ac:dyDescent="0.25">
      <c r="A66" s="117"/>
      <c r="B66" s="124" t="s">
        <v>267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7"/>
      <c r="N66" s="125"/>
      <c r="O66" s="125"/>
      <c r="P66" s="125"/>
      <c r="Q66" s="125"/>
      <c r="R66" s="125"/>
      <c r="S66" s="125"/>
      <c r="T66" s="125"/>
    </row>
    <row r="67" spans="1:20" x14ac:dyDescent="0.25">
      <c r="A67" s="117"/>
      <c r="B67" s="124" t="s">
        <v>72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7"/>
      <c r="N67" s="125"/>
      <c r="O67" s="125"/>
      <c r="P67" s="125"/>
      <c r="Q67" s="125"/>
      <c r="R67" s="125"/>
      <c r="S67" s="125"/>
      <c r="T67" s="125"/>
    </row>
    <row r="68" spans="1:20" x14ac:dyDescent="0.25">
      <c r="A68" s="117"/>
      <c r="B68" s="124" t="s">
        <v>268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7"/>
      <c r="N68" s="125"/>
      <c r="O68" s="125"/>
      <c r="P68" s="125"/>
      <c r="Q68" s="125"/>
      <c r="R68" s="125"/>
      <c r="S68" s="125"/>
      <c r="T68" s="125"/>
    </row>
    <row r="69" spans="1:20" x14ac:dyDescent="0.25">
      <c r="A69" s="117"/>
      <c r="B69" s="124" t="s">
        <v>269</v>
      </c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7"/>
      <c r="N69" s="125"/>
      <c r="O69" s="125"/>
      <c r="P69" s="125"/>
      <c r="Q69" s="125"/>
      <c r="R69" s="125"/>
      <c r="S69" s="125"/>
      <c r="T69" s="125"/>
    </row>
    <row r="70" spans="1:20" x14ac:dyDescent="0.25">
      <c r="A70" s="117"/>
      <c r="B70" s="124" t="s">
        <v>105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7"/>
      <c r="N70" s="125"/>
      <c r="O70" s="125"/>
      <c r="P70" s="125"/>
      <c r="Q70" s="125"/>
      <c r="R70" s="125"/>
      <c r="S70" s="125"/>
      <c r="T70" s="125"/>
    </row>
    <row r="71" spans="1:20" x14ac:dyDescent="0.25">
      <c r="A71" s="117"/>
      <c r="B71" s="124" t="s">
        <v>270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7"/>
      <c r="N71" s="125"/>
      <c r="O71" s="125"/>
      <c r="P71" s="125"/>
      <c r="Q71" s="125"/>
      <c r="R71" s="125"/>
      <c r="S71" s="125"/>
      <c r="T71" s="125"/>
    </row>
    <row r="72" spans="1:20" x14ac:dyDescent="0.25">
      <c r="A72" s="117"/>
      <c r="B72" s="124" t="s">
        <v>271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7"/>
      <c r="N72" s="125"/>
      <c r="O72" s="125"/>
      <c r="P72" s="125"/>
      <c r="Q72" s="125"/>
      <c r="R72" s="125"/>
      <c r="S72" s="125"/>
      <c r="T72" s="125"/>
    </row>
    <row r="73" spans="1:20" x14ac:dyDescent="0.25">
      <c r="A73" s="117"/>
      <c r="B73" s="124" t="s">
        <v>150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7"/>
      <c r="N73" s="125"/>
      <c r="O73" s="125"/>
      <c r="P73" s="125"/>
      <c r="Q73" s="125"/>
      <c r="R73" s="125"/>
      <c r="S73" s="125"/>
      <c r="T73" s="125"/>
    </row>
    <row r="74" spans="1:20" x14ac:dyDescent="0.25">
      <c r="A74" s="117"/>
      <c r="B74" s="124" t="s">
        <v>152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7"/>
      <c r="N74" s="125"/>
      <c r="O74" s="125"/>
      <c r="P74" s="125"/>
      <c r="Q74" s="125"/>
      <c r="R74" s="125"/>
      <c r="S74" s="125"/>
      <c r="T74" s="125"/>
    </row>
    <row r="75" spans="1:20" x14ac:dyDescent="0.25">
      <c r="A75" s="117"/>
      <c r="B75" s="124" t="s">
        <v>151</v>
      </c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7"/>
      <c r="N75" s="125"/>
      <c r="O75" s="125"/>
      <c r="P75" s="125"/>
      <c r="Q75" s="125"/>
      <c r="R75" s="125"/>
      <c r="S75" s="125"/>
      <c r="T75" s="125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zoomScale="125" workbookViewId="0">
      <selection activeCell="A19" sqref="A19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A3" sqref="A3:A6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6.140625" style="1" bestFit="1" customWidth="1"/>
    <col min="12" max="12" width="7.42578125" style="1" bestFit="1" customWidth="1"/>
    <col min="13" max="13" width="8.85546875" style="1" bestFit="1" customWidth="1"/>
    <col min="14" max="14" width="6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37" t="s">
        <v>227</v>
      </c>
      <c r="S2" s="137"/>
    </row>
    <row r="3" spans="1:19" x14ac:dyDescent="0.25">
      <c r="A3" s="5" t="s">
        <v>24</v>
      </c>
      <c r="B3" s="21">
        <v>72</v>
      </c>
      <c r="C3" s="9">
        <f>450/1000</f>
        <v>0.45</v>
      </c>
      <c r="D3" s="9">
        <f>(B3*C3)/2</f>
        <v>16.2</v>
      </c>
      <c r="E3" s="9">
        <f>(D3*90)/1000</f>
        <v>1.458</v>
      </c>
      <c r="F3" s="9">
        <f>(D3*15)/1000</f>
        <v>0.24299999999999999</v>
      </c>
      <c r="G3" s="9">
        <f>(D3*250)/1000</f>
        <v>4.05</v>
      </c>
      <c r="H3" s="9">
        <f>(D3*5)/1000</f>
        <v>8.1000000000000003E-2</v>
      </c>
      <c r="I3" s="9">
        <f>(D3*10)/1000</f>
        <v>0.16200000000000001</v>
      </c>
      <c r="J3" s="9">
        <f>(D3*5)/1000</f>
        <v>8.1000000000000003E-2</v>
      </c>
      <c r="K3" s="9">
        <f>(D3*5)/1000</f>
        <v>8.1000000000000003E-2</v>
      </c>
      <c r="L3" s="9">
        <f>(D3*4)/1000</f>
        <v>6.4799999999999996E-2</v>
      </c>
      <c r="M3" s="9">
        <f>(D3*5)/1000</f>
        <v>8.1000000000000003E-2</v>
      </c>
      <c r="N3" s="9">
        <f>(D3*20)/1000</f>
        <v>0.32400000000000001</v>
      </c>
      <c r="O3" s="20">
        <f>(D3*10)/1000</f>
        <v>0.16200000000000001</v>
      </c>
      <c r="P3" s="8"/>
      <c r="R3" s="137"/>
      <c r="S3" s="137"/>
    </row>
    <row r="4" spans="1:19" x14ac:dyDescent="0.25">
      <c r="A4" s="5" t="s">
        <v>25</v>
      </c>
      <c r="B4" s="21">
        <v>140</v>
      </c>
      <c r="C4" s="9">
        <v>5.5E-2</v>
      </c>
      <c r="D4" s="9">
        <f t="shared" ref="D4:D6" si="0">(B4*C4)/2</f>
        <v>3.85</v>
      </c>
      <c r="E4" s="9">
        <f t="shared" ref="E4:E6" si="1">(D4*90)/1000</f>
        <v>0.34649999999999997</v>
      </c>
      <c r="F4" s="9">
        <f t="shared" ref="F4:F6" si="2">(D4*15)/1000</f>
        <v>5.7750000000000003E-2</v>
      </c>
      <c r="G4" s="9">
        <f t="shared" ref="G4:G6" si="3">(D4*250)/1000</f>
        <v>0.96250000000000002</v>
      </c>
      <c r="H4" s="9">
        <f t="shared" ref="H4:H6" si="4">(D4*5)/1000</f>
        <v>1.925E-2</v>
      </c>
      <c r="I4" s="9">
        <f t="shared" ref="I4:I6" si="5">(D4*10)/1000</f>
        <v>3.85E-2</v>
      </c>
      <c r="J4" s="9">
        <f t="shared" ref="J4:J6" si="6">(D4*5)/1000</f>
        <v>1.925E-2</v>
      </c>
      <c r="K4" s="9">
        <f t="shared" ref="K4:K6" si="7">(D4*5)/1000</f>
        <v>1.925E-2</v>
      </c>
      <c r="L4" s="9">
        <f t="shared" ref="L4:L6" si="8">(D4*4)/1000</f>
        <v>1.54E-2</v>
      </c>
      <c r="M4" s="9">
        <f t="shared" ref="M4:M6" si="9">(D4*5)/1000</f>
        <v>1.925E-2</v>
      </c>
      <c r="N4" s="9">
        <f t="shared" ref="N4:N6" si="10">(D4*20)/1000</f>
        <v>7.6999999999999999E-2</v>
      </c>
      <c r="O4" s="20">
        <f t="shared" ref="O4:O6" si="11">(D4*10)/1000</f>
        <v>3.85E-2</v>
      </c>
      <c r="P4" s="8"/>
    </row>
    <row r="5" spans="1:19" x14ac:dyDescent="0.25">
      <c r="A5" s="8" t="s">
        <v>26</v>
      </c>
      <c r="B5" s="21">
        <v>45</v>
      </c>
      <c r="C5" s="9">
        <f>330/1000</f>
        <v>0.33</v>
      </c>
      <c r="D5" s="9">
        <f t="shared" si="0"/>
        <v>7.4250000000000007</v>
      </c>
      <c r="E5" s="9">
        <f t="shared" si="1"/>
        <v>0.66825000000000012</v>
      </c>
      <c r="F5" s="9">
        <f t="shared" si="2"/>
        <v>0.11137500000000002</v>
      </c>
      <c r="G5" s="9">
        <f t="shared" si="3"/>
        <v>1.8562500000000002</v>
      </c>
      <c r="H5" s="9">
        <f t="shared" si="4"/>
        <v>3.7124999999999998E-2</v>
      </c>
      <c r="I5" s="9">
        <f t="shared" si="5"/>
        <v>7.4249999999999997E-2</v>
      </c>
      <c r="J5" s="9">
        <f t="shared" si="6"/>
        <v>3.7124999999999998E-2</v>
      </c>
      <c r="K5" s="9">
        <f t="shared" si="7"/>
        <v>3.7124999999999998E-2</v>
      </c>
      <c r="L5" s="9">
        <f t="shared" si="8"/>
        <v>2.9700000000000004E-2</v>
      </c>
      <c r="M5" s="9">
        <f t="shared" si="9"/>
        <v>3.7124999999999998E-2</v>
      </c>
      <c r="N5" s="9">
        <f t="shared" si="10"/>
        <v>0.14849999999999999</v>
      </c>
      <c r="O5" s="20">
        <f t="shared" si="11"/>
        <v>7.4249999999999997E-2</v>
      </c>
      <c r="P5" s="46">
        <f>(B5*170)/1000</f>
        <v>7.65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307</v>
      </c>
      <c r="C8" s="12">
        <f t="shared" si="12"/>
        <v>0.90500000000000003</v>
      </c>
      <c r="D8" s="12">
        <f t="shared" si="12"/>
        <v>29.225000000000001</v>
      </c>
      <c r="E8" s="12">
        <f t="shared" si="12"/>
        <v>2.6302500000000002</v>
      </c>
      <c r="F8" s="12">
        <f t="shared" si="12"/>
        <v>0.43837500000000001</v>
      </c>
      <c r="G8" s="12">
        <f t="shared" si="12"/>
        <v>7.3062500000000004</v>
      </c>
      <c r="H8" s="12">
        <f t="shared" si="12"/>
        <v>0.146125</v>
      </c>
      <c r="I8" s="12">
        <f t="shared" si="12"/>
        <v>0.29225000000000001</v>
      </c>
      <c r="J8" s="12">
        <f t="shared" si="12"/>
        <v>0.146125</v>
      </c>
      <c r="K8" s="12">
        <f t="shared" si="12"/>
        <v>0.146125</v>
      </c>
      <c r="L8" s="12">
        <f t="shared" si="12"/>
        <v>0.1169</v>
      </c>
      <c r="M8" s="12">
        <f t="shared" si="12"/>
        <v>0.146125</v>
      </c>
      <c r="N8" s="12">
        <f t="shared" si="12"/>
        <v>0.58450000000000002</v>
      </c>
      <c r="O8" s="12">
        <f t="shared" si="12"/>
        <v>0.29225000000000001</v>
      </c>
      <c r="P8" s="12">
        <f t="shared" si="12"/>
        <v>7.65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1052.1000000000001</v>
      </c>
      <c r="E9" s="40">
        <f>E8*'Cost of raw materials'!G9</f>
        <v>389.27700000000004</v>
      </c>
      <c r="F9" s="40">
        <f>F8*'Cost of raw materials'!C9</f>
        <v>3.9453750000000003</v>
      </c>
      <c r="G9" s="40">
        <f>G8*'Cost of raw materials'!C8</f>
        <v>284.94375000000002</v>
      </c>
      <c r="H9" s="40">
        <f>H8*'Cost of raw materials'!C11</f>
        <v>45.591000000000001</v>
      </c>
      <c r="I9" s="40">
        <f>I8*'Cost of raw materials'!C10</f>
        <v>92.058750000000003</v>
      </c>
      <c r="J9" s="40">
        <f>J8*'Cost of raw materials'!C13</f>
        <v>80.368750000000006</v>
      </c>
      <c r="K9" s="40">
        <f>K8*'Cost of raw materials'!C18</f>
        <v>67.948125000000005</v>
      </c>
      <c r="L9" s="40">
        <f>L8*'Cost of raw materials'!C19</f>
        <v>22.211000000000002</v>
      </c>
      <c r="M9" s="40">
        <f>M8*'Cost of raw materials'!C15</f>
        <v>37.408000000000001</v>
      </c>
      <c r="N9" s="40">
        <f>N8*'Cost of raw materials'!C21</f>
        <v>84.752499999999998</v>
      </c>
      <c r="O9" s="40">
        <f>O8*'Cost of raw materials'!C22</f>
        <v>45.298749999999998</v>
      </c>
      <c r="P9" s="39">
        <f>P8*(M13/16.38)</f>
        <v>398.61263736263749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398.61263736263749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A3" sqref="A3:A5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37" t="s">
        <v>227</v>
      </c>
      <c r="R2" s="137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37"/>
      <c r="R3" s="137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H14" sqref="H14"/>
    </sheetView>
  </sheetViews>
  <sheetFormatPr defaultColWidth="8.85546875" defaultRowHeight="15" x14ac:dyDescent="0.25"/>
  <cols>
    <col min="1" max="1" width="14.42578125" bestFit="1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41" t="s">
        <v>82</v>
      </c>
      <c r="N1" s="141"/>
    </row>
    <row r="2" spans="1:17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37" t="s">
        <v>227</v>
      </c>
      <c r="Q2" s="137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37"/>
      <c r="Q3" s="13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  <vt:lpstr>Products_Rawmaterial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2025-07-03T04:14:17Z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